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externalLinks/externalLink274.xml" ContentType="application/vnd.openxmlformats-officedocument.spreadsheetml.externalLink+xml"/>
  <Override PartName="/xl/externalLinks/externalLink275.xml" ContentType="application/vnd.openxmlformats-officedocument.spreadsheetml.externalLink+xml"/>
  <Override PartName="/xl/externalLinks/externalLink276.xml" ContentType="application/vnd.openxmlformats-officedocument.spreadsheetml.externalLink+xml"/>
  <Override PartName="/xl/externalLinks/externalLink277.xml" ContentType="application/vnd.openxmlformats-officedocument.spreadsheetml.externalLink+xml"/>
  <Override PartName="/xl/externalLinks/externalLink278.xml" ContentType="application/vnd.openxmlformats-officedocument.spreadsheetml.externalLink+xml"/>
  <Override PartName="/xl/externalLinks/externalLink279.xml" ContentType="application/vnd.openxmlformats-officedocument.spreadsheetml.externalLink+xml"/>
  <Override PartName="/xl/externalLinks/externalLink280.xml" ContentType="application/vnd.openxmlformats-officedocument.spreadsheetml.externalLink+xml"/>
  <Override PartName="/xl/externalLinks/externalLink281.xml" ContentType="application/vnd.openxmlformats-officedocument.spreadsheetml.externalLink+xml"/>
  <Override PartName="/xl/externalLinks/externalLink282.xml" ContentType="application/vnd.openxmlformats-officedocument.spreadsheetml.externalLink+xml"/>
  <Override PartName="/xl/externalLinks/externalLink283.xml" ContentType="application/vnd.openxmlformats-officedocument.spreadsheetml.externalLink+xml"/>
  <Override PartName="/xl/externalLinks/externalLink284.xml" ContentType="application/vnd.openxmlformats-officedocument.spreadsheetml.externalLink+xml"/>
  <Override PartName="/xl/externalLinks/externalLink285.xml" ContentType="application/vnd.openxmlformats-officedocument.spreadsheetml.externalLink+xml"/>
  <Override PartName="/xl/externalLinks/externalLink286.xml" ContentType="application/vnd.openxmlformats-officedocument.spreadsheetml.externalLink+xml"/>
  <Override PartName="/xl/externalLinks/externalLink287.xml" ContentType="application/vnd.openxmlformats-officedocument.spreadsheetml.externalLink+xml"/>
  <Override PartName="/xl/externalLinks/externalLink288.xml" ContentType="application/vnd.openxmlformats-officedocument.spreadsheetml.externalLink+xml"/>
  <Override PartName="/xl/externalLinks/externalLink289.xml" ContentType="application/vnd.openxmlformats-officedocument.spreadsheetml.externalLink+xml"/>
  <Override PartName="/xl/externalLinks/externalLink290.xml" ContentType="application/vnd.openxmlformats-officedocument.spreadsheetml.externalLink+xml"/>
  <Override PartName="/xl/externalLinks/externalLink291.xml" ContentType="application/vnd.openxmlformats-officedocument.spreadsheetml.externalLink+xml"/>
  <Override PartName="/xl/externalLinks/externalLink292.xml" ContentType="application/vnd.openxmlformats-officedocument.spreadsheetml.externalLink+xml"/>
  <Override PartName="/xl/externalLinks/externalLink293.xml" ContentType="application/vnd.openxmlformats-officedocument.spreadsheetml.externalLink+xml"/>
  <Override PartName="/xl/externalLinks/externalLink294.xml" ContentType="application/vnd.openxmlformats-officedocument.spreadsheetml.externalLink+xml"/>
  <Override PartName="/xl/externalLinks/externalLink295.xml" ContentType="application/vnd.openxmlformats-officedocument.spreadsheetml.externalLink+xml"/>
  <Override PartName="/xl/externalLinks/externalLink296.xml" ContentType="application/vnd.openxmlformats-officedocument.spreadsheetml.externalLink+xml"/>
  <Override PartName="/xl/externalLinks/externalLink297.xml" ContentType="application/vnd.openxmlformats-officedocument.spreadsheetml.externalLink+xml"/>
  <Override PartName="/xl/externalLinks/externalLink298.xml" ContentType="application/vnd.openxmlformats-officedocument.spreadsheetml.externalLink+xml"/>
  <Override PartName="/xl/externalLinks/externalLink299.xml" ContentType="application/vnd.openxmlformats-officedocument.spreadsheetml.externalLink+xml"/>
  <Override PartName="/xl/externalLinks/externalLink300.xml" ContentType="application/vnd.openxmlformats-officedocument.spreadsheetml.externalLink+xml"/>
  <Override PartName="/xl/externalLinks/externalLink301.xml" ContentType="application/vnd.openxmlformats-officedocument.spreadsheetml.externalLink+xml"/>
  <Override PartName="/xl/externalLinks/externalLink302.xml" ContentType="application/vnd.openxmlformats-officedocument.spreadsheetml.externalLink+xml"/>
  <Override PartName="/xl/externalLinks/externalLink303.xml" ContentType="application/vnd.openxmlformats-officedocument.spreadsheetml.externalLink+xml"/>
  <Override PartName="/xl/externalLinks/externalLink304.xml" ContentType="application/vnd.openxmlformats-officedocument.spreadsheetml.externalLink+xml"/>
  <Override PartName="/xl/externalLinks/externalLink305.xml" ContentType="application/vnd.openxmlformats-officedocument.spreadsheetml.externalLink+xml"/>
  <Override PartName="/xl/externalLinks/externalLink306.xml" ContentType="application/vnd.openxmlformats-officedocument.spreadsheetml.externalLink+xml"/>
  <Override PartName="/xl/externalLinks/externalLink307.xml" ContentType="application/vnd.openxmlformats-officedocument.spreadsheetml.externalLink+xml"/>
  <Override PartName="/xl/externalLinks/externalLink308.xml" ContentType="application/vnd.openxmlformats-officedocument.spreadsheetml.externalLink+xml"/>
  <Override PartName="/xl/externalLinks/externalLink309.xml" ContentType="application/vnd.openxmlformats-officedocument.spreadsheetml.externalLink+xml"/>
  <Override PartName="/xl/externalLinks/externalLink310.xml" ContentType="application/vnd.openxmlformats-officedocument.spreadsheetml.externalLink+xml"/>
  <Override PartName="/xl/externalLinks/externalLink311.xml" ContentType="application/vnd.openxmlformats-officedocument.spreadsheetml.externalLink+xml"/>
  <Override PartName="/xl/externalLinks/externalLink312.xml" ContentType="application/vnd.openxmlformats-officedocument.spreadsheetml.externalLink+xml"/>
  <Override PartName="/xl/externalLinks/externalLink313.xml" ContentType="application/vnd.openxmlformats-officedocument.spreadsheetml.externalLink+xml"/>
  <Override PartName="/xl/externalLinks/externalLink314.xml" ContentType="application/vnd.openxmlformats-officedocument.spreadsheetml.externalLink+xml"/>
  <Override PartName="/xl/externalLinks/externalLink315.xml" ContentType="application/vnd.openxmlformats-officedocument.spreadsheetml.externalLink+xml"/>
  <Override PartName="/xl/externalLinks/externalLink316.xml" ContentType="application/vnd.openxmlformats-officedocument.spreadsheetml.externalLink+xml"/>
  <Override PartName="/xl/externalLinks/externalLink317.xml" ContentType="application/vnd.openxmlformats-officedocument.spreadsheetml.externalLink+xml"/>
  <Override PartName="/xl/externalLinks/externalLink318.xml" ContentType="application/vnd.openxmlformats-officedocument.spreadsheetml.externalLink+xml"/>
  <Override PartName="/xl/externalLinks/externalLink319.xml" ContentType="application/vnd.openxmlformats-officedocument.spreadsheetml.externalLink+xml"/>
  <Override PartName="/xl/externalLinks/externalLink320.xml" ContentType="application/vnd.openxmlformats-officedocument.spreadsheetml.externalLink+xml"/>
  <Override PartName="/xl/externalLinks/externalLink321.xml" ContentType="application/vnd.openxmlformats-officedocument.spreadsheetml.externalLink+xml"/>
  <Override PartName="/xl/externalLinks/externalLink322.xml" ContentType="application/vnd.openxmlformats-officedocument.spreadsheetml.externalLink+xml"/>
  <Override PartName="/xl/externalLinks/externalLink323.xml" ContentType="application/vnd.openxmlformats-officedocument.spreadsheetml.externalLink+xml"/>
  <Override PartName="/xl/externalLinks/externalLink324.xml" ContentType="application/vnd.openxmlformats-officedocument.spreadsheetml.externalLink+xml"/>
  <Override PartName="/xl/externalLinks/externalLink325.xml" ContentType="application/vnd.openxmlformats-officedocument.spreadsheetml.externalLink+xml"/>
  <Override PartName="/xl/externalLinks/externalLink326.xml" ContentType="application/vnd.openxmlformats-officedocument.spreadsheetml.externalLink+xml"/>
  <Override PartName="/xl/externalLinks/externalLink327.xml" ContentType="application/vnd.openxmlformats-officedocument.spreadsheetml.externalLink+xml"/>
  <Override PartName="/xl/externalLinks/externalLink328.xml" ContentType="application/vnd.openxmlformats-officedocument.spreadsheetml.externalLink+xml"/>
  <Override PartName="/xl/externalLinks/externalLink329.xml" ContentType="application/vnd.openxmlformats-officedocument.spreadsheetml.externalLink+xml"/>
  <Override PartName="/xl/externalLinks/externalLink330.xml" ContentType="application/vnd.openxmlformats-officedocument.spreadsheetml.externalLink+xml"/>
  <Override PartName="/xl/externalLinks/externalLink331.xml" ContentType="application/vnd.openxmlformats-officedocument.spreadsheetml.externalLink+xml"/>
  <Override PartName="/xl/externalLinks/externalLink332.xml" ContentType="application/vnd.openxmlformats-officedocument.spreadsheetml.externalLink+xml"/>
  <Override PartName="/xl/externalLinks/externalLink333.xml" ContentType="application/vnd.openxmlformats-officedocument.spreadsheetml.externalLink+xml"/>
  <Override PartName="/xl/externalLinks/externalLink334.xml" ContentType="application/vnd.openxmlformats-officedocument.spreadsheetml.externalLink+xml"/>
  <Override PartName="/xl/externalLinks/externalLink335.xml" ContentType="application/vnd.openxmlformats-officedocument.spreadsheetml.externalLink+xml"/>
  <Override PartName="/xl/externalLinks/externalLink336.xml" ContentType="application/vnd.openxmlformats-officedocument.spreadsheetml.externalLink+xml"/>
  <Override PartName="/xl/externalLinks/externalLink337.xml" ContentType="application/vnd.openxmlformats-officedocument.spreadsheetml.externalLink+xml"/>
  <Override PartName="/xl/externalLinks/externalLink338.xml" ContentType="application/vnd.openxmlformats-officedocument.spreadsheetml.externalLink+xml"/>
  <Override PartName="/xl/externalLinks/externalLink339.xml" ContentType="application/vnd.openxmlformats-officedocument.spreadsheetml.externalLink+xml"/>
  <Override PartName="/xl/externalLinks/externalLink340.xml" ContentType="application/vnd.openxmlformats-officedocument.spreadsheetml.externalLink+xml"/>
  <Override PartName="/xl/externalLinks/externalLink341.xml" ContentType="application/vnd.openxmlformats-officedocument.spreadsheetml.externalLink+xml"/>
  <Override PartName="/xl/externalLinks/externalLink342.xml" ContentType="application/vnd.openxmlformats-officedocument.spreadsheetml.externalLink+xml"/>
  <Override PartName="/xl/externalLinks/externalLink343.xml" ContentType="application/vnd.openxmlformats-officedocument.spreadsheetml.externalLink+xml"/>
  <Override PartName="/xl/externalLinks/externalLink344.xml" ContentType="application/vnd.openxmlformats-officedocument.spreadsheetml.externalLink+xml"/>
  <Override PartName="/xl/externalLinks/externalLink345.xml" ContentType="application/vnd.openxmlformats-officedocument.spreadsheetml.externalLink+xml"/>
  <Override PartName="/xl/externalLinks/externalLink346.xml" ContentType="application/vnd.openxmlformats-officedocument.spreadsheetml.externalLink+xml"/>
  <Override PartName="/xl/externalLinks/externalLink347.xml" ContentType="application/vnd.openxmlformats-officedocument.spreadsheetml.externalLink+xml"/>
  <Override PartName="/xl/externalLinks/externalLink348.xml" ContentType="application/vnd.openxmlformats-officedocument.spreadsheetml.externalLink+xml"/>
  <Override PartName="/xl/externalLinks/externalLink349.xml" ContentType="application/vnd.openxmlformats-officedocument.spreadsheetml.externalLink+xml"/>
  <Override PartName="/xl/externalLinks/externalLink350.xml" ContentType="application/vnd.openxmlformats-officedocument.spreadsheetml.externalLink+xml"/>
  <Override PartName="/xl/externalLinks/externalLink351.xml" ContentType="application/vnd.openxmlformats-officedocument.spreadsheetml.externalLink+xml"/>
  <Override PartName="/xl/externalLinks/externalLink352.xml" ContentType="application/vnd.openxmlformats-officedocument.spreadsheetml.externalLink+xml"/>
  <Override PartName="/xl/externalLinks/externalLink353.xml" ContentType="application/vnd.openxmlformats-officedocument.spreadsheetml.externalLink+xml"/>
  <Override PartName="/xl/externalLinks/externalLink354.xml" ContentType="application/vnd.openxmlformats-officedocument.spreadsheetml.externalLink+xml"/>
  <Override PartName="/xl/externalLinks/externalLink355.xml" ContentType="application/vnd.openxmlformats-officedocument.spreadsheetml.externalLink+xml"/>
  <Override PartName="/xl/externalLinks/externalLink356.xml" ContentType="application/vnd.openxmlformats-officedocument.spreadsheetml.externalLink+xml"/>
  <Override PartName="/xl/externalLinks/externalLink357.xml" ContentType="application/vnd.openxmlformats-officedocument.spreadsheetml.externalLink+xml"/>
  <Override PartName="/xl/externalLinks/externalLink358.xml" ContentType="application/vnd.openxmlformats-officedocument.spreadsheetml.externalLink+xml"/>
  <Override PartName="/xl/externalLinks/externalLink359.xml" ContentType="application/vnd.openxmlformats-officedocument.spreadsheetml.externalLink+xml"/>
  <Override PartName="/xl/externalLinks/externalLink360.xml" ContentType="application/vnd.openxmlformats-officedocument.spreadsheetml.externalLink+xml"/>
  <Override PartName="/xl/externalLinks/externalLink361.xml" ContentType="application/vnd.openxmlformats-officedocument.spreadsheetml.externalLink+xml"/>
  <Override PartName="/xl/externalLinks/externalLink362.xml" ContentType="application/vnd.openxmlformats-officedocument.spreadsheetml.externalLink+xml"/>
  <Override PartName="/xl/externalLinks/externalLink363.xml" ContentType="application/vnd.openxmlformats-officedocument.spreadsheetml.externalLink+xml"/>
  <Override PartName="/xl/externalLinks/externalLink364.xml" ContentType="application/vnd.openxmlformats-officedocument.spreadsheetml.externalLink+xml"/>
  <Override PartName="/xl/externalLinks/externalLink365.xml" ContentType="application/vnd.openxmlformats-officedocument.spreadsheetml.externalLink+xml"/>
  <Override PartName="/xl/externalLinks/externalLink366.xml" ContentType="application/vnd.openxmlformats-officedocument.spreadsheetml.externalLink+xml"/>
  <Override PartName="/xl/externalLinks/externalLink367.xml" ContentType="application/vnd.openxmlformats-officedocument.spreadsheetml.externalLink+xml"/>
  <Override PartName="/xl/externalLinks/externalLink368.xml" ContentType="application/vnd.openxmlformats-officedocument.spreadsheetml.externalLink+xml"/>
  <Override PartName="/xl/externalLinks/externalLink369.xml" ContentType="application/vnd.openxmlformats-officedocument.spreadsheetml.externalLink+xml"/>
  <Override PartName="/xl/externalLinks/externalLink370.xml" ContentType="application/vnd.openxmlformats-officedocument.spreadsheetml.externalLink+xml"/>
  <Override PartName="/xl/externalLinks/externalLink371.xml" ContentType="application/vnd.openxmlformats-officedocument.spreadsheetml.externalLink+xml"/>
  <Override PartName="/xl/externalLinks/externalLink372.xml" ContentType="application/vnd.openxmlformats-officedocument.spreadsheetml.externalLink+xml"/>
  <Override PartName="/xl/externalLinks/externalLink373.xml" ContentType="application/vnd.openxmlformats-officedocument.spreadsheetml.externalLink+xml"/>
  <Override PartName="/xl/externalLinks/externalLink374.xml" ContentType="application/vnd.openxmlformats-officedocument.spreadsheetml.externalLink+xml"/>
  <Override PartName="/xl/externalLinks/externalLink375.xml" ContentType="application/vnd.openxmlformats-officedocument.spreadsheetml.externalLink+xml"/>
  <Override PartName="/xl/externalLinks/externalLink376.xml" ContentType="application/vnd.openxmlformats-officedocument.spreadsheetml.externalLink+xml"/>
  <Override PartName="/xl/externalLinks/externalLink377.xml" ContentType="application/vnd.openxmlformats-officedocument.spreadsheetml.externalLink+xml"/>
  <Override PartName="/xl/externalLinks/externalLink378.xml" ContentType="application/vnd.openxmlformats-officedocument.spreadsheetml.externalLink+xml"/>
  <Override PartName="/xl/externalLinks/externalLink379.xml" ContentType="application/vnd.openxmlformats-officedocument.spreadsheetml.externalLink+xml"/>
  <Override PartName="/xl/externalLinks/externalLink380.xml" ContentType="application/vnd.openxmlformats-officedocument.spreadsheetml.externalLink+xml"/>
  <Override PartName="/xl/externalLinks/externalLink381.xml" ContentType="application/vnd.openxmlformats-officedocument.spreadsheetml.externalLink+xml"/>
  <Override PartName="/xl/externalLinks/externalLink382.xml" ContentType="application/vnd.openxmlformats-officedocument.spreadsheetml.externalLink+xml"/>
  <Override PartName="/xl/externalLinks/externalLink383.xml" ContentType="application/vnd.openxmlformats-officedocument.spreadsheetml.externalLink+xml"/>
  <Override PartName="/xl/externalLinks/externalLink384.xml" ContentType="application/vnd.openxmlformats-officedocument.spreadsheetml.externalLink+xml"/>
  <Override PartName="/xl/externalLinks/externalLink385.xml" ContentType="application/vnd.openxmlformats-officedocument.spreadsheetml.externalLink+xml"/>
  <Override PartName="/xl/externalLinks/externalLink386.xml" ContentType="application/vnd.openxmlformats-officedocument.spreadsheetml.externalLink+xml"/>
  <Override PartName="/xl/externalLinks/externalLink387.xml" ContentType="application/vnd.openxmlformats-officedocument.spreadsheetml.externalLink+xml"/>
  <Override PartName="/xl/externalLinks/externalLink388.xml" ContentType="application/vnd.openxmlformats-officedocument.spreadsheetml.externalLink+xml"/>
  <Override PartName="/xl/externalLinks/externalLink389.xml" ContentType="application/vnd.openxmlformats-officedocument.spreadsheetml.externalLink+xml"/>
  <Override PartName="/xl/externalLinks/externalLink390.xml" ContentType="application/vnd.openxmlformats-officedocument.spreadsheetml.externalLink+xml"/>
  <Override PartName="/xl/externalLinks/externalLink391.xml" ContentType="application/vnd.openxmlformats-officedocument.spreadsheetml.externalLink+xml"/>
  <Override PartName="/xl/externalLinks/externalLink392.xml" ContentType="application/vnd.openxmlformats-officedocument.spreadsheetml.externalLink+xml"/>
  <Override PartName="/xl/externalLinks/externalLink393.xml" ContentType="application/vnd.openxmlformats-officedocument.spreadsheetml.externalLink+xml"/>
  <Override PartName="/xl/externalLinks/externalLink394.xml" ContentType="application/vnd.openxmlformats-officedocument.spreadsheetml.externalLink+xml"/>
  <Override PartName="/xl/externalLinks/externalLink395.xml" ContentType="application/vnd.openxmlformats-officedocument.spreadsheetml.externalLink+xml"/>
  <Override PartName="/xl/externalLinks/externalLink396.xml" ContentType="application/vnd.openxmlformats-officedocument.spreadsheetml.externalLink+xml"/>
  <Override PartName="/xl/externalLinks/externalLink397.xml" ContentType="application/vnd.openxmlformats-officedocument.spreadsheetml.externalLink+xml"/>
  <Override PartName="/xl/externalLinks/externalLink398.xml" ContentType="application/vnd.openxmlformats-officedocument.spreadsheetml.externalLink+xml"/>
  <Override PartName="/xl/externalLinks/externalLink399.xml" ContentType="application/vnd.openxmlformats-officedocument.spreadsheetml.externalLink+xml"/>
  <Override PartName="/xl/externalLinks/externalLink400.xml" ContentType="application/vnd.openxmlformats-officedocument.spreadsheetml.externalLink+xml"/>
  <Override PartName="/xl/externalLinks/externalLink401.xml" ContentType="application/vnd.openxmlformats-officedocument.spreadsheetml.externalLink+xml"/>
  <Override PartName="/xl/externalLinks/externalLink402.xml" ContentType="application/vnd.openxmlformats-officedocument.spreadsheetml.externalLink+xml"/>
  <Override PartName="/xl/externalLinks/externalLink403.xml" ContentType="application/vnd.openxmlformats-officedocument.spreadsheetml.externalLink+xml"/>
  <Override PartName="/xl/externalLinks/externalLink404.xml" ContentType="application/vnd.openxmlformats-officedocument.spreadsheetml.externalLink+xml"/>
  <Override PartName="/xl/externalLinks/externalLink405.xml" ContentType="application/vnd.openxmlformats-officedocument.spreadsheetml.externalLink+xml"/>
  <Override PartName="/xl/externalLinks/externalLink406.xml" ContentType="application/vnd.openxmlformats-officedocument.spreadsheetml.externalLink+xml"/>
  <Override PartName="/xl/externalLinks/externalLink407.xml" ContentType="application/vnd.openxmlformats-officedocument.spreadsheetml.externalLink+xml"/>
  <Override PartName="/xl/externalLinks/externalLink408.xml" ContentType="application/vnd.openxmlformats-officedocument.spreadsheetml.externalLink+xml"/>
  <Override PartName="/xl/externalLinks/externalLink409.xml" ContentType="application/vnd.openxmlformats-officedocument.spreadsheetml.externalLink+xml"/>
  <Override PartName="/xl/externalLinks/externalLink410.xml" ContentType="application/vnd.openxmlformats-officedocument.spreadsheetml.externalLink+xml"/>
  <Override PartName="/xl/externalLinks/externalLink411.xml" ContentType="application/vnd.openxmlformats-officedocument.spreadsheetml.externalLink+xml"/>
  <Override PartName="/xl/externalLinks/externalLink412.xml" ContentType="application/vnd.openxmlformats-officedocument.spreadsheetml.externalLink+xml"/>
  <Override PartName="/xl/externalLinks/externalLink413.xml" ContentType="application/vnd.openxmlformats-officedocument.spreadsheetml.externalLink+xml"/>
  <Override PartName="/xl/externalLinks/externalLink414.xml" ContentType="application/vnd.openxmlformats-officedocument.spreadsheetml.externalLink+xml"/>
  <Override PartName="/xl/externalLinks/externalLink415.xml" ContentType="application/vnd.openxmlformats-officedocument.spreadsheetml.externalLink+xml"/>
  <Override PartName="/xl/externalLinks/externalLink416.xml" ContentType="application/vnd.openxmlformats-officedocument.spreadsheetml.externalLink+xml"/>
  <Override PartName="/xl/externalLinks/externalLink417.xml" ContentType="application/vnd.openxmlformats-officedocument.spreadsheetml.externalLink+xml"/>
  <Override PartName="/xl/externalLinks/externalLink418.xml" ContentType="application/vnd.openxmlformats-officedocument.spreadsheetml.externalLink+xml"/>
  <Override PartName="/xl/externalLinks/externalLink419.xml" ContentType="application/vnd.openxmlformats-officedocument.spreadsheetml.externalLink+xml"/>
  <Override PartName="/xl/externalLinks/externalLink420.xml" ContentType="application/vnd.openxmlformats-officedocument.spreadsheetml.externalLink+xml"/>
  <Override PartName="/xl/externalLinks/externalLink421.xml" ContentType="application/vnd.openxmlformats-officedocument.spreadsheetml.externalLink+xml"/>
  <Override PartName="/xl/externalLinks/externalLink422.xml" ContentType="application/vnd.openxmlformats-officedocument.spreadsheetml.externalLink+xml"/>
  <Override PartName="/xl/externalLinks/externalLink423.xml" ContentType="application/vnd.openxmlformats-officedocument.spreadsheetml.externalLink+xml"/>
  <Override PartName="/xl/externalLinks/externalLink424.xml" ContentType="application/vnd.openxmlformats-officedocument.spreadsheetml.externalLink+xml"/>
  <Override PartName="/xl/externalLinks/externalLink425.xml" ContentType="application/vnd.openxmlformats-officedocument.spreadsheetml.externalLink+xml"/>
  <Override PartName="/xl/externalLinks/externalLink426.xml" ContentType="application/vnd.openxmlformats-officedocument.spreadsheetml.externalLink+xml"/>
  <Override PartName="/xl/externalLinks/externalLink427.xml" ContentType="application/vnd.openxmlformats-officedocument.spreadsheetml.externalLink+xml"/>
  <Override PartName="/xl/externalLinks/externalLink428.xml" ContentType="application/vnd.openxmlformats-officedocument.spreadsheetml.externalLink+xml"/>
  <Override PartName="/xl/externalLinks/externalLink429.xml" ContentType="application/vnd.openxmlformats-officedocument.spreadsheetml.externalLink+xml"/>
  <Override PartName="/xl/externalLinks/externalLink430.xml" ContentType="application/vnd.openxmlformats-officedocument.spreadsheetml.externalLink+xml"/>
  <Override PartName="/xl/externalLinks/externalLink431.xml" ContentType="application/vnd.openxmlformats-officedocument.spreadsheetml.externalLink+xml"/>
  <Override PartName="/xl/externalLinks/externalLink432.xml" ContentType="application/vnd.openxmlformats-officedocument.spreadsheetml.externalLink+xml"/>
  <Override PartName="/xl/externalLinks/externalLink433.xml" ContentType="application/vnd.openxmlformats-officedocument.spreadsheetml.externalLink+xml"/>
  <Override PartName="/xl/externalLinks/externalLink434.xml" ContentType="application/vnd.openxmlformats-officedocument.spreadsheetml.externalLink+xml"/>
  <Override PartName="/xl/externalLinks/externalLink435.xml" ContentType="application/vnd.openxmlformats-officedocument.spreadsheetml.externalLink+xml"/>
  <Override PartName="/xl/externalLinks/externalLink436.xml" ContentType="application/vnd.openxmlformats-officedocument.spreadsheetml.externalLink+xml"/>
  <Override PartName="/xl/externalLinks/externalLink437.xml" ContentType="application/vnd.openxmlformats-officedocument.spreadsheetml.externalLink+xml"/>
  <Override PartName="/xl/externalLinks/externalLink438.xml" ContentType="application/vnd.openxmlformats-officedocument.spreadsheetml.externalLink+xml"/>
  <Override PartName="/xl/externalLinks/externalLink439.xml" ContentType="application/vnd.openxmlformats-officedocument.spreadsheetml.externalLink+xml"/>
  <Override PartName="/xl/externalLinks/externalLink440.xml" ContentType="application/vnd.openxmlformats-officedocument.spreadsheetml.externalLink+xml"/>
  <Override PartName="/xl/externalLinks/externalLink441.xml" ContentType="application/vnd.openxmlformats-officedocument.spreadsheetml.externalLink+xml"/>
  <Override PartName="/xl/externalLinks/externalLink442.xml" ContentType="application/vnd.openxmlformats-officedocument.spreadsheetml.externalLink+xml"/>
  <Override PartName="/xl/externalLinks/externalLink443.xml" ContentType="application/vnd.openxmlformats-officedocument.spreadsheetml.externalLink+xml"/>
  <Override PartName="/xl/externalLinks/externalLink444.xml" ContentType="application/vnd.openxmlformats-officedocument.spreadsheetml.externalLink+xml"/>
  <Override PartName="/xl/externalLinks/externalLink445.xml" ContentType="application/vnd.openxmlformats-officedocument.spreadsheetml.externalLink+xml"/>
  <Override PartName="/xl/externalLinks/externalLink446.xml" ContentType="application/vnd.openxmlformats-officedocument.spreadsheetml.externalLink+xml"/>
  <Override PartName="/xl/externalLinks/externalLink447.xml" ContentType="application/vnd.openxmlformats-officedocument.spreadsheetml.externalLink+xml"/>
  <Override PartName="/xl/externalLinks/externalLink448.xml" ContentType="application/vnd.openxmlformats-officedocument.spreadsheetml.externalLink+xml"/>
  <Override PartName="/xl/externalLinks/externalLink449.xml" ContentType="application/vnd.openxmlformats-officedocument.spreadsheetml.externalLink+xml"/>
  <Override PartName="/xl/externalLinks/externalLink450.xml" ContentType="application/vnd.openxmlformats-officedocument.spreadsheetml.externalLink+xml"/>
  <Override PartName="/xl/externalLinks/externalLink451.xml" ContentType="application/vnd.openxmlformats-officedocument.spreadsheetml.externalLink+xml"/>
  <Override PartName="/xl/externalLinks/externalLink452.xml" ContentType="application/vnd.openxmlformats-officedocument.spreadsheetml.externalLink+xml"/>
  <Override PartName="/xl/externalLinks/externalLink453.xml" ContentType="application/vnd.openxmlformats-officedocument.spreadsheetml.externalLink+xml"/>
  <Override PartName="/xl/externalLinks/externalLink454.xml" ContentType="application/vnd.openxmlformats-officedocument.spreadsheetml.externalLink+xml"/>
  <Override PartName="/xl/externalLinks/externalLink455.xml" ContentType="application/vnd.openxmlformats-officedocument.spreadsheetml.externalLink+xml"/>
  <Override PartName="/xl/externalLinks/externalLink456.xml" ContentType="application/vnd.openxmlformats-officedocument.spreadsheetml.externalLink+xml"/>
  <Override PartName="/xl/externalLinks/externalLink457.xml" ContentType="application/vnd.openxmlformats-officedocument.spreadsheetml.externalLink+xml"/>
  <Override PartName="/xl/externalLinks/externalLink458.xml" ContentType="application/vnd.openxmlformats-officedocument.spreadsheetml.externalLink+xml"/>
  <Override PartName="/xl/externalLinks/externalLink459.xml" ContentType="application/vnd.openxmlformats-officedocument.spreadsheetml.externalLink+xml"/>
  <Override PartName="/xl/externalLinks/externalLink460.xml" ContentType="application/vnd.openxmlformats-officedocument.spreadsheetml.externalLink+xml"/>
  <Override PartName="/xl/externalLinks/externalLink461.xml" ContentType="application/vnd.openxmlformats-officedocument.spreadsheetml.externalLink+xml"/>
  <Override PartName="/xl/externalLinks/externalLink462.xml" ContentType="application/vnd.openxmlformats-officedocument.spreadsheetml.externalLink+xml"/>
  <Override PartName="/xl/externalLinks/externalLink463.xml" ContentType="application/vnd.openxmlformats-officedocument.spreadsheetml.externalLink+xml"/>
  <Override PartName="/xl/externalLinks/externalLink464.xml" ContentType="application/vnd.openxmlformats-officedocument.spreadsheetml.externalLink+xml"/>
  <Override PartName="/xl/externalLinks/externalLink465.xml" ContentType="application/vnd.openxmlformats-officedocument.spreadsheetml.externalLink+xml"/>
  <Override PartName="/xl/externalLinks/externalLink466.xml" ContentType="application/vnd.openxmlformats-officedocument.spreadsheetml.externalLink+xml"/>
  <Override PartName="/xl/externalLinks/externalLink467.xml" ContentType="application/vnd.openxmlformats-officedocument.spreadsheetml.externalLink+xml"/>
  <Override PartName="/xl/externalLinks/externalLink468.xml" ContentType="application/vnd.openxmlformats-officedocument.spreadsheetml.externalLink+xml"/>
  <Override PartName="/xl/externalLinks/externalLink469.xml" ContentType="application/vnd.openxmlformats-officedocument.spreadsheetml.externalLink+xml"/>
  <Override PartName="/xl/externalLinks/externalLink470.xml" ContentType="application/vnd.openxmlformats-officedocument.spreadsheetml.externalLink+xml"/>
  <Override PartName="/xl/externalLinks/externalLink471.xml" ContentType="application/vnd.openxmlformats-officedocument.spreadsheetml.externalLink+xml"/>
  <Override PartName="/xl/externalLinks/externalLink472.xml" ContentType="application/vnd.openxmlformats-officedocument.spreadsheetml.externalLink+xml"/>
  <Override PartName="/xl/externalLinks/externalLink473.xml" ContentType="application/vnd.openxmlformats-officedocument.spreadsheetml.externalLink+xml"/>
  <Override PartName="/xl/externalLinks/externalLink474.xml" ContentType="application/vnd.openxmlformats-officedocument.spreadsheetml.externalLink+xml"/>
  <Override PartName="/xl/externalLinks/externalLink475.xml" ContentType="application/vnd.openxmlformats-officedocument.spreadsheetml.externalLink+xml"/>
  <Override PartName="/xl/externalLinks/externalLink476.xml" ContentType="application/vnd.openxmlformats-officedocument.spreadsheetml.externalLink+xml"/>
  <Override PartName="/xl/externalLinks/externalLink477.xml" ContentType="application/vnd.openxmlformats-officedocument.spreadsheetml.externalLink+xml"/>
  <Override PartName="/xl/externalLinks/externalLink478.xml" ContentType="application/vnd.openxmlformats-officedocument.spreadsheetml.externalLink+xml"/>
  <Override PartName="/xl/externalLinks/externalLink479.xml" ContentType="application/vnd.openxmlformats-officedocument.spreadsheetml.externalLink+xml"/>
  <Override PartName="/xl/externalLinks/externalLink480.xml" ContentType="application/vnd.openxmlformats-officedocument.spreadsheetml.externalLink+xml"/>
  <Override PartName="/xl/externalLinks/externalLink481.xml" ContentType="application/vnd.openxmlformats-officedocument.spreadsheetml.externalLink+xml"/>
  <Override PartName="/xl/externalLinks/externalLink482.xml" ContentType="application/vnd.openxmlformats-officedocument.spreadsheetml.externalLink+xml"/>
  <Override PartName="/xl/externalLinks/externalLink483.xml" ContentType="application/vnd.openxmlformats-officedocument.spreadsheetml.externalLink+xml"/>
  <Override PartName="/xl/externalLinks/externalLink484.xml" ContentType="application/vnd.openxmlformats-officedocument.spreadsheetml.externalLink+xml"/>
  <Override PartName="/xl/externalLinks/externalLink485.xml" ContentType="application/vnd.openxmlformats-officedocument.spreadsheetml.externalLink+xml"/>
  <Override PartName="/xl/externalLinks/externalLink486.xml" ContentType="application/vnd.openxmlformats-officedocument.spreadsheetml.externalLink+xml"/>
  <Override PartName="/xl/externalLinks/externalLink487.xml" ContentType="application/vnd.openxmlformats-officedocument.spreadsheetml.externalLink+xml"/>
  <Override PartName="/xl/externalLinks/externalLink488.xml" ContentType="application/vnd.openxmlformats-officedocument.spreadsheetml.externalLink+xml"/>
  <Override PartName="/xl/externalLinks/externalLink489.xml" ContentType="application/vnd.openxmlformats-officedocument.spreadsheetml.externalLink+xml"/>
  <Override PartName="/xl/externalLinks/externalLink490.xml" ContentType="application/vnd.openxmlformats-officedocument.spreadsheetml.externalLink+xml"/>
  <Override PartName="/xl/externalLinks/externalLink491.xml" ContentType="application/vnd.openxmlformats-officedocument.spreadsheetml.externalLink+xml"/>
  <Override PartName="/xl/externalLinks/externalLink492.xml" ContentType="application/vnd.openxmlformats-officedocument.spreadsheetml.externalLink+xml"/>
  <Override PartName="/xl/externalLinks/externalLink493.xml" ContentType="application/vnd.openxmlformats-officedocument.spreadsheetml.externalLink+xml"/>
  <Override PartName="/xl/externalLinks/externalLink494.xml" ContentType="application/vnd.openxmlformats-officedocument.spreadsheetml.externalLink+xml"/>
  <Override PartName="/xl/externalLinks/externalLink495.xml" ContentType="application/vnd.openxmlformats-officedocument.spreadsheetml.externalLink+xml"/>
  <Override PartName="/xl/externalLinks/externalLink496.xml" ContentType="application/vnd.openxmlformats-officedocument.spreadsheetml.externalLink+xml"/>
  <Override PartName="/xl/externalLinks/externalLink497.xml" ContentType="application/vnd.openxmlformats-officedocument.spreadsheetml.externalLink+xml"/>
  <Override PartName="/xl/externalLinks/externalLink498.xml" ContentType="application/vnd.openxmlformats-officedocument.spreadsheetml.externalLink+xml"/>
  <Override PartName="/xl/externalLinks/externalLink499.xml" ContentType="application/vnd.openxmlformats-officedocument.spreadsheetml.externalLink+xml"/>
  <Override PartName="/xl/externalLinks/externalLink500.xml" ContentType="application/vnd.openxmlformats-officedocument.spreadsheetml.externalLink+xml"/>
  <Override PartName="/xl/externalLinks/externalLink501.xml" ContentType="application/vnd.openxmlformats-officedocument.spreadsheetml.externalLink+xml"/>
  <Override PartName="/xl/externalLinks/externalLink502.xml" ContentType="application/vnd.openxmlformats-officedocument.spreadsheetml.externalLink+xml"/>
  <Override PartName="/xl/externalLinks/externalLink503.xml" ContentType="application/vnd.openxmlformats-officedocument.spreadsheetml.externalLink+xml"/>
  <Override PartName="/xl/externalLinks/externalLink504.xml" ContentType="application/vnd.openxmlformats-officedocument.spreadsheetml.externalLink+xml"/>
  <Override PartName="/xl/externalLinks/externalLink505.xml" ContentType="application/vnd.openxmlformats-officedocument.spreadsheetml.externalLink+xml"/>
  <Override PartName="/xl/externalLinks/externalLink506.xml" ContentType="application/vnd.openxmlformats-officedocument.spreadsheetml.externalLink+xml"/>
  <Override PartName="/xl/externalLinks/externalLink507.xml" ContentType="application/vnd.openxmlformats-officedocument.spreadsheetml.externalLink+xml"/>
  <Override PartName="/xl/externalLinks/externalLink508.xml" ContentType="application/vnd.openxmlformats-officedocument.spreadsheetml.externalLink+xml"/>
  <Override PartName="/xl/externalLinks/externalLink509.xml" ContentType="application/vnd.openxmlformats-officedocument.spreadsheetml.externalLink+xml"/>
  <Override PartName="/xl/externalLinks/externalLink510.xml" ContentType="application/vnd.openxmlformats-officedocument.spreadsheetml.externalLink+xml"/>
  <Override PartName="/xl/externalLinks/externalLink511.xml" ContentType="application/vnd.openxmlformats-officedocument.spreadsheetml.externalLink+xml"/>
  <Override PartName="/xl/externalLinks/externalLink512.xml" ContentType="application/vnd.openxmlformats-officedocument.spreadsheetml.externalLink+xml"/>
  <Override PartName="/xl/externalLinks/externalLink513.xml" ContentType="application/vnd.openxmlformats-officedocument.spreadsheetml.externalLink+xml"/>
  <Override PartName="/xl/externalLinks/externalLink514.xml" ContentType="application/vnd.openxmlformats-officedocument.spreadsheetml.externalLink+xml"/>
  <Override PartName="/xl/externalLinks/externalLink515.xml" ContentType="application/vnd.openxmlformats-officedocument.spreadsheetml.externalLink+xml"/>
  <Override PartName="/xl/externalLinks/externalLink516.xml" ContentType="application/vnd.openxmlformats-officedocument.spreadsheetml.externalLink+xml"/>
  <Override PartName="/xl/externalLinks/externalLink517.xml" ContentType="application/vnd.openxmlformats-officedocument.spreadsheetml.externalLink+xml"/>
  <Override PartName="/xl/externalLinks/externalLink518.xml" ContentType="application/vnd.openxmlformats-officedocument.spreadsheetml.externalLink+xml"/>
  <Override PartName="/xl/externalLinks/externalLink519.xml" ContentType="application/vnd.openxmlformats-officedocument.spreadsheetml.externalLink+xml"/>
  <Override PartName="/xl/externalLinks/externalLink520.xml" ContentType="application/vnd.openxmlformats-officedocument.spreadsheetml.externalLink+xml"/>
  <Override PartName="/xl/externalLinks/externalLink521.xml" ContentType="application/vnd.openxmlformats-officedocument.spreadsheetml.externalLink+xml"/>
  <Override PartName="/xl/externalLinks/externalLink522.xml" ContentType="application/vnd.openxmlformats-officedocument.spreadsheetml.externalLink+xml"/>
  <Override PartName="/xl/externalLinks/externalLink523.xml" ContentType="application/vnd.openxmlformats-officedocument.spreadsheetml.externalLink+xml"/>
  <Override PartName="/xl/externalLinks/externalLink524.xml" ContentType="application/vnd.openxmlformats-officedocument.spreadsheetml.externalLink+xml"/>
  <Override PartName="/xl/externalLinks/externalLink525.xml" ContentType="application/vnd.openxmlformats-officedocument.spreadsheetml.externalLink+xml"/>
  <Override PartName="/xl/externalLinks/externalLink526.xml" ContentType="application/vnd.openxmlformats-officedocument.spreadsheetml.externalLink+xml"/>
  <Override PartName="/xl/externalLinks/externalLink527.xml" ContentType="application/vnd.openxmlformats-officedocument.spreadsheetml.externalLink+xml"/>
  <Override PartName="/xl/externalLinks/externalLink528.xml" ContentType="application/vnd.openxmlformats-officedocument.spreadsheetml.externalLink+xml"/>
  <Override PartName="/xl/externalLinks/externalLink529.xml" ContentType="application/vnd.openxmlformats-officedocument.spreadsheetml.externalLink+xml"/>
  <Override PartName="/xl/externalLinks/externalLink530.xml" ContentType="application/vnd.openxmlformats-officedocument.spreadsheetml.externalLink+xml"/>
  <Override PartName="/xl/externalLinks/externalLink531.xml" ContentType="application/vnd.openxmlformats-officedocument.spreadsheetml.externalLink+xml"/>
  <Override PartName="/xl/externalLinks/externalLink532.xml" ContentType="application/vnd.openxmlformats-officedocument.spreadsheetml.externalLink+xml"/>
  <Override PartName="/xl/externalLinks/externalLink533.xml" ContentType="application/vnd.openxmlformats-officedocument.spreadsheetml.externalLink+xml"/>
  <Override PartName="/xl/externalLinks/externalLink534.xml" ContentType="application/vnd.openxmlformats-officedocument.spreadsheetml.externalLink+xml"/>
  <Override PartName="/xl/externalLinks/externalLink535.xml" ContentType="application/vnd.openxmlformats-officedocument.spreadsheetml.externalLink+xml"/>
  <Override PartName="/xl/externalLinks/externalLink536.xml" ContentType="application/vnd.openxmlformats-officedocument.spreadsheetml.externalLink+xml"/>
  <Override PartName="/xl/externalLinks/externalLink537.xml" ContentType="application/vnd.openxmlformats-officedocument.spreadsheetml.externalLink+xml"/>
  <Override PartName="/xl/externalLinks/externalLink538.xml" ContentType="application/vnd.openxmlformats-officedocument.spreadsheetml.externalLink+xml"/>
  <Override PartName="/xl/externalLinks/externalLink539.xml" ContentType="application/vnd.openxmlformats-officedocument.spreadsheetml.externalLink+xml"/>
  <Override PartName="/xl/externalLinks/externalLink540.xml" ContentType="application/vnd.openxmlformats-officedocument.spreadsheetml.externalLink+xml"/>
  <Override PartName="/xl/externalLinks/externalLink541.xml" ContentType="application/vnd.openxmlformats-officedocument.spreadsheetml.externalLink+xml"/>
  <Override PartName="/xl/externalLinks/externalLink542.xml" ContentType="application/vnd.openxmlformats-officedocument.spreadsheetml.externalLink+xml"/>
  <Override PartName="/xl/externalLinks/externalLink543.xml" ContentType="application/vnd.openxmlformats-officedocument.spreadsheetml.externalLink+xml"/>
  <Override PartName="/xl/externalLinks/externalLink544.xml" ContentType="application/vnd.openxmlformats-officedocument.spreadsheetml.externalLink+xml"/>
  <Override PartName="/xl/externalLinks/externalLink545.xml" ContentType="application/vnd.openxmlformats-officedocument.spreadsheetml.externalLink+xml"/>
  <Override PartName="/xl/externalLinks/externalLink546.xml" ContentType="application/vnd.openxmlformats-officedocument.spreadsheetml.externalLink+xml"/>
  <Override PartName="/xl/externalLinks/externalLink547.xml" ContentType="application/vnd.openxmlformats-officedocument.spreadsheetml.externalLink+xml"/>
  <Override PartName="/xl/externalLinks/externalLink548.xml" ContentType="application/vnd.openxmlformats-officedocument.spreadsheetml.externalLink+xml"/>
  <Override PartName="/xl/externalLinks/externalLink549.xml" ContentType="application/vnd.openxmlformats-officedocument.spreadsheetml.externalLink+xml"/>
  <Override PartName="/xl/externalLinks/externalLink550.xml" ContentType="application/vnd.openxmlformats-officedocument.spreadsheetml.externalLink+xml"/>
  <Override PartName="/xl/externalLinks/externalLink551.xml" ContentType="application/vnd.openxmlformats-officedocument.spreadsheetml.externalLink+xml"/>
  <Override PartName="/xl/externalLinks/externalLink552.xml" ContentType="application/vnd.openxmlformats-officedocument.spreadsheetml.externalLink+xml"/>
  <Override PartName="/xl/externalLinks/externalLink553.xml" ContentType="application/vnd.openxmlformats-officedocument.spreadsheetml.externalLink+xml"/>
  <Override PartName="/xl/externalLinks/externalLink554.xml" ContentType="application/vnd.openxmlformats-officedocument.spreadsheetml.externalLink+xml"/>
  <Override PartName="/xl/externalLinks/externalLink555.xml" ContentType="application/vnd.openxmlformats-officedocument.spreadsheetml.externalLink+xml"/>
  <Override PartName="/xl/externalLinks/externalLink556.xml" ContentType="application/vnd.openxmlformats-officedocument.spreadsheetml.externalLink+xml"/>
  <Override PartName="/xl/externalLinks/externalLink557.xml" ContentType="application/vnd.openxmlformats-officedocument.spreadsheetml.externalLink+xml"/>
  <Override PartName="/xl/externalLinks/externalLink558.xml" ContentType="application/vnd.openxmlformats-officedocument.spreadsheetml.externalLink+xml"/>
  <Override PartName="/xl/externalLinks/externalLink559.xml" ContentType="application/vnd.openxmlformats-officedocument.spreadsheetml.externalLink+xml"/>
  <Override PartName="/xl/externalLinks/externalLink560.xml" ContentType="application/vnd.openxmlformats-officedocument.spreadsheetml.externalLink+xml"/>
  <Override PartName="/xl/externalLinks/externalLink561.xml" ContentType="application/vnd.openxmlformats-officedocument.spreadsheetml.externalLink+xml"/>
  <Override PartName="/xl/externalLinks/externalLink562.xml" ContentType="application/vnd.openxmlformats-officedocument.spreadsheetml.externalLink+xml"/>
  <Override PartName="/xl/externalLinks/externalLink563.xml" ContentType="application/vnd.openxmlformats-officedocument.spreadsheetml.externalLink+xml"/>
  <Override PartName="/xl/externalLinks/externalLink564.xml" ContentType="application/vnd.openxmlformats-officedocument.spreadsheetml.externalLink+xml"/>
  <Override PartName="/xl/externalLinks/externalLink565.xml" ContentType="application/vnd.openxmlformats-officedocument.spreadsheetml.externalLink+xml"/>
  <Override PartName="/xl/externalLinks/externalLink566.xml" ContentType="application/vnd.openxmlformats-officedocument.spreadsheetml.externalLink+xml"/>
  <Override PartName="/xl/externalLinks/externalLink567.xml" ContentType="application/vnd.openxmlformats-officedocument.spreadsheetml.externalLink+xml"/>
  <Override PartName="/xl/externalLinks/externalLink568.xml" ContentType="application/vnd.openxmlformats-officedocument.spreadsheetml.externalLink+xml"/>
  <Override PartName="/xl/externalLinks/externalLink569.xml" ContentType="application/vnd.openxmlformats-officedocument.spreadsheetml.externalLink+xml"/>
  <Override PartName="/xl/externalLinks/externalLink570.xml" ContentType="application/vnd.openxmlformats-officedocument.spreadsheetml.externalLink+xml"/>
  <Override PartName="/xl/externalLinks/externalLink571.xml" ContentType="application/vnd.openxmlformats-officedocument.spreadsheetml.externalLink+xml"/>
  <Override PartName="/xl/externalLinks/externalLink572.xml" ContentType="application/vnd.openxmlformats-officedocument.spreadsheetml.externalLink+xml"/>
  <Override PartName="/xl/externalLinks/externalLink573.xml" ContentType="application/vnd.openxmlformats-officedocument.spreadsheetml.externalLink+xml"/>
  <Override PartName="/xl/externalLinks/externalLink574.xml" ContentType="application/vnd.openxmlformats-officedocument.spreadsheetml.externalLink+xml"/>
  <Override PartName="/xl/externalLinks/externalLink575.xml" ContentType="application/vnd.openxmlformats-officedocument.spreadsheetml.externalLink+xml"/>
  <Override PartName="/xl/externalLinks/externalLink576.xml" ContentType="application/vnd.openxmlformats-officedocument.spreadsheetml.externalLink+xml"/>
  <Override PartName="/xl/externalLinks/externalLink577.xml" ContentType="application/vnd.openxmlformats-officedocument.spreadsheetml.externalLink+xml"/>
  <Override PartName="/xl/externalLinks/externalLink578.xml" ContentType="application/vnd.openxmlformats-officedocument.spreadsheetml.externalLink+xml"/>
  <Override PartName="/xl/externalLinks/externalLink579.xml" ContentType="application/vnd.openxmlformats-officedocument.spreadsheetml.externalLink+xml"/>
  <Override PartName="/xl/externalLinks/externalLink580.xml" ContentType="application/vnd.openxmlformats-officedocument.spreadsheetml.externalLink+xml"/>
  <Override PartName="/xl/externalLinks/externalLink581.xml" ContentType="application/vnd.openxmlformats-officedocument.spreadsheetml.externalLink+xml"/>
  <Override PartName="/xl/externalLinks/externalLink582.xml" ContentType="application/vnd.openxmlformats-officedocument.spreadsheetml.externalLink+xml"/>
  <Override PartName="/xl/externalLinks/externalLink583.xml" ContentType="application/vnd.openxmlformats-officedocument.spreadsheetml.externalLink+xml"/>
  <Override PartName="/xl/externalLinks/externalLink584.xml" ContentType="application/vnd.openxmlformats-officedocument.spreadsheetml.externalLink+xml"/>
  <Override PartName="/xl/externalLinks/externalLink585.xml" ContentType="application/vnd.openxmlformats-officedocument.spreadsheetml.externalLink+xml"/>
  <Override PartName="/xl/externalLinks/externalLink586.xml" ContentType="application/vnd.openxmlformats-officedocument.spreadsheetml.externalLink+xml"/>
  <Override PartName="/xl/externalLinks/externalLink587.xml" ContentType="application/vnd.openxmlformats-officedocument.spreadsheetml.externalLink+xml"/>
  <Override PartName="/xl/externalLinks/externalLink588.xml" ContentType="application/vnd.openxmlformats-officedocument.spreadsheetml.externalLink+xml"/>
  <Override PartName="/xl/externalLinks/externalLink589.xml" ContentType="application/vnd.openxmlformats-officedocument.spreadsheetml.externalLink+xml"/>
  <Override PartName="/xl/externalLinks/externalLink590.xml" ContentType="application/vnd.openxmlformats-officedocument.spreadsheetml.externalLink+xml"/>
  <Override PartName="/xl/externalLinks/externalLink591.xml" ContentType="application/vnd.openxmlformats-officedocument.spreadsheetml.externalLink+xml"/>
  <Override PartName="/xl/externalLinks/externalLink592.xml" ContentType="application/vnd.openxmlformats-officedocument.spreadsheetml.externalLink+xml"/>
  <Override PartName="/xl/externalLinks/externalLink593.xml" ContentType="application/vnd.openxmlformats-officedocument.spreadsheetml.externalLink+xml"/>
  <Override PartName="/xl/externalLinks/externalLink594.xml" ContentType="application/vnd.openxmlformats-officedocument.spreadsheetml.externalLink+xml"/>
  <Override PartName="/xl/externalLinks/externalLink595.xml" ContentType="application/vnd.openxmlformats-officedocument.spreadsheetml.externalLink+xml"/>
  <Override PartName="/xl/externalLinks/externalLink596.xml" ContentType="application/vnd.openxmlformats-officedocument.spreadsheetml.externalLink+xml"/>
  <Override PartName="/xl/externalLinks/externalLink597.xml" ContentType="application/vnd.openxmlformats-officedocument.spreadsheetml.externalLink+xml"/>
  <Override PartName="/xl/externalLinks/externalLink598.xml" ContentType="application/vnd.openxmlformats-officedocument.spreadsheetml.externalLink+xml"/>
  <Override PartName="/xl/externalLinks/externalLink599.xml" ContentType="application/vnd.openxmlformats-officedocument.spreadsheetml.externalLink+xml"/>
  <Override PartName="/xl/externalLinks/externalLink600.xml" ContentType="application/vnd.openxmlformats-officedocument.spreadsheetml.externalLink+xml"/>
  <Override PartName="/xl/externalLinks/externalLink601.xml" ContentType="application/vnd.openxmlformats-officedocument.spreadsheetml.externalLink+xml"/>
  <Override PartName="/xl/externalLinks/externalLink602.xml" ContentType="application/vnd.openxmlformats-officedocument.spreadsheetml.externalLink+xml"/>
  <Override PartName="/xl/externalLinks/externalLink603.xml" ContentType="application/vnd.openxmlformats-officedocument.spreadsheetml.externalLink+xml"/>
  <Override PartName="/xl/externalLinks/externalLink604.xml" ContentType="application/vnd.openxmlformats-officedocument.spreadsheetml.externalLink+xml"/>
  <Override PartName="/xl/externalLinks/externalLink605.xml" ContentType="application/vnd.openxmlformats-officedocument.spreadsheetml.externalLink+xml"/>
  <Override PartName="/xl/externalLinks/externalLink606.xml" ContentType="application/vnd.openxmlformats-officedocument.spreadsheetml.externalLink+xml"/>
  <Override PartName="/xl/externalLinks/externalLink607.xml" ContentType="application/vnd.openxmlformats-officedocument.spreadsheetml.externalLink+xml"/>
  <Override PartName="/xl/externalLinks/externalLink608.xml" ContentType="application/vnd.openxmlformats-officedocument.spreadsheetml.externalLink+xml"/>
  <Override PartName="/xl/externalLinks/externalLink609.xml" ContentType="application/vnd.openxmlformats-officedocument.spreadsheetml.externalLink+xml"/>
  <Override PartName="/xl/externalLinks/externalLink610.xml" ContentType="application/vnd.openxmlformats-officedocument.spreadsheetml.externalLink+xml"/>
  <Override PartName="/xl/externalLinks/externalLink611.xml" ContentType="application/vnd.openxmlformats-officedocument.spreadsheetml.externalLink+xml"/>
  <Override PartName="/xl/externalLinks/externalLink612.xml" ContentType="application/vnd.openxmlformats-officedocument.spreadsheetml.externalLink+xml"/>
  <Override PartName="/xl/externalLinks/externalLink613.xml" ContentType="application/vnd.openxmlformats-officedocument.spreadsheetml.externalLink+xml"/>
  <Override PartName="/xl/externalLinks/externalLink614.xml" ContentType="application/vnd.openxmlformats-officedocument.spreadsheetml.externalLink+xml"/>
  <Override PartName="/xl/externalLinks/externalLink615.xml" ContentType="application/vnd.openxmlformats-officedocument.spreadsheetml.externalLink+xml"/>
  <Override PartName="/xl/externalLinks/externalLink616.xml" ContentType="application/vnd.openxmlformats-officedocument.spreadsheetml.externalLink+xml"/>
  <Override PartName="/xl/externalLinks/externalLink617.xml" ContentType="application/vnd.openxmlformats-officedocument.spreadsheetml.externalLink+xml"/>
  <Override PartName="/xl/externalLinks/externalLink618.xml" ContentType="application/vnd.openxmlformats-officedocument.spreadsheetml.externalLink+xml"/>
  <Override PartName="/xl/externalLinks/externalLink619.xml" ContentType="application/vnd.openxmlformats-officedocument.spreadsheetml.externalLink+xml"/>
  <Override PartName="/xl/externalLinks/externalLink620.xml" ContentType="application/vnd.openxmlformats-officedocument.spreadsheetml.externalLink+xml"/>
  <Override PartName="/xl/externalLinks/externalLink621.xml" ContentType="application/vnd.openxmlformats-officedocument.spreadsheetml.externalLink+xml"/>
  <Override PartName="/xl/externalLinks/externalLink622.xml" ContentType="application/vnd.openxmlformats-officedocument.spreadsheetml.externalLink+xml"/>
  <Override PartName="/xl/externalLinks/externalLink623.xml" ContentType="application/vnd.openxmlformats-officedocument.spreadsheetml.externalLink+xml"/>
  <Override PartName="/xl/externalLinks/externalLink624.xml" ContentType="application/vnd.openxmlformats-officedocument.spreadsheetml.externalLink+xml"/>
  <Override PartName="/xl/externalLinks/externalLink625.xml" ContentType="application/vnd.openxmlformats-officedocument.spreadsheetml.externalLink+xml"/>
  <Override PartName="/xl/externalLinks/externalLink626.xml" ContentType="application/vnd.openxmlformats-officedocument.spreadsheetml.externalLink+xml"/>
  <Override PartName="/xl/externalLinks/externalLink627.xml" ContentType="application/vnd.openxmlformats-officedocument.spreadsheetml.externalLink+xml"/>
  <Override PartName="/xl/externalLinks/externalLink628.xml" ContentType="application/vnd.openxmlformats-officedocument.spreadsheetml.externalLink+xml"/>
  <Override PartName="/xl/externalLinks/externalLink629.xml" ContentType="application/vnd.openxmlformats-officedocument.spreadsheetml.externalLink+xml"/>
  <Override PartName="/xl/externalLinks/externalLink630.xml" ContentType="application/vnd.openxmlformats-officedocument.spreadsheetml.externalLink+xml"/>
  <Override PartName="/xl/externalLinks/externalLink631.xml" ContentType="application/vnd.openxmlformats-officedocument.spreadsheetml.externalLink+xml"/>
  <Override PartName="/xl/externalLinks/externalLink632.xml" ContentType="application/vnd.openxmlformats-officedocument.spreadsheetml.externalLink+xml"/>
  <Override PartName="/xl/externalLinks/externalLink633.xml" ContentType="application/vnd.openxmlformats-officedocument.spreadsheetml.externalLink+xml"/>
  <Override PartName="/xl/externalLinks/externalLink634.xml" ContentType="application/vnd.openxmlformats-officedocument.spreadsheetml.externalLink+xml"/>
  <Override PartName="/xl/externalLinks/externalLink635.xml" ContentType="application/vnd.openxmlformats-officedocument.spreadsheetml.externalLink+xml"/>
  <Override PartName="/xl/externalLinks/externalLink636.xml" ContentType="application/vnd.openxmlformats-officedocument.spreadsheetml.externalLink+xml"/>
  <Override PartName="/xl/externalLinks/externalLink637.xml" ContentType="application/vnd.openxmlformats-officedocument.spreadsheetml.externalLink+xml"/>
  <Override PartName="/xl/externalLinks/externalLink638.xml" ContentType="application/vnd.openxmlformats-officedocument.spreadsheetml.externalLink+xml"/>
  <Override PartName="/xl/externalLinks/externalLink639.xml" ContentType="application/vnd.openxmlformats-officedocument.spreadsheetml.externalLink+xml"/>
  <Override PartName="/xl/externalLinks/externalLink640.xml" ContentType="application/vnd.openxmlformats-officedocument.spreadsheetml.externalLink+xml"/>
  <Override PartName="/xl/externalLinks/externalLink641.xml" ContentType="application/vnd.openxmlformats-officedocument.spreadsheetml.externalLink+xml"/>
  <Override PartName="/xl/externalLinks/externalLink642.xml" ContentType="application/vnd.openxmlformats-officedocument.spreadsheetml.externalLink+xml"/>
  <Override PartName="/xl/externalLinks/externalLink643.xml" ContentType="application/vnd.openxmlformats-officedocument.spreadsheetml.externalLink+xml"/>
  <Override PartName="/xl/externalLinks/externalLink644.xml" ContentType="application/vnd.openxmlformats-officedocument.spreadsheetml.externalLink+xml"/>
  <Override PartName="/xl/externalLinks/externalLink645.xml" ContentType="application/vnd.openxmlformats-officedocument.spreadsheetml.externalLink+xml"/>
  <Override PartName="/xl/externalLinks/externalLink646.xml" ContentType="application/vnd.openxmlformats-officedocument.spreadsheetml.externalLink+xml"/>
  <Override PartName="/xl/externalLinks/externalLink647.xml" ContentType="application/vnd.openxmlformats-officedocument.spreadsheetml.externalLink+xml"/>
  <Override PartName="/xl/externalLinks/externalLink648.xml" ContentType="application/vnd.openxmlformats-officedocument.spreadsheetml.externalLink+xml"/>
  <Override PartName="/xl/externalLinks/externalLink649.xml" ContentType="application/vnd.openxmlformats-officedocument.spreadsheetml.externalLink+xml"/>
  <Override PartName="/xl/externalLinks/externalLink650.xml" ContentType="application/vnd.openxmlformats-officedocument.spreadsheetml.externalLink+xml"/>
  <Override PartName="/xl/externalLinks/externalLink651.xml" ContentType="application/vnd.openxmlformats-officedocument.spreadsheetml.externalLink+xml"/>
  <Override PartName="/xl/externalLinks/externalLink652.xml" ContentType="application/vnd.openxmlformats-officedocument.spreadsheetml.externalLink+xml"/>
  <Override PartName="/xl/externalLinks/externalLink653.xml" ContentType="application/vnd.openxmlformats-officedocument.spreadsheetml.externalLink+xml"/>
  <Override PartName="/xl/externalLinks/externalLink654.xml" ContentType="application/vnd.openxmlformats-officedocument.spreadsheetml.externalLink+xml"/>
  <Override PartName="/xl/externalLinks/externalLink655.xml" ContentType="application/vnd.openxmlformats-officedocument.spreadsheetml.externalLink+xml"/>
  <Override PartName="/xl/externalLinks/externalLink656.xml" ContentType="application/vnd.openxmlformats-officedocument.spreadsheetml.externalLink+xml"/>
  <Override PartName="/xl/externalLinks/externalLink657.xml" ContentType="application/vnd.openxmlformats-officedocument.spreadsheetml.externalLink+xml"/>
  <Override PartName="/xl/externalLinks/externalLink658.xml" ContentType="application/vnd.openxmlformats-officedocument.spreadsheetml.externalLink+xml"/>
  <Override PartName="/xl/externalLinks/externalLink659.xml" ContentType="application/vnd.openxmlformats-officedocument.spreadsheetml.externalLink+xml"/>
  <Override PartName="/xl/externalLinks/externalLink660.xml" ContentType="application/vnd.openxmlformats-officedocument.spreadsheetml.externalLink+xml"/>
  <Override PartName="/xl/externalLinks/externalLink661.xml" ContentType="application/vnd.openxmlformats-officedocument.spreadsheetml.externalLink+xml"/>
  <Override PartName="/xl/externalLinks/externalLink662.xml" ContentType="application/vnd.openxmlformats-officedocument.spreadsheetml.externalLink+xml"/>
  <Override PartName="/xl/externalLinks/externalLink663.xml" ContentType="application/vnd.openxmlformats-officedocument.spreadsheetml.externalLink+xml"/>
  <Override PartName="/xl/externalLinks/externalLink664.xml" ContentType="application/vnd.openxmlformats-officedocument.spreadsheetml.externalLink+xml"/>
  <Override PartName="/xl/externalLinks/externalLink665.xml" ContentType="application/vnd.openxmlformats-officedocument.spreadsheetml.externalLink+xml"/>
  <Override PartName="/xl/externalLinks/externalLink666.xml" ContentType="application/vnd.openxmlformats-officedocument.spreadsheetml.externalLink+xml"/>
  <Override PartName="/xl/externalLinks/externalLink667.xml" ContentType="application/vnd.openxmlformats-officedocument.spreadsheetml.externalLink+xml"/>
  <Override PartName="/xl/externalLinks/externalLink668.xml" ContentType="application/vnd.openxmlformats-officedocument.spreadsheetml.externalLink+xml"/>
  <Override PartName="/xl/externalLinks/externalLink669.xml" ContentType="application/vnd.openxmlformats-officedocument.spreadsheetml.externalLink+xml"/>
  <Override PartName="/xl/externalLinks/externalLink670.xml" ContentType="application/vnd.openxmlformats-officedocument.spreadsheetml.externalLink+xml"/>
  <Override PartName="/xl/externalLinks/externalLink671.xml" ContentType="application/vnd.openxmlformats-officedocument.spreadsheetml.externalLink+xml"/>
  <Override PartName="/xl/externalLinks/externalLink672.xml" ContentType="application/vnd.openxmlformats-officedocument.spreadsheetml.externalLink+xml"/>
  <Override PartName="/xl/externalLinks/externalLink673.xml" ContentType="application/vnd.openxmlformats-officedocument.spreadsheetml.externalLink+xml"/>
  <Override PartName="/xl/externalLinks/externalLink674.xml" ContentType="application/vnd.openxmlformats-officedocument.spreadsheetml.externalLink+xml"/>
  <Override PartName="/xl/externalLinks/externalLink675.xml" ContentType="application/vnd.openxmlformats-officedocument.spreadsheetml.externalLink+xml"/>
  <Override PartName="/xl/externalLinks/externalLink676.xml" ContentType="application/vnd.openxmlformats-officedocument.spreadsheetml.externalLink+xml"/>
  <Override PartName="/xl/externalLinks/externalLink677.xml" ContentType="application/vnd.openxmlformats-officedocument.spreadsheetml.externalLink+xml"/>
  <Override PartName="/xl/externalLinks/externalLink678.xml" ContentType="application/vnd.openxmlformats-officedocument.spreadsheetml.externalLink+xml"/>
  <Override PartName="/xl/externalLinks/externalLink679.xml" ContentType="application/vnd.openxmlformats-officedocument.spreadsheetml.externalLink+xml"/>
  <Override PartName="/xl/externalLinks/externalLink680.xml" ContentType="application/vnd.openxmlformats-officedocument.spreadsheetml.externalLink+xml"/>
  <Override PartName="/xl/externalLinks/externalLink681.xml" ContentType="application/vnd.openxmlformats-officedocument.spreadsheetml.externalLink+xml"/>
  <Override PartName="/xl/externalLinks/externalLink682.xml" ContentType="application/vnd.openxmlformats-officedocument.spreadsheetml.externalLink+xml"/>
  <Override PartName="/xl/externalLinks/externalLink683.xml" ContentType="application/vnd.openxmlformats-officedocument.spreadsheetml.externalLink+xml"/>
  <Override PartName="/xl/externalLinks/externalLink684.xml" ContentType="application/vnd.openxmlformats-officedocument.spreadsheetml.externalLink+xml"/>
  <Override PartName="/xl/externalLinks/externalLink685.xml" ContentType="application/vnd.openxmlformats-officedocument.spreadsheetml.externalLink+xml"/>
  <Override PartName="/xl/externalLinks/externalLink686.xml" ContentType="application/vnd.openxmlformats-officedocument.spreadsheetml.externalLink+xml"/>
  <Override PartName="/xl/externalLinks/externalLink687.xml" ContentType="application/vnd.openxmlformats-officedocument.spreadsheetml.externalLink+xml"/>
  <Override PartName="/xl/externalLinks/externalLink688.xml" ContentType="application/vnd.openxmlformats-officedocument.spreadsheetml.externalLink+xml"/>
  <Override PartName="/xl/externalLinks/externalLink689.xml" ContentType="application/vnd.openxmlformats-officedocument.spreadsheetml.externalLink+xml"/>
  <Override PartName="/xl/externalLinks/externalLink690.xml" ContentType="application/vnd.openxmlformats-officedocument.spreadsheetml.externalLink+xml"/>
  <Override PartName="/xl/externalLinks/externalLink691.xml" ContentType="application/vnd.openxmlformats-officedocument.spreadsheetml.externalLink+xml"/>
  <Override PartName="/xl/externalLinks/externalLink692.xml" ContentType="application/vnd.openxmlformats-officedocument.spreadsheetml.externalLink+xml"/>
  <Override PartName="/xl/externalLinks/externalLink693.xml" ContentType="application/vnd.openxmlformats-officedocument.spreadsheetml.externalLink+xml"/>
  <Override PartName="/xl/externalLinks/externalLink694.xml" ContentType="application/vnd.openxmlformats-officedocument.spreadsheetml.externalLink+xml"/>
  <Override PartName="/xl/externalLinks/externalLink695.xml" ContentType="application/vnd.openxmlformats-officedocument.spreadsheetml.externalLink+xml"/>
  <Override PartName="/xl/externalLinks/externalLink696.xml" ContentType="application/vnd.openxmlformats-officedocument.spreadsheetml.externalLink+xml"/>
  <Override PartName="/xl/externalLinks/externalLink697.xml" ContentType="application/vnd.openxmlformats-officedocument.spreadsheetml.externalLink+xml"/>
  <Override PartName="/xl/externalLinks/externalLink698.xml" ContentType="application/vnd.openxmlformats-officedocument.spreadsheetml.externalLink+xml"/>
  <Override PartName="/xl/externalLinks/externalLink699.xml" ContentType="application/vnd.openxmlformats-officedocument.spreadsheetml.externalLink+xml"/>
  <Override PartName="/xl/externalLinks/externalLink700.xml" ContentType="application/vnd.openxmlformats-officedocument.spreadsheetml.externalLink+xml"/>
  <Override PartName="/xl/externalLinks/externalLink701.xml" ContentType="application/vnd.openxmlformats-officedocument.spreadsheetml.externalLink+xml"/>
  <Override PartName="/xl/externalLinks/externalLink702.xml" ContentType="application/vnd.openxmlformats-officedocument.spreadsheetml.externalLink+xml"/>
  <Override PartName="/xl/externalLinks/externalLink703.xml" ContentType="application/vnd.openxmlformats-officedocument.spreadsheetml.externalLink+xml"/>
  <Override PartName="/xl/externalLinks/externalLink704.xml" ContentType="application/vnd.openxmlformats-officedocument.spreadsheetml.externalLink+xml"/>
  <Override PartName="/xl/externalLinks/externalLink705.xml" ContentType="application/vnd.openxmlformats-officedocument.spreadsheetml.externalLink+xml"/>
  <Override PartName="/xl/externalLinks/externalLink706.xml" ContentType="application/vnd.openxmlformats-officedocument.spreadsheetml.externalLink+xml"/>
  <Override PartName="/xl/externalLinks/externalLink707.xml" ContentType="application/vnd.openxmlformats-officedocument.spreadsheetml.externalLink+xml"/>
  <Override PartName="/xl/externalLinks/externalLink708.xml" ContentType="application/vnd.openxmlformats-officedocument.spreadsheetml.externalLink+xml"/>
  <Override PartName="/xl/externalLinks/externalLink709.xml" ContentType="application/vnd.openxmlformats-officedocument.spreadsheetml.externalLink+xml"/>
  <Override PartName="/xl/externalLinks/externalLink710.xml" ContentType="application/vnd.openxmlformats-officedocument.spreadsheetml.externalLink+xml"/>
  <Override PartName="/xl/externalLinks/externalLink711.xml" ContentType="application/vnd.openxmlformats-officedocument.spreadsheetml.externalLink+xml"/>
  <Override PartName="/xl/externalLinks/externalLink712.xml" ContentType="application/vnd.openxmlformats-officedocument.spreadsheetml.externalLink+xml"/>
  <Override PartName="/xl/externalLinks/externalLink713.xml" ContentType="application/vnd.openxmlformats-officedocument.spreadsheetml.externalLink+xml"/>
  <Override PartName="/xl/externalLinks/externalLink714.xml" ContentType="application/vnd.openxmlformats-officedocument.spreadsheetml.externalLink+xml"/>
  <Override PartName="/xl/externalLinks/externalLink715.xml" ContentType="application/vnd.openxmlformats-officedocument.spreadsheetml.externalLink+xml"/>
  <Override PartName="/xl/externalLinks/externalLink716.xml" ContentType="application/vnd.openxmlformats-officedocument.spreadsheetml.externalLink+xml"/>
  <Override PartName="/xl/externalLinks/externalLink717.xml" ContentType="application/vnd.openxmlformats-officedocument.spreadsheetml.externalLink+xml"/>
  <Override PartName="/xl/externalLinks/externalLink718.xml" ContentType="application/vnd.openxmlformats-officedocument.spreadsheetml.externalLink+xml"/>
  <Override PartName="/xl/externalLinks/externalLink719.xml" ContentType="application/vnd.openxmlformats-officedocument.spreadsheetml.externalLink+xml"/>
  <Override PartName="/xl/externalLinks/externalLink720.xml" ContentType="application/vnd.openxmlformats-officedocument.spreadsheetml.externalLink+xml"/>
  <Override PartName="/xl/externalLinks/externalLink721.xml" ContentType="application/vnd.openxmlformats-officedocument.spreadsheetml.externalLink+xml"/>
  <Override PartName="/xl/externalLinks/externalLink722.xml" ContentType="application/vnd.openxmlformats-officedocument.spreadsheetml.externalLink+xml"/>
  <Override PartName="/xl/externalLinks/externalLink723.xml" ContentType="application/vnd.openxmlformats-officedocument.spreadsheetml.externalLink+xml"/>
  <Override PartName="/xl/externalLinks/externalLink724.xml" ContentType="application/vnd.openxmlformats-officedocument.spreadsheetml.externalLink+xml"/>
  <Override PartName="/xl/externalLinks/externalLink725.xml" ContentType="application/vnd.openxmlformats-officedocument.spreadsheetml.externalLink+xml"/>
  <Override PartName="/xl/externalLinks/externalLink726.xml" ContentType="application/vnd.openxmlformats-officedocument.spreadsheetml.externalLink+xml"/>
  <Override PartName="/xl/externalLinks/externalLink727.xml" ContentType="application/vnd.openxmlformats-officedocument.spreadsheetml.externalLink+xml"/>
  <Override PartName="/xl/externalLinks/externalLink728.xml" ContentType="application/vnd.openxmlformats-officedocument.spreadsheetml.externalLink+xml"/>
  <Override PartName="/xl/externalLinks/externalLink729.xml" ContentType="application/vnd.openxmlformats-officedocument.spreadsheetml.externalLink+xml"/>
  <Override PartName="/xl/externalLinks/externalLink730.xml" ContentType="application/vnd.openxmlformats-officedocument.spreadsheetml.externalLink+xml"/>
  <Override PartName="/xl/externalLinks/externalLink731.xml" ContentType="application/vnd.openxmlformats-officedocument.spreadsheetml.externalLink+xml"/>
  <Override PartName="/xl/externalLinks/externalLink732.xml" ContentType="application/vnd.openxmlformats-officedocument.spreadsheetml.externalLink+xml"/>
  <Override PartName="/xl/externalLinks/externalLink733.xml" ContentType="application/vnd.openxmlformats-officedocument.spreadsheetml.externalLink+xml"/>
  <Override PartName="/xl/externalLinks/externalLink734.xml" ContentType="application/vnd.openxmlformats-officedocument.spreadsheetml.externalLink+xml"/>
  <Override PartName="/xl/externalLinks/externalLink735.xml" ContentType="application/vnd.openxmlformats-officedocument.spreadsheetml.externalLink+xml"/>
  <Override PartName="/xl/externalLinks/externalLink736.xml" ContentType="application/vnd.openxmlformats-officedocument.spreadsheetml.externalLink+xml"/>
  <Override PartName="/xl/externalLinks/externalLink737.xml" ContentType="application/vnd.openxmlformats-officedocument.spreadsheetml.externalLink+xml"/>
  <Override PartName="/xl/externalLinks/externalLink738.xml" ContentType="application/vnd.openxmlformats-officedocument.spreadsheetml.externalLink+xml"/>
  <Override PartName="/xl/externalLinks/externalLink739.xml" ContentType="application/vnd.openxmlformats-officedocument.spreadsheetml.externalLink+xml"/>
  <Override PartName="/xl/externalLinks/externalLink740.xml" ContentType="application/vnd.openxmlformats-officedocument.spreadsheetml.externalLink+xml"/>
  <Override PartName="/xl/externalLinks/externalLink741.xml" ContentType="application/vnd.openxmlformats-officedocument.spreadsheetml.externalLink+xml"/>
  <Override PartName="/xl/externalLinks/externalLink742.xml" ContentType="application/vnd.openxmlformats-officedocument.spreadsheetml.externalLink+xml"/>
  <Override PartName="/xl/externalLinks/externalLink743.xml" ContentType="application/vnd.openxmlformats-officedocument.spreadsheetml.externalLink+xml"/>
  <Override PartName="/xl/externalLinks/externalLink744.xml" ContentType="application/vnd.openxmlformats-officedocument.spreadsheetml.externalLink+xml"/>
  <Override PartName="/xl/externalLinks/externalLink745.xml" ContentType="application/vnd.openxmlformats-officedocument.spreadsheetml.externalLink+xml"/>
  <Override PartName="/xl/externalLinks/externalLink746.xml" ContentType="application/vnd.openxmlformats-officedocument.spreadsheetml.externalLink+xml"/>
  <Override PartName="/xl/externalLinks/externalLink747.xml" ContentType="application/vnd.openxmlformats-officedocument.spreadsheetml.externalLink+xml"/>
  <Override PartName="/xl/externalLinks/externalLink748.xml" ContentType="application/vnd.openxmlformats-officedocument.spreadsheetml.externalLink+xml"/>
  <Override PartName="/xl/externalLinks/externalLink749.xml" ContentType="application/vnd.openxmlformats-officedocument.spreadsheetml.externalLink+xml"/>
  <Override PartName="/xl/externalLinks/externalLink750.xml" ContentType="application/vnd.openxmlformats-officedocument.spreadsheetml.externalLink+xml"/>
  <Override PartName="/xl/externalLinks/externalLink751.xml" ContentType="application/vnd.openxmlformats-officedocument.spreadsheetml.externalLink+xml"/>
  <Override PartName="/xl/externalLinks/externalLink752.xml" ContentType="application/vnd.openxmlformats-officedocument.spreadsheetml.externalLink+xml"/>
  <Override PartName="/xl/externalLinks/externalLink753.xml" ContentType="application/vnd.openxmlformats-officedocument.spreadsheetml.externalLink+xml"/>
  <Override PartName="/xl/externalLinks/externalLink754.xml" ContentType="application/vnd.openxmlformats-officedocument.spreadsheetml.externalLink+xml"/>
  <Override PartName="/xl/externalLinks/externalLink755.xml" ContentType="application/vnd.openxmlformats-officedocument.spreadsheetml.externalLink+xml"/>
  <Override PartName="/xl/externalLinks/externalLink756.xml" ContentType="application/vnd.openxmlformats-officedocument.spreadsheetml.externalLink+xml"/>
  <Override PartName="/xl/externalLinks/externalLink757.xml" ContentType="application/vnd.openxmlformats-officedocument.spreadsheetml.externalLink+xml"/>
  <Override PartName="/xl/externalLinks/externalLink758.xml" ContentType="application/vnd.openxmlformats-officedocument.spreadsheetml.externalLink+xml"/>
  <Override PartName="/xl/externalLinks/externalLink759.xml" ContentType="application/vnd.openxmlformats-officedocument.spreadsheetml.externalLink+xml"/>
  <Override PartName="/xl/externalLinks/externalLink760.xml" ContentType="application/vnd.openxmlformats-officedocument.spreadsheetml.externalLink+xml"/>
  <Override PartName="/xl/externalLinks/externalLink761.xml" ContentType="application/vnd.openxmlformats-officedocument.spreadsheetml.externalLink+xml"/>
  <Override PartName="/xl/externalLinks/externalLink762.xml" ContentType="application/vnd.openxmlformats-officedocument.spreadsheetml.externalLink+xml"/>
  <Override PartName="/xl/externalLinks/externalLink763.xml" ContentType="application/vnd.openxmlformats-officedocument.spreadsheetml.externalLink+xml"/>
  <Override PartName="/xl/externalLinks/externalLink764.xml" ContentType="application/vnd.openxmlformats-officedocument.spreadsheetml.externalLink+xml"/>
  <Override PartName="/xl/externalLinks/externalLink765.xml" ContentType="application/vnd.openxmlformats-officedocument.spreadsheetml.externalLink+xml"/>
  <Override PartName="/xl/externalLinks/externalLink766.xml" ContentType="application/vnd.openxmlformats-officedocument.spreadsheetml.externalLink+xml"/>
  <Override PartName="/xl/externalLinks/externalLink767.xml" ContentType="application/vnd.openxmlformats-officedocument.spreadsheetml.externalLink+xml"/>
  <Override PartName="/xl/externalLinks/externalLink768.xml" ContentType="application/vnd.openxmlformats-officedocument.spreadsheetml.externalLink+xml"/>
  <Override PartName="/xl/externalLinks/externalLink769.xml" ContentType="application/vnd.openxmlformats-officedocument.spreadsheetml.externalLink+xml"/>
  <Override PartName="/xl/externalLinks/externalLink770.xml" ContentType="application/vnd.openxmlformats-officedocument.spreadsheetml.externalLink+xml"/>
  <Override PartName="/xl/externalLinks/externalLink771.xml" ContentType="application/vnd.openxmlformats-officedocument.spreadsheetml.externalLink+xml"/>
  <Override PartName="/xl/externalLinks/externalLink772.xml" ContentType="application/vnd.openxmlformats-officedocument.spreadsheetml.externalLink+xml"/>
  <Override PartName="/xl/externalLinks/externalLink773.xml" ContentType="application/vnd.openxmlformats-officedocument.spreadsheetml.externalLink+xml"/>
  <Override PartName="/xl/externalLinks/externalLink774.xml" ContentType="application/vnd.openxmlformats-officedocument.spreadsheetml.externalLink+xml"/>
  <Override PartName="/xl/externalLinks/externalLink775.xml" ContentType="application/vnd.openxmlformats-officedocument.spreadsheetml.externalLink+xml"/>
  <Override PartName="/xl/externalLinks/externalLink776.xml" ContentType="application/vnd.openxmlformats-officedocument.spreadsheetml.externalLink+xml"/>
  <Override PartName="/xl/externalLinks/externalLink777.xml" ContentType="application/vnd.openxmlformats-officedocument.spreadsheetml.externalLink+xml"/>
  <Override PartName="/xl/externalLinks/externalLink778.xml" ContentType="application/vnd.openxmlformats-officedocument.spreadsheetml.externalLink+xml"/>
  <Override PartName="/xl/externalLinks/externalLink779.xml" ContentType="application/vnd.openxmlformats-officedocument.spreadsheetml.externalLink+xml"/>
  <Override PartName="/xl/externalLinks/externalLink780.xml" ContentType="application/vnd.openxmlformats-officedocument.spreadsheetml.externalLink+xml"/>
  <Override PartName="/xl/externalLinks/externalLink781.xml" ContentType="application/vnd.openxmlformats-officedocument.spreadsheetml.externalLink+xml"/>
  <Override PartName="/xl/externalLinks/externalLink782.xml" ContentType="application/vnd.openxmlformats-officedocument.spreadsheetml.externalLink+xml"/>
  <Override PartName="/xl/externalLinks/externalLink783.xml" ContentType="application/vnd.openxmlformats-officedocument.spreadsheetml.externalLink+xml"/>
  <Override PartName="/xl/externalLinks/externalLink784.xml" ContentType="application/vnd.openxmlformats-officedocument.spreadsheetml.externalLink+xml"/>
  <Override PartName="/xl/externalLinks/externalLink785.xml" ContentType="application/vnd.openxmlformats-officedocument.spreadsheetml.externalLink+xml"/>
  <Override PartName="/xl/externalLinks/externalLink786.xml" ContentType="application/vnd.openxmlformats-officedocument.spreadsheetml.externalLink+xml"/>
  <Override PartName="/xl/externalLinks/externalLink787.xml" ContentType="application/vnd.openxmlformats-officedocument.spreadsheetml.externalLink+xml"/>
  <Override PartName="/xl/externalLinks/externalLink788.xml" ContentType="application/vnd.openxmlformats-officedocument.spreadsheetml.externalLink+xml"/>
  <Override PartName="/xl/externalLinks/externalLink789.xml" ContentType="application/vnd.openxmlformats-officedocument.spreadsheetml.externalLink+xml"/>
  <Override PartName="/xl/externalLinks/externalLink790.xml" ContentType="application/vnd.openxmlformats-officedocument.spreadsheetml.externalLink+xml"/>
  <Override PartName="/xl/externalLinks/externalLink791.xml" ContentType="application/vnd.openxmlformats-officedocument.spreadsheetml.externalLink+xml"/>
  <Override PartName="/xl/externalLinks/externalLink792.xml" ContentType="application/vnd.openxmlformats-officedocument.spreadsheetml.externalLink+xml"/>
  <Override PartName="/xl/externalLinks/externalLink793.xml" ContentType="application/vnd.openxmlformats-officedocument.spreadsheetml.externalLink+xml"/>
  <Override PartName="/xl/externalLinks/externalLink794.xml" ContentType="application/vnd.openxmlformats-officedocument.spreadsheetml.externalLink+xml"/>
  <Override PartName="/xl/externalLinks/externalLink795.xml" ContentType="application/vnd.openxmlformats-officedocument.spreadsheetml.externalLink+xml"/>
  <Override PartName="/xl/externalLinks/externalLink796.xml" ContentType="application/vnd.openxmlformats-officedocument.spreadsheetml.externalLink+xml"/>
  <Override PartName="/xl/externalLinks/externalLink797.xml" ContentType="application/vnd.openxmlformats-officedocument.spreadsheetml.externalLink+xml"/>
  <Override PartName="/xl/externalLinks/externalLink798.xml" ContentType="application/vnd.openxmlformats-officedocument.spreadsheetml.externalLink+xml"/>
  <Override PartName="/xl/externalLinks/externalLink799.xml" ContentType="application/vnd.openxmlformats-officedocument.spreadsheetml.externalLink+xml"/>
  <Override PartName="/xl/externalLinks/externalLink800.xml" ContentType="application/vnd.openxmlformats-officedocument.spreadsheetml.externalLink+xml"/>
  <Override PartName="/xl/externalLinks/externalLink801.xml" ContentType="application/vnd.openxmlformats-officedocument.spreadsheetml.externalLink+xml"/>
  <Override PartName="/xl/externalLinks/externalLink802.xml" ContentType="application/vnd.openxmlformats-officedocument.spreadsheetml.externalLink+xml"/>
  <Override PartName="/xl/externalLinks/externalLink803.xml" ContentType="application/vnd.openxmlformats-officedocument.spreadsheetml.externalLink+xml"/>
  <Override PartName="/xl/externalLinks/externalLink804.xml" ContentType="application/vnd.openxmlformats-officedocument.spreadsheetml.externalLink+xml"/>
  <Override PartName="/xl/externalLinks/externalLink805.xml" ContentType="application/vnd.openxmlformats-officedocument.spreadsheetml.externalLink+xml"/>
  <Override PartName="/xl/externalLinks/externalLink806.xml" ContentType="application/vnd.openxmlformats-officedocument.spreadsheetml.externalLink+xml"/>
  <Override PartName="/xl/externalLinks/externalLink807.xml" ContentType="application/vnd.openxmlformats-officedocument.spreadsheetml.externalLink+xml"/>
  <Override PartName="/xl/externalLinks/externalLink808.xml" ContentType="application/vnd.openxmlformats-officedocument.spreadsheetml.externalLink+xml"/>
  <Override PartName="/xl/externalLinks/externalLink809.xml" ContentType="application/vnd.openxmlformats-officedocument.spreadsheetml.externalLink+xml"/>
  <Override PartName="/xl/externalLinks/externalLink810.xml" ContentType="application/vnd.openxmlformats-officedocument.spreadsheetml.externalLink+xml"/>
  <Override PartName="/xl/externalLinks/externalLink811.xml" ContentType="application/vnd.openxmlformats-officedocument.spreadsheetml.externalLink+xml"/>
  <Override PartName="/xl/externalLinks/externalLink812.xml" ContentType="application/vnd.openxmlformats-officedocument.spreadsheetml.externalLink+xml"/>
  <Override PartName="/xl/externalLinks/externalLink813.xml" ContentType="application/vnd.openxmlformats-officedocument.spreadsheetml.externalLink+xml"/>
  <Override PartName="/xl/externalLinks/externalLink814.xml" ContentType="application/vnd.openxmlformats-officedocument.spreadsheetml.externalLink+xml"/>
  <Override PartName="/xl/externalLinks/externalLink815.xml" ContentType="application/vnd.openxmlformats-officedocument.spreadsheetml.externalLink+xml"/>
  <Override PartName="/xl/externalLinks/externalLink816.xml" ContentType="application/vnd.openxmlformats-officedocument.spreadsheetml.externalLink+xml"/>
  <Override PartName="/xl/externalLinks/externalLink817.xml" ContentType="application/vnd.openxmlformats-officedocument.spreadsheetml.externalLink+xml"/>
  <Override PartName="/xl/externalLinks/externalLink818.xml" ContentType="application/vnd.openxmlformats-officedocument.spreadsheetml.externalLink+xml"/>
  <Override PartName="/xl/externalLinks/externalLink819.xml" ContentType="application/vnd.openxmlformats-officedocument.spreadsheetml.externalLink+xml"/>
  <Override PartName="/xl/externalLinks/externalLink820.xml" ContentType="application/vnd.openxmlformats-officedocument.spreadsheetml.externalLink+xml"/>
  <Override PartName="/xl/externalLinks/externalLink821.xml" ContentType="application/vnd.openxmlformats-officedocument.spreadsheetml.externalLink+xml"/>
  <Override PartName="/xl/externalLinks/externalLink822.xml" ContentType="application/vnd.openxmlformats-officedocument.spreadsheetml.externalLink+xml"/>
  <Override PartName="/xl/externalLinks/externalLink823.xml" ContentType="application/vnd.openxmlformats-officedocument.spreadsheetml.externalLink+xml"/>
  <Override PartName="/xl/externalLinks/externalLink824.xml" ContentType="application/vnd.openxmlformats-officedocument.spreadsheetml.externalLink+xml"/>
  <Override PartName="/xl/externalLinks/externalLink8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codeName="ThisWorkbook"/>
  <mc:AlternateContent xmlns:mc="http://schemas.openxmlformats.org/markup-compatibility/2006">
    <mc:Choice Requires="x15">
      <x15ac:absPath xmlns:x15ac="http://schemas.microsoft.com/office/spreadsheetml/2010/11/ac" url="/Users/jamiefarquharson/Desktop/OA/Volcanica/Articles/2025/Issue 1/Wang 2/"/>
    </mc:Choice>
  </mc:AlternateContent>
  <xr:revisionPtr revIDLastSave="0" documentId="13_ncr:1_{51DAA8B1-01F4-894A-B871-9837AA16BAEF}" xr6:coauthVersionLast="47" xr6:coauthVersionMax="47" xr10:uidLastSave="{00000000-0000-0000-0000-000000000000}"/>
  <bookViews>
    <workbookView xWindow="-34080" yWindow="1420" windowWidth="28800" windowHeight="17500" xr2:uid="{00000000-000D-0000-FFFF-FFFF00000000}"/>
  </bookViews>
  <sheets>
    <sheet name="ReadMe" sheetId="18" r:id="rId1"/>
    <sheet name="L-Values" sheetId="2" r:id="rId2"/>
    <sheet name="D(Ti_Cherniak) Times" sheetId="3" r:id="rId3"/>
    <sheet name="D(Ti_Audétat23) Times" sheetId="17" r:id="rId4"/>
    <sheet name="D(Ti_Jollands) Times" sheetId="6" r:id="rId5"/>
    <sheet name="Growth Rates" sheetId="1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 r:id="rId295"/>
    <externalReference r:id="rId296"/>
    <externalReference r:id="rId297"/>
    <externalReference r:id="rId298"/>
    <externalReference r:id="rId299"/>
    <externalReference r:id="rId300"/>
    <externalReference r:id="rId301"/>
    <externalReference r:id="rId302"/>
    <externalReference r:id="rId303"/>
    <externalReference r:id="rId304"/>
    <externalReference r:id="rId305"/>
    <externalReference r:id="rId306"/>
    <externalReference r:id="rId307"/>
    <externalReference r:id="rId308"/>
    <externalReference r:id="rId309"/>
    <externalReference r:id="rId310"/>
    <externalReference r:id="rId311"/>
    <externalReference r:id="rId312"/>
    <externalReference r:id="rId313"/>
    <externalReference r:id="rId314"/>
    <externalReference r:id="rId315"/>
    <externalReference r:id="rId316"/>
    <externalReference r:id="rId317"/>
    <externalReference r:id="rId318"/>
    <externalReference r:id="rId319"/>
    <externalReference r:id="rId320"/>
    <externalReference r:id="rId321"/>
    <externalReference r:id="rId322"/>
    <externalReference r:id="rId323"/>
    <externalReference r:id="rId324"/>
    <externalReference r:id="rId325"/>
    <externalReference r:id="rId326"/>
    <externalReference r:id="rId327"/>
    <externalReference r:id="rId328"/>
    <externalReference r:id="rId329"/>
    <externalReference r:id="rId330"/>
    <externalReference r:id="rId331"/>
    <externalReference r:id="rId332"/>
    <externalReference r:id="rId333"/>
    <externalReference r:id="rId334"/>
    <externalReference r:id="rId335"/>
    <externalReference r:id="rId336"/>
    <externalReference r:id="rId337"/>
    <externalReference r:id="rId338"/>
    <externalReference r:id="rId339"/>
    <externalReference r:id="rId340"/>
    <externalReference r:id="rId341"/>
    <externalReference r:id="rId342"/>
    <externalReference r:id="rId343"/>
    <externalReference r:id="rId344"/>
    <externalReference r:id="rId345"/>
    <externalReference r:id="rId346"/>
    <externalReference r:id="rId347"/>
    <externalReference r:id="rId348"/>
    <externalReference r:id="rId349"/>
    <externalReference r:id="rId350"/>
    <externalReference r:id="rId351"/>
    <externalReference r:id="rId352"/>
    <externalReference r:id="rId353"/>
    <externalReference r:id="rId354"/>
    <externalReference r:id="rId355"/>
    <externalReference r:id="rId356"/>
    <externalReference r:id="rId357"/>
    <externalReference r:id="rId358"/>
    <externalReference r:id="rId359"/>
    <externalReference r:id="rId360"/>
    <externalReference r:id="rId361"/>
    <externalReference r:id="rId362"/>
    <externalReference r:id="rId363"/>
    <externalReference r:id="rId364"/>
    <externalReference r:id="rId365"/>
    <externalReference r:id="rId366"/>
    <externalReference r:id="rId367"/>
    <externalReference r:id="rId368"/>
    <externalReference r:id="rId369"/>
    <externalReference r:id="rId370"/>
    <externalReference r:id="rId371"/>
    <externalReference r:id="rId372"/>
    <externalReference r:id="rId373"/>
    <externalReference r:id="rId374"/>
    <externalReference r:id="rId375"/>
    <externalReference r:id="rId376"/>
    <externalReference r:id="rId377"/>
    <externalReference r:id="rId378"/>
    <externalReference r:id="rId379"/>
    <externalReference r:id="rId380"/>
    <externalReference r:id="rId381"/>
    <externalReference r:id="rId382"/>
    <externalReference r:id="rId383"/>
    <externalReference r:id="rId384"/>
    <externalReference r:id="rId385"/>
    <externalReference r:id="rId386"/>
    <externalReference r:id="rId387"/>
    <externalReference r:id="rId388"/>
    <externalReference r:id="rId389"/>
    <externalReference r:id="rId390"/>
    <externalReference r:id="rId391"/>
    <externalReference r:id="rId392"/>
    <externalReference r:id="rId393"/>
    <externalReference r:id="rId394"/>
    <externalReference r:id="rId395"/>
    <externalReference r:id="rId396"/>
    <externalReference r:id="rId397"/>
    <externalReference r:id="rId398"/>
    <externalReference r:id="rId399"/>
    <externalReference r:id="rId400"/>
    <externalReference r:id="rId401"/>
    <externalReference r:id="rId402"/>
    <externalReference r:id="rId403"/>
    <externalReference r:id="rId404"/>
    <externalReference r:id="rId405"/>
    <externalReference r:id="rId406"/>
    <externalReference r:id="rId407"/>
    <externalReference r:id="rId408"/>
    <externalReference r:id="rId409"/>
    <externalReference r:id="rId410"/>
    <externalReference r:id="rId411"/>
    <externalReference r:id="rId412"/>
    <externalReference r:id="rId413"/>
    <externalReference r:id="rId414"/>
    <externalReference r:id="rId415"/>
    <externalReference r:id="rId416"/>
    <externalReference r:id="rId417"/>
    <externalReference r:id="rId418"/>
    <externalReference r:id="rId419"/>
    <externalReference r:id="rId420"/>
    <externalReference r:id="rId421"/>
    <externalReference r:id="rId422"/>
    <externalReference r:id="rId423"/>
    <externalReference r:id="rId424"/>
    <externalReference r:id="rId425"/>
    <externalReference r:id="rId426"/>
    <externalReference r:id="rId427"/>
    <externalReference r:id="rId428"/>
    <externalReference r:id="rId429"/>
    <externalReference r:id="rId430"/>
    <externalReference r:id="rId431"/>
    <externalReference r:id="rId432"/>
    <externalReference r:id="rId433"/>
    <externalReference r:id="rId434"/>
    <externalReference r:id="rId435"/>
    <externalReference r:id="rId436"/>
    <externalReference r:id="rId437"/>
    <externalReference r:id="rId438"/>
    <externalReference r:id="rId439"/>
    <externalReference r:id="rId440"/>
    <externalReference r:id="rId441"/>
    <externalReference r:id="rId442"/>
    <externalReference r:id="rId443"/>
    <externalReference r:id="rId444"/>
    <externalReference r:id="rId445"/>
    <externalReference r:id="rId446"/>
    <externalReference r:id="rId447"/>
    <externalReference r:id="rId448"/>
    <externalReference r:id="rId449"/>
    <externalReference r:id="rId450"/>
    <externalReference r:id="rId451"/>
    <externalReference r:id="rId452"/>
    <externalReference r:id="rId453"/>
    <externalReference r:id="rId454"/>
    <externalReference r:id="rId455"/>
    <externalReference r:id="rId456"/>
    <externalReference r:id="rId457"/>
    <externalReference r:id="rId458"/>
    <externalReference r:id="rId459"/>
    <externalReference r:id="rId460"/>
    <externalReference r:id="rId461"/>
    <externalReference r:id="rId462"/>
    <externalReference r:id="rId463"/>
    <externalReference r:id="rId464"/>
    <externalReference r:id="rId465"/>
    <externalReference r:id="rId466"/>
    <externalReference r:id="rId467"/>
    <externalReference r:id="rId468"/>
    <externalReference r:id="rId469"/>
    <externalReference r:id="rId470"/>
    <externalReference r:id="rId471"/>
    <externalReference r:id="rId472"/>
    <externalReference r:id="rId473"/>
    <externalReference r:id="rId474"/>
    <externalReference r:id="rId475"/>
    <externalReference r:id="rId476"/>
    <externalReference r:id="rId477"/>
    <externalReference r:id="rId478"/>
    <externalReference r:id="rId479"/>
    <externalReference r:id="rId480"/>
    <externalReference r:id="rId481"/>
    <externalReference r:id="rId482"/>
    <externalReference r:id="rId483"/>
    <externalReference r:id="rId484"/>
    <externalReference r:id="rId485"/>
    <externalReference r:id="rId486"/>
    <externalReference r:id="rId487"/>
    <externalReference r:id="rId488"/>
    <externalReference r:id="rId489"/>
    <externalReference r:id="rId490"/>
    <externalReference r:id="rId491"/>
    <externalReference r:id="rId492"/>
    <externalReference r:id="rId493"/>
    <externalReference r:id="rId494"/>
    <externalReference r:id="rId495"/>
    <externalReference r:id="rId496"/>
    <externalReference r:id="rId497"/>
    <externalReference r:id="rId498"/>
    <externalReference r:id="rId499"/>
    <externalReference r:id="rId500"/>
    <externalReference r:id="rId501"/>
    <externalReference r:id="rId502"/>
    <externalReference r:id="rId503"/>
    <externalReference r:id="rId504"/>
    <externalReference r:id="rId505"/>
    <externalReference r:id="rId506"/>
    <externalReference r:id="rId507"/>
    <externalReference r:id="rId508"/>
    <externalReference r:id="rId509"/>
    <externalReference r:id="rId510"/>
    <externalReference r:id="rId511"/>
    <externalReference r:id="rId512"/>
    <externalReference r:id="rId513"/>
    <externalReference r:id="rId514"/>
    <externalReference r:id="rId515"/>
    <externalReference r:id="rId516"/>
    <externalReference r:id="rId517"/>
    <externalReference r:id="rId518"/>
    <externalReference r:id="rId519"/>
    <externalReference r:id="rId520"/>
    <externalReference r:id="rId521"/>
    <externalReference r:id="rId522"/>
    <externalReference r:id="rId523"/>
    <externalReference r:id="rId524"/>
    <externalReference r:id="rId525"/>
    <externalReference r:id="rId526"/>
    <externalReference r:id="rId527"/>
    <externalReference r:id="rId528"/>
    <externalReference r:id="rId529"/>
    <externalReference r:id="rId530"/>
    <externalReference r:id="rId531"/>
    <externalReference r:id="rId532"/>
    <externalReference r:id="rId533"/>
    <externalReference r:id="rId534"/>
    <externalReference r:id="rId535"/>
    <externalReference r:id="rId536"/>
    <externalReference r:id="rId537"/>
    <externalReference r:id="rId538"/>
    <externalReference r:id="rId539"/>
    <externalReference r:id="rId540"/>
    <externalReference r:id="rId541"/>
    <externalReference r:id="rId542"/>
    <externalReference r:id="rId543"/>
    <externalReference r:id="rId544"/>
    <externalReference r:id="rId545"/>
    <externalReference r:id="rId546"/>
    <externalReference r:id="rId547"/>
    <externalReference r:id="rId548"/>
    <externalReference r:id="rId549"/>
    <externalReference r:id="rId550"/>
    <externalReference r:id="rId551"/>
    <externalReference r:id="rId552"/>
    <externalReference r:id="rId553"/>
    <externalReference r:id="rId554"/>
    <externalReference r:id="rId555"/>
    <externalReference r:id="rId556"/>
    <externalReference r:id="rId557"/>
    <externalReference r:id="rId558"/>
    <externalReference r:id="rId559"/>
    <externalReference r:id="rId560"/>
    <externalReference r:id="rId561"/>
    <externalReference r:id="rId562"/>
    <externalReference r:id="rId563"/>
    <externalReference r:id="rId564"/>
    <externalReference r:id="rId565"/>
    <externalReference r:id="rId566"/>
    <externalReference r:id="rId567"/>
    <externalReference r:id="rId568"/>
    <externalReference r:id="rId569"/>
    <externalReference r:id="rId570"/>
    <externalReference r:id="rId571"/>
    <externalReference r:id="rId572"/>
    <externalReference r:id="rId573"/>
    <externalReference r:id="rId574"/>
    <externalReference r:id="rId575"/>
    <externalReference r:id="rId576"/>
    <externalReference r:id="rId577"/>
    <externalReference r:id="rId578"/>
    <externalReference r:id="rId579"/>
    <externalReference r:id="rId580"/>
    <externalReference r:id="rId581"/>
    <externalReference r:id="rId582"/>
    <externalReference r:id="rId583"/>
    <externalReference r:id="rId584"/>
    <externalReference r:id="rId585"/>
    <externalReference r:id="rId586"/>
    <externalReference r:id="rId587"/>
    <externalReference r:id="rId588"/>
    <externalReference r:id="rId589"/>
    <externalReference r:id="rId590"/>
    <externalReference r:id="rId591"/>
    <externalReference r:id="rId592"/>
    <externalReference r:id="rId593"/>
    <externalReference r:id="rId594"/>
    <externalReference r:id="rId595"/>
    <externalReference r:id="rId596"/>
    <externalReference r:id="rId597"/>
    <externalReference r:id="rId598"/>
    <externalReference r:id="rId599"/>
    <externalReference r:id="rId600"/>
    <externalReference r:id="rId601"/>
    <externalReference r:id="rId602"/>
    <externalReference r:id="rId603"/>
    <externalReference r:id="rId604"/>
    <externalReference r:id="rId605"/>
    <externalReference r:id="rId606"/>
    <externalReference r:id="rId607"/>
    <externalReference r:id="rId608"/>
    <externalReference r:id="rId609"/>
    <externalReference r:id="rId610"/>
    <externalReference r:id="rId611"/>
    <externalReference r:id="rId612"/>
    <externalReference r:id="rId613"/>
    <externalReference r:id="rId614"/>
    <externalReference r:id="rId615"/>
    <externalReference r:id="rId616"/>
    <externalReference r:id="rId617"/>
    <externalReference r:id="rId618"/>
    <externalReference r:id="rId619"/>
    <externalReference r:id="rId620"/>
    <externalReference r:id="rId621"/>
    <externalReference r:id="rId622"/>
    <externalReference r:id="rId623"/>
    <externalReference r:id="rId624"/>
    <externalReference r:id="rId625"/>
    <externalReference r:id="rId626"/>
    <externalReference r:id="rId627"/>
    <externalReference r:id="rId628"/>
    <externalReference r:id="rId629"/>
    <externalReference r:id="rId630"/>
    <externalReference r:id="rId631"/>
    <externalReference r:id="rId632"/>
    <externalReference r:id="rId633"/>
    <externalReference r:id="rId634"/>
    <externalReference r:id="rId635"/>
    <externalReference r:id="rId636"/>
    <externalReference r:id="rId637"/>
    <externalReference r:id="rId638"/>
    <externalReference r:id="rId639"/>
    <externalReference r:id="rId640"/>
    <externalReference r:id="rId641"/>
    <externalReference r:id="rId642"/>
    <externalReference r:id="rId643"/>
    <externalReference r:id="rId644"/>
    <externalReference r:id="rId645"/>
    <externalReference r:id="rId646"/>
    <externalReference r:id="rId647"/>
    <externalReference r:id="rId648"/>
    <externalReference r:id="rId649"/>
    <externalReference r:id="rId650"/>
    <externalReference r:id="rId651"/>
    <externalReference r:id="rId652"/>
    <externalReference r:id="rId653"/>
    <externalReference r:id="rId654"/>
    <externalReference r:id="rId655"/>
    <externalReference r:id="rId656"/>
    <externalReference r:id="rId657"/>
    <externalReference r:id="rId658"/>
    <externalReference r:id="rId659"/>
    <externalReference r:id="rId660"/>
    <externalReference r:id="rId661"/>
    <externalReference r:id="rId662"/>
    <externalReference r:id="rId663"/>
    <externalReference r:id="rId664"/>
    <externalReference r:id="rId665"/>
    <externalReference r:id="rId666"/>
    <externalReference r:id="rId667"/>
    <externalReference r:id="rId668"/>
    <externalReference r:id="rId669"/>
    <externalReference r:id="rId670"/>
    <externalReference r:id="rId671"/>
    <externalReference r:id="rId672"/>
    <externalReference r:id="rId673"/>
    <externalReference r:id="rId674"/>
    <externalReference r:id="rId675"/>
    <externalReference r:id="rId676"/>
    <externalReference r:id="rId677"/>
    <externalReference r:id="rId678"/>
    <externalReference r:id="rId679"/>
    <externalReference r:id="rId680"/>
    <externalReference r:id="rId681"/>
    <externalReference r:id="rId682"/>
    <externalReference r:id="rId683"/>
    <externalReference r:id="rId684"/>
    <externalReference r:id="rId685"/>
    <externalReference r:id="rId686"/>
    <externalReference r:id="rId687"/>
    <externalReference r:id="rId688"/>
    <externalReference r:id="rId689"/>
    <externalReference r:id="rId690"/>
    <externalReference r:id="rId691"/>
    <externalReference r:id="rId692"/>
    <externalReference r:id="rId693"/>
    <externalReference r:id="rId694"/>
    <externalReference r:id="rId695"/>
    <externalReference r:id="rId696"/>
    <externalReference r:id="rId697"/>
    <externalReference r:id="rId698"/>
    <externalReference r:id="rId699"/>
    <externalReference r:id="rId700"/>
    <externalReference r:id="rId701"/>
    <externalReference r:id="rId702"/>
    <externalReference r:id="rId703"/>
    <externalReference r:id="rId704"/>
    <externalReference r:id="rId705"/>
    <externalReference r:id="rId706"/>
    <externalReference r:id="rId707"/>
    <externalReference r:id="rId708"/>
    <externalReference r:id="rId709"/>
    <externalReference r:id="rId710"/>
    <externalReference r:id="rId711"/>
    <externalReference r:id="rId712"/>
    <externalReference r:id="rId713"/>
    <externalReference r:id="rId714"/>
    <externalReference r:id="rId715"/>
    <externalReference r:id="rId716"/>
    <externalReference r:id="rId717"/>
    <externalReference r:id="rId718"/>
    <externalReference r:id="rId719"/>
    <externalReference r:id="rId720"/>
    <externalReference r:id="rId721"/>
    <externalReference r:id="rId722"/>
    <externalReference r:id="rId723"/>
    <externalReference r:id="rId724"/>
    <externalReference r:id="rId725"/>
    <externalReference r:id="rId726"/>
    <externalReference r:id="rId727"/>
    <externalReference r:id="rId728"/>
    <externalReference r:id="rId729"/>
    <externalReference r:id="rId730"/>
    <externalReference r:id="rId731"/>
    <externalReference r:id="rId732"/>
    <externalReference r:id="rId733"/>
    <externalReference r:id="rId734"/>
    <externalReference r:id="rId735"/>
    <externalReference r:id="rId736"/>
    <externalReference r:id="rId737"/>
    <externalReference r:id="rId738"/>
    <externalReference r:id="rId739"/>
    <externalReference r:id="rId740"/>
    <externalReference r:id="rId741"/>
    <externalReference r:id="rId742"/>
    <externalReference r:id="rId743"/>
    <externalReference r:id="rId744"/>
    <externalReference r:id="rId745"/>
    <externalReference r:id="rId746"/>
    <externalReference r:id="rId747"/>
    <externalReference r:id="rId748"/>
    <externalReference r:id="rId749"/>
    <externalReference r:id="rId750"/>
    <externalReference r:id="rId751"/>
    <externalReference r:id="rId752"/>
    <externalReference r:id="rId753"/>
    <externalReference r:id="rId754"/>
    <externalReference r:id="rId755"/>
    <externalReference r:id="rId756"/>
    <externalReference r:id="rId757"/>
    <externalReference r:id="rId758"/>
    <externalReference r:id="rId759"/>
    <externalReference r:id="rId760"/>
    <externalReference r:id="rId761"/>
    <externalReference r:id="rId762"/>
    <externalReference r:id="rId763"/>
    <externalReference r:id="rId764"/>
    <externalReference r:id="rId765"/>
    <externalReference r:id="rId766"/>
    <externalReference r:id="rId767"/>
    <externalReference r:id="rId768"/>
    <externalReference r:id="rId769"/>
    <externalReference r:id="rId770"/>
    <externalReference r:id="rId771"/>
    <externalReference r:id="rId772"/>
    <externalReference r:id="rId773"/>
    <externalReference r:id="rId774"/>
    <externalReference r:id="rId775"/>
    <externalReference r:id="rId776"/>
    <externalReference r:id="rId777"/>
    <externalReference r:id="rId778"/>
    <externalReference r:id="rId779"/>
    <externalReference r:id="rId780"/>
    <externalReference r:id="rId781"/>
    <externalReference r:id="rId782"/>
    <externalReference r:id="rId783"/>
    <externalReference r:id="rId784"/>
    <externalReference r:id="rId785"/>
    <externalReference r:id="rId786"/>
    <externalReference r:id="rId787"/>
    <externalReference r:id="rId788"/>
    <externalReference r:id="rId789"/>
    <externalReference r:id="rId790"/>
    <externalReference r:id="rId791"/>
    <externalReference r:id="rId792"/>
    <externalReference r:id="rId793"/>
    <externalReference r:id="rId794"/>
    <externalReference r:id="rId795"/>
    <externalReference r:id="rId796"/>
    <externalReference r:id="rId797"/>
    <externalReference r:id="rId798"/>
    <externalReference r:id="rId799"/>
    <externalReference r:id="rId800"/>
    <externalReference r:id="rId801"/>
    <externalReference r:id="rId802"/>
    <externalReference r:id="rId803"/>
    <externalReference r:id="rId804"/>
    <externalReference r:id="rId805"/>
    <externalReference r:id="rId806"/>
    <externalReference r:id="rId807"/>
    <externalReference r:id="rId808"/>
    <externalReference r:id="rId809"/>
    <externalReference r:id="rId810"/>
    <externalReference r:id="rId811"/>
    <externalReference r:id="rId812"/>
    <externalReference r:id="rId813"/>
    <externalReference r:id="rId814"/>
    <externalReference r:id="rId815"/>
    <externalReference r:id="rId816"/>
    <externalReference r:id="rId817"/>
    <externalReference r:id="rId818"/>
    <externalReference r:id="rId819"/>
    <externalReference r:id="rId820"/>
    <externalReference r:id="rId821"/>
    <externalReference r:id="rId822"/>
    <externalReference r:id="rId823"/>
    <externalReference r:id="rId824"/>
    <externalReference r:id="rId825"/>
    <externalReference r:id="rId826"/>
    <externalReference r:id="rId827"/>
    <externalReference r:id="rId828"/>
    <externalReference r:id="rId829"/>
    <externalReference r:id="rId830"/>
    <externalReference r:id="rId83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6" l="1"/>
  <c r="L4" i="16"/>
  <c r="L5" i="16"/>
  <c r="L6" i="16"/>
  <c r="L7" i="16"/>
  <c r="L8" i="16"/>
  <c r="L9" i="16"/>
  <c r="L10" i="16"/>
  <c r="L11" i="16"/>
  <c r="L12" i="16"/>
  <c r="L13" i="16"/>
  <c r="L14" i="16"/>
  <c r="L15" i="16"/>
  <c r="L16" i="16"/>
  <c r="L17" i="16"/>
  <c r="L18" i="16"/>
  <c r="L19" i="16"/>
  <c r="L20" i="16"/>
  <c r="L21" i="16"/>
  <c r="L22" i="16"/>
  <c r="L23" i="16"/>
  <c r="L24" i="16"/>
  <c r="L25" i="16"/>
  <c r="L26" i="16"/>
  <c r="L27" i="16"/>
  <c r="L28" i="16"/>
  <c r="L29" i="16"/>
  <c r="L30" i="16"/>
  <c r="L31" i="16"/>
  <c r="L32" i="16"/>
  <c r="L33" i="16"/>
  <c r="L34" i="16"/>
  <c r="L35" i="16"/>
  <c r="L36" i="16"/>
  <c r="L37" i="16"/>
  <c r="L38" i="16"/>
  <c r="L39" i="16"/>
  <c r="L40" i="16"/>
  <c r="L41" i="16"/>
  <c r="L42" i="16"/>
  <c r="L43" i="16"/>
  <c r="L44" i="16"/>
  <c r="L45" i="16"/>
  <c r="L46" i="16"/>
  <c r="L47" i="16"/>
  <c r="L48" i="16"/>
  <c r="L49" i="16"/>
  <c r="L50" i="16"/>
  <c r="L51" i="16"/>
  <c r="L52" i="16"/>
  <c r="L53" i="16"/>
  <c r="L54" i="16"/>
  <c r="L55" i="16"/>
  <c r="L56" i="16"/>
  <c r="L57" i="16"/>
  <c r="L58" i="16"/>
  <c r="L59" i="16"/>
  <c r="L60" i="16"/>
  <c r="L61" i="16"/>
  <c r="L62" i="16"/>
  <c r="L63" i="16"/>
  <c r="L64" i="16"/>
  <c r="L65" i="16"/>
  <c r="L66" i="16"/>
  <c r="L67" i="16"/>
  <c r="L68" i="16"/>
  <c r="L69" i="16"/>
  <c r="L70" i="16"/>
  <c r="L71" i="16"/>
  <c r="L72" i="16"/>
  <c r="L73" i="16"/>
  <c r="L74" i="16"/>
  <c r="L75" i="16"/>
  <c r="L76" i="16"/>
  <c r="L77" i="16"/>
  <c r="L78" i="16"/>
  <c r="L79" i="16"/>
  <c r="L80" i="16"/>
  <c r="L81" i="16"/>
  <c r="L82" i="16"/>
  <c r="L83" i="16"/>
  <c r="L84" i="16"/>
  <c r="L85" i="16"/>
  <c r="L86" i="16"/>
  <c r="L87" i="16"/>
  <c r="L88" i="16"/>
  <c r="L89" i="16"/>
  <c r="L90" i="16"/>
  <c r="L91" i="16"/>
  <c r="L92" i="16"/>
  <c r="L93" i="16"/>
  <c r="L94" i="16"/>
  <c r="L95" i="16"/>
  <c r="L96" i="16"/>
  <c r="L97" i="16"/>
  <c r="L98" i="16"/>
  <c r="L99" i="16"/>
  <c r="L100" i="16"/>
  <c r="L101" i="16"/>
  <c r="L102" i="16"/>
  <c r="L103" i="16"/>
  <c r="L104" i="16"/>
  <c r="L105" i="16"/>
  <c r="L106" i="16"/>
  <c r="L107" i="16"/>
  <c r="L108" i="16"/>
  <c r="L109" i="16"/>
  <c r="L110" i="16"/>
  <c r="L111" i="16"/>
  <c r="L112" i="16"/>
  <c r="L113" i="16"/>
  <c r="L114" i="16"/>
  <c r="L115" i="16"/>
  <c r="L116" i="16"/>
  <c r="L117" i="16"/>
  <c r="L118" i="16"/>
  <c r="L119" i="16"/>
  <c r="L120" i="16"/>
  <c r="L121" i="16"/>
  <c r="L122" i="16"/>
  <c r="L123" i="16"/>
  <c r="L124" i="16"/>
  <c r="L125" i="16"/>
  <c r="L126" i="16"/>
  <c r="L127" i="16"/>
  <c r="L128" i="16"/>
  <c r="L129" i="16"/>
  <c r="L130" i="16"/>
  <c r="L131" i="16"/>
  <c r="L132" i="16"/>
  <c r="L133" i="16"/>
  <c r="L134" i="16"/>
  <c r="L135" i="16"/>
  <c r="L136" i="16"/>
  <c r="L137" i="16"/>
  <c r="L138" i="16"/>
  <c r="L139" i="16"/>
  <c r="L140" i="16"/>
  <c r="L141" i="16"/>
  <c r="L142" i="16"/>
  <c r="L143" i="16"/>
  <c r="L144" i="16"/>
  <c r="L145" i="16"/>
  <c r="L146" i="16"/>
  <c r="L147" i="16"/>
  <c r="L148" i="16"/>
  <c r="L149" i="16"/>
  <c r="L150" i="16"/>
  <c r="L151" i="16"/>
  <c r="L152" i="16"/>
  <c r="L153" i="16"/>
  <c r="L154" i="16"/>
  <c r="L155" i="16"/>
  <c r="L156" i="16"/>
  <c r="L157" i="16"/>
  <c r="L158" i="16"/>
  <c r="L159" i="16"/>
  <c r="L160" i="16"/>
  <c r="L161" i="16"/>
  <c r="L162" i="16"/>
  <c r="L163" i="16"/>
  <c r="L164" i="16"/>
  <c r="L165" i="16"/>
  <c r="L166" i="16"/>
  <c r="L167" i="16"/>
  <c r="L168" i="16"/>
  <c r="L169" i="16"/>
  <c r="L170" i="16"/>
  <c r="L171" i="16"/>
  <c r="L172" i="16"/>
  <c r="L173" i="16"/>
  <c r="L174" i="16"/>
  <c r="L175" i="16"/>
  <c r="L176" i="16"/>
  <c r="L177" i="16"/>
  <c r="L178" i="16"/>
  <c r="L179" i="16"/>
  <c r="L180" i="16"/>
  <c r="L181" i="16"/>
  <c r="L182" i="16"/>
  <c r="L183" i="16"/>
  <c r="L184" i="16"/>
  <c r="L185" i="16"/>
  <c r="L186" i="16"/>
  <c r="L187" i="16"/>
  <c r="L188" i="16"/>
  <c r="L189" i="16"/>
  <c r="L190" i="16"/>
  <c r="L191" i="16"/>
  <c r="L192" i="16"/>
  <c r="L193" i="16"/>
  <c r="L194" i="16"/>
  <c r="L195" i="16"/>
  <c r="L196" i="16"/>
  <c r="L197" i="16"/>
  <c r="L198" i="16"/>
  <c r="L199" i="16"/>
  <c r="L200" i="16"/>
  <c r="L201" i="16"/>
  <c r="L202" i="16"/>
  <c r="L203" i="16"/>
  <c r="L204" i="16"/>
  <c r="L205" i="16"/>
  <c r="L206" i="16"/>
  <c r="L207" i="16"/>
  <c r="L208" i="16"/>
  <c r="L209" i="16"/>
  <c r="L210" i="16"/>
  <c r="L211" i="16"/>
  <c r="L212" i="16"/>
  <c r="L213" i="16"/>
  <c r="L214" i="16"/>
  <c r="L215" i="16"/>
  <c r="L216" i="16"/>
  <c r="L217" i="16"/>
  <c r="L218" i="16"/>
  <c r="L219" i="16"/>
  <c r="L220" i="16"/>
  <c r="L221" i="16"/>
  <c r="L222" i="16"/>
  <c r="L223" i="16"/>
  <c r="L224" i="16"/>
  <c r="L225" i="16"/>
  <c r="L226" i="16"/>
  <c r="L227" i="16"/>
  <c r="L228" i="16"/>
  <c r="L229" i="16"/>
  <c r="L230" i="16"/>
  <c r="L231" i="16"/>
  <c r="L232" i="16"/>
  <c r="L233" i="16"/>
  <c r="L234" i="16"/>
  <c r="L235" i="16"/>
  <c r="L236" i="16"/>
  <c r="L237" i="16"/>
  <c r="L238" i="16"/>
  <c r="L239" i="16"/>
  <c r="L240" i="16"/>
  <c r="L241" i="16"/>
  <c r="L242" i="16"/>
  <c r="L243" i="16"/>
  <c r="L244" i="16"/>
  <c r="L245" i="16"/>
  <c r="L246" i="16"/>
  <c r="L247" i="16"/>
  <c r="L248" i="16"/>
  <c r="L249" i="16"/>
  <c r="L250" i="16"/>
  <c r="L251" i="16"/>
  <c r="L252" i="16"/>
  <c r="L253" i="16"/>
  <c r="L254" i="16"/>
  <c r="L255" i="16"/>
  <c r="L256" i="16"/>
  <c r="L257" i="16"/>
  <c r="L258" i="16"/>
  <c r="L259" i="16"/>
  <c r="L260" i="16"/>
  <c r="L261" i="16"/>
  <c r="L262" i="16"/>
  <c r="L263" i="16"/>
  <c r="L264" i="16"/>
  <c r="L265" i="16"/>
  <c r="L266" i="16"/>
  <c r="L267" i="16"/>
  <c r="L268" i="16"/>
  <c r="L269" i="16"/>
  <c r="L270" i="16"/>
  <c r="L271" i="16"/>
  <c r="L272" i="16"/>
  <c r="L273" i="16"/>
  <c r="L274" i="16"/>
  <c r="L275" i="16"/>
  <c r="L276" i="16"/>
  <c r="L277" i="16"/>
  <c r="L278" i="16"/>
  <c r="L279" i="16"/>
  <c r="L280" i="16"/>
  <c r="L281" i="16"/>
  <c r="L282" i="16"/>
  <c r="L283" i="16"/>
  <c r="L284" i="16"/>
  <c r="L285" i="16"/>
  <c r="L286" i="16"/>
  <c r="L287" i="16"/>
  <c r="L288" i="16"/>
  <c r="L289" i="16"/>
  <c r="L290" i="16"/>
  <c r="L291" i="16"/>
  <c r="L292" i="16"/>
  <c r="L293" i="16"/>
  <c r="L294" i="16"/>
  <c r="L295" i="16"/>
  <c r="L296" i="16"/>
  <c r="L297" i="16"/>
  <c r="L298" i="16"/>
  <c r="L299" i="16"/>
  <c r="L300" i="16"/>
  <c r="L301" i="16"/>
  <c r="L302" i="16"/>
  <c r="L303" i="16"/>
  <c r="L304" i="16"/>
  <c r="L305" i="16"/>
  <c r="L306" i="16"/>
  <c r="L307" i="16"/>
  <c r="L308" i="16"/>
  <c r="L309" i="16"/>
  <c r="L310" i="16"/>
  <c r="L311" i="16"/>
  <c r="L312" i="16"/>
  <c r="L313" i="16"/>
  <c r="L314" i="16"/>
  <c r="L315" i="16"/>
  <c r="L316" i="16"/>
  <c r="L317" i="16"/>
  <c r="L318" i="16"/>
  <c r="L319" i="16"/>
  <c r="L320" i="16"/>
  <c r="L321" i="16"/>
  <c r="L322" i="16"/>
  <c r="L323" i="16"/>
  <c r="L324" i="16"/>
  <c r="L325" i="16"/>
  <c r="L326" i="16"/>
  <c r="L327" i="16"/>
  <c r="L328" i="16"/>
  <c r="L329" i="16"/>
  <c r="L330" i="16"/>
  <c r="L331" i="16"/>
  <c r="L332" i="16"/>
  <c r="L333" i="16"/>
  <c r="L334" i="16"/>
  <c r="L335" i="16"/>
  <c r="L336" i="16"/>
  <c r="L337" i="16"/>
  <c r="L338" i="16"/>
  <c r="L339" i="16"/>
  <c r="L340" i="16"/>
  <c r="L341" i="16"/>
  <c r="L342" i="16"/>
  <c r="L343" i="16"/>
  <c r="L344" i="16"/>
  <c r="L345" i="16"/>
  <c r="L346" i="16"/>
  <c r="L347" i="16"/>
  <c r="L348" i="16"/>
  <c r="L349" i="16"/>
  <c r="L350" i="16"/>
  <c r="L351" i="16"/>
  <c r="L352" i="16"/>
  <c r="L353" i="16"/>
  <c r="L354" i="16"/>
  <c r="L355" i="16"/>
  <c r="L356" i="16"/>
  <c r="L357" i="16"/>
  <c r="L358" i="16"/>
  <c r="L359" i="16"/>
  <c r="L360" i="16"/>
  <c r="L361" i="16"/>
  <c r="L362" i="16"/>
  <c r="L363" i="16"/>
  <c r="L364" i="16"/>
  <c r="L365" i="16"/>
  <c r="L366" i="16"/>
  <c r="L367" i="16"/>
  <c r="L368" i="16"/>
  <c r="L369" i="16"/>
  <c r="L370" i="16"/>
  <c r="L371" i="16"/>
  <c r="L372" i="16"/>
  <c r="L373" i="16"/>
  <c r="L374" i="16"/>
  <c r="L375" i="16"/>
  <c r="L376" i="16"/>
  <c r="L377" i="16"/>
  <c r="L378" i="16"/>
  <c r="L379" i="16"/>
  <c r="L380" i="16"/>
  <c r="L381" i="16"/>
  <c r="L382" i="16"/>
  <c r="L383" i="16"/>
  <c r="L384" i="16"/>
  <c r="L385" i="16"/>
  <c r="L386" i="16"/>
  <c r="L387" i="16"/>
  <c r="L388" i="16"/>
  <c r="L389" i="16"/>
  <c r="L390" i="16"/>
  <c r="L391" i="16"/>
  <c r="L392" i="16"/>
  <c r="L393" i="16"/>
  <c r="L394" i="16"/>
  <c r="L395" i="16"/>
  <c r="L396" i="16"/>
  <c r="L397" i="16"/>
  <c r="L398" i="16"/>
  <c r="L399" i="16"/>
  <c r="L400" i="16"/>
  <c r="L401" i="16"/>
  <c r="L402" i="16"/>
  <c r="L403" i="16"/>
  <c r="L404" i="16"/>
  <c r="L405" i="16"/>
  <c r="L406" i="16"/>
  <c r="L407" i="16"/>
  <c r="L408" i="16"/>
  <c r="L409" i="16"/>
  <c r="L410" i="16"/>
  <c r="L411" i="16"/>
  <c r="L412" i="16"/>
  <c r="L2" i="16"/>
  <c r="R2" i="2"/>
  <c r="S2" i="2"/>
  <c r="R3" i="2"/>
  <c r="S3" i="2"/>
  <c r="R4" i="2"/>
  <c r="S4" i="2"/>
  <c r="R5" i="2"/>
  <c r="S5" i="2"/>
  <c r="R6" i="2"/>
  <c r="S6" i="2"/>
  <c r="R7" i="2"/>
  <c r="S7" i="2"/>
  <c r="R8" i="2"/>
  <c r="S8" i="2"/>
  <c r="R9" i="2"/>
  <c r="S9" i="2"/>
  <c r="R10" i="2"/>
  <c r="S10" i="2"/>
  <c r="R11" i="2"/>
  <c r="S11" i="2"/>
  <c r="R12" i="2"/>
  <c r="S12" i="2"/>
  <c r="R13" i="2"/>
  <c r="S13" i="2"/>
  <c r="R14" i="2"/>
  <c r="S14" i="2"/>
  <c r="R15" i="2"/>
  <c r="S15" i="2"/>
  <c r="R16" i="2"/>
  <c r="S16" i="2"/>
  <c r="R17" i="2"/>
  <c r="S17" i="2"/>
  <c r="R18" i="2"/>
  <c r="S18" i="2"/>
  <c r="R19" i="2"/>
  <c r="S19" i="2"/>
  <c r="R20" i="2"/>
  <c r="S20" i="2"/>
  <c r="R21" i="2"/>
  <c r="S21" i="2"/>
  <c r="R22" i="2"/>
  <c r="S22" i="2"/>
  <c r="R23" i="2"/>
  <c r="S23" i="2"/>
  <c r="R24" i="2"/>
  <c r="S24" i="2"/>
  <c r="R25" i="2"/>
  <c r="S25" i="2"/>
  <c r="R26" i="2"/>
  <c r="S26" i="2"/>
  <c r="R27" i="2"/>
  <c r="S27" i="2"/>
  <c r="R28" i="2"/>
  <c r="S28" i="2"/>
  <c r="R29" i="2"/>
  <c r="S29" i="2"/>
  <c r="R30" i="2"/>
  <c r="S30" i="2"/>
  <c r="R31" i="2"/>
  <c r="S31" i="2"/>
  <c r="R32" i="2"/>
  <c r="S32" i="2"/>
  <c r="R33" i="2"/>
  <c r="S33" i="2"/>
  <c r="R34" i="2"/>
  <c r="S34" i="2"/>
  <c r="R35" i="2"/>
  <c r="S35" i="2"/>
  <c r="R36" i="2"/>
  <c r="S36" i="2"/>
  <c r="R37" i="2"/>
  <c r="S37" i="2"/>
  <c r="R38" i="2"/>
  <c r="S38" i="2"/>
  <c r="R39" i="2"/>
  <c r="S39" i="2"/>
  <c r="R40" i="2"/>
  <c r="S40" i="2"/>
  <c r="R41" i="2"/>
  <c r="S41" i="2"/>
  <c r="R42" i="2"/>
  <c r="S42" i="2"/>
  <c r="R43" i="2"/>
  <c r="S43" i="2"/>
  <c r="R44" i="2"/>
  <c r="S44" i="2"/>
  <c r="R45" i="2"/>
  <c r="S45" i="2"/>
  <c r="R46" i="2"/>
  <c r="S46" i="2"/>
  <c r="R47" i="2"/>
  <c r="S47" i="2"/>
  <c r="R48" i="2"/>
  <c r="S48" i="2"/>
  <c r="R49" i="2"/>
  <c r="S49" i="2"/>
  <c r="R50" i="2"/>
  <c r="S50" i="2"/>
  <c r="R51" i="2"/>
  <c r="S51" i="2"/>
  <c r="R52" i="2"/>
  <c r="S52" i="2"/>
  <c r="R53" i="2"/>
  <c r="S53" i="2"/>
  <c r="R54" i="2"/>
  <c r="S54" i="2"/>
  <c r="R55" i="2"/>
  <c r="S55" i="2"/>
  <c r="R56" i="2"/>
  <c r="S56" i="2"/>
  <c r="R57" i="2"/>
  <c r="S57" i="2"/>
  <c r="R58" i="2"/>
  <c r="S58" i="2"/>
  <c r="R59" i="2"/>
  <c r="S59" i="2"/>
  <c r="R60" i="2"/>
  <c r="S60" i="2"/>
  <c r="R61" i="2"/>
  <c r="S61" i="2"/>
  <c r="R62" i="2"/>
  <c r="S62" i="2"/>
  <c r="R63" i="2"/>
  <c r="S63" i="2"/>
  <c r="R64" i="2"/>
  <c r="S64" i="2"/>
  <c r="R65" i="2"/>
  <c r="S65" i="2"/>
  <c r="R66" i="2"/>
  <c r="S66" i="2"/>
  <c r="R67" i="2"/>
  <c r="S67" i="2"/>
  <c r="R68" i="2"/>
  <c r="S68" i="2"/>
  <c r="R69" i="2"/>
  <c r="S69" i="2"/>
  <c r="R70" i="2"/>
  <c r="S70" i="2"/>
  <c r="R71" i="2"/>
  <c r="S71" i="2"/>
  <c r="R72" i="2"/>
  <c r="S72" i="2"/>
  <c r="R73" i="2"/>
  <c r="S73" i="2"/>
  <c r="R74" i="2"/>
  <c r="S74" i="2"/>
  <c r="R75" i="2"/>
  <c r="S75" i="2"/>
  <c r="R76" i="2"/>
  <c r="S76" i="2"/>
  <c r="R77" i="2"/>
  <c r="S77" i="2"/>
  <c r="R78" i="2"/>
  <c r="S78" i="2"/>
  <c r="R79" i="2"/>
  <c r="S79" i="2"/>
  <c r="R80" i="2"/>
  <c r="S80" i="2"/>
  <c r="R81" i="2"/>
  <c r="S81" i="2"/>
  <c r="R82" i="2"/>
  <c r="S82" i="2"/>
  <c r="R83" i="2"/>
  <c r="S83" i="2"/>
  <c r="R84" i="2"/>
  <c r="S84" i="2"/>
  <c r="R85" i="2"/>
  <c r="S85" i="2"/>
  <c r="R86" i="2"/>
  <c r="S86" i="2"/>
  <c r="R87" i="2"/>
  <c r="S87" i="2"/>
  <c r="R88" i="2"/>
  <c r="S88" i="2"/>
  <c r="R89" i="2"/>
  <c r="S89" i="2"/>
  <c r="R90" i="2"/>
  <c r="S90" i="2"/>
  <c r="R91" i="2"/>
  <c r="S91" i="2"/>
  <c r="R92" i="2"/>
  <c r="S92" i="2"/>
  <c r="R93" i="2"/>
  <c r="S93" i="2"/>
  <c r="R94" i="2"/>
  <c r="S94" i="2"/>
  <c r="R95" i="2"/>
  <c r="S95" i="2"/>
  <c r="R96" i="2"/>
  <c r="S96" i="2"/>
  <c r="R97" i="2"/>
  <c r="S97" i="2"/>
  <c r="R98" i="2"/>
  <c r="S98" i="2"/>
  <c r="R99" i="2"/>
  <c r="S99" i="2"/>
  <c r="R100" i="2"/>
  <c r="S100" i="2"/>
  <c r="R101" i="2"/>
  <c r="S101" i="2"/>
  <c r="R102" i="2"/>
  <c r="S102" i="2"/>
  <c r="R103" i="2"/>
  <c r="S103" i="2"/>
  <c r="R104" i="2"/>
  <c r="S104" i="2"/>
  <c r="R105" i="2"/>
  <c r="S105" i="2"/>
  <c r="R106" i="2"/>
  <c r="S106" i="2"/>
  <c r="R107" i="2"/>
  <c r="S107" i="2"/>
  <c r="R108" i="2"/>
  <c r="S108" i="2"/>
  <c r="R109" i="2"/>
  <c r="S109" i="2"/>
  <c r="R110" i="2"/>
  <c r="S110" i="2"/>
  <c r="R111" i="2"/>
  <c r="S111" i="2"/>
  <c r="R112" i="2"/>
  <c r="S112" i="2"/>
  <c r="R113" i="2"/>
  <c r="S113" i="2"/>
  <c r="R114" i="2"/>
  <c r="S114" i="2"/>
  <c r="R115" i="2"/>
  <c r="S115" i="2"/>
  <c r="R116" i="2"/>
  <c r="S116" i="2"/>
  <c r="R117" i="2"/>
  <c r="S117" i="2"/>
  <c r="R118" i="2"/>
  <c r="S118" i="2"/>
  <c r="R119" i="2"/>
  <c r="S119" i="2"/>
  <c r="R120" i="2"/>
  <c r="S120" i="2"/>
  <c r="R121" i="2"/>
  <c r="S121" i="2"/>
  <c r="R122" i="2"/>
  <c r="S122" i="2"/>
  <c r="R123" i="2"/>
  <c r="S123" i="2"/>
  <c r="R124" i="2"/>
  <c r="S124" i="2"/>
  <c r="R125" i="2"/>
  <c r="S125" i="2"/>
  <c r="R126" i="2"/>
  <c r="S126" i="2"/>
  <c r="R127" i="2"/>
  <c r="S127" i="2"/>
  <c r="R128" i="2"/>
  <c r="S128" i="2"/>
  <c r="R129" i="2"/>
  <c r="S129" i="2"/>
  <c r="R130" i="2"/>
  <c r="S130" i="2"/>
  <c r="R131" i="2"/>
  <c r="S131" i="2"/>
  <c r="R132" i="2"/>
  <c r="S132" i="2"/>
  <c r="R133" i="2"/>
  <c r="S133" i="2"/>
  <c r="R134" i="2"/>
  <c r="S134" i="2"/>
  <c r="R135" i="2"/>
  <c r="S135" i="2"/>
  <c r="R136" i="2"/>
  <c r="S136" i="2"/>
  <c r="R137" i="2"/>
  <c r="S137" i="2"/>
  <c r="R138" i="2"/>
  <c r="S138" i="2"/>
  <c r="R139" i="2"/>
  <c r="S139" i="2"/>
  <c r="R140" i="2"/>
  <c r="S140" i="2"/>
  <c r="R141" i="2"/>
  <c r="S141" i="2"/>
  <c r="R142" i="2"/>
  <c r="S142" i="2"/>
  <c r="R143" i="2"/>
  <c r="S143" i="2"/>
  <c r="R144" i="2"/>
  <c r="S144" i="2"/>
  <c r="R145" i="2"/>
  <c r="S145" i="2"/>
  <c r="R146" i="2"/>
  <c r="S146" i="2"/>
  <c r="R147" i="2"/>
  <c r="S147" i="2"/>
  <c r="R148" i="2"/>
  <c r="S148" i="2"/>
  <c r="R149" i="2"/>
  <c r="S149" i="2"/>
  <c r="R150" i="2"/>
  <c r="S150" i="2"/>
  <c r="R151" i="2"/>
  <c r="S151" i="2"/>
  <c r="R152" i="2"/>
  <c r="S152" i="2"/>
  <c r="R153" i="2"/>
  <c r="S153" i="2"/>
  <c r="R154" i="2"/>
  <c r="S154" i="2"/>
  <c r="R155" i="2"/>
  <c r="S155" i="2"/>
  <c r="R156" i="2"/>
  <c r="S156" i="2"/>
  <c r="R157" i="2"/>
  <c r="S157" i="2"/>
  <c r="R158" i="2"/>
  <c r="S158" i="2"/>
  <c r="R159" i="2"/>
  <c r="S159" i="2"/>
  <c r="R160" i="2"/>
  <c r="S160" i="2"/>
  <c r="R161" i="2"/>
  <c r="S161" i="2"/>
  <c r="R162" i="2"/>
  <c r="S162" i="2"/>
  <c r="R163" i="2"/>
  <c r="S163" i="2"/>
  <c r="R164" i="2"/>
  <c r="S164" i="2"/>
  <c r="R165" i="2"/>
  <c r="S165" i="2"/>
  <c r="R166" i="2"/>
  <c r="S166" i="2"/>
  <c r="R167" i="2"/>
  <c r="S167" i="2"/>
  <c r="R168" i="2"/>
  <c r="S168" i="2"/>
  <c r="R169" i="2"/>
  <c r="S169" i="2"/>
  <c r="R170" i="2"/>
  <c r="S170" i="2"/>
  <c r="R171" i="2"/>
  <c r="S171" i="2"/>
  <c r="R172" i="2"/>
  <c r="S172" i="2"/>
  <c r="R173" i="2"/>
  <c r="S173" i="2"/>
  <c r="R174" i="2"/>
  <c r="S174" i="2"/>
  <c r="R175" i="2"/>
  <c r="S175" i="2"/>
  <c r="R176" i="2"/>
  <c r="S176" i="2"/>
  <c r="R177" i="2"/>
  <c r="S177" i="2"/>
  <c r="R178" i="2"/>
  <c r="S178" i="2"/>
  <c r="R179" i="2"/>
  <c r="S179" i="2"/>
  <c r="R180" i="2"/>
  <c r="S180" i="2"/>
  <c r="R181" i="2"/>
  <c r="S181" i="2"/>
  <c r="R182" i="2"/>
  <c r="S182" i="2"/>
  <c r="R183" i="2"/>
  <c r="S183" i="2"/>
  <c r="R184" i="2"/>
  <c r="S184" i="2"/>
  <c r="R185" i="2"/>
  <c r="S185" i="2"/>
  <c r="R186" i="2"/>
  <c r="S186" i="2"/>
  <c r="R187" i="2"/>
  <c r="S187" i="2"/>
  <c r="R188" i="2"/>
  <c r="S188" i="2"/>
  <c r="R189" i="2"/>
  <c r="S189" i="2"/>
  <c r="R190" i="2"/>
  <c r="S190" i="2"/>
  <c r="R191" i="2"/>
  <c r="S191" i="2"/>
  <c r="R192" i="2"/>
  <c r="S192" i="2"/>
  <c r="R193" i="2"/>
  <c r="S193" i="2"/>
  <c r="R194" i="2"/>
  <c r="S194" i="2"/>
  <c r="R195" i="2"/>
  <c r="S195" i="2"/>
  <c r="R196" i="2"/>
  <c r="S196" i="2"/>
  <c r="R197" i="2"/>
  <c r="S197" i="2"/>
  <c r="R198" i="2"/>
  <c r="S198" i="2"/>
  <c r="R199" i="2"/>
  <c r="S199" i="2"/>
  <c r="R200" i="2"/>
  <c r="S200" i="2"/>
  <c r="R201" i="2"/>
  <c r="S201" i="2"/>
  <c r="R202" i="2"/>
  <c r="S202" i="2"/>
  <c r="R203" i="2"/>
  <c r="S203" i="2"/>
  <c r="R204" i="2"/>
  <c r="S204" i="2"/>
  <c r="R205" i="2"/>
  <c r="S205" i="2"/>
  <c r="R206" i="2"/>
  <c r="S206" i="2"/>
  <c r="R207" i="2"/>
  <c r="S207" i="2"/>
  <c r="R208" i="2"/>
  <c r="S208" i="2"/>
  <c r="R209" i="2"/>
  <c r="S209" i="2"/>
  <c r="R210" i="2"/>
  <c r="S210" i="2"/>
  <c r="R211" i="2"/>
  <c r="S211" i="2"/>
  <c r="R212" i="2"/>
  <c r="S212" i="2"/>
  <c r="R213" i="2"/>
  <c r="S213" i="2"/>
  <c r="R214" i="2"/>
  <c r="S214" i="2"/>
  <c r="R215" i="2"/>
  <c r="S215" i="2"/>
  <c r="R216" i="2"/>
  <c r="S216" i="2"/>
  <c r="R217" i="2"/>
  <c r="S217" i="2"/>
  <c r="R218" i="2"/>
  <c r="S218" i="2"/>
  <c r="R219" i="2"/>
  <c r="S219" i="2"/>
  <c r="R220" i="2"/>
  <c r="S220" i="2"/>
  <c r="R221" i="2"/>
  <c r="S221" i="2"/>
  <c r="R222" i="2"/>
  <c r="S222" i="2"/>
  <c r="R223" i="2"/>
  <c r="S223" i="2"/>
  <c r="R224" i="2"/>
  <c r="S224" i="2"/>
  <c r="R225" i="2"/>
  <c r="S225" i="2"/>
  <c r="R226" i="2"/>
  <c r="S226" i="2"/>
  <c r="R227" i="2"/>
  <c r="S227" i="2"/>
  <c r="R228" i="2"/>
  <c r="S228" i="2"/>
  <c r="R229" i="2"/>
  <c r="S229" i="2"/>
  <c r="R230" i="2"/>
  <c r="S230" i="2"/>
  <c r="R231" i="2"/>
  <c r="S231" i="2"/>
  <c r="R232" i="2"/>
  <c r="S232" i="2"/>
  <c r="R233" i="2"/>
  <c r="S233" i="2"/>
  <c r="R234" i="2"/>
  <c r="S234" i="2"/>
  <c r="R235" i="2"/>
  <c r="S235" i="2"/>
  <c r="R236" i="2"/>
  <c r="S236" i="2"/>
  <c r="R237" i="2"/>
  <c r="S237" i="2"/>
  <c r="R238" i="2"/>
  <c r="S238" i="2"/>
  <c r="R239" i="2"/>
  <c r="S239" i="2"/>
  <c r="R240" i="2"/>
  <c r="S240" i="2"/>
  <c r="R241" i="2"/>
  <c r="S241" i="2"/>
  <c r="R242" i="2"/>
  <c r="S242" i="2"/>
  <c r="R243" i="2"/>
  <c r="S243" i="2"/>
  <c r="R244" i="2"/>
  <c r="S244" i="2"/>
  <c r="R245" i="2"/>
  <c r="S245" i="2"/>
  <c r="R246" i="2"/>
  <c r="S246" i="2"/>
  <c r="R247" i="2"/>
  <c r="S247" i="2"/>
  <c r="R248" i="2"/>
  <c r="S248" i="2"/>
  <c r="R249" i="2"/>
  <c r="S249" i="2"/>
  <c r="R250" i="2"/>
  <c r="S250" i="2"/>
  <c r="R251" i="2"/>
  <c r="S251" i="2"/>
  <c r="R252" i="2"/>
  <c r="S252" i="2"/>
  <c r="R253" i="2"/>
  <c r="S253" i="2"/>
  <c r="R254" i="2"/>
  <c r="S254" i="2"/>
  <c r="R255" i="2"/>
  <c r="S255" i="2"/>
  <c r="R256" i="2"/>
  <c r="S256" i="2"/>
  <c r="R257" i="2"/>
  <c r="S257" i="2"/>
  <c r="R258" i="2"/>
  <c r="S258" i="2"/>
  <c r="R259" i="2"/>
  <c r="S259" i="2"/>
  <c r="R260" i="2"/>
  <c r="S260" i="2"/>
  <c r="R261" i="2"/>
  <c r="S261" i="2"/>
  <c r="R262" i="2"/>
  <c r="S262" i="2"/>
  <c r="R263" i="2"/>
  <c r="S263" i="2"/>
  <c r="R264" i="2"/>
  <c r="S264" i="2"/>
  <c r="R265" i="2"/>
  <c r="S265" i="2"/>
  <c r="R266" i="2"/>
  <c r="S266" i="2"/>
  <c r="R267" i="2"/>
  <c r="S267" i="2"/>
  <c r="R268" i="2"/>
  <c r="S268" i="2"/>
  <c r="R269" i="2"/>
  <c r="S269" i="2"/>
  <c r="R270" i="2"/>
  <c r="S270" i="2"/>
  <c r="R271" i="2"/>
  <c r="S271" i="2"/>
  <c r="R272" i="2"/>
  <c r="S272" i="2"/>
  <c r="R273" i="2"/>
  <c r="S273" i="2"/>
  <c r="R274" i="2"/>
  <c r="S274" i="2"/>
  <c r="R275" i="2"/>
  <c r="S275" i="2"/>
  <c r="R276" i="2"/>
  <c r="S276" i="2"/>
  <c r="R277" i="2"/>
  <c r="S277" i="2"/>
  <c r="R278" i="2"/>
  <c r="S278" i="2"/>
  <c r="R279" i="2"/>
  <c r="S279" i="2"/>
  <c r="R280" i="2"/>
  <c r="S280" i="2"/>
  <c r="R281" i="2"/>
  <c r="S281" i="2"/>
  <c r="R282" i="2"/>
  <c r="S282" i="2"/>
  <c r="R283" i="2"/>
  <c r="S283" i="2"/>
  <c r="R284" i="2"/>
  <c r="S284" i="2"/>
  <c r="R285" i="2"/>
  <c r="S285" i="2"/>
  <c r="R286" i="2"/>
  <c r="S286" i="2"/>
  <c r="R287" i="2"/>
  <c r="S287" i="2"/>
  <c r="R288" i="2"/>
  <c r="S288" i="2"/>
  <c r="R289" i="2"/>
  <c r="S289" i="2"/>
  <c r="R290" i="2"/>
  <c r="S290" i="2"/>
  <c r="R291" i="2"/>
  <c r="S291" i="2"/>
  <c r="R292" i="2"/>
  <c r="S292" i="2"/>
  <c r="R293" i="2"/>
  <c r="S293" i="2"/>
  <c r="R294" i="2"/>
  <c r="S294" i="2"/>
  <c r="R295" i="2"/>
  <c r="S295" i="2"/>
  <c r="R296" i="2"/>
  <c r="S296" i="2"/>
  <c r="R297" i="2"/>
  <c r="S297" i="2"/>
  <c r="R298" i="2"/>
  <c r="S298" i="2"/>
  <c r="R299" i="2"/>
  <c r="S299" i="2"/>
  <c r="R300" i="2"/>
  <c r="S300" i="2"/>
  <c r="R301" i="2"/>
  <c r="S301" i="2"/>
  <c r="R302" i="2"/>
  <c r="S302" i="2"/>
  <c r="R303" i="2"/>
  <c r="S303" i="2"/>
  <c r="R304" i="2"/>
  <c r="S304" i="2"/>
  <c r="R305" i="2"/>
  <c r="S305" i="2"/>
  <c r="R306" i="2"/>
  <c r="S306" i="2"/>
  <c r="R307" i="2"/>
  <c r="S307" i="2"/>
  <c r="R308" i="2"/>
  <c r="S308" i="2"/>
  <c r="R309" i="2"/>
  <c r="S309" i="2"/>
  <c r="R310" i="2"/>
  <c r="S310" i="2"/>
  <c r="R311" i="2"/>
  <c r="S311" i="2"/>
  <c r="R312" i="2"/>
  <c r="S312" i="2"/>
  <c r="R313" i="2"/>
  <c r="S313" i="2"/>
  <c r="R314" i="2"/>
  <c r="S314" i="2"/>
  <c r="R315" i="2"/>
  <c r="S315" i="2"/>
  <c r="R316" i="2"/>
  <c r="S316" i="2"/>
  <c r="R317" i="2"/>
  <c r="S317" i="2"/>
  <c r="R318" i="2"/>
  <c r="S318" i="2"/>
  <c r="R319" i="2"/>
  <c r="S319" i="2"/>
  <c r="R320" i="2"/>
  <c r="S320" i="2"/>
  <c r="R321" i="2"/>
  <c r="S321" i="2"/>
  <c r="R322" i="2"/>
  <c r="S322" i="2"/>
  <c r="R323" i="2"/>
  <c r="S323" i="2"/>
  <c r="R324" i="2"/>
  <c r="S324" i="2"/>
  <c r="R325" i="2"/>
  <c r="S325" i="2"/>
  <c r="R326" i="2"/>
  <c r="S326" i="2"/>
  <c r="R327" i="2"/>
  <c r="S327" i="2"/>
  <c r="R328" i="2"/>
  <c r="S328" i="2"/>
  <c r="R329" i="2"/>
  <c r="S329" i="2"/>
  <c r="R330" i="2"/>
  <c r="S330" i="2"/>
  <c r="R331" i="2"/>
  <c r="S331" i="2"/>
  <c r="R332" i="2"/>
  <c r="S332" i="2"/>
  <c r="R333" i="2"/>
  <c r="S333" i="2"/>
  <c r="R334" i="2"/>
  <c r="S334" i="2"/>
  <c r="R335" i="2"/>
  <c r="S335" i="2"/>
  <c r="R336" i="2"/>
  <c r="S336" i="2"/>
  <c r="R337" i="2"/>
  <c r="S337" i="2"/>
  <c r="R338" i="2"/>
  <c r="S338" i="2"/>
  <c r="R339" i="2"/>
  <c r="S339" i="2"/>
  <c r="R340" i="2"/>
  <c r="S340" i="2"/>
  <c r="R341" i="2"/>
  <c r="S341" i="2"/>
  <c r="R342" i="2"/>
  <c r="S342" i="2"/>
  <c r="R343" i="2"/>
  <c r="S343" i="2"/>
  <c r="R344" i="2"/>
  <c r="S344" i="2"/>
  <c r="R345" i="2"/>
  <c r="S345" i="2"/>
  <c r="R346" i="2"/>
  <c r="S346" i="2"/>
  <c r="R347" i="2"/>
  <c r="S347" i="2"/>
  <c r="R348" i="2"/>
  <c r="S348" i="2"/>
  <c r="R349" i="2"/>
  <c r="S349" i="2"/>
  <c r="R350" i="2"/>
  <c r="S350" i="2"/>
  <c r="R351" i="2"/>
  <c r="S351" i="2"/>
  <c r="R352" i="2"/>
  <c r="S352" i="2"/>
  <c r="R353" i="2"/>
  <c r="S353" i="2"/>
  <c r="R354" i="2"/>
  <c r="S354" i="2"/>
  <c r="R355" i="2"/>
  <c r="S355" i="2"/>
  <c r="R356" i="2"/>
  <c r="S356" i="2"/>
  <c r="R357" i="2"/>
  <c r="S357" i="2"/>
  <c r="R358" i="2"/>
  <c r="S358" i="2"/>
  <c r="R359" i="2"/>
  <c r="S359" i="2"/>
  <c r="R360" i="2"/>
  <c r="S360" i="2"/>
  <c r="R361" i="2"/>
  <c r="S361" i="2"/>
  <c r="R362" i="2"/>
  <c r="S362" i="2"/>
  <c r="R363" i="2"/>
  <c r="S363" i="2"/>
  <c r="R364" i="2"/>
  <c r="S364" i="2"/>
  <c r="R365" i="2"/>
  <c r="S365" i="2"/>
  <c r="R366" i="2"/>
  <c r="S366" i="2"/>
  <c r="R367" i="2"/>
  <c r="S367" i="2"/>
  <c r="R368" i="2"/>
  <c r="S368" i="2"/>
  <c r="R369" i="2"/>
  <c r="S369" i="2"/>
  <c r="R370" i="2"/>
  <c r="S370" i="2"/>
  <c r="R371" i="2"/>
  <c r="S371" i="2"/>
  <c r="R372" i="2"/>
  <c r="S372" i="2"/>
  <c r="R373" i="2"/>
  <c r="S373" i="2"/>
  <c r="R374" i="2"/>
  <c r="S374" i="2"/>
  <c r="R375" i="2"/>
  <c r="S375" i="2"/>
  <c r="R376" i="2"/>
  <c r="S376" i="2"/>
  <c r="R377" i="2"/>
  <c r="S377" i="2"/>
  <c r="R378" i="2"/>
  <c r="S378" i="2"/>
  <c r="R379" i="2"/>
  <c r="S379" i="2"/>
  <c r="R380" i="2"/>
  <c r="S380" i="2"/>
  <c r="R381" i="2"/>
  <c r="S381" i="2"/>
  <c r="R382" i="2"/>
  <c r="S382" i="2"/>
  <c r="R383" i="2"/>
  <c r="S383" i="2"/>
  <c r="R384" i="2"/>
  <c r="S384" i="2"/>
  <c r="R385" i="2"/>
  <c r="S385" i="2"/>
  <c r="R386" i="2"/>
  <c r="S386" i="2"/>
  <c r="R387" i="2"/>
  <c r="S387" i="2"/>
  <c r="R388" i="2"/>
  <c r="S388" i="2"/>
  <c r="R389" i="2"/>
  <c r="S389" i="2"/>
  <c r="R390" i="2"/>
  <c r="S390" i="2"/>
  <c r="R391" i="2"/>
  <c r="S391" i="2"/>
  <c r="R392" i="2"/>
  <c r="S392" i="2"/>
  <c r="R393" i="2"/>
  <c r="S393" i="2"/>
  <c r="R394" i="2"/>
  <c r="S394" i="2"/>
  <c r="R395" i="2"/>
  <c r="S395" i="2"/>
  <c r="R396" i="2"/>
  <c r="S396" i="2"/>
  <c r="R397" i="2"/>
  <c r="S397" i="2"/>
  <c r="R398" i="2"/>
  <c r="S398" i="2"/>
  <c r="R399" i="2"/>
  <c r="S399" i="2"/>
  <c r="R400" i="2"/>
  <c r="S400" i="2"/>
  <c r="R401" i="2"/>
  <c r="S401" i="2"/>
  <c r="R402" i="2"/>
  <c r="S402" i="2"/>
  <c r="R403" i="2"/>
  <c r="S403" i="2"/>
  <c r="R404" i="2"/>
  <c r="S404" i="2"/>
  <c r="R405" i="2"/>
  <c r="S405" i="2"/>
  <c r="R406" i="2"/>
  <c r="S406" i="2"/>
  <c r="R407" i="2"/>
  <c r="S407" i="2"/>
  <c r="R408" i="2"/>
  <c r="S408" i="2"/>
  <c r="R409" i="2"/>
  <c r="S409" i="2"/>
  <c r="R410" i="2"/>
  <c r="S410" i="2"/>
  <c r="R411" i="2"/>
  <c r="S411" i="2"/>
  <c r="R412" i="2"/>
  <c r="S412" i="2"/>
  <c r="Q2" i="2"/>
  <c r="F412" i="17"/>
  <c r="C412" i="17"/>
  <c r="A412" i="17"/>
  <c r="F411" i="17"/>
  <c r="C411" i="17"/>
  <c r="A411" i="17"/>
  <c r="F410" i="17"/>
  <c r="S410" i="17" s="1"/>
  <c r="C410" i="17"/>
  <c r="A410" i="17"/>
  <c r="F409" i="17"/>
  <c r="C409" i="17"/>
  <c r="A409" i="17"/>
  <c r="AA408" i="17"/>
  <c r="M408" i="17"/>
  <c r="F408" i="17"/>
  <c r="C408" i="17"/>
  <c r="Y408" i="17" s="1"/>
  <c r="A408" i="17"/>
  <c r="AB407" i="17"/>
  <c r="AA407" i="17"/>
  <c r="L407" i="17"/>
  <c r="F407" i="17"/>
  <c r="M407" i="17" s="1"/>
  <c r="C407" i="17"/>
  <c r="Q407" i="17" s="1"/>
  <c r="A407" i="17"/>
  <c r="F406" i="17"/>
  <c r="C406" i="17"/>
  <c r="A406" i="17"/>
  <c r="F405" i="17"/>
  <c r="C405" i="17"/>
  <c r="R405" i="17" s="1"/>
  <c r="A405" i="17"/>
  <c r="F404" i="17"/>
  <c r="C404" i="17"/>
  <c r="A404" i="17"/>
  <c r="F403" i="17"/>
  <c r="C403" i="17"/>
  <c r="A403" i="17"/>
  <c r="F402" i="17"/>
  <c r="C402" i="17"/>
  <c r="A402" i="17"/>
  <c r="Y401" i="17"/>
  <c r="F401" i="17"/>
  <c r="R401" i="17" s="1"/>
  <c r="C401" i="17"/>
  <c r="A401" i="17"/>
  <c r="Q400" i="17"/>
  <c r="N400" i="17"/>
  <c r="F400" i="17"/>
  <c r="C400" i="17"/>
  <c r="Y400" i="17" s="1"/>
  <c r="A400" i="17"/>
  <c r="F399" i="17"/>
  <c r="C399" i="17"/>
  <c r="A399" i="17"/>
  <c r="F398" i="17"/>
  <c r="C398" i="17"/>
  <c r="S398" i="17" s="1"/>
  <c r="A398" i="17"/>
  <c r="F397" i="17"/>
  <c r="C397" i="17"/>
  <c r="A397" i="17"/>
  <c r="F396" i="17"/>
  <c r="C396" i="17"/>
  <c r="A396" i="17"/>
  <c r="F395" i="17"/>
  <c r="U395" i="17" s="1"/>
  <c r="C395" i="17"/>
  <c r="A395" i="17"/>
  <c r="F394" i="17"/>
  <c r="S394" i="17" s="1"/>
  <c r="C394" i="17"/>
  <c r="A394" i="17"/>
  <c r="F393" i="17"/>
  <c r="C393" i="17"/>
  <c r="A393" i="17"/>
  <c r="F392" i="17"/>
  <c r="C392" i="17"/>
  <c r="A392" i="17"/>
  <c r="F391" i="17"/>
  <c r="C391" i="17"/>
  <c r="A391" i="17"/>
  <c r="F390" i="17"/>
  <c r="C390" i="17"/>
  <c r="A390" i="17"/>
  <c r="F389" i="17"/>
  <c r="C389" i="17"/>
  <c r="A389" i="17"/>
  <c r="F388" i="17"/>
  <c r="C388" i="17"/>
  <c r="A388" i="17"/>
  <c r="F387" i="17"/>
  <c r="C387" i="17"/>
  <c r="A387" i="17"/>
  <c r="F386" i="17"/>
  <c r="C386" i="17"/>
  <c r="P386" i="17" s="1"/>
  <c r="A386" i="17"/>
  <c r="F385" i="17"/>
  <c r="C385" i="17"/>
  <c r="A385" i="17"/>
  <c r="F384" i="17"/>
  <c r="C384" i="17"/>
  <c r="A384" i="17"/>
  <c r="V383" i="17"/>
  <c r="F383" i="17"/>
  <c r="C383" i="17"/>
  <c r="A383" i="17"/>
  <c r="F382" i="17"/>
  <c r="C382" i="17"/>
  <c r="AA382" i="17" s="1"/>
  <c r="A382" i="17"/>
  <c r="F381" i="17"/>
  <c r="C381" i="17"/>
  <c r="A381" i="17"/>
  <c r="AB380" i="17"/>
  <c r="Z380" i="17"/>
  <c r="O380" i="17"/>
  <c r="F380" i="17"/>
  <c r="N380" i="17" s="1"/>
  <c r="C380" i="17"/>
  <c r="A380" i="17"/>
  <c r="Z379" i="17"/>
  <c r="F379" i="17"/>
  <c r="C379" i="17"/>
  <c r="A379" i="17"/>
  <c r="F378" i="17"/>
  <c r="C378" i="17"/>
  <c r="N378" i="17" s="1"/>
  <c r="A378" i="17"/>
  <c r="F377" i="17"/>
  <c r="C377" i="17"/>
  <c r="A377" i="17"/>
  <c r="F376" i="17"/>
  <c r="C376" i="17"/>
  <c r="N376" i="17" s="1"/>
  <c r="A376" i="17"/>
  <c r="S375" i="17"/>
  <c r="Q375" i="17"/>
  <c r="F375" i="17"/>
  <c r="R375" i="17" s="1"/>
  <c r="C375" i="17"/>
  <c r="J375" i="17" s="1"/>
  <c r="A375" i="17"/>
  <c r="AA374" i="17"/>
  <c r="W374" i="17"/>
  <c r="L374" i="17"/>
  <c r="K374" i="17"/>
  <c r="J374" i="17"/>
  <c r="F374" i="17"/>
  <c r="C374" i="17"/>
  <c r="A374" i="17"/>
  <c r="F373" i="17"/>
  <c r="C373" i="17"/>
  <c r="A373" i="17"/>
  <c r="F372" i="17"/>
  <c r="C372" i="17"/>
  <c r="A372" i="17"/>
  <c r="J371" i="17"/>
  <c r="F371" i="17"/>
  <c r="C371" i="17"/>
  <c r="I371" i="17" s="1"/>
  <c r="A371" i="17"/>
  <c r="F370" i="17"/>
  <c r="C370" i="17"/>
  <c r="A370" i="17"/>
  <c r="F369" i="17"/>
  <c r="C369" i="17"/>
  <c r="A369" i="17"/>
  <c r="F368" i="17"/>
  <c r="C368" i="17"/>
  <c r="A368" i="17"/>
  <c r="F367" i="17"/>
  <c r="C367" i="17"/>
  <c r="A367" i="17"/>
  <c r="F366" i="17"/>
  <c r="C366" i="17"/>
  <c r="A366" i="17"/>
  <c r="F365" i="17"/>
  <c r="C365" i="17"/>
  <c r="A365" i="17"/>
  <c r="Q364" i="17"/>
  <c r="F364" i="17"/>
  <c r="S364" i="17" s="1"/>
  <c r="C364" i="17"/>
  <c r="K364" i="17" s="1"/>
  <c r="A364" i="17"/>
  <c r="F363" i="17"/>
  <c r="W363" i="17" s="1"/>
  <c r="C363" i="17"/>
  <c r="I363" i="17" s="1"/>
  <c r="A363" i="17"/>
  <c r="F362" i="17"/>
  <c r="C362" i="17"/>
  <c r="A362" i="17"/>
  <c r="F361" i="17"/>
  <c r="C361" i="17"/>
  <c r="K361" i="17" s="1"/>
  <c r="A361" i="17"/>
  <c r="F360" i="17"/>
  <c r="C360" i="17"/>
  <c r="A360" i="17"/>
  <c r="F359" i="17"/>
  <c r="N359" i="17" s="1"/>
  <c r="C359" i="17"/>
  <c r="A359" i="17"/>
  <c r="S358" i="17"/>
  <c r="Q358" i="17"/>
  <c r="F358" i="17"/>
  <c r="C358" i="17"/>
  <c r="A358" i="17"/>
  <c r="F357" i="17"/>
  <c r="C357" i="17"/>
  <c r="A357" i="17"/>
  <c r="F356" i="17"/>
  <c r="C356" i="17"/>
  <c r="J356" i="17" s="1"/>
  <c r="A356" i="17"/>
  <c r="F355" i="17"/>
  <c r="C355" i="17"/>
  <c r="A355" i="17"/>
  <c r="F354" i="17"/>
  <c r="C354" i="17"/>
  <c r="M354" i="17" s="1"/>
  <c r="A354" i="17"/>
  <c r="F353" i="17"/>
  <c r="C353" i="17"/>
  <c r="A353" i="17"/>
  <c r="F352" i="17"/>
  <c r="C352" i="17"/>
  <c r="A352" i="17"/>
  <c r="Y351" i="17"/>
  <c r="F351" i="17"/>
  <c r="C351" i="17"/>
  <c r="A351" i="17"/>
  <c r="F350" i="17"/>
  <c r="Z350" i="17" s="1"/>
  <c r="C350" i="17"/>
  <c r="A350" i="17"/>
  <c r="Z349" i="17"/>
  <c r="F349" i="17"/>
  <c r="C349" i="17"/>
  <c r="A349" i="17"/>
  <c r="F348" i="17"/>
  <c r="C348" i="17"/>
  <c r="A348" i="17"/>
  <c r="F347" i="17"/>
  <c r="C347" i="17"/>
  <c r="A347" i="17"/>
  <c r="F346" i="17"/>
  <c r="C346" i="17"/>
  <c r="A346" i="17"/>
  <c r="F345" i="17"/>
  <c r="C345" i="17"/>
  <c r="O345" i="17" s="1"/>
  <c r="A345" i="17"/>
  <c r="O344" i="17"/>
  <c r="F344" i="17"/>
  <c r="C344" i="17"/>
  <c r="A344" i="17"/>
  <c r="AB343" i="17"/>
  <c r="O343" i="17"/>
  <c r="N343" i="17"/>
  <c r="M343" i="17"/>
  <c r="J343" i="17"/>
  <c r="F343" i="17"/>
  <c r="AA343" i="17" s="1"/>
  <c r="C343" i="17"/>
  <c r="R343" i="17" s="1"/>
  <c r="A343" i="17"/>
  <c r="AA342" i="17"/>
  <c r="Z342" i="17"/>
  <c r="W342" i="17"/>
  <c r="F342" i="17"/>
  <c r="L342" i="17" s="1"/>
  <c r="C342" i="17"/>
  <c r="A342" i="17"/>
  <c r="F341" i="17"/>
  <c r="C341" i="17"/>
  <c r="A341" i="17"/>
  <c r="Z340" i="17"/>
  <c r="F340" i="17"/>
  <c r="C340" i="17"/>
  <c r="A340" i="17"/>
  <c r="F339" i="17"/>
  <c r="C339" i="17"/>
  <c r="A339" i="17"/>
  <c r="AA338" i="17"/>
  <c r="W338" i="17"/>
  <c r="F338" i="17"/>
  <c r="C338" i="17"/>
  <c r="R338" i="17" s="1"/>
  <c r="A338" i="17"/>
  <c r="F337" i="17"/>
  <c r="C337" i="17"/>
  <c r="A337" i="17"/>
  <c r="U336" i="17"/>
  <c r="F336" i="17"/>
  <c r="C336" i="17"/>
  <c r="A336" i="17"/>
  <c r="F335" i="17"/>
  <c r="K335" i="17" s="1"/>
  <c r="C335" i="17"/>
  <c r="I335" i="17" s="1"/>
  <c r="A335" i="17"/>
  <c r="F334" i="17"/>
  <c r="C334" i="17"/>
  <c r="A334" i="17"/>
  <c r="F333" i="17"/>
  <c r="U333" i="17" s="1"/>
  <c r="C333" i="17"/>
  <c r="A333" i="17"/>
  <c r="F332" i="17"/>
  <c r="C332" i="17"/>
  <c r="A332" i="17"/>
  <c r="F331" i="17"/>
  <c r="C331" i="17"/>
  <c r="A331" i="17"/>
  <c r="F330" i="17"/>
  <c r="C330" i="17"/>
  <c r="Q330" i="17" s="1"/>
  <c r="A330" i="17"/>
  <c r="O329" i="17"/>
  <c r="F329" i="17"/>
  <c r="C329" i="17"/>
  <c r="A329" i="17"/>
  <c r="F328" i="17"/>
  <c r="C328" i="17"/>
  <c r="A328" i="17"/>
  <c r="F327" i="17"/>
  <c r="C327" i="17"/>
  <c r="A327" i="17"/>
  <c r="F326" i="17"/>
  <c r="K326" i="17" s="1"/>
  <c r="C326" i="17"/>
  <c r="A326" i="17"/>
  <c r="F325" i="17"/>
  <c r="C325" i="17"/>
  <c r="A325" i="17"/>
  <c r="F324" i="17"/>
  <c r="C324" i="17"/>
  <c r="A324" i="17"/>
  <c r="F323" i="17"/>
  <c r="C323" i="17"/>
  <c r="P323" i="17" s="1"/>
  <c r="A323" i="17"/>
  <c r="F322" i="17"/>
  <c r="C322" i="17"/>
  <c r="A322" i="17"/>
  <c r="F321" i="17"/>
  <c r="C321" i="17"/>
  <c r="A321" i="17"/>
  <c r="F320" i="17"/>
  <c r="Y320" i="17" s="1"/>
  <c r="C320" i="17"/>
  <c r="A320" i="17"/>
  <c r="F319" i="17"/>
  <c r="C319" i="17"/>
  <c r="Y319" i="17" s="1"/>
  <c r="A319" i="17"/>
  <c r="F318" i="17"/>
  <c r="U318" i="17" s="1"/>
  <c r="C318" i="17"/>
  <c r="A318" i="17"/>
  <c r="P317" i="17"/>
  <c r="L317" i="17"/>
  <c r="F317" i="17"/>
  <c r="M317" i="17" s="1"/>
  <c r="C317" i="17"/>
  <c r="A317" i="17"/>
  <c r="F316" i="17"/>
  <c r="C316" i="17"/>
  <c r="A316" i="17"/>
  <c r="F315" i="17"/>
  <c r="O315" i="17" s="1"/>
  <c r="C315" i="17"/>
  <c r="A315" i="17"/>
  <c r="F314" i="17"/>
  <c r="C314" i="17"/>
  <c r="A314" i="17"/>
  <c r="F313" i="17"/>
  <c r="C313" i="17"/>
  <c r="L313" i="17" s="1"/>
  <c r="A313" i="17"/>
  <c r="F312" i="17"/>
  <c r="C312" i="17"/>
  <c r="O312" i="17" s="1"/>
  <c r="A312" i="17"/>
  <c r="F311" i="17"/>
  <c r="C311" i="17"/>
  <c r="A311" i="17"/>
  <c r="AA310" i="17"/>
  <c r="F310" i="17"/>
  <c r="C310" i="17"/>
  <c r="A310" i="17"/>
  <c r="F309" i="17"/>
  <c r="C309" i="17"/>
  <c r="A309" i="17"/>
  <c r="F308" i="17"/>
  <c r="C308" i="17"/>
  <c r="Q308" i="17" s="1"/>
  <c r="A308" i="17"/>
  <c r="F307" i="17"/>
  <c r="C307" i="17"/>
  <c r="A307" i="17"/>
  <c r="Z306" i="17"/>
  <c r="W306" i="17"/>
  <c r="F306" i="17"/>
  <c r="C306" i="17"/>
  <c r="A306" i="17"/>
  <c r="F305" i="17"/>
  <c r="C305" i="17"/>
  <c r="S305" i="17" s="1"/>
  <c r="A305" i="17"/>
  <c r="F304" i="17"/>
  <c r="C304" i="17"/>
  <c r="K304" i="17" s="1"/>
  <c r="A304" i="17"/>
  <c r="Y303" i="17"/>
  <c r="O303" i="17"/>
  <c r="F303" i="17"/>
  <c r="W303" i="17" s="1"/>
  <c r="C303" i="17"/>
  <c r="A303" i="17"/>
  <c r="AA302" i="17"/>
  <c r="P302" i="17"/>
  <c r="F302" i="17"/>
  <c r="C302" i="17"/>
  <c r="N302" i="17" s="1"/>
  <c r="A302" i="17"/>
  <c r="F301" i="17"/>
  <c r="C301" i="17"/>
  <c r="J301" i="17" s="1"/>
  <c r="A301" i="17"/>
  <c r="O300" i="17"/>
  <c r="F300" i="17"/>
  <c r="C300" i="17"/>
  <c r="J300" i="17" s="1"/>
  <c r="A300" i="17"/>
  <c r="F299" i="17"/>
  <c r="C299" i="17"/>
  <c r="S299" i="17" s="1"/>
  <c r="A299" i="17"/>
  <c r="F298" i="17"/>
  <c r="C298" i="17"/>
  <c r="A298" i="17"/>
  <c r="F297" i="17"/>
  <c r="C297" i="17"/>
  <c r="A297" i="17"/>
  <c r="F296" i="17"/>
  <c r="C296" i="17"/>
  <c r="Z296" i="17" s="1"/>
  <c r="A296" i="17"/>
  <c r="F295" i="17"/>
  <c r="C295" i="17"/>
  <c r="A295" i="17"/>
  <c r="N294" i="17"/>
  <c r="F294" i="17"/>
  <c r="AA294" i="17" s="1"/>
  <c r="C294" i="17"/>
  <c r="L294" i="17" s="1"/>
  <c r="A294" i="17"/>
  <c r="F293" i="17"/>
  <c r="C293" i="17"/>
  <c r="A293" i="17"/>
  <c r="F292" i="17"/>
  <c r="C292" i="17"/>
  <c r="A292" i="17"/>
  <c r="F291" i="17"/>
  <c r="C291" i="17"/>
  <c r="A291" i="17"/>
  <c r="F290" i="17"/>
  <c r="C290" i="17"/>
  <c r="A290" i="17"/>
  <c r="F289" i="17"/>
  <c r="M289" i="17" s="1"/>
  <c r="C289" i="17"/>
  <c r="A289" i="17"/>
  <c r="F288" i="17"/>
  <c r="C288" i="17"/>
  <c r="U288" i="17" s="1"/>
  <c r="A288" i="17"/>
  <c r="F287" i="17"/>
  <c r="C287" i="17"/>
  <c r="S287" i="17" s="1"/>
  <c r="A287" i="17"/>
  <c r="F286" i="17"/>
  <c r="C286" i="17"/>
  <c r="A286" i="17"/>
  <c r="F285" i="17"/>
  <c r="C285" i="17"/>
  <c r="A285" i="17"/>
  <c r="F284" i="17"/>
  <c r="C284" i="17"/>
  <c r="A284" i="17"/>
  <c r="Y283" i="17"/>
  <c r="N283" i="17"/>
  <c r="M283" i="17"/>
  <c r="F283" i="17"/>
  <c r="AB283" i="17" s="1"/>
  <c r="C283" i="17"/>
  <c r="A283" i="17"/>
  <c r="F282" i="17"/>
  <c r="C282" i="17"/>
  <c r="A282" i="17"/>
  <c r="S281" i="17"/>
  <c r="F281" i="17"/>
  <c r="Q281" i="17" s="1"/>
  <c r="C281" i="17"/>
  <c r="A281" i="17"/>
  <c r="AB280" i="17"/>
  <c r="Z280" i="17"/>
  <c r="M280" i="17"/>
  <c r="F280" i="17"/>
  <c r="N280" i="17" s="1"/>
  <c r="C280" i="17"/>
  <c r="A280" i="17"/>
  <c r="F279" i="17"/>
  <c r="C279" i="17"/>
  <c r="A279" i="17"/>
  <c r="F278" i="17"/>
  <c r="P278" i="17" s="1"/>
  <c r="C278" i="17"/>
  <c r="A278" i="17"/>
  <c r="F277" i="17"/>
  <c r="C277" i="17"/>
  <c r="A277" i="17"/>
  <c r="F276" i="17"/>
  <c r="C276" i="17"/>
  <c r="A276" i="17"/>
  <c r="F275" i="17"/>
  <c r="C275" i="17"/>
  <c r="A275" i="17"/>
  <c r="Y274" i="17"/>
  <c r="L274" i="17"/>
  <c r="I274" i="17"/>
  <c r="F274" i="17"/>
  <c r="W274" i="17" s="1"/>
  <c r="C274" i="17"/>
  <c r="A274" i="17"/>
  <c r="Z273" i="17"/>
  <c r="P273" i="17"/>
  <c r="I273" i="17"/>
  <c r="F273" i="17"/>
  <c r="Y273" i="17" s="1"/>
  <c r="C273" i="17"/>
  <c r="A273" i="17"/>
  <c r="F272" i="17"/>
  <c r="C272" i="17"/>
  <c r="A272" i="17"/>
  <c r="F271" i="17"/>
  <c r="C271" i="17"/>
  <c r="A271" i="17"/>
  <c r="AB270" i="17"/>
  <c r="W270" i="17"/>
  <c r="J270" i="17"/>
  <c r="F270" i="17"/>
  <c r="C270" i="17"/>
  <c r="A270" i="17"/>
  <c r="F269" i="17"/>
  <c r="C269" i="17"/>
  <c r="A269" i="17"/>
  <c r="F268" i="17"/>
  <c r="C268" i="17"/>
  <c r="A268" i="17"/>
  <c r="F267" i="17"/>
  <c r="C267" i="17"/>
  <c r="A267" i="17"/>
  <c r="F266" i="17"/>
  <c r="C266" i="17"/>
  <c r="A266" i="17"/>
  <c r="F265" i="17"/>
  <c r="C265" i="17"/>
  <c r="A265" i="17"/>
  <c r="F264" i="17"/>
  <c r="C264" i="17"/>
  <c r="A264" i="17"/>
  <c r="F263" i="17"/>
  <c r="C263" i="17"/>
  <c r="A263" i="17"/>
  <c r="F262" i="17"/>
  <c r="I262" i="17" s="1"/>
  <c r="C262" i="17"/>
  <c r="A262" i="17"/>
  <c r="F261" i="17"/>
  <c r="C261" i="17"/>
  <c r="A261" i="17"/>
  <c r="F260" i="17"/>
  <c r="C260" i="17"/>
  <c r="A260" i="17"/>
  <c r="F259" i="17"/>
  <c r="Q259" i="17" s="1"/>
  <c r="C259" i="17"/>
  <c r="A259" i="17"/>
  <c r="F258" i="17"/>
  <c r="C258" i="17"/>
  <c r="A258" i="17"/>
  <c r="F257" i="17"/>
  <c r="C257" i="17"/>
  <c r="AA257" i="17" s="1"/>
  <c r="A257" i="17"/>
  <c r="F256" i="17"/>
  <c r="C256" i="17"/>
  <c r="AB256" i="17" s="1"/>
  <c r="A256" i="17"/>
  <c r="F255" i="17"/>
  <c r="C255" i="17"/>
  <c r="Y255" i="17" s="1"/>
  <c r="A255" i="17"/>
  <c r="S254" i="17"/>
  <c r="N254" i="17"/>
  <c r="J254" i="17"/>
  <c r="F254" i="17"/>
  <c r="K254" i="17" s="1"/>
  <c r="C254" i="17"/>
  <c r="R254" i="17" s="1"/>
  <c r="A254" i="17"/>
  <c r="F253" i="17"/>
  <c r="C253" i="17"/>
  <c r="AA253" i="17" s="1"/>
  <c r="A253" i="17"/>
  <c r="F252" i="17"/>
  <c r="C252" i="17"/>
  <c r="A252" i="17"/>
  <c r="F251" i="17"/>
  <c r="C251" i="17"/>
  <c r="A251" i="17"/>
  <c r="AA250" i="17"/>
  <c r="L250" i="17"/>
  <c r="F250" i="17"/>
  <c r="J250" i="17" s="1"/>
  <c r="C250" i="17"/>
  <c r="A250" i="17"/>
  <c r="F249" i="17"/>
  <c r="AB249" i="17" s="1"/>
  <c r="C249" i="17"/>
  <c r="A249" i="17"/>
  <c r="F248" i="17"/>
  <c r="C248" i="17"/>
  <c r="A248" i="17"/>
  <c r="U247" i="17"/>
  <c r="R247" i="17"/>
  <c r="N247" i="17"/>
  <c r="F247" i="17"/>
  <c r="C247" i="17"/>
  <c r="A247" i="17"/>
  <c r="R246" i="17"/>
  <c r="F246" i="17"/>
  <c r="Z246" i="17" s="1"/>
  <c r="C246" i="17"/>
  <c r="A246" i="17"/>
  <c r="R245" i="17"/>
  <c r="F245" i="17"/>
  <c r="V245" i="17" s="1"/>
  <c r="C245" i="17"/>
  <c r="A245" i="17"/>
  <c r="V244" i="17"/>
  <c r="F244" i="17"/>
  <c r="C244" i="17"/>
  <c r="A244" i="17"/>
  <c r="F243" i="17"/>
  <c r="C243" i="17"/>
  <c r="W243" i="17" s="1"/>
  <c r="A243" i="17"/>
  <c r="F242" i="17"/>
  <c r="C242" i="17"/>
  <c r="A242" i="17"/>
  <c r="R241" i="17"/>
  <c r="Q241" i="17"/>
  <c r="F241" i="17"/>
  <c r="W241" i="17" s="1"/>
  <c r="C241" i="17"/>
  <c r="A241" i="17"/>
  <c r="F240" i="17"/>
  <c r="C240" i="17"/>
  <c r="K240" i="17" s="1"/>
  <c r="A240" i="17"/>
  <c r="F239" i="17"/>
  <c r="C239" i="17"/>
  <c r="A239" i="17"/>
  <c r="F238" i="17"/>
  <c r="C238" i="17"/>
  <c r="W238" i="17" s="1"/>
  <c r="A238" i="17"/>
  <c r="F237" i="17"/>
  <c r="O237" i="17" s="1"/>
  <c r="C237" i="17"/>
  <c r="A237" i="17"/>
  <c r="F236" i="17"/>
  <c r="C236" i="17"/>
  <c r="A236" i="17"/>
  <c r="AB235" i="17"/>
  <c r="F235" i="17"/>
  <c r="C235" i="17"/>
  <c r="A235" i="17"/>
  <c r="F234" i="17"/>
  <c r="C234" i="17"/>
  <c r="A234" i="17"/>
  <c r="AA233" i="17"/>
  <c r="P233" i="17"/>
  <c r="M233" i="17"/>
  <c r="J233" i="17"/>
  <c r="F233" i="17"/>
  <c r="U233" i="17" s="1"/>
  <c r="C233" i="17"/>
  <c r="V233" i="17" s="1"/>
  <c r="A233" i="17"/>
  <c r="F232" i="17"/>
  <c r="C232" i="17"/>
  <c r="A232" i="17"/>
  <c r="W231" i="17"/>
  <c r="F231" i="17"/>
  <c r="S231" i="17" s="1"/>
  <c r="C231" i="17"/>
  <c r="A231" i="17"/>
  <c r="Z230" i="17"/>
  <c r="Y230" i="17"/>
  <c r="F230" i="17"/>
  <c r="C230" i="17"/>
  <c r="A230" i="17"/>
  <c r="N229" i="17"/>
  <c r="F229" i="17"/>
  <c r="C229" i="17"/>
  <c r="A229" i="17"/>
  <c r="F228" i="17"/>
  <c r="C228" i="17"/>
  <c r="K228" i="17" s="1"/>
  <c r="A228" i="17"/>
  <c r="F227" i="17"/>
  <c r="C227" i="17"/>
  <c r="A227" i="17"/>
  <c r="F226" i="17"/>
  <c r="C226" i="17"/>
  <c r="A226" i="17"/>
  <c r="F225" i="17"/>
  <c r="C225" i="17"/>
  <c r="A225" i="17"/>
  <c r="Y224" i="17"/>
  <c r="F224" i="17"/>
  <c r="C224" i="17"/>
  <c r="A224" i="17"/>
  <c r="Z223" i="17"/>
  <c r="Y223" i="17"/>
  <c r="Q223" i="17"/>
  <c r="F223" i="17"/>
  <c r="C223" i="17"/>
  <c r="A223" i="17"/>
  <c r="S222" i="17"/>
  <c r="I222" i="17"/>
  <c r="F222" i="17"/>
  <c r="Z222" i="17" s="1"/>
  <c r="C222" i="17"/>
  <c r="A222" i="17"/>
  <c r="F221" i="17"/>
  <c r="C221" i="17"/>
  <c r="L221" i="17" s="1"/>
  <c r="A221" i="17"/>
  <c r="M220" i="17"/>
  <c r="F220" i="17"/>
  <c r="C220" i="17"/>
  <c r="A220" i="17"/>
  <c r="F219" i="17"/>
  <c r="C219" i="17"/>
  <c r="A219" i="17"/>
  <c r="F218" i="17"/>
  <c r="C218" i="17"/>
  <c r="A218" i="17"/>
  <c r="F217" i="17"/>
  <c r="C217" i="17"/>
  <c r="K217" i="17" s="1"/>
  <c r="A217" i="17"/>
  <c r="F216" i="17"/>
  <c r="C216" i="17"/>
  <c r="A216" i="17"/>
  <c r="F215" i="17"/>
  <c r="P215" i="17" s="1"/>
  <c r="C215" i="17"/>
  <c r="A215" i="17"/>
  <c r="F214" i="17"/>
  <c r="I214" i="17" s="1"/>
  <c r="C214" i="17"/>
  <c r="A214" i="17"/>
  <c r="F213" i="17"/>
  <c r="C213" i="17"/>
  <c r="A213" i="17"/>
  <c r="V212" i="17"/>
  <c r="F212" i="17"/>
  <c r="C212" i="17"/>
  <c r="A212" i="17"/>
  <c r="AB211" i="17"/>
  <c r="P211" i="17"/>
  <c r="O211" i="17"/>
  <c r="K211" i="17"/>
  <c r="F211" i="17"/>
  <c r="M211" i="17" s="1"/>
  <c r="C211" i="17"/>
  <c r="V211" i="17" s="1"/>
  <c r="A211" i="17"/>
  <c r="V210" i="17"/>
  <c r="N210" i="17"/>
  <c r="F210" i="17"/>
  <c r="C210" i="17"/>
  <c r="A210" i="17"/>
  <c r="F209" i="17"/>
  <c r="C209" i="17"/>
  <c r="A209" i="17"/>
  <c r="F208" i="17"/>
  <c r="C208" i="17"/>
  <c r="A208" i="17"/>
  <c r="F207" i="17"/>
  <c r="C207" i="17"/>
  <c r="A207" i="17"/>
  <c r="F206" i="17"/>
  <c r="Y206" i="17" s="1"/>
  <c r="C206" i="17"/>
  <c r="A206" i="17"/>
  <c r="F205" i="17"/>
  <c r="U205" i="17" s="1"/>
  <c r="C205" i="17"/>
  <c r="A205" i="17"/>
  <c r="F204" i="17"/>
  <c r="C204" i="17"/>
  <c r="A204" i="17"/>
  <c r="F203" i="17"/>
  <c r="C203" i="17"/>
  <c r="A203" i="17"/>
  <c r="N202" i="17"/>
  <c r="K202" i="17"/>
  <c r="F202" i="17"/>
  <c r="M202" i="17" s="1"/>
  <c r="C202" i="17"/>
  <c r="U202" i="17" s="1"/>
  <c r="A202" i="17"/>
  <c r="F201" i="17"/>
  <c r="C201" i="17"/>
  <c r="A201" i="17"/>
  <c r="F200" i="17"/>
  <c r="C200" i="17"/>
  <c r="A200" i="17"/>
  <c r="V199" i="17"/>
  <c r="P199" i="17"/>
  <c r="F199" i="17"/>
  <c r="C199" i="17"/>
  <c r="A199" i="17"/>
  <c r="F198" i="17"/>
  <c r="C198" i="17"/>
  <c r="A198" i="17"/>
  <c r="F197" i="17"/>
  <c r="C197" i="17"/>
  <c r="A197" i="17"/>
  <c r="F196" i="17"/>
  <c r="C196" i="17"/>
  <c r="Z196" i="17" s="1"/>
  <c r="A196" i="17"/>
  <c r="F195" i="17"/>
  <c r="C195" i="17"/>
  <c r="A195" i="17"/>
  <c r="U194" i="17"/>
  <c r="S194" i="17"/>
  <c r="J194" i="17"/>
  <c r="F194" i="17"/>
  <c r="P194" i="17" s="1"/>
  <c r="C194" i="17"/>
  <c r="I194" i="17" s="1"/>
  <c r="A194" i="17"/>
  <c r="F193" i="17"/>
  <c r="M193" i="17" s="1"/>
  <c r="C193" i="17"/>
  <c r="A193" i="17"/>
  <c r="F192" i="17"/>
  <c r="Y192" i="17" s="1"/>
  <c r="C192" i="17"/>
  <c r="A192" i="17"/>
  <c r="F191" i="17"/>
  <c r="C191" i="17"/>
  <c r="A191" i="17"/>
  <c r="F190" i="17"/>
  <c r="C190" i="17"/>
  <c r="A190" i="17"/>
  <c r="F189" i="17"/>
  <c r="C189" i="17"/>
  <c r="A189" i="17"/>
  <c r="F188" i="17"/>
  <c r="C188" i="17"/>
  <c r="A188" i="17"/>
  <c r="F187" i="17"/>
  <c r="C187" i="17"/>
  <c r="A187" i="17"/>
  <c r="F186" i="17"/>
  <c r="C186" i="17"/>
  <c r="Z186" i="17" s="1"/>
  <c r="A186" i="17"/>
  <c r="F185" i="17"/>
  <c r="C185" i="17"/>
  <c r="A185" i="17"/>
  <c r="F184" i="17"/>
  <c r="C184" i="17"/>
  <c r="A184" i="17"/>
  <c r="M183" i="17"/>
  <c r="J183" i="17"/>
  <c r="F183" i="17"/>
  <c r="W183" i="17" s="1"/>
  <c r="C183" i="17"/>
  <c r="A183" i="17"/>
  <c r="F182" i="17"/>
  <c r="C182" i="17"/>
  <c r="M182" i="17" s="1"/>
  <c r="A182" i="17"/>
  <c r="F181" i="17"/>
  <c r="C181" i="17"/>
  <c r="AA181" i="17" s="1"/>
  <c r="A181" i="17"/>
  <c r="F180" i="17"/>
  <c r="C180" i="17"/>
  <c r="A180" i="17"/>
  <c r="F179" i="17"/>
  <c r="C179" i="17"/>
  <c r="A179" i="17"/>
  <c r="P178" i="17"/>
  <c r="F178" i="17"/>
  <c r="C178" i="17"/>
  <c r="A178" i="17"/>
  <c r="F177" i="17"/>
  <c r="C177" i="17"/>
  <c r="K177" i="17" s="1"/>
  <c r="A177" i="17"/>
  <c r="F176" i="17"/>
  <c r="C176" i="17"/>
  <c r="A176" i="17"/>
  <c r="F175" i="17"/>
  <c r="C175" i="17"/>
  <c r="A175" i="17"/>
  <c r="AA174" i="17"/>
  <c r="F174" i="17"/>
  <c r="C174" i="17"/>
  <c r="A174" i="17"/>
  <c r="F173" i="17"/>
  <c r="C173" i="17"/>
  <c r="W173" i="17" s="1"/>
  <c r="A173" i="17"/>
  <c r="U172" i="17"/>
  <c r="F172" i="17"/>
  <c r="M172" i="17" s="1"/>
  <c r="C172" i="17"/>
  <c r="N172" i="17" s="1"/>
  <c r="A172" i="17"/>
  <c r="Q171" i="17"/>
  <c r="F171" i="17"/>
  <c r="C171" i="17"/>
  <c r="A171" i="17"/>
  <c r="F170" i="17"/>
  <c r="C170" i="17"/>
  <c r="A170" i="17"/>
  <c r="F169" i="17"/>
  <c r="C169" i="17"/>
  <c r="A169" i="17"/>
  <c r="F168" i="17"/>
  <c r="K168" i="17" s="1"/>
  <c r="C168" i="17"/>
  <c r="A168" i="17"/>
  <c r="U167" i="17"/>
  <c r="F167" i="17"/>
  <c r="C167" i="17"/>
  <c r="A167" i="17"/>
  <c r="F166" i="17"/>
  <c r="AA166" i="17" s="1"/>
  <c r="C166" i="17"/>
  <c r="A166" i="17"/>
  <c r="S165" i="17"/>
  <c r="F165" i="17"/>
  <c r="C165" i="17"/>
  <c r="A165" i="17"/>
  <c r="F164" i="17"/>
  <c r="C164" i="17"/>
  <c r="Y164" i="17" s="1"/>
  <c r="A164" i="17"/>
  <c r="Z163" i="17"/>
  <c r="K163" i="17"/>
  <c r="F163" i="17"/>
  <c r="C163" i="17"/>
  <c r="A163" i="17"/>
  <c r="P162" i="17"/>
  <c r="F162" i="17"/>
  <c r="C162" i="17"/>
  <c r="A162" i="17"/>
  <c r="Z161" i="17"/>
  <c r="F161" i="17"/>
  <c r="O161" i="17" s="1"/>
  <c r="C161" i="17"/>
  <c r="A161" i="17"/>
  <c r="F160" i="17"/>
  <c r="C160" i="17"/>
  <c r="A160" i="17"/>
  <c r="F159" i="17"/>
  <c r="C159" i="17"/>
  <c r="A159" i="17"/>
  <c r="O158" i="17"/>
  <c r="M158" i="17"/>
  <c r="F158" i="17"/>
  <c r="C158" i="17"/>
  <c r="A158" i="17"/>
  <c r="F157" i="17"/>
  <c r="C157" i="17"/>
  <c r="V157" i="17" s="1"/>
  <c r="A157" i="17"/>
  <c r="S156" i="17"/>
  <c r="F156" i="17"/>
  <c r="C156" i="17"/>
  <c r="AA156" i="17" s="1"/>
  <c r="A156" i="17"/>
  <c r="F155" i="17"/>
  <c r="C155" i="17"/>
  <c r="A155" i="17"/>
  <c r="Z154" i="17"/>
  <c r="W154" i="17"/>
  <c r="S154" i="17"/>
  <c r="K154" i="17"/>
  <c r="F154" i="17"/>
  <c r="V154" i="17" s="1"/>
  <c r="C154" i="17"/>
  <c r="A154" i="17"/>
  <c r="F153" i="17"/>
  <c r="C153" i="17"/>
  <c r="A153" i="17"/>
  <c r="L152" i="17"/>
  <c r="F152" i="17"/>
  <c r="Z152" i="17" s="1"/>
  <c r="C152" i="17"/>
  <c r="A152" i="17"/>
  <c r="F151" i="17"/>
  <c r="O151" i="17" s="1"/>
  <c r="C151" i="17"/>
  <c r="A151" i="17"/>
  <c r="U150" i="17"/>
  <c r="F150" i="17"/>
  <c r="C150" i="17"/>
  <c r="W150" i="17" s="1"/>
  <c r="A150" i="17"/>
  <c r="F149" i="17"/>
  <c r="U149" i="17" s="1"/>
  <c r="C149" i="17"/>
  <c r="R149" i="17" s="1"/>
  <c r="A149" i="17"/>
  <c r="F148" i="17"/>
  <c r="C148" i="17"/>
  <c r="A148" i="17"/>
  <c r="F147" i="17"/>
  <c r="C147" i="17"/>
  <c r="A147" i="17"/>
  <c r="F146" i="17"/>
  <c r="C146" i="17"/>
  <c r="A146" i="17"/>
  <c r="F145" i="17"/>
  <c r="C145" i="17"/>
  <c r="Z145" i="17" s="1"/>
  <c r="A145" i="17"/>
  <c r="Q144" i="17"/>
  <c r="P144" i="17"/>
  <c r="O144" i="17"/>
  <c r="F144" i="17"/>
  <c r="C144" i="17"/>
  <c r="A144" i="17"/>
  <c r="L143" i="17"/>
  <c r="F143" i="17"/>
  <c r="C143" i="17"/>
  <c r="A143" i="17"/>
  <c r="F142" i="17"/>
  <c r="C142" i="17"/>
  <c r="A142" i="17"/>
  <c r="F141" i="17"/>
  <c r="I141" i="17" s="1"/>
  <c r="C141" i="17"/>
  <c r="A141" i="17"/>
  <c r="U140" i="17"/>
  <c r="F140" i="17"/>
  <c r="C140" i="17"/>
  <c r="A140" i="17"/>
  <c r="K139" i="17"/>
  <c r="F139" i="17"/>
  <c r="S139" i="17" s="1"/>
  <c r="C139" i="17"/>
  <c r="A139" i="17"/>
  <c r="F138" i="17"/>
  <c r="C138" i="17"/>
  <c r="A138" i="17"/>
  <c r="F137" i="17"/>
  <c r="C137" i="17"/>
  <c r="AB137" i="17" s="1"/>
  <c r="A137" i="17"/>
  <c r="F136" i="17"/>
  <c r="C136" i="17"/>
  <c r="A136" i="17"/>
  <c r="F135" i="17"/>
  <c r="C135" i="17"/>
  <c r="A135" i="17"/>
  <c r="M134" i="17"/>
  <c r="F134" i="17"/>
  <c r="V134" i="17" s="1"/>
  <c r="C134" i="17"/>
  <c r="A134" i="17"/>
  <c r="F133" i="17"/>
  <c r="C133" i="17"/>
  <c r="A133" i="17"/>
  <c r="S132" i="17"/>
  <c r="K132" i="17"/>
  <c r="F132" i="17"/>
  <c r="U132" i="17" s="1"/>
  <c r="C132" i="17"/>
  <c r="A132" i="17"/>
  <c r="F131" i="17"/>
  <c r="C131" i="17"/>
  <c r="A131" i="17"/>
  <c r="F130" i="17"/>
  <c r="C130" i="17"/>
  <c r="A130" i="17"/>
  <c r="F129" i="17"/>
  <c r="C129" i="17"/>
  <c r="AB129" i="17" s="1"/>
  <c r="A129" i="17"/>
  <c r="F128" i="17"/>
  <c r="C128" i="17"/>
  <c r="A128" i="17"/>
  <c r="R127" i="17"/>
  <c r="F127" i="17"/>
  <c r="C127" i="17"/>
  <c r="A127" i="17"/>
  <c r="AB126" i="17"/>
  <c r="AA126" i="17"/>
  <c r="R126" i="17"/>
  <c r="O126" i="17"/>
  <c r="M126" i="17"/>
  <c r="L126" i="17"/>
  <c r="F126" i="17"/>
  <c r="C126" i="17"/>
  <c r="A126" i="17"/>
  <c r="AA125" i="17"/>
  <c r="S125" i="17"/>
  <c r="R125" i="17"/>
  <c r="N125" i="17"/>
  <c r="F125" i="17"/>
  <c r="Q125" i="17" s="1"/>
  <c r="C125" i="17"/>
  <c r="A125" i="17"/>
  <c r="AA124" i="17"/>
  <c r="Z124" i="17"/>
  <c r="F124" i="17"/>
  <c r="C124" i="17"/>
  <c r="P124" i="17" s="1"/>
  <c r="A124" i="17"/>
  <c r="F123" i="17"/>
  <c r="C123" i="17"/>
  <c r="A123" i="17"/>
  <c r="F122" i="17"/>
  <c r="N122" i="17" s="1"/>
  <c r="C122" i="17"/>
  <c r="A122" i="17"/>
  <c r="F121" i="17"/>
  <c r="C121" i="17"/>
  <c r="A121" i="17"/>
  <c r="V120" i="17"/>
  <c r="F120" i="17"/>
  <c r="C120" i="17"/>
  <c r="K120" i="17" s="1"/>
  <c r="A120" i="17"/>
  <c r="F119" i="17"/>
  <c r="C119" i="17"/>
  <c r="A119" i="17"/>
  <c r="W118" i="17"/>
  <c r="Q118" i="17"/>
  <c r="O118" i="17"/>
  <c r="N118" i="17"/>
  <c r="F118" i="17"/>
  <c r="C118" i="17"/>
  <c r="A118" i="17"/>
  <c r="F117" i="17"/>
  <c r="C117" i="17"/>
  <c r="A117" i="17"/>
  <c r="AA116" i="17"/>
  <c r="K116" i="17"/>
  <c r="J116" i="17"/>
  <c r="F116" i="17"/>
  <c r="C116" i="17"/>
  <c r="A116" i="17"/>
  <c r="F115" i="17"/>
  <c r="C115" i="17"/>
  <c r="A115" i="17"/>
  <c r="F114" i="17"/>
  <c r="C114" i="17"/>
  <c r="A114" i="17"/>
  <c r="F113" i="17"/>
  <c r="C113" i="17"/>
  <c r="J113" i="17" s="1"/>
  <c r="A113" i="17"/>
  <c r="F112" i="17"/>
  <c r="C112" i="17"/>
  <c r="L112" i="17" s="1"/>
  <c r="A112" i="17"/>
  <c r="F111" i="17"/>
  <c r="C111" i="17"/>
  <c r="A111" i="17"/>
  <c r="F110" i="17"/>
  <c r="C110" i="17"/>
  <c r="A110" i="17"/>
  <c r="F109" i="17"/>
  <c r="I109" i="17" s="1"/>
  <c r="C109" i="17"/>
  <c r="A109" i="17"/>
  <c r="F108" i="17"/>
  <c r="C108" i="17"/>
  <c r="A108" i="17"/>
  <c r="F107" i="17"/>
  <c r="C107" i="17"/>
  <c r="S107" i="17" s="1"/>
  <c r="A107" i="17"/>
  <c r="F106" i="17"/>
  <c r="C106" i="17"/>
  <c r="A106" i="17"/>
  <c r="F105" i="17"/>
  <c r="C105" i="17"/>
  <c r="A105" i="17"/>
  <c r="F104" i="17"/>
  <c r="C104" i="17"/>
  <c r="P104" i="17" s="1"/>
  <c r="A104" i="17"/>
  <c r="F103" i="17"/>
  <c r="C103" i="17"/>
  <c r="W103" i="17" s="1"/>
  <c r="A103" i="17"/>
  <c r="F102" i="17"/>
  <c r="C102" i="17"/>
  <c r="A102" i="17"/>
  <c r="F101" i="17"/>
  <c r="C101" i="17"/>
  <c r="U101" i="17" s="1"/>
  <c r="A101" i="17"/>
  <c r="AB100" i="17"/>
  <c r="Q100" i="17"/>
  <c r="O100" i="17"/>
  <c r="F100" i="17"/>
  <c r="C100" i="17"/>
  <c r="Y100" i="17" s="1"/>
  <c r="A100" i="17"/>
  <c r="F99" i="17"/>
  <c r="C99" i="17"/>
  <c r="A99" i="17"/>
  <c r="R98" i="17"/>
  <c r="F98" i="17"/>
  <c r="C98" i="17"/>
  <c r="A98" i="17"/>
  <c r="F97" i="17"/>
  <c r="Y97" i="17" s="1"/>
  <c r="C97" i="17"/>
  <c r="A97" i="17"/>
  <c r="V96" i="17"/>
  <c r="F96" i="17"/>
  <c r="O96" i="17" s="1"/>
  <c r="C96" i="17"/>
  <c r="L96" i="17" s="1"/>
  <c r="A96" i="17"/>
  <c r="AB95" i="17"/>
  <c r="Y95" i="17"/>
  <c r="F95" i="17"/>
  <c r="C95" i="17"/>
  <c r="A95" i="17"/>
  <c r="F94" i="17"/>
  <c r="C94" i="17"/>
  <c r="I94" i="17" s="1"/>
  <c r="A94" i="17"/>
  <c r="V93" i="17"/>
  <c r="F93" i="17"/>
  <c r="C93" i="17"/>
  <c r="I93" i="17" s="1"/>
  <c r="A93" i="17"/>
  <c r="F92" i="17"/>
  <c r="C92" i="17"/>
  <c r="A92" i="17"/>
  <c r="F91" i="17"/>
  <c r="C91" i="17"/>
  <c r="A91" i="17"/>
  <c r="F90" i="17"/>
  <c r="C90" i="17"/>
  <c r="A90" i="17"/>
  <c r="F89" i="17"/>
  <c r="L89" i="17" s="1"/>
  <c r="C89" i="17"/>
  <c r="A89" i="17"/>
  <c r="F88" i="17"/>
  <c r="C88" i="17"/>
  <c r="A88" i="17"/>
  <c r="F87" i="17"/>
  <c r="AB87" i="17" s="1"/>
  <c r="C87" i="17"/>
  <c r="A87" i="17"/>
  <c r="U86" i="17"/>
  <c r="F86" i="17"/>
  <c r="C86" i="17"/>
  <c r="R86" i="17" s="1"/>
  <c r="A86" i="17"/>
  <c r="U85" i="17"/>
  <c r="R85" i="17"/>
  <c r="N85" i="17"/>
  <c r="F85" i="17"/>
  <c r="C85" i="17"/>
  <c r="M85" i="17" s="1"/>
  <c r="A85" i="17"/>
  <c r="AB84" i="17"/>
  <c r="Y84" i="17"/>
  <c r="Q84" i="17"/>
  <c r="F84" i="17"/>
  <c r="C84" i="17"/>
  <c r="P84" i="17" s="1"/>
  <c r="A84" i="17"/>
  <c r="F83" i="17"/>
  <c r="C83" i="17"/>
  <c r="A83" i="17"/>
  <c r="J82" i="17"/>
  <c r="F82" i="17"/>
  <c r="C82" i="17"/>
  <c r="S82" i="17" s="1"/>
  <c r="A82" i="17"/>
  <c r="F81" i="17"/>
  <c r="C81" i="17"/>
  <c r="A81" i="17"/>
  <c r="S80" i="17"/>
  <c r="F80" i="17"/>
  <c r="C80" i="17"/>
  <c r="K80" i="17" s="1"/>
  <c r="A80" i="17"/>
  <c r="F79" i="17"/>
  <c r="C79" i="17"/>
  <c r="A79" i="17"/>
  <c r="F78" i="17"/>
  <c r="C78" i="17"/>
  <c r="A78" i="17"/>
  <c r="F77" i="17"/>
  <c r="C77" i="17"/>
  <c r="A77" i="17"/>
  <c r="F76" i="17"/>
  <c r="C76" i="17"/>
  <c r="P76" i="17" s="1"/>
  <c r="A76" i="17"/>
  <c r="F75" i="17"/>
  <c r="J75" i="17" s="1"/>
  <c r="C75" i="17"/>
  <c r="A75" i="17"/>
  <c r="Y74" i="17"/>
  <c r="P74" i="17"/>
  <c r="K74" i="17"/>
  <c r="F74" i="17"/>
  <c r="AB74" i="17" s="1"/>
  <c r="C74" i="17"/>
  <c r="A74" i="17"/>
  <c r="V73" i="17"/>
  <c r="P73" i="17"/>
  <c r="O73" i="17"/>
  <c r="M73" i="17"/>
  <c r="J73" i="17"/>
  <c r="F73" i="17"/>
  <c r="C73" i="17"/>
  <c r="I73" i="17" s="1"/>
  <c r="A73" i="17"/>
  <c r="AA72" i="17"/>
  <c r="F72" i="17"/>
  <c r="V72" i="17" s="1"/>
  <c r="C72" i="17"/>
  <c r="A72" i="17"/>
  <c r="F71" i="17"/>
  <c r="C71" i="17"/>
  <c r="A71" i="17"/>
  <c r="F70" i="17"/>
  <c r="C70" i="17"/>
  <c r="O70" i="17" s="1"/>
  <c r="A70" i="17"/>
  <c r="F69" i="17"/>
  <c r="C69" i="17"/>
  <c r="M69" i="17" s="1"/>
  <c r="A69" i="17"/>
  <c r="O68" i="17"/>
  <c r="K68" i="17"/>
  <c r="F68" i="17"/>
  <c r="C68" i="17"/>
  <c r="A68" i="17"/>
  <c r="F67" i="17"/>
  <c r="C67" i="17"/>
  <c r="Q67" i="17" s="1"/>
  <c r="A67" i="17"/>
  <c r="F66" i="17"/>
  <c r="C66" i="17"/>
  <c r="A66" i="17"/>
  <c r="F65" i="17"/>
  <c r="C65" i="17"/>
  <c r="A65" i="17"/>
  <c r="F64" i="17"/>
  <c r="Q64" i="17" s="1"/>
  <c r="C64" i="17"/>
  <c r="I64" i="17" s="1"/>
  <c r="A64" i="17"/>
  <c r="F63" i="17"/>
  <c r="C63" i="17"/>
  <c r="A63" i="17"/>
  <c r="F62" i="17"/>
  <c r="L62" i="17" s="1"/>
  <c r="C62" i="17"/>
  <c r="A62" i="17"/>
  <c r="F61" i="17"/>
  <c r="C61" i="17"/>
  <c r="A61" i="17"/>
  <c r="F60" i="17"/>
  <c r="U60" i="17" s="1"/>
  <c r="C60" i="17"/>
  <c r="A60" i="17"/>
  <c r="F59" i="17"/>
  <c r="C59" i="17"/>
  <c r="A59" i="17"/>
  <c r="F58" i="17"/>
  <c r="C58" i="17"/>
  <c r="A58" i="17"/>
  <c r="F57" i="17"/>
  <c r="C57" i="17"/>
  <c r="A57" i="17"/>
  <c r="F56" i="17"/>
  <c r="C56" i="17"/>
  <c r="A56" i="17"/>
  <c r="F55" i="17"/>
  <c r="C55" i="17"/>
  <c r="A55" i="17"/>
  <c r="F54" i="17"/>
  <c r="C54" i="17"/>
  <c r="A54" i="17"/>
  <c r="F53" i="17"/>
  <c r="C53" i="17"/>
  <c r="Q53" i="17" s="1"/>
  <c r="A53" i="17"/>
  <c r="Y52" i="17"/>
  <c r="U52" i="17"/>
  <c r="Q52" i="17"/>
  <c r="F52" i="17"/>
  <c r="C52" i="17"/>
  <c r="J52" i="17" s="1"/>
  <c r="A52" i="17"/>
  <c r="F51" i="17"/>
  <c r="S51" i="17" s="1"/>
  <c r="C51" i="17"/>
  <c r="A51" i="17"/>
  <c r="F50" i="17"/>
  <c r="C50" i="17"/>
  <c r="A50" i="17"/>
  <c r="F49" i="17"/>
  <c r="C49" i="17"/>
  <c r="A49" i="17"/>
  <c r="F48" i="17"/>
  <c r="I48" i="17" s="1"/>
  <c r="C48" i="17"/>
  <c r="A48" i="17"/>
  <c r="F47" i="17"/>
  <c r="Y47" i="17" s="1"/>
  <c r="C47" i="17"/>
  <c r="O47" i="17" s="1"/>
  <c r="A47" i="17"/>
  <c r="F46" i="17"/>
  <c r="U46" i="17" s="1"/>
  <c r="C46" i="17"/>
  <c r="A46" i="17"/>
  <c r="W45" i="17"/>
  <c r="S45" i="17"/>
  <c r="F45" i="17"/>
  <c r="C45" i="17"/>
  <c r="A45" i="17"/>
  <c r="Z44" i="17"/>
  <c r="V44" i="17"/>
  <c r="J44" i="17"/>
  <c r="F44" i="17"/>
  <c r="C44" i="17"/>
  <c r="A44" i="17"/>
  <c r="F43" i="17"/>
  <c r="C43" i="17"/>
  <c r="A43" i="17"/>
  <c r="F42" i="17"/>
  <c r="N42" i="17" s="1"/>
  <c r="C42" i="17"/>
  <c r="A42" i="17"/>
  <c r="AA41" i="17"/>
  <c r="R41" i="17"/>
  <c r="F41" i="17"/>
  <c r="C41" i="17"/>
  <c r="O41" i="17" s="1"/>
  <c r="A41" i="17"/>
  <c r="Z40" i="17"/>
  <c r="Y40" i="17"/>
  <c r="M40" i="17"/>
  <c r="F40" i="17"/>
  <c r="L40" i="17" s="1"/>
  <c r="C40" i="17"/>
  <c r="A40" i="17"/>
  <c r="P39" i="17"/>
  <c r="O39" i="17"/>
  <c r="M39" i="17"/>
  <c r="F39" i="17"/>
  <c r="J39" i="17" s="1"/>
  <c r="C39" i="17"/>
  <c r="A39" i="17"/>
  <c r="V38" i="17"/>
  <c r="K38" i="17"/>
  <c r="I38" i="17"/>
  <c r="F38" i="17"/>
  <c r="C38" i="17"/>
  <c r="R38" i="17" s="1"/>
  <c r="A38" i="17"/>
  <c r="F37" i="17"/>
  <c r="V37" i="17" s="1"/>
  <c r="C37" i="17"/>
  <c r="A37" i="17"/>
  <c r="F36" i="17"/>
  <c r="Q36" i="17" s="1"/>
  <c r="C36" i="17"/>
  <c r="Y36" i="17" s="1"/>
  <c r="A36" i="17"/>
  <c r="F35" i="17"/>
  <c r="C35" i="17"/>
  <c r="J35" i="17" s="1"/>
  <c r="A35" i="17"/>
  <c r="F34" i="17"/>
  <c r="O34" i="17" s="1"/>
  <c r="C34" i="17"/>
  <c r="A34" i="17"/>
  <c r="F33" i="17"/>
  <c r="P33" i="17" s="1"/>
  <c r="C33" i="17"/>
  <c r="A33" i="17"/>
  <c r="F32" i="17"/>
  <c r="AA32" i="17" s="1"/>
  <c r="C32" i="17"/>
  <c r="A32" i="17"/>
  <c r="F31" i="17"/>
  <c r="V31" i="17" s="1"/>
  <c r="C31" i="17"/>
  <c r="A31" i="17"/>
  <c r="F30" i="17"/>
  <c r="C30" i="17"/>
  <c r="S30" i="17" s="1"/>
  <c r="A30" i="17"/>
  <c r="F29" i="17"/>
  <c r="AB29" i="17" s="1"/>
  <c r="C29" i="17"/>
  <c r="A29" i="17"/>
  <c r="F28" i="17"/>
  <c r="C28" i="17"/>
  <c r="A28" i="17"/>
  <c r="F27" i="17"/>
  <c r="W27" i="17" s="1"/>
  <c r="C27" i="17"/>
  <c r="A27" i="17"/>
  <c r="Z26" i="17"/>
  <c r="W26" i="17"/>
  <c r="F26" i="17"/>
  <c r="C26" i="17"/>
  <c r="A26" i="17"/>
  <c r="AB25" i="17"/>
  <c r="N25" i="17"/>
  <c r="L25" i="17"/>
  <c r="F25" i="17"/>
  <c r="C25" i="17"/>
  <c r="U25" i="17" s="1"/>
  <c r="A25" i="17"/>
  <c r="F24" i="17"/>
  <c r="C24" i="17"/>
  <c r="A24" i="17"/>
  <c r="Z23" i="17"/>
  <c r="Y23" i="17"/>
  <c r="J23" i="17"/>
  <c r="F23" i="17"/>
  <c r="C23" i="17"/>
  <c r="A23" i="17"/>
  <c r="AA22" i="17"/>
  <c r="P22" i="17"/>
  <c r="O22" i="17"/>
  <c r="F22" i="17"/>
  <c r="AB22" i="17" s="1"/>
  <c r="C22" i="17"/>
  <c r="A22" i="17"/>
  <c r="F21" i="17"/>
  <c r="AA21" i="17" s="1"/>
  <c r="C21" i="17"/>
  <c r="A21" i="17"/>
  <c r="F20" i="17"/>
  <c r="V20" i="17" s="1"/>
  <c r="C20" i="17"/>
  <c r="A20" i="17"/>
  <c r="F19" i="17"/>
  <c r="C19" i="17"/>
  <c r="A19" i="17"/>
  <c r="F18" i="17"/>
  <c r="C18" i="17"/>
  <c r="V18" i="17" s="1"/>
  <c r="A18" i="17"/>
  <c r="F17" i="17"/>
  <c r="O17" i="17" s="1"/>
  <c r="C17" i="17"/>
  <c r="A17" i="17"/>
  <c r="F16" i="17"/>
  <c r="C16" i="17"/>
  <c r="A16" i="17"/>
  <c r="F15" i="17"/>
  <c r="C15" i="17"/>
  <c r="A15" i="17"/>
  <c r="F14" i="17"/>
  <c r="Q14" i="17" s="1"/>
  <c r="C14" i="17"/>
  <c r="A14" i="17"/>
  <c r="F13" i="17"/>
  <c r="C13" i="17"/>
  <c r="A13" i="17"/>
  <c r="F12" i="17"/>
  <c r="M12" i="17" s="1"/>
  <c r="C12" i="17"/>
  <c r="A12" i="17"/>
  <c r="F11" i="17"/>
  <c r="Q11" i="17" s="1"/>
  <c r="C11" i="17"/>
  <c r="A11" i="17"/>
  <c r="S10" i="17"/>
  <c r="P10" i="17"/>
  <c r="F10" i="17"/>
  <c r="C10" i="17"/>
  <c r="V10" i="17" s="1"/>
  <c r="A10" i="17"/>
  <c r="F9" i="17"/>
  <c r="V9" i="17" s="1"/>
  <c r="C9" i="17"/>
  <c r="W9" i="17" s="1"/>
  <c r="A9" i="17"/>
  <c r="F8" i="17"/>
  <c r="C8" i="17"/>
  <c r="A8" i="17"/>
  <c r="Y7" i="17"/>
  <c r="V7" i="17"/>
  <c r="K7" i="17"/>
  <c r="F7" i="17"/>
  <c r="I7" i="17" s="1"/>
  <c r="C7" i="17"/>
  <c r="P7" i="17" s="1"/>
  <c r="A7" i="17"/>
  <c r="F6" i="17"/>
  <c r="L6" i="17" s="1"/>
  <c r="C6" i="17"/>
  <c r="A6" i="17"/>
  <c r="F5" i="17"/>
  <c r="C5" i="17"/>
  <c r="A5" i="17"/>
  <c r="F4" i="17"/>
  <c r="C4" i="17"/>
  <c r="A4" i="17"/>
  <c r="F3" i="17"/>
  <c r="P3" i="17" s="1"/>
  <c r="C3" i="17"/>
  <c r="A3" i="17"/>
  <c r="F2" i="17"/>
  <c r="C2" i="17"/>
  <c r="P2" i="17" s="1"/>
  <c r="A2" i="17"/>
  <c r="Q131" i="17" l="1"/>
  <c r="AA131" i="17"/>
  <c r="K131" i="17"/>
  <c r="Z159" i="17"/>
  <c r="Y159" i="17"/>
  <c r="O159" i="17"/>
  <c r="M159" i="17"/>
  <c r="L159" i="17"/>
  <c r="W220" i="17"/>
  <c r="I220" i="17"/>
  <c r="K220" i="17"/>
  <c r="O260" i="17"/>
  <c r="N260" i="17"/>
  <c r="I260" i="17"/>
  <c r="U260" i="17"/>
  <c r="AB260" i="17"/>
  <c r="S260" i="17"/>
  <c r="Z286" i="17"/>
  <c r="W286" i="17"/>
  <c r="P286" i="17"/>
  <c r="K286" i="17"/>
  <c r="M314" i="17"/>
  <c r="R314" i="17"/>
  <c r="U391" i="17"/>
  <c r="I391" i="17"/>
  <c r="I258" i="17"/>
  <c r="W258" i="17"/>
  <c r="K258" i="17"/>
  <c r="U258" i="17"/>
  <c r="R258" i="17"/>
  <c r="L284" i="17"/>
  <c r="J284" i="17"/>
  <c r="AA284" i="17"/>
  <c r="O284" i="17"/>
  <c r="M307" i="17"/>
  <c r="I307" i="17"/>
  <c r="N307" i="17"/>
  <c r="Z220" i="17"/>
  <c r="R284" i="17"/>
  <c r="Z31" i="17"/>
  <c r="W78" i="17"/>
  <c r="V78" i="17"/>
  <c r="O78" i="17"/>
  <c r="I16" i="17"/>
  <c r="Q16" i="17"/>
  <c r="L31" i="17"/>
  <c r="L37" i="17"/>
  <c r="P43" i="17"/>
  <c r="O76" i="17"/>
  <c r="M89" i="17"/>
  <c r="R111" i="17"/>
  <c r="N111" i="17"/>
  <c r="W111" i="17"/>
  <c r="K119" i="17"/>
  <c r="J119" i="17"/>
  <c r="M119" i="17"/>
  <c r="K159" i="17"/>
  <c r="Y189" i="17"/>
  <c r="AA189" i="17"/>
  <c r="Z189" i="17"/>
  <c r="V189" i="17"/>
  <c r="I189" i="17"/>
  <c r="O189" i="17"/>
  <c r="M189" i="17"/>
  <c r="Q258" i="17"/>
  <c r="AD280" i="17"/>
  <c r="P296" i="17"/>
  <c r="AA4" i="17"/>
  <c r="Z7" i="17"/>
  <c r="R11" i="17"/>
  <c r="J12" i="17"/>
  <c r="J16" i="17"/>
  <c r="K18" i="17"/>
  <c r="O31" i="17"/>
  <c r="S35" i="17"/>
  <c r="M36" i="17"/>
  <c r="N37" i="17"/>
  <c r="W38" i="17"/>
  <c r="W39" i="17"/>
  <c r="S42" i="17"/>
  <c r="O43" i="17"/>
  <c r="L47" i="17"/>
  <c r="M78" i="17"/>
  <c r="AA89" i="17"/>
  <c r="U92" i="17"/>
  <c r="J94" i="17"/>
  <c r="W104" i="17"/>
  <c r="Z104" i="17"/>
  <c r="Q104" i="17"/>
  <c r="O104" i="17"/>
  <c r="Y116" i="17"/>
  <c r="S116" i="17"/>
  <c r="O116" i="17"/>
  <c r="M116" i="17"/>
  <c r="O143" i="17"/>
  <c r="Z143" i="17"/>
  <c r="O170" i="17"/>
  <c r="P177" i="17"/>
  <c r="AB182" i="17"/>
  <c r="Y182" i="17"/>
  <c r="W182" i="17"/>
  <c r="L189" i="17"/>
  <c r="R276" i="17"/>
  <c r="L276" i="17"/>
  <c r="L310" i="17"/>
  <c r="K310" i="17"/>
  <c r="J310" i="17"/>
  <c r="V310" i="17"/>
  <c r="Z310" i="17"/>
  <c r="N310" i="17"/>
  <c r="W328" i="17"/>
  <c r="R328" i="17"/>
  <c r="P328" i="17"/>
  <c r="N328" i="17"/>
  <c r="M328" i="17"/>
  <c r="L328" i="17"/>
  <c r="O279" i="17"/>
  <c r="M279" i="17"/>
  <c r="AB285" i="17"/>
  <c r="J285" i="17"/>
  <c r="S19" i="17"/>
  <c r="K37" i="17"/>
  <c r="AB66" i="17"/>
  <c r="AA60" i="17"/>
  <c r="S60" i="17"/>
  <c r="O60" i="17"/>
  <c r="M60" i="17"/>
  <c r="Z75" i="17"/>
  <c r="AA75" i="17"/>
  <c r="S75" i="17"/>
  <c r="P75" i="17"/>
  <c r="L35" i="17"/>
  <c r="V111" i="17"/>
  <c r="P219" i="17"/>
  <c r="N219" i="17"/>
  <c r="AA269" i="17"/>
  <c r="Q269" i="17"/>
  <c r="M269" i="17"/>
  <c r="V290" i="17"/>
  <c r="O290" i="17"/>
  <c r="N290" i="17"/>
  <c r="L290" i="17"/>
  <c r="Y290" i="17"/>
  <c r="AB290" i="17"/>
  <c r="N11" i="17"/>
  <c r="S16" i="17"/>
  <c r="M18" i="17"/>
  <c r="P20" i="17"/>
  <c r="AB24" i="17"/>
  <c r="Y31" i="17"/>
  <c r="AA33" i="17"/>
  <c r="P35" i="17"/>
  <c r="P42" i="17"/>
  <c r="Z45" i="17"/>
  <c r="I46" i="17"/>
  <c r="V47" i="17"/>
  <c r="Q49" i="17"/>
  <c r="U53" i="17"/>
  <c r="L75" i="17"/>
  <c r="M104" i="17"/>
  <c r="U119" i="17"/>
  <c r="L145" i="17"/>
  <c r="O145" i="17"/>
  <c r="N145" i="17"/>
  <c r="M145" i="17"/>
  <c r="K166" i="17"/>
  <c r="L219" i="17"/>
  <c r="U235" i="17"/>
  <c r="R235" i="17"/>
  <c r="P235" i="17"/>
  <c r="O235" i="17"/>
  <c r="O242" i="17"/>
  <c r="AB242" i="17"/>
  <c r="V257" i="17"/>
  <c r="M257" i="17"/>
  <c r="L257" i="17"/>
  <c r="AB257" i="17"/>
  <c r="K257" i="17"/>
  <c r="P257" i="17"/>
  <c r="Z257" i="17"/>
  <c r="AC257" i="17" s="1"/>
  <c r="W257" i="17"/>
  <c r="N257" i="17"/>
  <c r="K267" i="17"/>
  <c r="Y267" i="17"/>
  <c r="R267" i="17"/>
  <c r="N267" i="17"/>
  <c r="AB269" i="17"/>
  <c r="K271" i="17"/>
  <c r="J271" i="17"/>
  <c r="U271" i="17"/>
  <c r="J290" i="17"/>
  <c r="W402" i="17"/>
  <c r="N402" i="17"/>
  <c r="M402" i="17"/>
  <c r="L402" i="17"/>
  <c r="Z402" i="17"/>
  <c r="K402" i="17"/>
  <c r="AB13" i="17"/>
  <c r="S117" i="17"/>
  <c r="M9" i="17"/>
  <c r="Y12" i="17"/>
  <c r="N12" i="17"/>
  <c r="R21" i="17"/>
  <c r="Q21" i="17"/>
  <c r="AA36" i="17"/>
  <c r="L16" i="17"/>
  <c r="AB43" i="17"/>
  <c r="P47" i="17"/>
  <c r="K75" i="17"/>
  <c r="Y2" i="17"/>
  <c r="Q5" i="17"/>
  <c r="J10" i="17"/>
  <c r="P11" i="17"/>
  <c r="AA12" i="17"/>
  <c r="N18" i="17"/>
  <c r="U20" i="17"/>
  <c r="M23" i="17"/>
  <c r="U26" i="17"/>
  <c r="AA30" i="17"/>
  <c r="Q35" i="17"/>
  <c r="M41" i="17"/>
  <c r="Y42" i="17"/>
  <c r="J45" i="17"/>
  <c r="J46" i="17"/>
  <c r="W47" i="17"/>
  <c r="J49" i="17"/>
  <c r="AB61" i="17"/>
  <c r="Y63" i="17"/>
  <c r="M63" i="17"/>
  <c r="L63" i="17"/>
  <c r="L72" i="17"/>
  <c r="O75" i="17"/>
  <c r="AA104" i="17"/>
  <c r="Z119" i="17"/>
  <c r="S124" i="17"/>
  <c r="L124" i="17"/>
  <c r="V124" i="17"/>
  <c r="M124" i="17"/>
  <c r="K124" i="17"/>
  <c r="J124" i="17"/>
  <c r="Y124" i="17"/>
  <c r="M267" i="17"/>
  <c r="N288" i="17"/>
  <c r="W290" i="17"/>
  <c r="V89" i="17"/>
  <c r="R89" i="17"/>
  <c r="P89" i="17"/>
  <c r="O89" i="17"/>
  <c r="J78" i="17"/>
  <c r="M157" i="17"/>
  <c r="Z64" i="17"/>
  <c r="K78" i="17"/>
  <c r="AA7" i="17"/>
  <c r="K12" i="17"/>
  <c r="L18" i="17"/>
  <c r="R31" i="17"/>
  <c r="P36" i="17"/>
  <c r="AB78" i="17"/>
  <c r="L104" i="17"/>
  <c r="L119" i="17"/>
  <c r="V141" i="17"/>
  <c r="N141" i="17"/>
  <c r="Y168" i="17"/>
  <c r="V168" i="17"/>
  <c r="U168" i="17"/>
  <c r="O168" i="17"/>
  <c r="S7" i="17"/>
  <c r="L7" i="17"/>
  <c r="Y22" i="17"/>
  <c r="R3" i="17"/>
  <c r="S5" i="17"/>
  <c r="J7" i="17"/>
  <c r="I10" i="17"/>
  <c r="Z11" i="17"/>
  <c r="U15" i="17"/>
  <c r="L22" i="17"/>
  <c r="I23" i="17"/>
  <c r="O26" i="17"/>
  <c r="AA35" i="17"/>
  <c r="J37" i="17"/>
  <c r="L39" i="17"/>
  <c r="P41" i="17"/>
  <c r="Z42" i="17"/>
  <c r="AA44" i="17"/>
  <c r="AC44" i="17" s="1"/>
  <c r="L45" i="17"/>
  <c r="R46" i="17"/>
  <c r="S59" i="17"/>
  <c r="N61" i="17"/>
  <c r="Z63" i="17"/>
  <c r="W70" i="17"/>
  <c r="Y72" i="17"/>
  <c r="AA74" i="17"/>
  <c r="AB75" i="17"/>
  <c r="U78" i="17"/>
  <c r="AB93" i="17"/>
  <c r="Q93" i="17"/>
  <c r="P93" i="17"/>
  <c r="J93" i="17"/>
  <c r="U97" i="17"/>
  <c r="K112" i="17"/>
  <c r="I112" i="17"/>
  <c r="O124" i="17"/>
  <c r="Z140" i="17"/>
  <c r="S140" i="17"/>
  <c r="L161" i="17"/>
  <c r="Y161" i="17"/>
  <c r="U161" i="17"/>
  <c r="M161" i="17"/>
  <c r="J204" i="17"/>
  <c r="N209" i="17"/>
  <c r="AA225" i="17"/>
  <c r="U225" i="17"/>
  <c r="I225" i="17"/>
  <c r="P238" i="17"/>
  <c r="K238" i="17"/>
  <c r="I238" i="17"/>
  <c r="S238" i="17"/>
  <c r="R238" i="17"/>
  <c r="S321" i="17"/>
  <c r="K321" i="17"/>
  <c r="W353" i="17"/>
  <c r="M353" i="17"/>
  <c r="L353" i="17"/>
  <c r="K353" i="17"/>
  <c r="Y353" i="17"/>
  <c r="Z353" i="17"/>
  <c r="N353" i="17"/>
  <c r="I353" i="17"/>
  <c r="W110" i="17"/>
  <c r="Q116" i="17"/>
  <c r="Y143" i="17"/>
  <c r="AB153" i="17"/>
  <c r="K197" i="17"/>
  <c r="W296" i="17"/>
  <c r="W308" i="17"/>
  <c r="S308" i="17"/>
  <c r="Q317" i="17"/>
  <c r="J317" i="17"/>
  <c r="O323" i="17"/>
  <c r="N323" i="17"/>
  <c r="M323" i="17"/>
  <c r="AB323" i="17"/>
  <c r="L325" i="17"/>
  <c r="J331" i="17"/>
  <c r="W331" i="17"/>
  <c r="P391" i="17"/>
  <c r="W393" i="17"/>
  <c r="W352" i="17"/>
  <c r="Z352" i="17"/>
  <c r="Y352" i="17"/>
  <c r="R352" i="17"/>
  <c r="W384" i="17"/>
  <c r="O319" i="17"/>
  <c r="K332" i="17"/>
  <c r="P332" i="17"/>
  <c r="O332" i="17"/>
  <c r="N332" i="17"/>
  <c r="U332" i="17"/>
  <c r="K352" i="17"/>
  <c r="N356" i="17"/>
  <c r="M363" i="17"/>
  <c r="P365" i="17"/>
  <c r="Q399" i="17"/>
  <c r="J399" i="17"/>
  <c r="AB405" i="17"/>
  <c r="P405" i="17"/>
  <c r="N405" i="17"/>
  <c r="K405" i="17"/>
  <c r="Y405" i="17"/>
  <c r="AB85" i="17"/>
  <c r="J101" i="17"/>
  <c r="AB111" i="17"/>
  <c r="W119" i="17"/>
  <c r="Z126" i="17"/>
  <c r="AD126" i="17" s="1"/>
  <c r="W126" i="17"/>
  <c r="K126" i="17"/>
  <c r="R140" i="17"/>
  <c r="O140" i="17"/>
  <c r="P175" i="17"/>
  <c r="N175" i="17"/>
  <c r="S202" i="17"/>
  <c r="Y229" i="17"/>
  <c r="AA229" i="17"/>
  <c r="Z229" i="17"/>
  <c r="N236" i="17"/>
  <c r="W271" i="17"/>
  <c r="I295" i="17"/>
  <c r="U295" i="17"/>
  <c r="O295" i="17"/>
  <c r="N295" i="17"/>
  <c r="Y317" i="17"/>
  <c r="N319" i="17"/>
  <c r="Y324" i="17"/>
  <c r="Q324" i="17"/>
  <c r="O324" i="17"/>
  <c r="I324" i="17"/>
  <c r="W324" i="17"/>
  <c r="L326" i="17"/>
  <c r="S332" i="17"/>
  <c r="AB352" i="17"/>
  <c r="S361" i="17"/>
  <c r="Y363" i="17"/>
  <c r="V376" i="17"/>
  <c r="AA392" i="17"/>
  <c r="N392" i="17"/>
  <c r="AA403" i="17"/>
  <c r="P403" i="17"/>
  <c r="J405" i="17"/>
  <c r="O55" i="17"/>
  <c r="U71" i="17"/>
  <c r="AB73" i="17"/>
  <c r="AA25" i="17"/>
  <c r="S39" i="17"/>
  <c r="V40" i="17"/>
  <c r="Z41" i="17"/>
  <c r="S53" i="17"/>
  <c r="AA73" i="17"/>
  <c r="J85" i="17"/>
  <c r="W91" i="17"/>
  <c r="M96" i="17"/>
  <c r="L101" i="17"/>
  <c r="R103" i="17"/>
  <c r="M111" i="17"/>
  <c r="AA118" i="17"/>
  <c r="W120" i="17"/>
  <c r="J126" i="17"/>
  <c r="J140" i="17"/>
  <c r="AA144" i="17"/>
  <c r="Z144" i="17"/>
  <c r="AC144" i="17" s="1"/>
  <c r="K144" i="17"/>
  <c r="AA150" i="17"/>
  <c r="N150" i="17"/>
  <c r="M150" i="17"/>
  <c r="L150" i="17"/>
  <c r="AB158" i="17"/>
  <c r="U158" i="17"/>
  <c r="J163" i="17"/>
  <c r="M175" i="17"/>
  <c r="Y213" i="17"/>
  <c r="R215" i="17"/>
  <c r="N223" i="17"/>
  <c r="O223" i="17"/>
  <c r="M229" i="17"/>
  <c r="M236" i="17"/>
  <c r="Y243" i="17"/>
  <c r="S243" i="17"/>
  <c r="O243" i="17"/>
  <c r="K243" i="17"/>
  <c r="Z247" i="17"/>
  <c r="AA247" i="17"/>
  <c r="L247" i="17"/>
  <c r="S270" i="17"/>
  <c r="Y295" i="17"/>
  <c r="AA317" i="17"/>
  <c r="R324" i="17"/>
  <c r="U326" i="17"/>
  <c r="V337" i="17"/>
  <c r="U337" i="17"/>
  <c r="Y346" i="17"/>
  <c r="V346" i="17"/>
  <c r="I346" i="17"/>
  <c r="S376" i="17"/>
  <c r="AD380" i="17"/>
  <c r="Q392" i="17"/>
  <c r="S397" i="17"/>
  <c r="O403" i="17"/>
  <c r="Q405" i="17"/>
  <c r="S409" i="17"/>
  <c r="R409" i="17"/>
  <c r="V50" i="17"/>
  <c r="U56" i="17"/>
  <c r="J65" i="17"/>
  <c r="AB69" i="17"/>
  <c r="Q80" i="17"/>
  <c r="I82" i="17"/>
  <c r="L85" i="17"/>
  <c r="V95" i="17"/>
  <c r="M100" i="17"/>
  <c r="S101" i="17"/>
  <c r="L127" i="17"/>
  <c r="W127" i="17"/>
  <c r="O163" i="17"/>
  <c r="S163" i="17"/>
  <c r="N163" i="17"/>
  <c r="L163" i="17"/>
  <c r="U218" i="17"/>
  <c r="J218" i="17"/>
  <c r="J235" i="17"/>
  <c r="S263" i="17"/>
  <c r="N263" i="17"/>
  <c r="V270" i="17"/>
  <c r="N270" i="17"/>
  <c r="M270" i="17"/>
  <c r="K270" i="17"/>
  <c r="Z270" i="17"/>
  <c r="Q306" i="17"/>
  <c r="L306" i="17"/>
  <c r="Y306" i="17"/>
  <c r="S337" i="17"/>
  <c r="N344" i="17"/>
  <c r="U344" i="17"/>
  <c r="R344" i="17"/>
  <c r="U353" i="17"/>
  <c r="S374" i="17"/>
  <c r="N374" i="17"/>
  <c r="M374" i="17"/>
  <c r="U383" i="17"/>
  <c r="Q383" i="17"/>
  <c r="K383" i="17"/>
  <c r="W383" i="17"/>
  <c r="AB119" i="17"/>
  <c r="O131" i="17"/>
  <c r="AB159" i="17"/>
  <c r="W172" i="17"/>
  <c r="S201" i="17"/>
  <c r="Y219" i="17"/>
  <c r="Y231" i="17"/>
  <c r="K233" i="17"/>
  <c r="N250" i="17"/>
  <c r="AB268" i="17"/>
  <c r="O273" i="17"/>
  <c r="M274" i="17"/>
  <c r="AA279" i="17"/>
  <c r="W283" i="17"/>
  <c r="Z302" i="17"/>
  <c r="U303" i="17"/>
  <c r="Q305" i="17"/>
  <c r="AB312" i="17"/>
  <c r="Y314" i="17"/>
  <c r="U338" i="17"/>
  <c r="K343" i="17"/>
  <c r="M358" i="17"/>
  <c r="M360" i="17"/>
  <c r="U374" i="17"/>
  <c r="Z374" i="17"/>
  <c r="Q380" i="17"/>
  <c r="AA400" i="17"/>
  <c r="W408" i="17"/>
  <c r="R406" i="17"/>
  <c r="AA161" i="17"/>
  <c r="R202" i="17"/>
  <c r="V202" i="17"/>
  <c r="AB233" i="17"/>
  <c r="P261" i="17"/>
  <c r="I271" i="17"/>
  <c r="V281" i="17"/>
  <c r="Z284" i="17"/>
  <c r="J304" i="17"/>
  <c r="AB306" i="17"/>
  <c r="Z313" i="17"/>
  <c r="V317" i="17"/>
  <c r="AB317" i="17"/>
  <c r="Z339" i="17"/>
  <c r="R341" i="17"/>
  <c r="W343" i="17"/>
  <c r="AA363" i="17"/>
  <c r="R364" i="17"/>
  <c r="Z375" i="17"/>
  <c r="U376" i="17"/>
  <c r="O409" i="17"/>
  <c r="U411" i="17"/>
  <c r="O119" i="17"/>
  <c r="I125" i="17"/>
  <c r="Q139" i="17"/>
  <c r="J161" i="17"/>
  <c r="S167" i="17"/>
  <c r="I174" i="17"/>
  <c r="AB194" i="17"/>
  <c r="I202" i="17"/>
  <c r="Z202" i="17"/>
  <c r="L209" i="17"/>
  <c r="Z254" i="17"/>
  <c r="R294" i="17"/>
  <c r="Y343" i="17"/>
  <c r="S393" i="17"/>
  <c r="AB184" i="17"/>
  <c r="M186" i="17"/>
  <c r="Q189" i="17"/>
  <c r="J202" i="17"/>
  <c r="S220" i="17"/>
  <c r="L224" i="17"/>
  <c r="Q237" i="17"/>
  <c r="I254" i="17"/>
  <c r="Q276" i="17"/>
  <c r="U280" i="17"/>
  <c r="N289" i="17"/>
  <c r="M313" i="17"/>
  <c r="R315" i="17"/>
  <c r="K317" i="17"/>
  <c r="J363" i="17"/>
  <c r="L364" i="17"/>
  <c r="V374" i="17"/>
  <c r="O375" i="17"/>
  <c r="R376" i="17"/>
  <c r="Y392" i="17"/>
  <c r="V407" i="17"/>
  <c r="L408" i="17"/>
  <c r="AC104" i="17"/>
  <c r="O88" i="17"/>
  <c r="N88" i="17"/>
  <c r="M88" i="17"/>
  <c r="Y88" i="17"/>
  <c r="M108" i="17"/>
  <c r="AA108" i="17"/>
  <c r="L108" i="17"/>
  <c r="Z108" i="17"/>
  <c r="K108" i="17"/>
  <c r="U108" i="17"/>
  <c r="Q138" i="17"/>
  <c r="N138" i="17"/>
  <c r="AB138" i="17"/>
  <c r="M138" i="17"/>
  <c r="AA138" i="17"/>
  <c r="K138" i="17"/>
  <c r="Y138" i="17"/>
  <c r="W138" i="17"/>
  <c r="P138" i="17"/>
  <c r="O138" i="17"/>
  <c r="AA179" i="17"/>
  <c r="W179" i="17"/>
  <c r="L179" i="17"/>
  <c r="V179" i="17"/>
  <c r="K179" i="17"/>
  <c r="U179" i="17"/>
  <c r="J179" i="17"/>
  <c r="M179" i="17"/>
  <c r="I179" i="17"/>
  <c r="Y179" i="17"/>
  <c r="S179" i="17"/>
  <c r="Q179" i="17"/>
  <c r="N179" i="17"/>
  <c r="Z203" i="17"/>
  <c r="R203" i="17"/>
  <c r="O203" i="17"/>
  <c r="AB203" i="17"/>
  <c r="N203" i="17"/>
  <c r="Y203" i="17"/>
  <c r="L203" i="17"/>
  <c r="M203" i="17"/>
  <c r="J203" i="17"/>
  <c r="I203" i="17"/>
  <c r="AA203" i="17"/>
  <c r="W203" i="17"/>
  <c r="V203" i="17"/>
  <c r="S203" i="17"/>
  <c r="S77" i="17"/>
  <c r="Q77" i="17"/>
  <c r="P77" i="17"/>
  <c r="AA77" i="17"/>
  <c r="L77" i="17"/>
  <c r="K88" i="17"/>
  <c r="Y90" i="17"/>
  <c r="N90" i="17"/>
  <c r="AA92" i="17"/>
  <c r="J108" i="17"/>
  <c r="Z138" i="17"/>
  <c r="Q187" i="17"/>
  <c r="O187" i="17"/>
  <c r="J187" i="17"/>
  <c r="V187" i="17"/>
  <c r="S187" i="17"/>
  <c r="I77" i="17"/>
  <c r="P88" i="17"/>
  <c r="S90" i="17"/>
  <c r="J92" i="17"/>
  <c r="R107" i="17"/>
  <c r="O108" i="17"/>
  <c r="AA130" i="17"/>
  <c r="W130" i="17"/>
  <c r="P130" i="17"/>
  <c r="AB179" i="17"/>
  <c r="V90" i="17"/>
  <c r="O110" i="17"/>
  <c r="M110" i="17"/>
  <c r="L110" i="17"/>
  <c r="AA110" i="17"/>
  <c r="V3" i="17"/>
  <c r="V15" i="17"/>
  <c r="L17" i="17"/>
  <c r="N4" i="17"/>
  <c r="P6" i="17"/>
  <c r="Q4" i="17"/>
  <c r="M3" i="17"/>
  <c r="AB3" i="17"/>
  <c r="R4" i="17"/>
  <c r="L5" i="17"/>
  <c r="AA5" i="17"/>
  <c r="Y6" i="17"/>
  <c r="N7" i="17"/>
  <c r="AB7" i="17"/>
  <c r="AD7" i="17" s="1"/>
  <c r="K9" i="17"/>
  <c r="AB9" i="17"/>
  <c r="S12" i="17"/>
  <c r="P13" i="17"/>
  <c r="R14" i="17"/>
  <c r="M15" i="17"/>
  <c r="V16" i="17"/>
  <c r="W17" i="17"/>
  <c r="O18" i="17"/>
  <c r="U23" i="17"/>
  <c r="S23" i="17"/>
  <c r="O23" i="17"/>
  <c r="AA23" i="17"/>
  <c r="AC23" i="17" s="1"/>
  <c r="J33" i="17"/>
  <c r="K34" i="17"/>
  <c r="AB38" i="17"/>
  <c r="AB41" i="17"/>
  <c r="W50" i="17"/>
  <c r="J50" i="17"/>
  <c r="Z51" i="17"/>
  <c r="AA62" i="17"/>
  <c r="Q62" i="17"/>
  <c r="O62" i="17"/>
  <c r="Q65" i="17"/>
  <c r="P65" i="17"/>
  <c r="N65" i="17"/>
  <c r="R69" i="17"/>
  <c r="W69" i="17"/>
  <c r="Q69" i="17"/>
  <c r="N69" i="17"/>
  <c r="J69" i="17"/>
  <c r="M70" i="17"/>
  <c r="W71" i="17"/>
  <c r="N77" i="17"/>
  <c r="Z88" i="17"/>
  <c r="W93" i="17"/>
  <c r="P95" i="17"/>
  <c r="O107" i="17"/>
  <c r="V108" i="17"/>
  <c r="Q110" i="17"/>
  <c r="V113" i="17"/>
  <c r="J121" i="17"/>
  <c r="S142" i="17"/>
  <c r="Q142" i="17"/>
  <c r="O142" i="17"/>
  <c r="M142" i="17"/>
  <c r="I5" i="17"/>
  <c r="J15" i="17"/>
  <c r="P30" i="17"/>
  <c r="O30" i="17"/>
  <c r="K30" i="17"/>
  <c r="AB30" i="17"/>
  <c r="Y3" i="17"/>
  <c r="Z15" i="17"/>
  <c r="P28" i="17"/>
  <c r="AB28" i="17"/>
  <c r="K76" i="17"/>
  <c r="J76" i="17"/>
  <c r="AA76" i="17"/>
  <c r="I76" i="17"/>
  <c r="U76" i="17"/>
  <c r="Z3" i="17"/>
  <c r="Q6" i="17"/>
  <c r="L15" i="17"/>
  <c r="Q17" i="17"/>
  <c r="Y51" i="17"/>
  <c r="M77" i="17"/>
  <c r="N3" i="17"/>
  <c r="N5" i="17"/>
  <c r="AB5" i="17"/>
  <c r="O7" i="17"/>
  <c r="Q12" i="17"/>
  <c r="V12" i="17"/>
  <c r="S13" i="17"/>
  <c r="AA14" i="17"/>
  <c r="O15" i="17"/>
  <c r="W16" i="17"/>
  <c r="P31" i="17"/>
  <c r="M31" i="17"/>
  <c r="Q34" i="17"/>
  <c r="M44" i="17"/>
  <c r="L44" i="17"/>
  <c r="K44" i="17"/>
  <c r="Y44" i="17"/>
  <c r="R50" i="17"/>
  <c r="AA65" i="17"/>
  <c r="L69" i="17"/>
  <c r="N70" i="17"/>
  <c r="V76" i="17"/>
  <c r="W77" i="17"/>
  <c r="AA88" i="17"/>
  <c r="K95" i="17"/>
  <c r="AA107" i="17"/>
  <c r="Y108" i="17"/>
  <c r="R110" i="17"/>
  <c r="P113" i="17"/>
  <c r="Y127" i="17"/>
  <c r="V127" i="17"/>
  <c r="Z195" i="17"/>
  <c r="AB195" i="17"/>
  <c r="N195" i="17"/>
  <c r="Y195" i="17"/>
  <c r="M195" i="17"/>
  <c r="W195" i="17"/>
  <c r="L195" i="17"/>
  <c r="U195" i="17"/>
  <c r="J195" i="17"/>
  <c r="Q195" i="17"/>
  <c r="K195" i="17"/>
  <c r="I195" i="17"/>
  <c r="V195" i="17"/>
  <c r="S195" i="17"/>
  <c r="R195" i="17"/>
  <c r="W3" i="17"/>
  <c r="J5" i="17"/>
  <c r="Q9" i="17"/>
  <c r="K15" i="17"/>
  <c r="W30" i="17"/>
  <c r="L51" i="17"/>
  <c r="K5" i="17"/>
  <c r="AA9" i="17"/>
  <c r="O33" i="17"/>
  <c r="N33" i="17"/>
  <c r="AB33" i="17"/>
  <c r="M33" i="17"/>
  <c r="W33" i="17"/>
  <c r="Z54" i="17"/>
  <c r="U54" i="17"/>
  <c r="R54" i="17"/>
  <c r="L76" i="17"/>
  <c r="Q88" i="17"/>
  <c r="L92" i="17"/>
  <c r="I107" i="17"/>
  <c r="R108" i="17"/>
  <c r="AA2" i="17"/>
  <c r="P5" i="17"/>
  <c r="R7" i="17"/>
  <c r="O9" i="17"/>
  <c r="W12" i="17"/>
  <c r="V13" i="17"/>
  <c r="R15" i="17"/>
  <c r="R18" i="17"/>
  <c r="Z18" i="17"/>
  <c r="W18" i="17"/>
  <c r="M26" i="17"/>
  <c r="L26" i="17"/>
  <c r="AB26" i="17"/>
  <c r="AD26" i="17" s="1"/>
  <c r="K26" i="17"/>
  <c r="V26" i="17"/>
  <c r="U33" i="17"/>
  <c r="Z34" i="17"/>
  <c r="AC41" i="17"/>
  <c r="R43" i="17"/>
  <c r="AA43" i="17"/>
  <c r="W43" i="17"/>
  <c r="Q43" i="17"/>
  <c r="K43" i="17"/>
  <c r="Z60" i="17"/>
  <c r="L60" i="17"/>
  <c r="Y60" i="17"/>
  <c r="K60" i="17"/>
  <c r="V60" i="17"/>
  <c r="J60" i="17"/>
  <c r="R60" i="17"/>
  <c r="U68" i="17"/>
  <c r="Q68" i="17"/>
  <c r="Y76" i="17"/>
  <c r="Z77" i="17"/>
  <c r="M95" i="17"/>
  <c r="Q98" i="17"/>
  <c r="K98" i="17"/>
  <c r="J98" i="17"/>
  <c r="U113" i="17"/>
  <c r="W135" i="17"/>
  <c r="V135" i="17"/>
  <c r="U135" i="17"/>
  <c r="R135" i="17"/>
  <c r="L135" i="17"/>
  <c r="W142" i="17"/>
  <c r="Q176" i="17"/>
  <c r="Y176" i="17"/>
  <c r="W176" i="17"/>
  <c r="U176" i="17"/>
  <c r="U5" i="17"/>
  <c r="Y15" i="17"/>
  <c r="J3" i="17"/>
  <c r="V5" i="17"/>
  <c r="Z9" i="17"/>
  <c r="W19" i="17"/>
  <c r="V19" i="17"/>
  <c r="Z71" i="17"/>
  <c r="K71" i="17"/>
  <c r="L3" i="17"/>
  <c r="Z5" i="17"/>
  <c r="J9" i="17"/>
  <c r="AA15" i="17"/>
  <c r="L19" i="17"/>
  <c r="L70" i="17"/>
  <c r="AB70" i="17"/>
  <c r="K70" i="17"/>
  <c r="AA70" i="17"/>
  <c r="I70" i="17"/>
  <c r="V70" i="17"/>
  <c r="O3" i="17"/>
  <c r="R6" i="17"/>
  <c r="O8" i="17"/>
  <c r="P9" i="17"/>
  <c r="S11" i="17"/>
  <c r="I12" i="17"/>
  <c r="S15" i="17"/>
  <c r="AB17" i="17"/>
  <c r="Y18" i="17"/>
  <c r="AB18" i="17"/>
  <c r="AB20" i="17"/>
  <c r="K23" i="17"/>
  <c r="J26" i="17"/>
  <c r="K31" i="17"/>
  <c r="R32" i="17"/>
  <c r="Z33" i="17"/>
  <c r="AC33" i="17" s="1"/>
  <c r="O38" i="17"/>
  <c r="W40" i="17"/>
  <c r="O40" i="17"/>
  <c r="N40" i="17"/>
  <c r="AA40" i="17"/>
  <c r="AC40" i="17" s="1"/>
  <c r="K40" i="17"/>
  <c r="L41" i="17"/>
  <c r="M42" i="17"/>
  <c r="K42" i="17"/>
  <c r="AB42" i="17"/>
  <c r="J42" i="17"/>
  <c r="W42" i="17"/>
  <c r="J43" i="17"/>
  <c r="O44" i="17"/>
  <c r="W49" i="17"/>
  <c r="U55" i="17"/>
  <c r="I60" i="17"/>
  <c r="P61" i="17"/>
  <c r="S61" i="17"/>
  <c r="R61" i="17"/>
  <c r="Q61" i="17"/>
  <c r="P64" i="17"/>
  <c r="Z68" i="17"/>
  <c r="Z69" i="17"/>
  <c r="AD69" i="17" s="1"/>
  <c r="Y70" i="17"/>
  <c r="O74" i="17"/>
  <c r="N74" i="17"/>
  <c r="M74" i="17"/>
  <c r="Z74" i="17"/>
  <c r="AD74" i="17" s="1"/>
  <c r="AD75" i="17"/>
  <c r="AB77" i="17"/>
  <c r="O80" i="17"/>
  <c r="Z82" i="17"/>
  <c r="R84" i="17"/>
  <c r="AB94" i="17"/>
  <c r="R95" i="17"/>
  <c r="I98" i="17"/>
  <c r="O103" i="17"/>
  <c r="Z112" i="17"/>
  <c r="Q120" i="17"/>
  <c r="M120" i="17"/>
  <c r="L120" i="17"/>
  <c r="M127" i="17"/>
  <c r="K135" i="17"/>
  <c r="AB147" i="17"/>
  <c r="Z147" i="17"/>
  <c r="W147" i="17"/>
  <c r="O147" i="17"/>
  <c r="U131" i="17"/>
  <c r="W134" i="17"/>
  <c r="U139" i="17"/>
  <c r="Z141" i="17"/>
  <c r="R143" i="17"/>
  <c r="Z178" i="17"/>
  <c r="R178" i="17"/>
  <c r="Q178" i="17"/>
  <c r="M178" i="17"/>
  <c r="N199" i="17"/>
  <c r="M199" i="17"/>
  <c r="AB199" i="17"/>
  <c r="K199" i="17"/>
  <c r="P227" i="17"/>
  <c r="K227" i="17"/>
  <c r="V227" i="17"/>
  <c r="J227" i="17"/>
  <c r="AB227" i="17"/>
  <c r="N227" i="17"/>
  <c r="Y227" i="17"/>
  <c r="S227" i="17"/>
  <c r="O227" i="17"/>
  <c r="L227" i="17"/>
  <c r="W131" i="17"/>
  <c r="I134" i="17"/>
  <c r="Y134" i="17"/>
  <c r="W139" i="17"/>
  <c r="AA141" i="17"/>
  <c r="U143" i="17"/>
  <c r="Q149" i="17"/>
  <c r="N149" i="17"/>
  <c r="L149" i="17"/>
  <c r="AB149" i="17"/>
  <c r="I149" i="17"/>
  <c r="M156" i="17"/>
  <c r="L156" i="17"/>
  <c r="K156" i="17"/>
  <c r="V156" i="17"/>
  <c r="I156" i="17"/>
  <c r="N170" i="17"/>
  <c r="M170" i="17"/>
  <c r="Z170" i="17"/>
  <c r="K170" i="17"/>
  <c r="W186" i="17"/>
  <c r="L186" i="17"/>
  <c r="V186" i="17"/>
  <c r="K186" i="17"/>
  <c r="U186" i="17"/>
  <c r="J186" i="17"/>
  <c r="AA186" i="17"/>
  <c r="AC186" i="17" s="1"/>
  <c r="AB191" i="17"/>
  <c r="I191" i="17"/>
  <c r="Q210" i="17"/>
  <c r="L210" i="17"/>
  <c r="W227" i="17"/>
  <c r="R26" i="17"/>
  <c r="AA31" i="17"/>
  <c r="AC31" i="17" s="1"/>
  <c r="M37" i="17"/>
  <c r="AA38" i="17"/>
  <c r="P44" i="17"/>
  <c r="R57" i="17"/>
  <c r="P60" i="17"/>
  <c r="V62" i="17"/>
  <c r="V63" i="17"/>
  <c r="AB63" i="17"/>
  <c r="AD63" i="17" s="1"/>
  <c r="R66" i="17"/>
  <c r="S74" i="17"/>
  <c r="L78" i="17"/>
  <c r="AA78" i="17"/>
  <c r="V88" i="17"/>
  <c r="S93" i="17"/>
  <c r="Z95" i="17"/>
  <c r="AD95" i="17" s="1"/>
  <c r="P96" i="17"/>
  <c r="V98" i="17"/>
  <c r="P100" i="17"/>
  <c r="N104" i="17"/>
  <c r="S108" i="17"/>
  <c r="O111" i="17"/>
  <c r="AC124" i="17"/>
  <c r="Y131" i="17"/>
  <c r="K134" i="17"/>
  <c r="AA134" i="17"/>
  <c r="I139" i="17"/>
  <c r="Z139" i="17"/>
  <c r="AC139" i="17" s="1"/>
  <c r="L141" i="17"/>
  <c r="AB141" i="17"/>
  <c r="W143" i="17"/>
  <c r="K149" i="17"/>
  <c r="J156" i="17"/>
  <c r="Q164" i="17"/>
  <c r="AB174" i="17"/>
  <c r="R174" i="17"/>
  <c r="AA178" i="17"/>
  <c r="S181" i="17"/>
  <c r="Q181" i="17"/>
  <c r="P181" i="17"/>
  <c r="M181" i="17"/>
  <c r="Z182" i="17"/>
  <c r="R186" i="17"/>
  <c r="V191" i="17"/>
  <c r="J199" i="17"/>
  <c r="Z209" i="17"/>
  <c r="I209" i="17"/>
  <c r="U209" i="17"/>
  <c r="Q209" i="17"/>
  <c r="P209" i="17"/>
  <c r="M209" i="17"/>
  <c r="AA210" i="17"/>
  <c r="Z218" i="17"/>
  <c r="AB218" i="17"/>
  <c r="S218" i="17"/>
  <c r="M227" i="17"/>
  <c r="AB232" i="17"/>
  <c r="S232" i="17"/>
  <c r="AB130" i="17"/>
  <c r="J131" i="17"/>
  <c r="Z131" i="17"/>
  <c r="L134" i="17"/>
  <c r="J139" i="17"/>
  <c r="AA139" i="17"/>
  <c r="M141" i="17"/>
  <c r="K143" i="17"/>
  <c r="AA152" i="17"/>
  <c r="O152" i="17"/>
  <c r="N152" i="17"/>
  <c r="M152" i="17"/>
  <c r="Y152" i="17"/>
  <c r="K152" i="17"/>
  <c r="R156" i="17"/>
  <c r="O162" i="17"/>
  <c r="J162" i="17"/>
  <c r="I162" i="17"/>
  <c r="AB162" i="17"/>
  <c r="U166" i="17"/>
  <c r="O166" i="17"/>
  <c r="N166" i="17"/>
  <c r="L166" i="17"/>
  <c r="J170" i="17"/>
  <c r="N181" i="17"/>
  <c r="I186" i="17"/>
  <c r="AA195" i="17"/>
  <c r="AC195" i="17" s="1"/>
  <c r="U213" i="17"/>
  <c r="O213" i="17"/>
  <c r="N213" i="17"/>
  <c r="M213" i="17"/>
  <c r="AA213" i="17"/>
  <c r="Z227" i="17"/>
  <c r="O25" i="17"/>
  <c r="S31" i="17"/>
  <c r="W37" i="17"/>
  <c r="L38" i="17"/>
  <c r="Z39" i="17"/>
  <c r="V41" i="17"/>
  <c r="V49" i="17"/>
  <c r="S58" i="17"/>
  <c r="N63" i="17"/>
  <c r="R78" i="17"/>
  <c r="S84" i="17"/>
  <c r="L93" i="17"/>
  <c r="Z93" i="17"/>
  <c r="S94" i="17"/>
  <c r="N95" i="17"/>
  <c r="V104" i="17"/>
  <c r="P107" i="17"/>
  <c r="Y111" i="17"/>
  <c r="U116" i="17"/>
  <c r="R124" i="17"/>
  <c r="L131" i="17"/>
  <c r="N133" i="17"/>
  <c r="N134" i="17"/>
  <c r="L139" i="17"/>
  <c r="AA140" i="17"/>
  <c r="AC140" i="17" s="1"/>
  <c r="P141" i="17"/>
  <c r="Z142" i="17"/>
  <c r="AA142" i="17"/>
  <c r="M143" i="17"/>
  <c r="Q145" i="17"/>
  <c r="S147" i="17"/>
  <c r="Q147" i="17"/>
  <c r="L147" i="17"/>
  <c r="Z149" i="17"/>
  <c r="U152" i="17"/>
  <c r="U156" i="17"/>
  <c r="Q162" i="17"/>
  <c r="AB165" i="17"/>
  <c r="V165" i="17"/>
  <c r="K165" i="17"/>
  <c r="M166" i="17"/>
  <c r="S170" i="17"/>
  <c r="S173" i="17"/>
  <c r="Q173" i="17"/>
  <c r="L173" i="17"/>
  <c r="S176" i="17"/>
  <c r="N176" i="17"/>
  <c r="L176" i="17"/>
  <c r="AA176" i="17"/>
  <c r="J176" i="17"/>
  <c r="N186" i="17"/>
  <c r="V196" i="17"/>
  <c r="S196" i="17"/>
  <c r="N196" i="17"/>
  <c r="J196" i="17"/>
  <c r="W199" i="17"/>
  <c r="P206" i="17"/>
  <c r="W206" i="17"/>
  <c r="AB208" i="17"/>
  <c r="U208" i="17"/>
  <c r="L208" i="17"/>
  <c r="W209" i="17"/>
  <c r="Y210" i="17"/>
  <c r="J213" i="17"/>
  <c r="Y226" i="17"/>
  <c r="L226" i="17"/>
  <c r="K226" i="17"/>
  <c r="V226" i="17"/>
  <c r="Q226" i="17"/>
  <c r="N226" i="17"/>
  <c r="O231" i="17"/>
  <c r="AA231" i="17"/>
  <c r="N231" i="17"/>
  <c r="Z231" i="17"/>
  <c r="L231" i="17"/>
  <c r="U231" i="17"/>
  <c r="I231" i="17"/>
  <c r="R231" i="17"/>
  <c r="K231" i="17"/>
  <c r="J231" i="17"/>
  <c r="U22" i="17"/>
  <c r="S24" i="17"/>
  <c r="W25" i="17"/>
  <c r="I31" i="17"/>
  <c r="U31" i="17"/>
  <c r="N32" i="17"/>
  <c r="S37" i="17"/>
  <c r="Z37" i="17"/>
  <c r="N38" i="17"/>
  <c r="AB39" i="17"/>
  <c r="I41" i="17"/>
  <c r="W41" i="17"/>
  <c r="W46" i="17"/>
  <c r="O63" i="17"/>
  <c r="L64" i="17"/>
  <c r="R73" i="17"/>
  <c r="Z73" i="17"/>
  <c r="AD73" i="17" s="1"/>
  <c r="U75" i="17"/>
  <c r="W75" i="17"/>
  <c r="Z78" i="17"/>
  <c r="AD78" i="17" s="1"/>
  <c r="S78" i="17"/>
  <c r="W82" i="17"/>
  <c r="K84" i="17"/>
  <c r="W85" i="17"/>
  <c r="AB89" i="17"/>
  <c r="Z92" i="17"/>
  <c r="AC92" i="17" s="1"/>
  <c r="M93" i="17"/>
  <c r="AA93" i="17"/>
  <c r="W94" i="17"/>
  <c r="O95" i="17"/>
  <c r="W96" i="17"/>
  <c r="Q106" i="17"/>
  <c r="Q107" i="17"/>
  <c r="K111" i="17"/>
  <c r="Z111" i="17"/>
  <c r="AD111" i="17" s="1"/>
  <c r="V112" i="17"/>
  <c r="R119" i="17"/>
  <c r="V119" i="17"/>
  <c r="U126" i="17"/>
  <c r="K127" i="17"/>
  <c r="I128" i="17"/>
  <c r="N131" i="17"/>
  <c r="J132" i="17"/>
  <c r="U134" i="17"/>
  <c r="J135" i="17"/>
  <c r="V136" i="17"/>
  <c r="O139" i="17"/>
  <c r="Q141" i="17"/>
  <c r="J142" i="17"/>
  <c r="AB142" i="17"/>
  <c r="AD142" i="17" s="1"/>
  <c r="N143" i="17"/>
  <c r="Y145" i="17"/>
  <c r="J147" i="17"/>
  <c r="P148" i="17"/>
  <c r="M148" i="17"/>
  <c r="V152" i="17"/>
  <c r="AA154" i="17"/>
  <c r="AC154" i="17" s="1"/>
  <c r="O154" i="17"/>
  <c r="N154" i="17"/>
  <c r="M154" i="17"/>
  <c r="Y154" i="17"/>
  <c r="J154" i="17"/>
  <c r="Y156" i="17"/>
  <c r="K158" i="17"/>
  <c r="J158" i="17"/>
  <c r="I158" i="17"/>
  <c r="AA158" i="17"/>
  <c r="AA162" i="17"/>
  <c r="I165" i="17"/>
  <c r="W166" i="17"/>
  <c r="N168" i="17"/>
  <c r="M168" i="17"/>
  <c r="Z168" i="17"/>
  <c r="L168" i="17"/>
  <c r="V170" i="17"/>
  <c r="L172" i="17"/>
  <c r="AB172" i="17"/>
  <c r="K172" i="17"/>
  <c r="Y172" i="17"/>
  <c r="J172" i="17"/>
  <c r="V172" i="17"/>
  <c r="I173" i="17"/>
  <c r="I176" i="17"/>
  <c r="Q182" i="17"/>
  <c r="P182" i="17"/>
  <c r="O182" i="17"/>
  <c r="N182" i="17"/>
  <c r="AA182" i="17"/>
  <c r="L182" i="17"/>
  <c r="P186" i="17"/>
  <c r="Q190" i="17"/>
  <c r="L190" i="17"/>
  <c r="J190" i="17"/>
  <c r="M196" i="17"/>
  <c r="AA199" i="17"/>
  <c r="I206" i="17"/>
  <c r="AA209" i="17"/>
  <c r="R213" i="17"/>
  <c r="U217" i="17"/>
  <c r="S217" i="17"/>
  <c r="R217" i="17"/>
  <c r="L217" i="17"/>
  <c r="J217" i="17"/>
  <c r="Q23" i="17"/>
  <c r="K27" i="17"/>
  <c r="Z29" i="17"/>
  <c r="J31" i="17"/>
  <c r="I34" i="17"/>
  <c r="AB37" i="17"/>
  <c r="J41" i="17"/>
  <c r="K47" i="17"/>
  <c r="AA56" i="17"/>
  <c r="R63" i="17"/>
  <c r="I78" i="17"/>
  <c r="O84" i="17"/>
  <c r="N93" i="17"/>
  <c r="K100" i="17"/>
  <c r="L103" i="17"/>
  <c r="K104" i="17"/>
  <c r="Y104" i="17"/>
  <c r="L111" i="17"/>
  <c r="I116" i="17"/>
  <c r="Z116" i="17"/>
  <c r="I124" i="17"/>
  <c r="U124" i="17"/>
  <c r="V126" i="17"/>
  <c r="AB134" i="17"/>
  <c r="I140" i="17"/>
  <c r="K142" i="17"/>
  <c r="S144" i="17"/>
  <c r="M144" i="17"/>
  <c r="N147" i="17"/>
  <c r="U151" i="17"/>
  <c r="S151" i="17"/>
  <c r="R151" i="17"/>
  <c r="P151" i="17"/>
  <c r="K151" i="17"/>
  <c r="W152" i="17"/>
  <c r="J165" i="17"/>
  <c r="Y166" i="17"/>
  <c r="Y170" i="17"/>
  <c r="M173" i="17"/>
  <c r="AB175" i="17"/>
  <c r="Q175" i="17"/>
  <c r="O175" i="17"/>
  <c r="K176" i="17"/>
  <c r="W180" i="17"/>
  <c r="S180" i="17"/>
  <c r="J180" i="17"/>
  <c r="S186" i="17"/>
  <c r="Y196" i="17"/>
  <c r="O206" i="17"/>
  <c r="S208" i="17"/>
  <c r="AB209" i="17"/>
  <c r="AD209" i="17" s="1"/>
  <c r="V213" i="17"/>
  <c r="P230" i="17"/>
  <c r="O230" i="17"/>
  <c r="V240" i="17"/>
  <c r="U262" i="17"/>
  <c r="P262" i="17"/>
  <c r="W287" i="17"/>
  <c r="Z293" i="17"/>
  <c r="M293" i="17"/>
  <c r="L293" i="17"/>
  <c r="AA293" i="17"/>
  <c r="U297" i="17"/>
  <c r="S297" i="17"/>
  <c r="Y240" i="17"/>
  <c r="AA252" i="17"/>
  <c r="O252" i="17"/>
  <c r="S265" i="17"/>
  <c r="Q265" i="17"/>
  <c r="O265" i="17"/>
  <c r="I265" i="17"/>
  <c r="Y287" i="17"/>
  <c r="P249" i="17"/>
  <c r="N252" i="17"/>
  <c r="Q262" i="17"/>
  <c r="M265" i="17"/>
  <c r="AD270" i="17"/>
  <c r="AA289" i="17"/>
  <c r="R292" i="17"/>
  <c r="Q292" i="17"/>
  <c r="O292" i="17"/>
  <c r="AB292" i="17"/>
  <c r="I292" i="17"/>
  <c r="O293" i="17"/>
  <c r="Y297" i="17"/>
  <c r="M299" i="17"/>
  <c r="V367" i="17"/>
  <c r="U367" i="17"/>
  <c r="S367" i="17"/>
  <c r="K367" i="17"/>
  <c r="I367" i="17"/>
  <c r="U145" i="17"/>
  <c r="AB145" i="17"/>
  <c r="AD145" i="17" s="1"/>
  <c r="O150" i="17"/>
  <c r="Q158" i="17"/>
  <c r="N159" i="17"/>
  <c r="N161" i="17"/>
  <c r="S162" i="17"/>
  <c r="AA168" i="17"/>
  <c r="W168" i="17"/>
  <c r="AA170" i="17"/>
  <c r="W170" i="17"/>
  <c r="R172" i="17"/>
  <c r="Z179" i="17"/>
  <c r="R179" i="17"/>
  <c r="N189" i="17"/>
  <c r="Q194" i="17"/>
  <c r="Q199" i="17"/>
  <c r="Y199" i="17"/>
  <c r="L202" i="17"/>
  <c r="W202" i="17"/>
  <c r="S211" i="17"/>
  <c r="Z213" i="17"/>
  <c r="AC213" i="17" s="1"/>
  <c r="O219" i="17"/>
  <c r="L220" i="17"/>
  <c r="Q221" i="17"/>
  <c r="P228" i="17"/>
  <c r="P231" i="17"/>
  <c r="Z234" i="17"/>
  <c r="L237" i="17"/>
  <c r="J237" i="17"/>
  <c r="I237" i="17"/>
  <c r="V237" i="17"/>
  <c r="L241" i="17"/>
  <c r="I241" i="17"/>
  <c r="U241" i="17"/>
  <c r="S247" i="17"/>
  <c r="K247" i="17"/>
  <c r="Y247" i="17"/>
  <c r="J247" i="17"/>
  <c r="O247" i="17"/>
  <c r="Z260" i="17"/>
  <c r="L260" i="17"/>
  <c r="Y260" i="17"/>
  <c r="K260" i="17"/>
  <c r="W260" i="17"/>
  <c r="J260" i="17"/>
  <c r="Q260" i="17"/>
  <c r="R262" i="17"/>
  <c r="N265" i="17"/>
  <c r="L269" i="17"/>
  <c r="K269" i="17"/>
  <c r="Y269" i="17"/>
  <c r="K276" i="17"/>
  <c r="N286" i="17"/>
  <c r="AB286" i="17"/>
  <c r="AD286" i="17" s="1"/>
  <c r="M286" i="17"/>
  <c r="AA286" i="17"/>
  <c r="AC286" i="17" s="1"/>
  <c r="L286" i="17"/>
  <c r="V286" i="17"/>
  <c r="Z287" i="17"/>
  <c r="O287" i="17"/>
  <c r="AB287" i="17"/>
  <c r="AD287" i="17" s="1"/>
  <c r="N287" i="17"/>
  <c r="AA287" i="17"/>
  <c r="M287" i="17"/>
  <c r="U287" i="17"/>
  <c r="I287" i="17"/>
  <c r="J292" i="17"/>
  <c r="Q293" i="17"/>
  <c r="N299" i="17"/>
  <c r="AD306" i="17"/>
  <c r="S307" i="17"/>
  <c r="P307" i="17"/>
  <c r="O307" i="17"/>
  <c r="Z307" i="17"/>
  <c r="Y307" i="17"/>
  <c r="W307" i="17"/>
  <c r="J307" i="17"/>
  <c r="AB307" i="17"/>
  <c r="AA307" i="17"/>
  <c r="J327" i="17"/>
  <c r="I327" i="17"/>
  <c r="AA327" i="17"/>
  <c r="V327" i="17"/>
  <c r="U327" i="17"/>
  <c r="Q327" i="17"/>
  <c r="R370" i="17"/>
  <c r="AA370" i="17"/>
  <c r="U370" i="17"/>
  <c r="O370" i="17"/>
  <c r="N370" i="17"/>
  <c r="M370" i="17"/>
  <c r="I370" i="17"/>
  <c r="S248" i="17"/>
  <c r="R248" i="17"/>
  <c r="Q248" i="17"/>
  <c r="S251" i="17"/>
  <c r="R251" i="17"/>
  <c r="L251" i="17"/>
  <c r="O256" i="17"/>
  <c r="L256" i="17"/>
  <c r="Z256" i="17"/>
  <c r="AD256" i="17" s="1"/>
  <c r="Z264" i="17"/>
  <c r="S264" i="17"/>
  <c r="M264" i="17"/>
  <c r="Z265" i="17"/>
  <c r="J287" i="17"/>
  <c r="N292" i="17"/>
  <c r="AB293" i="17"/>
  <c r="U159" i="17"/>
  <c r="U163" i="17"/>
  <c r="AA202" i="17"/>
  <c r="AC202" i="17" s="1"/>
  <c r="K210" i="17"/>
  <c r="I210" i="17"/>
  <c r="R219" i="17"/>
  <c r="N220" i="17"/>
  <c r="W229" i="17"/>
  <c r="R229" i="17"/>
  <c r="Q230" i="17"/>
  <c r="N230" i="17"/>
  <c r="AB230" i="17"/>
  <c r="AD230" i="17" s="1"/>
  <c r="K230" i="17"/>
  <c r="AA230" i="17"/>
  <c r="AC230" i="17" s="1"/>
  <c r="J230" i="17"/>
  <c r="V230" i="17"/>
  <c r="Q232" i="17"/>
  <c r="U237" i="17"/>
  <c r="L248" i="17"/>
  <c r="W250" i="17"/>
  <c r="V250" i="17"/>
  <c r="U250" i="17"/>
  <c r="K250" i="17"/>
  <c r="J251" i="17"/>
  <c r="Q253" i="17"/>
  <c r="I261" i="17"/>
  <c r="N264" i="17"/>
  <c r="W276" i="17"/>
  <c r="J278" i="17"/>
  <c r="V283" i="17"/>
  <c r="Q283" i="17"/>
  <c r="O283" i="17"/>
  <c r="Z283" i="17"/>
  <c r="K283" i="17"/>
  <c r="K287" i="17"/>
  <c r="S292" i="17"/>
  <c r="Y298" i="17"/>
  <c r="AB298" i="17"/>
  <c r="W298" i="17"/>
  <c r="P298" i="17"/>
  <c r="AB300" i="17"/>
  <c r="Y300" i="17"/>
  <c r="AB327" i="17"/>
  <c r="Y150" i="17"/>
  <c r="V159" i="17"/>
  <c r="V161" i="17"/>
  <c r="AA163" i="17"/>
  <c r="W163" i="17"/>
  <c r="R167" i="17"/>
  <c r="W189" i="17"/>
  <c r="P202" i="17"/>
  <c r="J210" i="17"/>
  <c r="K214" i="17"/>
  <c r="V220" i="17"/>
  <c r="Y237" i="17"/>
  <c r="J240" i="17"/>
  <c r="N243" i="17"/>
  <c r="AB243" i="17"/>
  <c r="M243" i="17"/>
  <c r="Z243" i="17"/>
  <c r="L243" i="17"/>
  <c r="V243" i="17"/>
  <c r="Z244" i="17"/>
  <c r="I244" i="17"/>
  <c r="P246" i="17"/>
  <c r="O246" i="17"/>
  <c r="AA246" i="17"/>
  <c r="AC246" i="17" s="1"/>
  <c r="Y248" i="17"/>
  <c r="U251" i="17"/>
  <c r="Y253" i="17"/>
  <c r="R256" i="17"/>
  <c r="AA263" i="17"/>
  <c r="Y263" i="17"/>
  <c r="M263" i="17"/>
  <c r="P264" i="17"/>
  <c r="O275" i="17"/>
  <c r="Z276" i="17"/>
  <c r="J283" i="17"/>
  <c r="S285" i="17"/>
  <c r="R285" i="17"/>
  <c r="P285" i="17"/>
  <c r="M285" i="17"/>
  <c r="Q286" i="17"/>
  <c r="R287" i="17"/>
  <c r="O288" i="17"/>
  <c r="Z292" i="17"/>
  <c r="J298" i="17"/>
  <c r="O320" i="17"/>
  <c r="N320" i="17"/>
  <c r="Z320" i="17"/>
  <c r="M320" i="17"/>
  <c r="L320" i="17"/>
  <c r="K320" i="17"/>
  <c r="J320" i="17"/>
  <c r="W320" i="17"/>
  <c r="V320" i="17"/>
  <c r="U320" i="17"/>
  <c r="R320" i="17"/>
  <c r="K150" i="17"/>
  <c r="W159" i="17"/>
  <c r="W161" i="17"/>
  <c r="Y163" i="17"/>
  <c r="S171" i="17"/>
  <c r="Y175" i="17"/>
  <c r="AB192" i="17"/>
  <c r="Y220" i="17"/>
  <c r="Q225" i="17"/>
  <c r="P225" i="17"/>
  <c r="N225" i="17"/>
  <c r="AB225" i="17"/>
  <c r="AA237" i="17"/>
  <c r="K244" i="17"/>
  <c r="Y256" i="17"/>
  <c r="L263" i="17"/>
  <c r="N273" i="17"/>
  <c r="M273" i="17"/>
  <c r="AA273" i="17"/>
  <c r="AC273" i="17" s="1"/>
  <c r="K273" i="17"/>
  <c r="W273" i="17"/>
  <c r="U274" i="17"/>
  <c r="R274" i="17"/>
  <c r="Q274" i="17"/>
  <c r="J274" i="17"/>
  <c r="R275" i="17"/>
  <c r="S275" i="17"/>
  <c r="Q275" i="17"/>
  <c r="P275" i="17"/>
  <c r="R279" i="17"/>
  <c r="L279" i="17"/>
  <c r="K279" i="17"/>
  <c r="Y279" i="17"/>
  <c r="AC302" i="17"/>
  <c r="R355" i="17"/>
  <c r="Q355" i="17"/>
  <c r="N355" i="17"/>
  <c r="S355" i="17"/>
  <c r="Z355" i="17"/>
  <c r="M355" i="17"/>
  <c r="I355" i="17"/>
  <c r="AB355" i="17"/>
  <c r="N366" i="17"/>
  <c r="AB366" i="17"/>
  <c r="L366" i="17"/>
  <c r="AA366" i="17"/>
  <c r="K366" i="17"/>
  <c r="P366" i="17"/>
  <c r="U366" i="17"/>
  <c r="Q366" i="17"/>
  <c r="J366" i="17"/>
  <c r="Z366" i="17"/>
  <c r="V366" i="17"/>
  <c r="Q369" i="17"/>
  <c r="O369" i="17"/>
  <c r="W369" i="17"/>
  <c r="V369" i="17"/>
  <c r="Y325" i="17"/>
  <c r="AA325" i="17"/>
  <c r="Y335" i="17"/>
  <c r="J358" i="17"/>
  <c r="N358" i="17"/>
  <c r="N372" i="17"/>
  <c r="L372" i="17"/>
  <c r="I372" i="17"/>
  <c r="R372" i="17"/>
  <c r="V313" i="17"/>
  <c r="Q313" i="17"/>
  <c r="O313" i="17"/>
  <c r="W346" i="17"/>
  <c r="U354" i="17"/>
  <c r="Q354" i="17"/>
  <c r="P354" i="17"/>
  <c r="AA372" i="17"/>
  <c r="Z389" i="17"/>
  <c r="S389" i="17"/>
  <c r="O389" i="17"/>
  <c r="I389" i="17"/>
  <c r="J393" i="17"/>
  <c r="R393" i="17"/>
  <c r="M401" i="17"/>
  <c r="L401" i="17"/>
  <c r="AB401" i="17"/>
  <c r="J401" i="17"/>
  <c r="W401" i="17"/>
  <c r="N401" i="17"/>
  <c r="L233" i="17"/>
  <c r="Q240" i="17"/>
  <c r="AB240" i="17"/>
  <c r="U243" i="17"/>
  <c r="Y251" i="17"/>
  <c r="O267" i="17"/>
  <c r="L270" i="17"/>
  <c r="AA270" i="17"/>
  <c r="AC270" i="17" s="1"/>
  <c r="O271" i="17"/>
  <c r="Q273" i="17"/>
  <c r="AB276" i="17"/>
  <c r="AD276" i="17" s="1"/>
  <c r="S280" i="17"/>
  <c r="N284" i="17"/>
  <c r="S288" i="17"/>
  <c r="M290" i="17"/>
  <c r="Z290" i="17"/>
  <c r="S294" i="17"/>
  <c r="R295" i="17"/>
  <c r="Q299" i="17"/>
  <c r="R299" i="17"/>
  <c r="P300" i="17"/>
  <c r="S301" i="17"/>
  <c r="N312" i="17"/>
  <c r="K313" i="17"/>
  <c r="U325" i="17"/>
  <c r="N335" i="17"/>
  <c r="M335" i="17"/>
  <c r="AA335" i="17"/>
  <c r="L335" i="17"/>
  <c r="O335" i="17"/>
  <c r="V339" i="17"/>
  <c r="R339" i="17"/>
  <c r="M339" i="17"/>
  <c r="W339" i="17"/>
  <c r="AC342" i="17"/>
  <c r="P358" i="17"/>
  <c r="S371" i="17"/>
  <c r="R371" i="17"/>
  <c r="K371" i="17"/>
  <c r="V371" i="17"/>
  <c r="S382" i="17"/>
  <c r="M382" i="17"/>
  <c r="L382" i="17"/>
  <c r="N389" i="17"/>
  <c r="AA391" i="17"/>
  <c r="I392" i="17"/>
  <c r="O393" i="17"/>
  <c r="AB399" i="17"/>
  <c r="M399" i="17"/>
  <c r="AA399" i="17"/>
  <c r="L399" i="17"/>
  <c r="Z399" i="17"/>
  <c r="K399" i="17"/>
  <c r="U399" i="17"/>
  <c r="I399" i="17"/>
  <c r="P399" i="17"/>
  <c r="I400" i="17"/>
  <c r="O401" i="17"/>
  <c r="Q406" i="17"/>
  <c r="P406" i="17"/>
  <c r="O406" i="17"/>
  <c r="L406" i="17"/>
  <c r="J406" i="17"/>
  <c r="AA406" i="17"/>
  <c r="Z406" i="17"/>
  <c r="AC310" i="17"/>
  <c r="V325" i="17"/>
  <c r="O346" i="17"/>
  <c r="AB346" i="17"/>
  <c r="N346" i="17"/>
  <c r="Z346" i="17"/>
  <c r="M346" i="17"/>
  <c r="Q346" i="17"/>
  <c r="I382" i="17"/>
  <c r="O395" i="17"/>
  <c r="L395" i="17"/>
  <c r="I395" i="17"/>
  <c r="Y395" i="17"/>
  <c r="P395" i="17"/>
  <c r="R404" i="17"/>
  <c r="AB406" i="17"/>
  <c r="O404" i="17"/>
  <c r="N404" i="17"/>
  <c r="M404" i="17"/>
  <c r="AA404" i="17"/>
  <c r="J404" i="17"/>
  <c r="Z404" i="17"/>
  <c r="I404" i="17"/>
  <c r="Q404" i="17"/>
  <c r="W213" i="17"/>
  <c r="U220" i="17"/>
  <c r="U227" i="17"/>
  <c r="O229" i="17"/>
  <c r="L240" i="17"/>
  <c r="AB246" i="17"/>
  <c r="AD246" i="17" s="1"/>
  <c r="W247" i="17"/>
  <c r="V254" i="17"/>
  <c r="Q257" i="17"/>
  <c r="Z267" i="17"/>
  <c r="R269" i="17"/>
  <c r="P270" i="17"/>
  <c r="Q271" i="17"/>
  <c r="Y271" i="17"/>
  <c r="N276" i="17"/>
  <c r="S284" i="17"/>
  <c r="R288" i="17"/>
  <c r="Q290" i="17"/>
  <c r="V297" i="17"/>
  <c r="O299" i="17"/>
  <c r="Q300" i="17"/>
  <c r="U310" i="17"/>
  <c r="Q310" i="17"/>
  <c r="P310" i="17"/>
  <c r="AB310" i="17"/>
  <c r="AD310" i="17" s="1"/>
  <c r="P312" i="17"/>
  <c r="N313" i="17"/>
  <c r="U314" i="17"/>
  <c r="O327" i="17"/>
  <c r="M327" i="17"/>
  <c r="K327" i="17"/>
  <c r="S335" i="17"/>
  <c r="J346" i="17"/>
  <c r="U358" i="17"/>
  <c r="Z363" i="17"/>
  <c r="AC363" i="17" s="1"/>
  <c r="M369" i="17"/>
  <c r="Z369" i="17"/>
  <c r="L369" i="17"/>
  <c r="Y369" i="17"/>
  <c r="K369" i="17"/>
  <c r="N369" i="17"/>
  <c r="Y371" i="17"/>
  <c r="U378" i="17"/>
  <c r="V378" i="17"/>
  <c r="R378" i="17"/>
  <c r="Y380" i="17"/>
  <c r="K380" i="17"/>
  <c r="R390" i="17"/>
  <c r="Q390" i="17"/>
  <c r="P390" i="17"/>
  <c r="L390" i="17"/>
  <c r="AB390" i="17"/>
  <c r="Q391" i="17"/>
  <c r="S392" i="17"/>
  <c r="W395" i="17"/>
  <c r="S399" i="17"/>
  <c r="S400" i="17"/>
  <c r="W404" i="17"/>
  <c r="O240" i="17"/>
  <c r="W254" i="17"/>
  <c r="U257" i="17"/>
  <c r="AB267" i="17"/>
  <c r="Y284" i="17"/>
  <c r="U290" i="17"/>
  <c r="S302" i="17"/>
  <c r="Q302" i="17"/>
  <c r="M303" i="17"/>
  <c r="AB303" i="17"/>
  <c r="K303" i="17"/>
  <c r="AA303" i="17"/>
  <c r="J303" i="17"/>
  <c r="R312" i="17"/>
  <c r="W313" i="17"/>
  <c r="W314" i="17"/>
  <c r="AA326" i="17"/>
  <c r="Z326" i="17"/>
  <c r="V326" i="17"/>
  <c r="V335" i="17"/>
  <c r="R340" i="17"/>
  <c r="L340" i="17"/>
  <c r="I340" i="17"/>
  <c r="S340" i="17"/>
  <c r="Q342" i="17"/>
  <c r="P342" i="17"/>
  <c r="M342" i="17"/>
  <c r="S342" i="17"/>
  <c r="L346" i="17"/>
  <c r="W380" i="17"/>
  <c r="R381" i="17"/>
  <c r="W381" i="17"/>
  <c r="AB383" i="17"/>
  <c r="N383" i="17"/>
  <c r="AA383" i="17"/>
  <c r="M383" i="17"/>
  <c r="Z383" i="17"/>
  <c r="AC383" i="17" s="1"/>
  <c r="L383" i="17"/>
  <c r="P383" i="17"/>
  <c r="W386" i="17"/>
  <c r="Q386" i="17"/>
  <c r="N386" i="17"/>
  <c r="AB388" i="17"/>
  <c r="Y388" i="17"/>
  <c r="W388" i="17"/>
  <c r="J390" i="17"/>
  <c r="AB392" i="17"/>
  <c r="K394" i="17"/>
  <c r="P394" i="17"/>
  <c r="V399" i="17"/>
  <c r="AB400" i="17"/>
  <c r="Y404" i="17"/>
  <c r="L213" i="17"/>
  <c r="Q233" i="17"/>
  <c r="W233" i="17"/>
  <c r="U240" i="17"/>
  <c r="AB250" i="17"/>
  <c r="I257" i="17"/>
  <c r="K280" i="17"/>
  <c r="I284" i="17"/>
  <c r="I290" i="17"/>
  <c r="K294" i="17"/>
  <c r="R296" i="17"/>
  <c r="AB299" i="17"/>
  <c r="Z300" i="17"/>
  <c r="M302" i="17"/>
  <c r="N303" i="17"/>
  <c r="O306" i="17"/>
  <c r="N306" i="17"/>
  <c r="M306" i="17"/>
  <c r="Y313" i="17"/>
  <c r="AA319" i="17"/>
  <c r="Q319" i="17"/>
  <c r="AA323" i="17"/>
  <c r="Z323" i="17"/>
  <c r="Y323" i="17"/>
  <c r="N324" i="17"/>
  <c r="AB324" i="17"/>
  <c r="AD324" i="17" s="1"/>
  <c r="L324" i="17"/>
  <c r="Z324" i="17"/>
  <c r="J324" i="17"/>
  <c r="J326" i="17"/>
  <c r="V334" i="17"/>
  <c r="W335" i="17"/>
  <c r="M337" i="17"/>
  <c r="L337" i="17"/>
  <c r="I337" i="17"/>
  <c r="O337" i="17"/>
  <c r="W340" i="17"/>
  <c r="K342" i="17"/>
  <c r="U346" i="17"/>
  <c r="O352" i="17"/>
  <c r="N352" i="17"/>
  <c r="M352" i="17"/>
  <c r="P352" i="17"/>
  <c r="P363" i="17"/>
  <c r="O363" i="17"/>
  <c r="AB363" i="17"/>
  <c r="N363" i="17"/>
  <c r="S363" i="17"/>
  <c r="Y372" i="17"/>
  <c r="AC374" i="17"/>
  <c r="Q378" i="17"/>
  <c r="M380" i="17"/>
  <c r="J383" i="17"/>
  <c r="M386" i="17"/>
  <c r="O390" i="17"/>
  <c r="O394" i="17"/>
  <c r="Z398" i="17"/>
  <c r="Q363" i="17"/>
  <c r="AA390" i="17"/>
  <c r="M391" i="17"/>
  <c r="AB391" i="17"/>
  <c r="M392" i="17"/>
  <c r="M400" i="17"/>
  <c r="Y402" i="17"/>
  <c r="N403" i="17"/>
  <c r="K407" i="17"/>
  <c r="Z407" i="17"/>
  <c r="AC407" i="17" s="1"/>
  <c r="K408" i="17"/>
  <c r="V408" i="17"/>
  <c r="O411" i="17"/>
  <c r="S391" i="17"/>
  <c r="Z392" i="17"/>
  <c r="AC392" i="17" s="1"/>
  <c r="R392" i="17"/>
  <c r="Z400" i="17"/>
  <c r="AC400" i="17" s="1"/>
  <c r="R400" i="17"/>
  <c r="U403" i="17"/>
  <c r="P407" i="17"/>
  <c r="N408" i="17"/>
  <c r="AB408" i="17"/>
  <c r="P411" i="17"/>
  <c r="W403" i="17"/>
  <c r="Q408" i="17"/>
  <c r="S317" i="17"/>
  <c r="U328" i="17"/>
  <c r="AA332" i="17"/>
  <c r="S353" i="17"/>
  <c r="AA358" i="17"/>
  <c r="P374" i="17"/>
  <c r="Y375" i="17"/>
  <c r="S380" i="17"/>
  <c r="Y381" i="17"/>
  <c r="J391" i="17"/>
  <c r="V391" i="17"/>
  <c r="J392" i="17"/>
  <c r="U392" i="17"/>
  <c r="J400" i="17"/>
  <c r="U400" i="17"/>
  <c r="O402" i="17"/>
  <c r="I403" i="17"/>
  <c r="Y403" i="17"/>
  <c r="S407" i="17"/>
  <c r="Z408" i="17"/>
  <c r="AC408" i="17" s="1"/>
  <c r="R408" i="17"/>
  <c r="P410" i="17"/>
  <c r="J314" i="17"/>
  <c r="U317" i="17"/>
  <c r="S318" i="17"/>
  <c r="Z328" i="17"/>
  <c r="AB332" i="17"/>
  <c r="S334" i="17"/>
  <c r="Q341" i="17"/>
  <c r="Z343" i="17"/>
  <c r="AC343" i="17" s="1"/>
  <c r="S343" i="17"/>
  <c r="AB358" i="17"/>
  <c r="I380" i="17"/>
  <c r="V380" i="17"/>
  <c r="K391" i="17"/>
  <c r="Z391" i="17"/>
  <c r="AC391" i="17" s="1"/>
  <c r="K392" i="17"/>
  <c r="V392" i="17"/>
  <c r="K400" i="17"/>
  <c r="V400" i="17"/>
  <c r="P402" i="17"/>
  <c r="L403" i="17"/>
  <c r="Z403" i="17"/>
  <c r="AC403" i="17" s="1"/>
  <c r="Z405" i="17"/>
  <c r="I407" i="17"/>
  <c r="U407" i="17"/>
  <c r="I408" i="17"/>
  <c r="S408" i="17"/>
  <c r="Q307" i="17"/>
  <c r="I317" i="17"/>
  <c r="Q323" i="17"/>
  <c r="I343" i="17"/>
  <c r="U343" i="17"/>
  <c r="I375" i="17"/>
  <c r="J380" i="17"/>
  <c r="S381" i="17"/>
  <c r="L391" i="17"/>
  <c r="L392" i="17"/>
  <c r="W392" i="17"/>
  <c r="L400" i="17"/>
  <c r="W400" i="17"/>
  <c r="V402" i="17"/>
  <c r="M403" i="17"/>
  <c r="J407" i="17"/>
  <c r="J408" i="17"/>
  <c r="U408" i="17"/>
  <c r="U115" i="17"/>
  <c r="J115" i="17"/>
  <c r="Z115" i="17"/>
  <c r="N115" i="17"/>
  <c r="Q115" i="17"/>
  <c r="L115" i="17"/>
  <c r="P115" i="17"/>
  <c r="O115" i="17"/>
  <c r="AA115" i="17"/>
  <c r="S123" i="17"/>
  <c r="I123" i="17"/>
  <c r="Z123" i="17"/>
  <c r="L123" i="17"/>
  <c r="Q123" i="17"/>
  <c r="K123" i="17"/>
  <c r="P123" i="17"/>
  <c r="O123" i="17"/>
  <c r="AA123" i="17"/>
  <c r="W185" i="17"/>
  <c r="N185" i="17"/>
  <c r="Y185" i="17"/>
  <c r="M185" i="17"/>
  <c r="V185" i="17"/>
  <c r="K185" i="17"/>
  <c r="U185" i="17"/>
  <c r="J185" i="17"/>
  <c r="S185" i="17"/>
  <c r="I185" i="17"/>
  <c r="AA185" i="17"/>
  <c r="Z185" i="17"/>
  <c r="R185" i="17"/>
  <c r="L185" i="17"/>
  <c r="AB185" i="17"/>
  <c r="O185" i="17"/>
  <c r="Q185" i="17"/>
  <c r="P185" i="17"/>
  <c r="AB207" i="17"/>
  <c r="P207" i="17"/>
  <c r="O207" i="17"/>
  <c r="N207" i="17"/>
  <c r="AA207" i="17"/>
  <c r="K207" i="17"/>
  <c r="U207" i="17"/>
  <c r="J207" i="17"/>
  <c r="I207" i="17"/>
  <c r="S207" i="17"/>
  <c r="Z207" i="17"/>
  <c r="Y207" i="17"/>
  <c r="Q207" i="17"/>
  <c r="V200" i="17"/>
  <c r="M200" i="17"/>
  <c r="S200" i="17"/>
  <c r="J200" i="17"/>
  <c r="Q200" i="17"/>
  <c r="AB200" i="17"/>
  <c r="P200" i="17"/>
  <c r="AA200" i="17"/>
  <c r="O200" i="17"/>
  <c r="W200" i="17"/>
  <c r="K200" i="17"/>
  <c r="R200" i="17"/>
  <c r="N200" i="17"/>
  <c r="L200" i="17"/>
  <c r="Y200" i="17"/>
  <c r="Z200" i="17"/>
  <c r="AC200" i="17" s="1"/>
  <c r="I200" i="17"/>
  <c r="U200" i="17"/>
  <c r="AB48" i="17"/>
  <c r="R48" i="17"/>
  <c r="J48" i="17"/>
  <c r="Y48" i="17"/>
  <c r="N48" i="17"/>
  <c r="Q48" i="17"/>
  <c r="O48" i="17"/>
  <c r="AA48" i="17"/>
  <c r="K48" i="17"/>
  <c r="M48" i="17"/>
  <c r="Z48" i="17"/>
  <c r="L48" i="17"/>
  <c r="W48" i="17"/>
  <c r="S48" i="17"/>
  <c r="V83" i="17"/>
  <c r="M83" i="17"/>
  <c r="R83" i="17"/>
  <c r="I83" i="17"/>
  <c r="AB83" i="17"/>
  <c r="P83" i="17"/>
  <c r="Z83" i="17"/>
  <c r="N83" i="17"/>
  <c r="U83" i="17"/>
  <c r="O83" i="17"/>
  <c r="S83" i="17"/>
  <c r="Q83" i="17"/>
  <c r="Y83" i="17"/>
  <c r="J83" i="17"/>
  <c r="S102" i="17"/>
  <c r="J102" i="17"/>
  <c r="Y102" i="17"/>
  <c r="M102" i="17"/>
  <c r="W102" i="17"/>
  <c r="L102" i="17"/>
  <c r="V102" i="17"/>
  <c r="K102" i="17"/>
  <c r="U102" i="17"/>
  <c r="R102" i="17"/>
  <c r="O102" i="17"/>
  <c r="Q102" i="17"/>
  <c r="AB102" i="17"/>
  <c r="I59" i="17"/>
  <c r="Q59" i="17"/>
  <c r="S81" i="17"/>
  <c r="K81" i="17"/>
  <c r="R81" i="17"/>
  <c r="I81" i="17"/>
  <c r="V81" i="17"/>
  <c r="J81" i="17"/>
  <c r="Q81" i="17"/>
  <c r="O81" i="17"/>
  <c r="N81" i="17"/>
  <c r="AB81" i="17"/>
  <c r="L81" i="17"/>
  <c r="AA81" i="17"/>
  <c r="M81" i="17"/>
  <c r="Z81" i="17"/>
  <c r="U81" i="17"/>
  <c r="R91" i="17"/>
  <c r="AD5" i="17"/>
  <c r="W29" i="17"/>
  <c r="W83" i="17"/>
  <c r="Y24" i="17"/>
  <c r="O24" i="17"/>
  <c r="AA24" i="17"/>
  <c r="P24" i="17"/>
  <c r="Z24" i="17"/>
  <c r="M24" i="17"/>
  <c r="L24" i="17"/>
  <c r="W24" i="17"/>
  <c r="J24" i="17"/>
  <c r="V24" i="17"/>
  <c r="K24" i="17"/>
  <c r="U24" i="17"/>
  <c r="Q24" i="17"/>
  <c r="I28" i="17"/>
  <c r="N29" i="17"/>
  <c r="AD42" i="17"/>
  <c r="V48" i="17"/>
  <c r="AB55" i="17"/>
  <c r="M55" i="17"/>
  <c r="L55" i="17"/>
  <c r="V55" i="17"/>
  <c r="Z55" i="17"/>
  <c r="J55" i="17"/>
  <c r="W55" i="17"/>
  <c r="K55" i="17"/>
  <c r="P55" i="17"/>
  <c r="O56" i="17"/>
  <c r="P57" i="17"/>
  <c r="W59" i="17"/>
  <c r="W66" i="17"/>
  <c r="N67" i="17"/>
  <c r="AA79" i="17"/>
  <c r="Q79" i="17"/>
  <c r="I79" i="17"/>
  <c r="S79" i="17"/>
  <c r="J79" i="17"/>
  <c r="Z79" i="17"/>
  <c r="N79" i="17"/>
  <c r="W79" i="17"/>
  <c r="L79" i="17"/>
  <c r="V79" i="17"/>
  <c r="U79" i="17"/>
  <c r="P79" i="17"/>
  <c r="R79" i="17"/>
  <c r="AB79" i="17"/>
  <c r="AD79" i="17" s="1"/>
  <c r="K79" i="17"/>
  <c r="W81" i="17"/>
  <c r="AA83" i="17"/>
  <c r="AA87" i="17"/>
  <c r="Q87" i="17"/>
  <c r="I87" i="17"/>
  <c r="Y87" i="17"/>
  <c r="N87" i="17"/>
  <c r="Z87" i="17"/>
  <c r="M87" i="17"/>
  <c r="V87" i="17"/>
  <c r="K87" i="17"/>
  <c r="R87" i="17"/>
  <c r="P87" i="17"/>
  <c r="O87" i="17"/>
  <c r="L87" i="17"/>
  <c r="U87" i="17"/>
  <c r="V99" i="17"/>
  <c r="M99" i="17"/>
  <c r="R99" i="17"/>
  <c r="I99" i="17"/>
  <c r="Z99" i="17"/>
  <c r="N99" i="17"/>
  <c r="Y99" i="17"/>
  <c r="L99" i="17"/>
  <c r="W99" i="17"/>
  <c r="K99" i="17"/>
  <c r="Q99" i="17"/>
  <c r="P99" i="17"/>
  <c r="J99" i="17"/>
  <c r="O99" i="17"/>
  <c r="U99" i="17"/>
  <c r="AA102" i="17"/>
  <c r="S105" i="17"/>
  <c r="K105" i="17"/>
  <c r="Y105" i="17"/>
  <c r="N105" i="17"/>
  <c r="Q105" i="17"/>
  <c r="AB105" i="17"/>
  <c r="P105" i="17"/>
  <c r="AA105" i="17"/>
  <c r="O105" i="17"/>
  <c r="V105" i="17"/>
  <c r="U105" i="17"/>
  <c r="R105" i="17"/>
  <c r="M105" i="17"/>
  <c r="Z105" i="17"/>
  <c r="I105" i="17"/>
  <c r="V106" i="17"/>
  <c r="U114" i="17"/>
  <c r="L114" i="17"/>
  <c r="Y114" i="17"/>
  <c r="N114" i="17"/>
  <c r="Z114" i="17"/>
  <c r="M114" i="17"/>
  <c r="W114" i="17"/>
  <c r="K114" i="17"/>
  <c r="V114" i="17"/>
  <c r="J114" i="17"/>
  <c r="AB114" i="17"/>
  <c r="AA114" i="17"/>
  <c r="S114" i="17"/>
  <c r="Q114" i="17"/>
  <c r="R114" i="17"/>
  <c r="I114" i="17"/>
  <c r="AB115" i="17"/>
  <c r="AB123" i="17"/>
  <c r="Z137" i="17"/>
  <c r="AD137" i="17" s="1"/>
  <c r="V155" i="17"/>
  <c r="M155" i="17"/>
  <c r="Y155" i="17"/>
  <c r="N155" i="17"/>
  <c r="W155" i="17"/>
  <c r="L155" i="17"/>
  <c r="U155" i="17"/>
  <c r="K155" i="17"/>
  <c r="O155" i="17"/>
  <c r="AB155" i="17"/>
  <c r="J155" i="17"/>
  <c r="AA155" i="17"/>
  <c r="I155" i="17"/>
  <c r="Q155" i="17"/>
  <c r="Z155" i="17"/>
  <c r="S155" i="17"/>
  <c r="R155" i="17"/>
  <c r="P155" i="17"/>
  <c r="U188" i="17"/>
  <c r="J188" i="17"/>
  <c r="AB188" i="17"/>
  <c r="N188" i="17"/>
  <c r="Y188" i="17"/>
  <c r="W188" i="17"/>
  <c r="R188" i="17"/>
  <c r="P188" i="17"/>
  <c r="M188" i="17"/>
  <c r="L188" i="17"/>
  <c r="AD87" i="17"/>
  <c r="V91" i="17"/>
  <c r="M91" i="17"/>
  <c r="Y91" i="17"/>
  <c r="N91" i="17"/>
  <c r="AB91" i="17"/>
  <c r="P91" i="17"/>
  <c r="Z91" i="17"/>
  <c r="L91" i="17"/>
  <c r="Q91" i="17"/>
  <c r="O91" i="17"/>
  <c r="AA91" i="17"/>
  <c r="J91" i="17"/>
  <c r="K91" i="17"/>
  <c r="S91" i="17"/>
  <c r="Y109" i="17"/>
  <c r="O109" i="17"/>
  <c r="U109" i="17"/>
  <c r="K109" i="17"/>
  <c r="AB109" i="17"/>
  <c r="P109" i="17"/>
  <c r="AA109" i="17"/>
  <c r="N109" i="17"/>
  <c r="Z109" i="17"/>
  <c r="M109" i="17"/>
  <c r="R109" i="17"/>
  <c r="Q109" i="17"/>
  <c r="L109" i="17"/>
  <c r="J109" i="17"/>
  <c r="V109" i="17"/>
  <c r="S121" i="17"/>
  <c r="K121" i="17"/>
  <c r="Y121" i="17"/>
  <c r="N121" i="17"/>
  <c r="AA121" i="17"/>
  <c r="O121" i="17"/>
  <c r="Z121" i="17"/>
  <c r="M121" i="17"/>
  <c r="W121" i="17"/>
  <c r="L121" i="17"/>
  <c r="Q121" i="17"/>
  <c r="AB121" i="17"/>
  <c r="V121" i="17"/>
  <c r="R121" i="17"/>
  <c r="U121" i="17"/>
  <c r="I121" i="17"/>
  <c r="AB128" i="17"/>
  <c r="R128" i="17"/>
  <c r="J128" i="17"/>
  <c r="Y128" i="17"/>
  <c r="N128" i="17"/>
  <c r="AA128" i="17"/>
  <c r="O128" i="17"/>
  <c r="Z128" i="17"/>
  <c r="M128" i="17"/>
  <c r="W128" i="17"/>
  <c r="L128" i="17"/>
  <c r="Q128" i="17"/>
  <c r="U128" i="17"/>
  <c r="S128" i="17"/>
  <c r="K128" i="17"/>
  <c r="P128" i="17"/>
  <c r="S169" i="17"/>
  <c r="K169" i="17"/>
  <c r="Y169" i="17"/>
  <c r="N169" i="17"/>
  <c r="W169" i="17"/>
  <c r="M169" i="17"/>
  <c r="V169" i="17"/>
  <c r="L169" i="17"/>
  <c r="U169" i="17"/>
  <c r="R169" i="17"/>
  <c r="Q169" i="17"/>
  <c r="AA169" i="17"/>
  <c r="I169" i="17"/>
  <c r="Z169" i="17"/>
  <c r="P169" i="17"/>
  <c r="J169" i="17"/>
  <c r="O169" i="17"/>
  <c r="AB169" i="17"/>
  <c r="V8" i="17"/>
  <c r="M8" i="17"/>
  <c r="U8" i="17"/>
  <c r="K8" i="17"/>
  <c r="Z8" i="17"/>
  <c r="N8" i="17"/>
  <c r="Y8" i="17"/>
  <c r="S8" i="17"/>
  <c r="L8" i="17"/>
  <c r="W8" i="17"/>
  <c r="J8" i="17"/>
  <c r="I8" i="17"/>
  <c r="AB8" i="17"/>
  <c r="AD8" i="17" s="1"/>
  <c r="P8" i="17"/>
  <c r="M27" i="17"/>
  <c r="Y27" i="17"/>
  <c r="U58" i="17"/>
  <c r="L58" i="17"/>
  <c r="R58" i="17"/>
  <c r="I58" i="17"/>
  <c r="Y58" i="17"/>
  <c r="M58" i="17"/>
  <c r="AB58" i="17"/>
  <c r="AD58" i="17" s="1"/>
  <c r="O58" i="17"/>
  <c r="AA58" i="17"/>
  <c r="N58" i="17"/>
  <c r="W58" i="17"/>
  <c r="J58" i="17"/>
  <c r="Z58" i="17"/>
  <c r="K58" i="17"/>
  <c r="Q58" i="17"/>
  <c r="L83" i="17"/>
  <c r="I102" i="17"/>
  <c r="J106" i="17"/>
  <c r="P121" i="17"/>
  <c r="V128" i="17"/>
  <c r="P81" i="17"/>
  <c r="U91" i="17"/>
  <c r="N102" i="17"/>
  <c r="Y115" i="17"/>
  <c r="W123" i="17"/>
  <c r="Y133" i="17"/>
  <c r="O133" i="17"/>
  <c r="AA133" i="17"/>
  <c r="P133" i="17"/>
  <c r="V133" i="17"/>
  <c r="K133" i="17"/>
  <c r="U133" i="17"/>
  <c r="J133" i="17"/>
  <c r="S133" i="17"/>
  <c r="I133" i="17"/>
  <c r="Z133" i="17"/>
  <c r="AC133" i="17" s="1"/>
  <c r="M133" i="17"/>
  <c r="AB133" i="17"/>
  <c r="W133" i="17"/>
  <c r="R133" i="17"/>
  <c r="L133" i="17"/>
  <c r="W146" i="17"/>
  <c r="I146" i="17"/>
  <c r="AB146" i="17"/>
  <c r="O146" i="17"/>
  <c r="Q146" i="17"/>
  <c r="P146" i="17"/>
  <c r="M146" i="17"/>
  <c r="AA146" i="17"/>
  <c r="AD149" i="17"/>
  <c r="AB160" i="17"/>
  <c r="R160" i="17"/>
  <c r="J160" i="17"/>
  <c r="Y160" i="17"/>
  <c r="N160" i="17"/>
  <c r="W160" i="17"/>
  <c r="M160" i="17"/>
  <c r="V160" i="17"/>
  <c r="L160" i="17"/>
  <c r="O160" i="17"/>
  <c r="K160" i="17"/>
  <c r="AA160" i="17"/>
  <c r="I160" i="17"/>
  <c r="Q160" i="17"/>
  <c r="Z160" i="17"/>
  <c r="U160" i="17"/>
  <c r="S160" i="17"/>
  <c r="P160" i="17"/>
  <c r="M2" i="17"/>
  <c r="V4" i="17"/>
  <c r="L4" i="17"/>
  <c r="Y4" i="17"/>
  <c r="M4" i="17"/>
  <c r="W4" i="17"/>
  <c r="K4" i="17"/>
  <c r="S4" i="17"/>
  <c r="U4" i="17"/>
  <c r="J4" i="17"/>
  <c r="I4" i="17"/>
  <c r="AB4" i="17"/>
  <c r="O4" i="17"/>
  <c r="AB6" i="17"/>
  <c r="R8" i="17"/>
  <c r="O2" i="17"/>
  <c r="Z4" i="17"/>
  <c r="AC4" i="17" s="1"/>
  <c r="AA8" i="17"/>
  <c r="AB11" i="17"/>
  <c r="AD11" i="17" s="1"/>
  <c r="I24" i="17"/>
  <c r="L27" i="17"/>
  <c r="P29" i="17"/>
  <c r="AB32" i="17"/>
  <c r="Y32" i="17"/>
  <c r="O32" i="17"/>
  <c r="U32" i="17"/>
  <c r="K32" i="17"/>
  <c r="Z32" i="17"/>
  <c r="AC32" i="17" s="1"/>
  <c r="M32" i="17"/>
  <c r="W32" i="17"/>
  <c r="L32" i="17"/>
  <c r="S32" i="17"/>
  <c r="V32" i="17"/>
  <c r="J32" i="17"/>
  <c r="I32" i="17"/>
  <c r="P32" i="17"/>
  <c r="AA50" i="17"/>
  <c r="K50" i="17"/>
  <c r="N51" i="17"/>
  <c r="AA51" i="17"/>
  <c r="AC51" i="17" s="1"/>
  <c r="P52" i="17"/>
  <c r="O52" i="17"/>
  <c r="AB52" i="17"/>
  <c r="K52" i="17"/>
  <c r="AA52" i="17"/>
  <c r="M52" i="17"/>
  <c r="Z52" i="17"/>
  <c r="AC52" i="17" s="1"/>
  <c r="S52" i="17"/>
  <c r="S54" i="17"/>
  <c r="J54" i="17"/>
  <c r="V54" i="17"/>
  <c r="K54" i="17"/>
  <c r="AB54" i="17"/>
  <c r="AD54" i="17" s="1"/>
  <c r="N54" i="17"/>
  <c r="I54" i="17"/>
  <c r="AA54" i="17"/>
  <c r="AC54" i="17" s="1"/>
  <c r="M54" i="17"/>
  <c r="Y54" i="17"/>
  <c r="L54" i="17"/>
  <c r="W54" i="17"/>
  <c r="Q54" i="17"/>
  <c r="N56" i="17"/>
  <c r="V58" i="17"/>
  <c r="O66" i="17"/>
  <c r="P67" i="17"/>
  <c r="AA71" i="17"/>
  <c r="Q71" i="17"/>
  <c r="I71" i="17"/>
  <c r="Y71" i="17"/>
  <c r="N71" i="17"/>
  <c r="P71" i="17"/>
  <c r="S71" i="17"/>
  <c r="R71" i="17"/>
  <c r="M71" i="17"/>
  <c r="O71" i="17"/>
  <c r="AB71" i="17"/>
  <c r="AD71" i="17" s="1"/>
  <c r="V71" i="17"/>
  <c r="J71" i="17"/>
  <c r="AB72" i="17"/>
  <c r="AD72" i="17" s="1"/>
  <c r="R72" i="17"/>
  <c r="J72" i="17"/>
  <c r="S72" i="17"/>
  <c r="I72" i="17"/>
  <c r="Z72" i="17"/>
  <c r="AC72" i="17" s="1"/>
  <c r="N72" i="17"/>
  <c r="U72" i="17"/>
  <c r="Q72" i="17"/>
  <c r="P72" i="17"/>
  <c r="O72" i="17"/>
  <c r="W72" i="17"/>
  <c r="K72" i="17"/>
  <c r="M79" i="17"/>
  <c r="Y81" i="17"/>
  <c r="S86" i="17"/>
  <c r="J86" i="17"/>
  <c r="AB86" i="17"/>
  <c r="O86" i="17"/>
  <c r="Y86" i="17"/>
  <c r="M86" i="17"/>
  <c r="L86" i="17"/>
  <c r="K86" i="17"/>
  <c r="AA86" i="17"/>
  <c r="W86" i="17"/>
  <c r="I86" i="17"/>
  <c r="V86" i="17"/>
  <c r="Q86" i="17"/>
  <c r="J87" i="17"/>
  <c r="S97" i="17"/>
  <c r="K97" i="17"/>
  <c r="R97" i="17"/>
  <c r="I97" i="17"/>
  <c r="Q97" i="17"/>
  <c r="AB97" i="17"/>
  <c r="P97" i="17"/>
  <c r="AA97" i="17"/>
  <c r="O97" i="17"/>
  <c r="N97" i="17"/>
  <c r="M97" i="17"/>
  <c r="J97" i="17"/>
  <c r="L97" i="17"/>
  <c r="Z97" i="17"/>
  <c r="V97" i="17"/>
  <c r="S99" i="17"/>
  <c r="J105" i="17"/>
  <c r="W106" i="17"/>
  <c r="O114" i="17"/>
  <c r="Y117" i="17"/>
  <c r="O117" i="17"/>
  <c r="AA117" i="17"/>
  <c r="P117" i="17"/>
  <c r="Z117" i="17"/>
  <c r="M117" i="17"/>
  <c r="W117" i="17"/>
  <c r="L117" i="17"/>
  <c r="V117" i="17"/>
  <c r="K117" i="17"/>
  <c r="Q117" i="17"/>
  <c r="R117" i="17"/>
  <c r="N117" i="17"/>
  <c r="J117" i="17"/>
  <c r="I117" i="17"/>
  <c r="U117" i="17"/>
  <c r="AD119" i="17"/>
  <c r="U122" i="17"/>
  <c r="L122" i="17"/>
  <c r="R122" i="17"/>
  <c r="I122" i="17"/>
  <c r="Y122" i="17"/>
  <c r="M122" i="17"/>
  <c r="W122" i="17"/>
  <c r="K122" i="17"/>
  <c r="V122" i="17"/>
  <c r="J122" i="17"/>
  <c r="AA122" i="17"/>
  <c r="O122" i="17"/>
  <c r="Z122" i="17"/>
  <c r="S122" i="17"/>
  <c r="Q122" i="17"/>
  <c r="P122" i="17"/>
  <c r="Z129" i="17"/>
  <c r="AD129" i="17" s="1"/>
  <c r="Q133" i="17"/>
  <c r="R137" i="17"/>
  <c r="R146" i="17"/>
  <c r="V59" i="17"/>
  <c r="M59" i="17"/>
  <c r="Y59" i="17"/>
  <c r="N59" i="17"/>
  <c r="U59" i="17"/>
  <c r="J59" i="17"/>
  <c r="P59" i="17"/>
  <c r="AB59" i="17"/>
  <c r="O59" i="17"/>
  <c r="AA59" i="17"/>
  <c r="L59" i="17"/>
  <c r="Z59" i="17"/>
  <c r="AC59" i="17" s="1"/>
  <c r="K59" i="17"/>
  <c r="R59" i="17"/>
  <c r="AB136" i="17"/>
  <c r="R136" i="17"/>
  <c r="J136" i="17"/>
  <c r="S136" i="17"/>
  <c r="I136" i="17"/>
  <c r="Z136" i="17"/>
  <c r="N136" i="17"/>
  <c r="Y136" i="17"/>
  <c r="M136" i="17"/>
  <c r="W136" i="17"/>
  <c r="L136" i="17"/>
  <c r="P136" i="17"/>
  <c r="U136" i="17"/>
  <c r="K136" i="17"/>
  <c r="Q136" i="17"/>
  <c r="O136" i="17"/>
  <c r="AA136" i="17"/>
  <c r="O153" i="17"/>
  <c r="J153" i="17"/>
  <c r="I153" i="17"/>
  <c r="AA153" i="17"/>
  <c r="I91" i="17"/>
  <c r="P48" i="17"/>
  <c r="S109" i="17"/>
  <c r="Q8" i="17"/>
  <c r="S28" i="17"/>
  <c r="K28" i="17"/>
  <c r="Y28" i="17"/>
  <c r="N28" i="17"/>
  <c r="AA28" i="17"/>
  <c r="O28" i="17"/>
  <c r="Z28" i="17"/>
  <c r="M28" i="17"/>
  <c r="V28" i="17"/>
  <c r="W28" i="17"/>
  <c r="L28" i="17"/>
  <c r="J28" i="17"/>
  <c r="Q28" i="17"/>
  <c r="S57" i="17"/>
  <c r="K57" i="17"/>
  <c r="Y57" i="17"/>
  <c r="N57" i="17"/>
  <c r="AA57" i="17"/>
  <c r="O57" i="17"/>
  <c r="AB57" i="17"/>
  <c r="M57" i="17"/>
  <c r="L57" i="17"/>
  <c r="I57" i="17"/>
  <c r="Z57" i="17"/>
  <c r="W57" i="17"/>
  <c r="J57" i="17"/>
  <c r="V57" i="17"/>
  <c r="Q57" i="17"/>
  <c r="W109" i="17"/>
  <c r="AA10" i="17"/>
  <c r="O10" i="17"/>
  <c r="Z10" i="17"/>
  <c r="K10" i="17"/>
  <c r="N10" i="17"/>
  <c r="Y10" i="17"/>
  <c r="M10" i="17"/>
  <c r="W10" i="17"/>
  <c r="R10" i="17"/>
  <c r="U13" i="17"/>
  <c r="L13" i="17"/>
  <c r="R13" i="17"/>
  <c r="I13" i="17"/>
  <c r="AA13" i="17"/>
  <c r="O13" i="17"/>
  <c r="N13" i="17"/>
  <c r="W13" i="17"/>
  <c r="Z13" i="17"/>
  <c r="K13" i="17"/>
  <c r="Y13" i="17"/>
  <c r="M13" i="17"/>
  <c r="Q13" i="17"/>
  <c r="V14" i="17"/>
  <c r="M14" i="17"/>
  <c r="Y14" i="17"/>
  <c r="N14" i="17"/>
  <c r="Z14" i="17"/>
  <c r="AC14" i="17" s="1"/>
  <c r="L14" i="17"/>
  <c r="W14" i="17"/>
  <c r="K14" i="17"/>
  <c r="U14" i="17"/>
  <c r="J14" i="17"/>
  <c r="S14" i="17"/>
  <c r="I14" i="17"/>
  <c r="AB14" i="17"/>
  <c r="AD14" i="17" s="1"/>
  <c r="P14" i="17"/>
  <c r="AB19" i="17"/>
  <c r="R19" i="17"/>
  <c r="J19" i="17"/>
  <c r="Y19" i="17"/>
  <c r="N19" i="17"/>
  <c r="Q19" i="17"/>
  <c r="P19" i="17"/>
  <c r="Z19" i="17"/>
  <c r="AA19" i="17"/>
  <c r="O19" i="17"/>
  <c r="M19" i="17"/>
  <c r="U19" i="17"/>
  <c r="I19" i="17"/>
  <c r="S20" i="17"/>
  <c r="K20" i="17"/>
  <c r="R20" i="17"/>
  <c r="I20" i="17"/>
  <c r="AA20" i="17"/>
  <c r="O20" i="17"/>
  <c r="L20" i="17"/>
  <c r="Z20" i="17"/>
  <c r="AD20" i="17" s="1"/>
  <c r="N20" i="17"/>
  <c r="Y20" i="17"/>
  <c r="M20" i="17"/>
  <c r="W20" i="17"/>
  <c r="Q20" i="17"/>
  <c r="U21" i="17"/>
  <c r="L21" i="17"/>
  <c r="Y21" i="17"/>
  <c r="N21" i="17"/>
  <c r="Z21" i="17"/>
  <c r="AC21" i="17" s="1"/>
  <c r="M21" i="17"/>
  <c r="K21" i="17"/>
  <c r="W21" i="17"/>
  <c r="V21" i="17"/>
  <c r="J21" i="17"/>
  <c r="S21" i="17"/>
  <c r="I21" i="17"/>
  <c r="AB21" i="17"/>
  <c r="AD21" i="17" s="1"/>
  <c r="P21" i="17"/>
  <c r="N24" i="17"/>
  <c r="Q27" i="17"/>
  <c r="R28" i="17"/>
  <c r="Q29" i="17"/>
  <c r="Y46" i="17"/>
  <c r="N46" i="17"/>
  <c r="V46" i="17"/>
  <c r="K46" i="17"/>
  <c r="Q46" i="17"/>
  <c r="AA46" i="17"/>
  <c r="L46" i="17"/>
  <c r="O46" i="17"/>
  <c r="AB46" i="17"/>
  <c r="M46" i="17"/>
  <c r="S46" i="17"/>
  <c r="Y53" i="17"/>
  <c r="O53" i="17"/>
  <c r="AA53" i="17"/>
  <c r="P53" i="17"/>
  <c r="Z53" i="17"/>
  <c r="M53" i="17"/>
  <c r="N53" i="17"/>
  <c r="AB53" i="17"/>
  <c r="L53" i="17"/>
  <c r="J53" i="17"/>
  <c r="V53" i="17"/>
  <c r="W53" i="17"/>
  <c r="K53" i="17"/>
  <c r="R53" i="17"/>
  <c r="Q56" i="17"/>
  <c r="U57" i="17"/>
  <c r="Q66" i="17"/>
  <c r="O79" i="17"/>
  <c r="S87" i="17"/>
  <c r="V92" i="17"/>
  <c r="K92" i="17"/>
  <c r="S92" i="17"/>
  <c r="I92" i="17"/>
  <c r="R92" i="17"/>
  <c r="P92" i="17"/>
  <c r="O92" i="17"/>
  <c r="M92" i="17"/>
  <c r="Y92" i="17"/>
  <c r="Y94" i="17"/>
  <c r="N94" i="17"/>
  <c r="AA94" i="17"/>
  <c r="M94" i="17"/>
  <c r="V94" i="17"/>
  <c r="K94" i="17"/>
  <c r="R94" i="17"/>
  <c r="Q94" i="17"/>
  <c r="O94" i="17"/>
  <c r="L94" i="17"/>
  <c r="U94" i="17"/>
  <c r="AA99" i="17"/>
  <c r="L105" i="17"/>
  <c r="P114" i="17"/>
  <c r="U129" i="17"/>
  <c r="AD29" i="17"/>
  <c r="K83" i="17"/>
  <c r="W2" i="17"/>
  <c r="K2" i="17"/>
  <c r="V2" i="17"/>
  <c r="J2" i="17"/>
  <c r="S2" i="17"/>
  <c r="I2" i="17"/>
  <c r="Z2" i="17"/>
  <c r="AC2" i="17" s="1"/>
  <c r="N2" i="17"/>
  <c r="Z67" i="17"/>
  <c r="L67" i="17"/>
  <c r="Y67" i="17"/>
  <c r="K67" i="17"/>
  <c r="U67" i="17"/>
  <c r="W67" i="17"/>
  <c r="J67" i="17"/>
  <c r="AB67" i="17"/>
  <c r="O67" i="17"/>
  <c r="U153" i="17"/>
  <c r="U48" i="17"/>
  <c r="P58" i="17"/>
  <c r="R2" i="17"/>
  <c r="S6" i="17"/>
  <c r="J13" i="17"/>
  <c r="O14" i="17"/>
  <c r="Y17" i="17"/>
  <c r="N17" i="17"/>
  <c r="V17" i="17"/>
  <c r="K17" i="17"/>
  <c r="J17" i="17"/>
  <c r="U17" i="17"/>
  <c r="S17" i="17"/>
  <c r="I17" i="17"/>
  <c r="R17" i="17"/>
  <c r="AA17" i="17"/>
  <c r="M17" i="17"/>
  <c r="K19" i="17"/>
  <c r="J20" i="17"/>
  <c r="O21" i="17"/>
  <c r="R24" i="17"/>
  <c r="V27" i="17"/>
  <c r="U28" i="17"/>
  <c r="Q32" i="17"/>
  <c r="AD33" i="17"/>
  <c r="Y45" i="17"/>
  <c r="O45" i="17"/>
  <c r="U45" i="17"/>
  <c r="K45" i="17"/>
  <c r="AB45" i="17"/>
  <c r="AD45" i="17" s="1"/>
  <c r="P45" i="17"/>
  <c r="R45" i="17"/>
  <c r="AA45" i="17"/>
  <c r="AC45" i="17" s="1"/>
  <c r="Q45" i="17"/>
  <c r="N45" i="17"/>
  <c r="M45" i="17"/>
  <c r="V45" i="17"/>
  <c r="I45" i="17"/>
  <c r="S49" i="17"/>
  <c r="K49" i="17"/>
  <c r="R49" i="17"/>
  <c r="I49" i="17"/>
  <c r="AA49" i="17"/>
  <c r="O49" i="17"/>
  <c r="P49" i="17"/>
  <c r="AB49" i="17"/>
  <c r="Y49" i="17"/>
  <c r="N49" i="17"/>
  <c r="L49" i="17"/>
  <c r="Z49" i="17"/>
  <c r="M49" i="17"/>
  <c r="U49" i="17"/>
  <c r="I50" i="17"/>
  <c r="J51" i="17"/>
  <c r="I52" i="17"/>
  <c r="I53" i="17"/>
  <c r="O54" i="17"/>
  <c r="R55" i="17"/>
  <c r="AA67" i="17"/>
  <c r="L71" i="17"/>
  <c r="M72" i="17"/>
  <c r="Y79" i="17"/>
  <c r="AB82" i="17"/>
  <c r="AD82" i="17" s="1"/>
  <c r="P82" i="17"/>
  <c r="Q82" i="17"/>
  <c r="K82" i="17"/>
  <c r="O82" i="17"/>
  <c r="AA82" i="17"/>
  <c r="AC82" i="17" s="1"/>
  <c r="M82" i="17"/>
  <c r="V82" i="17"/>
  <c r="N86" i="17"/>
  <c r="W87" i="17"/>
  <c r="W97" i="17"/>
  <c r="AB99" i="17"/>
  <c r="W105" i="17"/>
  <c r="AB117" i="17"/>
  <c r="AD117" i="17" s="1"/>
  <c r="AB122" i="17"/>
  <c r="AC141" i="17"/>
  <c r="AD141" i="17"/>
  <c r="Y157" i="17"/>
  <c r="O157" i="17"/>
  <c r="U157" i="17"/>
  <c r="K157" i="17"/>
  <c r="S157" i="17"/>
  <c r="J157" i="17"/>
  <c r="R157" i="17"/>
  <c r="I157" i="17"/>
  <c r="Q157" i="17"/>
  <c r="P157" i="17"/>
  <c r="N157" i="17"/>
  <c r="W157" i="17"/>
  <c r="W164" i="17"/>
  <c r="N164" i="17"/>
  <c r="V164" i="17"/>
  <c r="L164" i="17"/>
  <c r="U164" i="17"/>
  <c r="K164" i="17"/>
  <c r="S164" i="17"/>
  <c r="J164" i="17"/>
  <c r="P164" i="17"/>
  <c r="O164" i="17"/>
  <c r="AB164" i="17"/>
  <c r="M164" i="17"/>
  <c r="R164" i="17"/>
  <c r="V197" i="17"/>
  <c r="U197" i="17"/>
  <c r="Q197" i="17"/>
  <c r="S198" i="17"/>
  <c r="K198" i="17"/>
  <c r="U198" i="17"/>
  <c r="J198" i="17"/>
  <c r="Y198" i="17"/>
  <c r="M198" i="17"/>
  <c r="W198" i="17"/>
  <c r="L198" i="17"/>
  <c r="V198" i="17"/>
  <c r="I198" i="17"/>
  <c r="AB198" i="17"/>
  <c r="P198" i="17"/>
  <c r="Q198" i="17"/>
  <c r="O198" i="17"/>
  <c r="N198" i="17"/>
  <c r="Z198" i="17"/>
  <c r="J201" i="17"/>
  <c r="I201" i="17"/>
  <c r="Q201" i="17"/>
  <c r="U291" i="17"/>
  <c r="L291" i="17"/>
  <c r="V291" i="17"/>
  <c r="K291" i="17"/>
  <c r="AB291" i="17"/>
  <c r="P291" i="17"/>
  <c r="AA291" i="17"/>
  <c r="O291" i="17"/>
  <c r="R291" i="17"/>
  <c r="Q291" i="17"/>
  <c r="N291" i="17"/>
  <c r="Z291" i="17"/>
  <c r="J291" i="17"/>
  <c r="W291" i="17"/>
  <c r="S291" i="17"/>
  <c r="M291" i="17"/>
  <c r="Y291" i="17"/>
  <c r="M6" i="17"/>
  <c r="AA6" i="17"/>
  <c r="O11" i="17"/>
  <c r="AA11" i="17"/>
  <c r="AC11" i="17" s="1"/>
  <c r="Y16" i="17"/>
  <c r="O16" i="17"/>
  <c r="U16" i="17"/>
  <c r="K16" i="17"/>
  <c r="R16" i="17"/>
  <c r="N22" i="17"/>
  <c r="Z22" i="17"/>
  <c r="AC22" i="17" s="1"/>
  <c r="M25" i="17"/>
  <c r="Y25" i="17"/>
  <c r="AB27" i="17"/>
  <c r="R27" i="17"/>
  <c r="J27" i="17"/>
  <c r="S27" i="17"/>
  <c r="I27" i="17"/>
  <c r="U27" i="17"/>
  <c r="O29" i="17"/>
  <c r="AA29" i="17"/>
  <c r="AC29" i="17" s="1"/>
  <c r="L30" i="17"/>
  <c r="Z30" i="17"/>
  <c r="AC30" i="17" s="1"/>
  <c r="M34" i="17"/>
  <c r="AA34" i="17"/>
  <c r="AC34" i="17" s="1"/>
  <c r="O35" i="17"/>
  <c r="AB35" i="17"/>
  <c r="O36" i="17"/>
  <c r="AB36" i="17"/>
  <c r="Z46" i="17"/>
  <c r="R47" i="17"/>
  <c r="U50" i="17"/>
  <c r="L50" i="17"/>
  <c r="Y50" i="17"/>
  <c r="N50" i="17"/>
  <c r="Z50" i="17"/>
  <c r="M50" i="17"/>
  <c r="S50" i="17"/>
  <c r="V51" i="17"/>
  <c r="M51" i="17"/>
  <c r="R51" i="17"/>
  <c r="I51" i="17"/>
  <c r="W51" i="17"/>
  <c r="K51" i="17"/>
  <c r="U51" i="17"/>
  <c r="M62" i="17"/>
  <c r="AB62" i="17"/>
  <c r="M64" i="17"/>
  <c r="O65" i="17"/>
  <c r="AB65" i="17"/>
  <c r="P66" i="17"/>
  <c r="M68" i="17"/>
  <c r="AA68" i="17"/>
  <c r="AC68" i="17" s="1"/>
  <c r="AC73" i="17"/>
  <c r="AC74" i="17"/>
  <c r="P80" i="17"/>
  <c r="P90" i="17"/>
  <c r="Z94" i="17"/>
  <c r="AD94" i="17" s="1"/>
  <c r="R101" i="17"/>
  <c r="Z102" i="17"/>
  <c r="AC102" i="17" s="1"/>
  <c r="P103" i="17"/>
  <c r="S106" i="17"/>
  <c r="AB112" i="17"/>
  <c r="AD112" i="17" s="1"/>
  <c r="R112" i="17"/>
  <c r="J112" i="17"/>
  <c r="Y112" i="17"/>
  <c r="N112" i="17"/>
  <c r="Q112" i="17"/>
  <c r="P112" i="17"/>
  <c r="AA112" i="17"/>
  <c r="AC112" i="17" s="1"/>
  <c r="O112" i="17"/>
  <c r="W112" i="17"/>
  <c r="Q113" i="17"/>
  <c r="Q130" i="17"/>
  <c r="AC131" i="17"/>
  <c r="Q132" i="17"/>
  <c r="Y148" i="17"/>
  <c r="I148" i="17"/>
  <c r="AB148" i="17"/>
  <c r="O148" i="17"/>
  <c r="L157" i="17"/>
  <c r="I164" i="17"/>
  <c r="V171" i="17"/>
  <c r="M171" i="17"/>
  <c r="Y171" i="17"/>
  <c r="N171" i="17"/>
  <c r="W171" i="17"/>
  <c r="L171" i="17"/>
  <c r="U171" i="17"/>
  <c r="K171" i="17"/>
  <c r="P171" i="17"/>
  <c r="O171" i="17"/>
  <c r="AB171" i="17"/>
  <c r="J171" i="17"/>
  <c r="R171" i="17"/>
  <c r="V177" i="17"/>
  <c r="R198" i="17"/>
  <c r="U214" i="17"/>
  <c r="L214" i="17"/>
  <c r="W214" i="17"/>
  <c r="M214" i="17"/>
  <c r="Q214" i="17"/>
  <c r="AB214" i="17"/>
  <c r="P214" i="17"/>
  <c r="AA214" i="17"/>
  <c r="O214" i="17"/>
  <c r="V214" i="17"/>
  <c r="S214" i="17"/>
  <c r="R214" i="17"/>
  <c r="J214" i="17"/>
  <c r="Z214" i="17"/>
  <c r="Y214" i="17"/>
  <c r="N214" i="17"/>
  <c r="V236" i="17"/>
  <c r="K236" i="17"/>
  <c r="U236" i="17"/>
  <c r="I236" i="17"/>
  <c r="S236" i="17"/>
  <c r="AA236" i="17"/>
  <c r="O236" i="17"/>
  <c r="Y236" i="17"/>
  <c r="W236" i="17"/>
  <c r="P236" i="17"/>
  <c r="L236" i="17"/>
  <c r="Z268" i="17"/>
  <c r="AD268" i="17" s="1"/>
  <c r="R268" i="17"/>
  <c r="P268" i="17"/>
  <c r="N268" i="17"/>
  <c r="L268" i="17"/>
  <c r="I291" i="17"/>
  <c r="S387" i="17"/>
  <c r="K387" i="17"/>
  <c r="AA387" i="17"/>
  <c r="P387" i="17"/>
  <c r="Q387" i="17"/>
  <c r="AB387" i="17"/>
  <c r="O387" i="17"/>
  <c r="Y387" i="17"/>
  <c r="J387" i="17"/>
  <c r="W387" i="17"/>
  <c r="I387" i="17"/>
  <c r="Z387" i="17"/>
  <c r="V387" i="17"/>
  <c r="U387" i="17"/>
  <c r="R387" i="17"/>
  <c r="N387" i="17"/>
  <c r="M387" i="17"/>
  <c r="L387" i="17"/>
  <c r="I171" i="17"/>
  <c r="AC178" i="17"/>
  <c r="I197" i="17"/>
  <c r="AA198" i="17"/>
  <c r="P201" i="17"/>
  <c r="AB204" i="17"/>
  <c r="R204" i="17"/>
  <c r="Q204" i="17"/>
  <c r="I204" i="17"/>
  <c r="AA204" i="17"/>
  <c r="O204" i="17"/>
  <c r="Z204" i="17"/>
  <c r="M204" i="17"/>
  <c r="Y204" i="17"/>
  <c r="L204" i="17"/>
  <c r="W204" i="17"/>
  <c r="K204" i="17"/>
  <c r="S204" i="17"/>
  <c r="U204" i="17"/>
  <c r="P204" i="17"/>
  <c r="N204" i="17"/>
  <c r="S216" i="17"/>
  <c r="I216" i="17"/>
  <c r="Y216" i="17"/>
  <c r="Q216" i="17"/>
  <c r="P216" i="17"/>
  <c r="AB216" i="17"/>
  <c r="L216" i="17"/>
  <c r="AA216" i="17"/>
  <c r="Y239" i="17"/>
  <c r="K239" i="17"/>
  <c r="AA239" i="17"/>
  <c r="S239" i="17"/>
  <c r="Q239" i="17"/>
  <c r="I239" i="17"/>
  <c r="AB239" i="17"/>
  <c r="P239" i="17"/>
  <c r="Q266" i="17"/>
  <c r="O266" i="17"/>
  <c r="N266" i="17"/>
  <c r="AA266" i="17"/>
  <c r="AB266" i="17"/>
  <c r="R266" i="17"/>
  <c r="AA272" i="17"/>
  <c r="Q272" i="17"/>
  <c r="I272" i="17"/>
  <c r="AB272" i="17"/>
  <c r="P272" i="17"/>
  <c r="V272" i="17"/>
  <c r="K272" i="17"/>
  <c r="S272" i="17"/>
  <c r="R272" i="17"/>
  <c r="O272" i="17"/>
  <c r="Z272" i="17"/>
  <c r="M272" i="17"/>
  <c r="Y272" i="17"/>
  <c r="W272" i="17"/>
  <c r="U272" i="17"/>
  <c r="J272" i="17"/>
  <c r="L272" i="17"/>
  <c r="W277" i="17"/>
  <c r="N277" i="17"/>
  <c r="S277" i="17"/>
  <c r="J277" i="17"/>
  <c r="Q277" i="17"/>
  <c r="AB277" i="17"/>
  <c r="P277" i="17"/>
  <c r="O277" i="17"/>
  <c r="M277" i="17"/>
  <c r="AA277" i="17"/>
  <c r="L277" i="17"/>
  <c r="Y277" i="17"/>
  <c r="I277" i="17"/>
  <c r="Z277" i="17"/>
  <c r="V277" i="17"/>
  <c r="K277" i="17"/>
  <c r="Z316" i="17"/>
  <c r="Q316" i="17"/>
  <c r="P316" i="17"/>
  <c r="N316" i="17"/>
  <c r="AB316" i="17"/>
  <c r="AA316" i="17"/>
  <c r="O316" i="17"/>
  <c r="U259" i="17"/>
  <c r="L259" i="17"/>
  <c r="V259" i="17"/>
  <c r="K259" i="17"/>
  <c r="W259" i="17"/>
  <c r="J259" i="17"/>
  <c r="P259" i="17"/>
  <c r="AB259" i="17"/>
  <c r="O259" i="17"/>
  <c r="AA259" i="17"/>
  <c r="N259" i="17"/>
  <c r="Y259" i="17"/>
  <c r="I259" i="17"/>
  <c r="Z259" i="17"/>
  <c r="S259" i="17"/>
  <c r="M259" i="17"/>
  <c r="N272" i="17"/>
  <c r="R277" i="17"/>
  <c r="W309" i="17"/>
  <c r="N309" i="17"/>
  <c r="S309" i="17"/>
  <c r="J309" i="17"/>
  <c r="Y309" i="17"/>
  <c r="L309" i="17"/>
  <c r="V309" i="17"/>
  <c r="K309" i="17"/>
  <c r="U309" i="17"/>
  <c r="I309" i="17"/>
  <c r="Z309" i="17"/>
  <c r="R309" i="17"/>
  <c r="Q309" i="17"/>
  <c r="O309" i="17"/>
  <c r="AA309" i="17"/>
  <c r="P309" i="17"/>
  <c r="M309" i="17"/>
  <c r="I255" i="17"/>
  <c r="P266" i="17"/>
  <c r="U277" i="17"/>
  <c r="N282" i="17"/>
  <c r="AB282" i="17"/>
  <c r="AD282" i="17" s="1"/>
  <c r="Z282" i="17"/>
  <c r="U282" i="17"/>
  <c r="AB309" i="17"/>
  <c r="S29" i="17"/>
  <c r="AD41" i="17"/>
  <c r="AB56" i="17"/>
  <c r="R56" i="17"/>
  <c r="J56" i="17"/>
  <c r="S56" i="17"/>
  <c r="I56" i="17"/>
  <c r="P56" i="17"/>
  <c r="Y61" i="17"/>
  <c r="O61" i="17"/>
  <c r="U61" i="17"/>
  <c r="K61" i="17"/>
  <c r="Z61" i="17"/>
  <c r="M61" i="17"/>
  <c r="U65" i="17"/>
  <c r="R68" i="17"/>
  <c r="W90" i="17"/>
  <c r="V101" i="17"/>
  <c r="AB106" i="17"/>
  <c r="W113" i="17"/>
  <c r="S129" i="17"/>
  <c r="K129" i="17"/>
  <c r="R129" i="17"/>
  <c r="I129" i="17"/>
  <c r="Y129" i="17"/>
  <c r="M129" i="17"/>
  <c r="W129" i="17"/>
  <c r="L129" i="17"/>
  <c r="V129" i="17"/>
  <c r="J129" i="17"/>
  <c r="AA129" i="17"/>
  <c r="O129" i="17"/>
  <c r="S137" i="17"/>
  <c r="K137" i="17"/>
  <c r="Y137" i="17"/>
  <c r="N137" i="17"/>
  <c r="W137" i="17"/>
  <c r="L137" i="17"/>
  <c r="V137" i="17"/>
  <c r="J137" i="17"/>
  <c r="U137" i="17"/>
  <c r="I137" i="17"/>
  <c r="AA137" i="17"/>
  <c r="O137" i="17"/>
  <c r="Z157" i="17"/>
  <c r="V184" i="17"/>
  <c r="M184" i="17"/>
  <c r="S184" i="17"/>
  <c r="J184" i="17"/>
  <c r="AA184" i="17"/>
  <c r="O184" i="17"/>
  <c r="Z184" i="17"/>
  <c r="AC184" i="17" s="1"/>
  <c r="N184" i="17"/>
  <c r="Y184" i="17"/>
  <c r="L184" i="17"/>
  <c r="P184" i="17"/>
  <c r="K184" i="17"/>
  <c r="I184" i="17"/>
  <c r="R184" i="17"/>
  <c r="I6" i="17"/>
  <c r="I11" i="17"/>
  <c r="P12" i="17"/>
  <c r="AB12" i="17"/>
  <c r="P15" i="17"/>
  <c r="M16" i="17"/>
  <c r="Z16" i="17"/>
  <c r="P18" i="17"/>
  <c r="V22" i="17"/>
  <c r="M22" i="17"/>
  <c r="R22" i="17"/>
  <c r="I22" i="17"/>
  <c r="S22" i="17"/>
  <c r="P23" i="17"/>
  <c r="AB23" i="17"/>
  <c r="AD23" i="17" s="1"/>
  <c r="Z25" i="17"/>
  <c r="AC25" i="17" s="1"/>
  <c r="R25" i="17"/>
  <c r="P26" i="17"/>
  <c r="N27" i="17"/>
  <c r="Z27" i="17"/>
  <c r="J29" i="17"/>
  <c r="V29" i="17"/>
  <c r="V30" i="17"/>
  <c r="M30" i="17"/>
  <c r="Y30" i="17"/>
  <c r="N30" i="17"/>
  <c r="R30" i="17"/>
  <c r="S33" i="17"/>
  <c r="K33" i="17"/>
  <c r="R33" i="17"/>
  <c r="I33" i="17"/>
  <c r="Q33" i="17"/>
  <c r="V33" i="17"/>
  <c r="U34" i="17"/>
  <c r="L34" i="17"/>
  <c r="Y34" i="17"/>
  <c r="N34" i="17"/>
  <c r="AB34" i="17"/>
  <c r="AD34" i="17" s="1"/>
  <c r="P34" i="17"/>
  <c r="S34" i="17"/>
  <c r="V35" i="17"/>
  <c r="M35" i="17"/>
  <c r="R35" i="17"/>
  <c r="I35" i="17"/>
  <c r="Z35" i="17"/>
  <c r="AC35" i="17" s="1"/>
  <c r="N35" i="17"/>
  <c r="U35" i="17"/>
  <c r="W36" i="17"/>
  <c r="N36" i="17"/>
  <c r="V36" i="17"/>
  <c r="L36" i="17"/>
  <c r="U36" i="17"/>
  <c r="J36" i="17"/>
  <c r="S36" i="17"/>
  <c r="R37" i="17"/>
  <c r="Q38" i="17"/>
  <c r="R39" i="17"/>
  <c r="P40" i="17"/>
  <c r="Q42" i="17"/>
  <c r="M47" i="17"/>
  <c r="Z47" i="17"/>
  <c r="O50" i="17"/>
  <c r="AB50" i="17"/>
  <c r="O51" i="17"/>
  <c r="AB51" i="17"/>
  <c r="AD51" i="17" s="1"/>
  <c r="K56" i="17"/>
  <c r="W56" i="17"/>
  <c r="I61" i="17"/>
  <c r="V61" i="17"/>
  <c r="Z62" i="17"/>
  <c r="AC62" i="17" s="1"/>
  <c r="U62" i="17"/>
  <c r="U63" i="17"/>
  <c r="AB64" i="17"/>
  <c r="AD64" i="17" s="1"/>
  <c r="R64" i="17"/>
  <c r="J64" i="17"/>
  <c r="Y64" i="17"/>
  <c r="N64" i="17"/>
  <c r="AA64" i="17"/>
  <c r="AC64" i="17" s="1"/>
  <c r="O64" i="17"/>
  <c r="U64" i="17"/>
  <c r="S65" i="17"/>
  <c r="K65" i="17"/>
  <c r="R65" i="17"/>
  <c r="I65" i="17"/>
  <c r="Y65" i="17"/>
  <c r="M65" i="17"/>
  <c r="V65" i="17"/>
  <c r="I66" i="17"/>
  <c r="W68" i="17"/>
  <c r="N68" i="17"/>
  <c r="V68" i="17"/>
  <c r="L68" i="17"/>
  <c r="AB68" i="17"/>
  <c r="AD68" i="17" s="1"/>
  <c r="P68" i="17"/>
  <c r="S68" i="17"/>
  <c r="Q73" i="17"/>
  <c r="Q74" i="17"/>
  <c r="Q75" i="17"/>
  <c r="AB80" i="17"/>
  <c r="R80" i="17"/>
  <c r="J80" i="17"/>
  <c r="Y80" i="17"/>
  <c r="N80" i="17"/>
  <c r="W80" i="17"/>
  <c r="L80" i="17"/>
  <c r="U80" i="17"/>
  <c r="I80" i="17"/>
  <c r="Z80" i="17"/>
  <c r="Y85" i="17"/>
  <c r="O85" i="17"/>
  <c r="AA85" i="17"/>
  <c r="P85" i="17"/>
  <c r="S85" i="17"/>
  <c r="I85" i="17"/>
  <c r="Q85" i="17"/>
  <c r="V85" i="17"/>
  <c r="J90" i="17"/>
  <c r="AD93" i="17"/>
  <c r="S98" i="17"/>
  <c r="I101" i="17"/>
  <c r="W101" i="17"/>
  <c r="AB103" i="17"/>
  <c r="M112" i="17"/>
  <c r="S113" i="17"/>
  <c r="K113" i="17"/>
  <c r="R113" i="17"/>
  <c r="I113" i="17"/>
  <c r="AA113" i="17"/>
  <c r="O113" i="17"/>
  <c r="Z113" i="17"/>
  <c r="N113" i="17"/>
  <c r="Y113" i="17"/>
  <c r="M113" i="17"/>
  <c r="AB113" i="17"/>
  <c r="S118" i="17"/>
  <c r="J118" i="17"/>
  <c r="V118" i="17"/>
  <c r="K118" i="17"/>
  <c r="U118" i="17"/>
  <c r="I118" i="17"/>
  <c r="R118" i="17"/>
  <c r="Y118" i="17"/>
  <c r="M118" i="17"/>
  <c r="AB118" i="17"/>
  <c r="Y120" i="17"/>
  <c r="N129" i="17"/>
  <c r="M137" i="17"/>
  <c r="Q148" i="17"/>
  <c r="AA157" i="17"/>
  <c r="AA164" i="17"/>
  <c r="AB167" i="17"/>
  <c r="J167" i="17"/>
  <c r="P167" i="17"/>
  <c r="Z171" i="17"/>
  <c r="U183" i="17"/>
  <c r="L183" i="17"/>
  <c r="Z183" i="17"/>
  <c r="O183" i="17"/>
  <c r="Q183" i="17"/>
  <c r="AB183" i="17"/>
  <c r="AD183" i="17" s="1"/>
  <c r="P183" i="17"/>
  <c r="AA183" i="17"/>
  <c r="N183" i="17"/>
  <c r="V183" i="17"/>
  <c r="S183" i="17"/>
  <c r="R183" i="17"/>
  <c r="Y183" i="17"/>
  <c r="I183" i="17"/>
  <c r="Q184" i="17"/>
  <c r="L193" i="17"/>
  <c r="AB201" i="17"/>
  <c r="O216" i="17"/>
  <c r="AD218" i="17"/>
  <c r="R234" i="17"/>
  <c r="I234" i="17"/>
  <c r="AB234" i="17"/>
  <c r="AD234" i="17" s="1"/>
  <c r="O234" i="17"/>
  <c r="AA234" i="17"/>
  <c r="AC234" i="17" s="1"/>
  <c r="N234" i="17"/>
  <c r="Y234" i="17"/>
  <c r="M234" i="17"/>
  <c r="V234" i="17"/>
  <c r="K234" i="17"/>
  <c r="Q234" i="17"/>
  <c r="L234" i="17"/>
  <c r="J234" i="17"/>
  <c r="W234" i="17"/>
  <c r="U234" i="17"/>
  <c r="Z236" i="17"/>
  <c r="K255" i="17"/>
  <c r="R259" i="17"/>
  <c r="AB311" i="17"/>
  <c r="Q311" i="17"/>
  <c r="AA311" i="17"/>
  <c r="N311" i="17"/>
  <c r="Y311" i="17"/>
  <c r="M311" i="17"/>
  <c r="W311" i="17"/>
  <c r="L311" i="17"/>
  <c r="V311" i="17"/>
  <c r="K311" i="17"/>
  <c r="R311" i="17"/>
  <c r="O311" i="17"/>
  <c r="J311" i="17"/>
  <c r="U311" i="17"/>
  <c r="S311" i="17"/>
  <c r="I311" i="17"/>
  <c r="W6" i="17"/>
  <c r="N6" i="17"/>
  <c r="Z6" i="17"/>
  <c r="O6" i="17"/>
  <c r="AD9" i="17"/>
  <c r="U11" i="17"/>
  <c r="L11" i="17"/>
  <c r="V11" i="17"/>
  <c r="K11" i="17"/>
  <c r="AD18" i="17"/>
  <c r="Q22" i="17"/>
  <c r="R34" i="17"/>
  <c r="R36" i="17"/>
  <c r="V56" i="17"/>
  <c r="R62" i="17"/>
  <c r="S64" i="17"/>
  <c r="U66" i="17"/>
  <c r="L66" i="17"/>
  <c r="Y66" i="17"/>
  <c r="N66" i="17"/>
  <c r="V66" i="17"/>
  <c r="J66" i="17"/>
  <c r="U90" i="17"/>
  <c r="L90" i="17"/>
  <c r="R90" i="17"/>
  <c r="I90" i="17"/>
  <c r="Q90" i="17"/>
  <c r="AA90" i="17"/>
  <c r="O90" i="17"/>
  <c r="Z103" i="17"/>
  <c r="U106" i="17"/>
  <c r="L106" i="17"/>
  <c r="R106" i="17"/>
  <c r="I106" i="17"/>
  <c r="AA106" i="17"/>
  <c r="O106" i="17"/>
  <c r="Z106" i="17"/>
  <c r="N106" i="17"/>
  <c r="Y106" i="17"/>
  <c r="M106" i="17"/>
  <c r="Y132" i="17"/>
  <c r="AC161" i="17"/>
  <c r="Z164" i="17"/>
  <c r="S192" i="17"/>
  <c r="I192" i="17"/>
  <c r="AA192" i="17"/>
  <c r="N192" i="17"/>
  <c r="L192" i="17"/>
  <c r="K192" i="17"/>
  <c r="Q192" i="17"/>
  <c r="P197" i="17"/>
  <c r="V204" i="17"/>
  <c r="M216" i="17"/>
  <c r="O239" i="17"/>
  <c r="U9" i="17"/>
  <c r="L9" i="17"/>
  <c r="Y9" i="17"/>
  <c r="N9" i="17"/>
  <c r="J11" i="17"/>
  <c r="AA16" i="17"/>
  <c r="I30" i="17"/>
  <c r="V34" i="17"/>
  <c r="W35" i="17"/>
  <c r="I36" i="17"/>
  <c r="Q40" i="17"/>
  <c r="S44" i="17"/>
  <c r="I44" i="17"/>
  <c r="N47" i="17"/>
  <c r="P50" i="17"/>
  <c r="J61" i="17"/>
  <c r="W61" i="17"/>
  <c r="V64" i="17"/>
  <c r="W65" i="17"/>
  <c r="K66" i="17"/>
  <c r="I68" i="17"/>
  <c r="Y69" i="17"/>
  <c r="O69" i="17"/>
  <c r="AA69" i="17"/>
  <c r="AC69" i="17" s="1"/>
  <c r="P69" i="17"/>
  <c r="V69" i="17"/>
  <c r="K69" i="17"/>
  <c r="S70" i="17"/>
  <c r="J70" i="17"/>
  <c r="R70" i="17"/>
  <c r="AA80" i="17"/>
  <c r="W84" i="17"/>
  <c r="N84" i="17"/>
  <c r="V84" i="17"/>
  <c r="L84" i="17"/>
  <c r="Z84" i="17"/>
  <c r="M84" i="17"/>
  <c r="U84" i="17"/>
  <c r="J84" i="17"/>
  <c r="S89" i="17"/>
  <c r="K89" i="17"/>
  <c r="Y89" i="17"/>
  <c r="N89" i="17"/>
  <c r="U89" i="17"/>
  <c r="I89" i="17"/>
  <c r="Q89" i="17"/>
  <c r="Z90" i="17"/>
  <c r="AB96" i="17"/>
  <c r="R96" i="17"/>
  <c r="J96" i="17"/>
  <c r="Y96" i="17"/>
  <c r="N96" i="17"/>
  <c r="U96" i="17"/>
  <c r="I96" i="17"/>
  <c r="S96" i="17"/>
  <c r="Q96" i="17"/>
  <c r="Z96" i="17"/>
  <c r="I100" i="17"/>
  <c r="S100" i="17"/>
  <c r="Y110" i="17"/>
  <c r="N110" i="17"/>
  <c r="V110" i="17"/>
  <c r="K110" i="17"/>
  <c r="U110" i="17"/>
  <c r="J110" i="17"/>
  <c r="S110" i="17"/>
  <c r="I110" i="17"/>
  <c r="P129" i="17"/>
  <c r="I132" i="17"/>
  <c r="P137" i="17"/>
  <c r="R148" i="17"/>
  <c r="AA171" i="17"/>
  <c r="J177" i="17"/>
  <c r="U184" i="17"/>
  <c r="P192" i="17"/>
  <c r="P212" i="17"/>
  <c r="Z212" i="17"/>
  <c r="Z216" i="17"/>
  <c r="Z17" i="17"/>
  <c r="S25" i="17"/>
  <c r="J25" i="17"/>
  <c r="Q25" i="17"/>
  <c r="U29" i="17"/>
  <c r="L29" i="17"/>
  <c r="R29" i="17"/>
  <c r="I29" i="17"/>
  <c r="Q30" i="17"/>
  <c r="Y62" i="17"/>
  <c r="N62" i="17"/>
  <c r="S62" i="17"/>
  <c r="I62" i="17"/>
  <c r="S66" i="17"/>
  <c r="V80" i="17"/>
  <c r="Z86" i="17"/>
  <c r="Y101" i="17"/>
  <c r="O101" i="17"/>
  <c r="AA101" i="17"/>
  <c r="P101" i="17"/>
  <c r="Q101" i="17"/>
  <c r="AB101" i="17"/>
  <c r="N101" i="17"/>
  <c r="Z101" i="17"/>
  <c r="M101" i="17"/>
  <c r="U103" i="17"/>
  <c r="J103" i="17"/>
  <c r="S130" i="17"/>
  <c r="I130" i="17"/>
  <c r="Z130" i="17"/>
  <c r="AC130" i="17" s="1"/>
  <c r="M130" i="17"/>
  <c r="W193" i="17"/>
  <c r="N193" i="17"/>
  <c r="R193" i="17"/>
  <c r="I193" i="17"/>
  <c r="Q193" i="17"/>
  <c r="AB193" i="17"/>
  <c r="P193" i="17"/>
  <c r="AA193" i="17"/>
  <c r="O193" i="17"/>
  <c r="V193" i="17"/>
  <c r="K193" i="17"/>
  <c r="Z193" i="17"/>
  <c r="AC193" i="17" s="1"/>
  <c r="Y193" i="17"/>
  <c r="U193" i="17"/>
  <c r="J193" i="17"/>
  <c r="U201" i="17"/>
  <c r="J6" i="17"/>
  <c r="U6" i="17"/>
  <c r="R9" i="17"/>
  <c r="W11" i="17"/>
  <c r="N16" i="17"/>
  <c r="J22" i="17"/>
  <c r="I25" i="17"/>
  <c r="O27" i="17"/>
  <c r="AA27" i="17"/>
  <c r="K29" i="17"/>
  <c r="Y37" i="17"/>
  <c r="O37" i="17"/>
  <c r="AA37" i="17"/>
  <c r="AC37" i="17" s="1"/>
  <c r="P37" i="17"/>
  <c r="Q37" i="17"/>
  <c r="S38" i="17"/>
  <c r="J38" i="17"/>
  <c r="Y38" i="17"/>
  <c r="M38" i="17"/>
  <c r="V43" i="17"/>
  <c r="M43" i="17"/>
  <c r="Y43" i="17"/>
  <c r="N43" i="17"/>
  <c r="Z43" i="17"/>
  <c r="AC43" i="17" s="1"/>
  <c r="L43" i="17"/>
  <c r="S43" i="17"/>
  <c r="R44" i="17"/>
  <c r="AB47" i="17"/>
  <c r="P51" i="17"/>
  <c r="L56" i="17"/>
  <c r="Y56" i="17"/>
  <c r="J62" i="17"/>
  <c r="AA63" i="17"/>
  <c r="AC63" i="17" s="1"/>
  <c r="Q63" i="17"/>
  <c r="I63" i="17"/>
  <c r="S63" i="17"/>
  <c r="J63" i="17"/>
  <c r="P63" i="17"/>
  <c r="Z66" i="17"/>
  <c r="S69" i="17"/>
  <c r="Q70" i="17"/>
  <c r="Z76" i="17"/>
  <c r="AC76" i="17" s="1"/>
  <c r="M76" i="17"/>
  <c r="R76" i="17"/>
  <c r="W89" i="17"/>
  <c r="K90" i="17"/>
  <c r="Z100" i="17"/>
  <c r="K106" i="17"/>
  <c r="S112" i="17"/>
  <c r="K130" i="17"/>
  <c r="AB157" i="17"/>
  <c r="AA3" i="17"/>
  <c r="AC3" i="17" s="1"/>
  <c r="Q3" i="17"/>
  <c r="I3" i="17"/>
  <c r="U3" i="17"/>
  <c r="K3" i="17"/>
  <c r="S3" i="17"/>
  <c r="Y5" i="17"/>
  <c r="O5" i="17"/>
  <c r="W5" i="17"/>
  <c r="M5" i="17"/>
  <c r="R5" i="17"/>
  <c r="K6" i="17"/>
  <c r="V6" i="17"/>
  <c r="I9" i="17"/>
  <c r="S9" i="17"/>
  <c r="M11" i="17"/>
  <c r="Y11" i="17"/>
  <c r="U12" i="17"/>
  <c r="L12" i="17"/>
  <c r="Z12" i="17"/>
  <c r="AC12" i="17" s="1"/>
  <c r="O12" i="17"/>
  <c r="R12" i="17"/>
  <c r="I15" i="17"/>
  <c r="P16" i="17"/>
  <c r="AB16" i="17"/>
  <c r="AD16" i="17" s="1"/>
  <c r="AA18" i="17"/>
  <c r="AC18" i="17" s="1"/>
  <c r="Q18" i="17"/>
  <c r="I18" i="17"/>
  <c r="S18" i="17"/>
  <c r="J18" i="17"/>
  <c r="U18" i="17"/>
  <c r="K22" i="17"/>
  <c r="W22" i="17"/>
  <c r="W23" i="17"/>
  <c r="N23" i="17"/>
  <c r="V23" i="17"/>
  <c r="L23" i="17"/>
  <c r="R23" i="17"/>
  <c r="K25" i="17"/>
  <c r="V25" i="17"/>
  <c r="AA26" i="17"/>
  <c r="AC26" i="17" s="1"/>
  <c r="Q26" i="17"/>
  <c r="I26" i="17"/>
  <c r="Y26" i="17"/>
  <c r="N26" i="17"/>
  <c r="S26" i="17"/>
  <c r="P27" i="17"/>
  <c r="M29" i="17"/>
  <c r="Y29" i="17"/>
  <c r="J30" i="17"/>
  <c r="U30" i="17"/>
  <c r="L33" i="17"/>
  <c r="Y33" i="17"/>
  <c r="J34" i="17"/>
  <c r="W34" i="17"/>
  <c r="K35" i="17"/>
  <c r="Y35" i="17"/>
  <c r="K36" i="17"/>
  <c r="Z36" i="17"/>
  <c r="AC36" i="17" s="1"/>
  <c r="I37" i="17"/>
  <c r="U37" i="17"/>
  <c r="Z38" i="17"/>
  <c r="AC38" i="17" s="1"/>
  <c r="U38" i="17"/>
  <c r="AA39" i="17"/>
  <c r="AC39" i="17" s="1"/>
  <c r="Q39" i="17"/>
  <c r="I39" i="17"/>
  <c r="Y39" i="17"/>
  <c r="N39" i="17"/>
  <c r="V39" i="17"/>
  <c r="K39" i="17"/>
  <c r="U39" i="17"/>
  <c r="S41" i="17"/>
  <c r="K41" i="17"/>
  <c r="Y41" i="17"/>
  <c r="N41" i="17"/>
  <c r="Q41" i="17"/>
  <c r="U41" i="17"/>
  <c r="U42" i="17"/>
  <c r="L42" i="17"/>
  <c r="R42" i="17"/>
  <c r="I42" i="17"/>
  <c r="AA42" i="17"/>
  <c r="AC42" i="17" s="1"/>
  <c r="O42" i="17"/>
  <c r="V42" i="17"/>
  <c r="I43" i="17"/>
  <c r="U43" i="17"/>
  <c r="U44" i="17"/>
  <c r="Q50" i="17"/>
  <c r="Q51" i="17"/>
  <c r="M56" i="17"/>
  <c r="Z56" i="17"/>
  <c r="AC56" i="17" s="1"/>
  <c r="AC60" i="17"/>
  <c r="L61" i="17"/>
  <c r="AA61" i="17"/>
  <c r="K62" i="17"/>
  <c r="W62" i="17"/>
  <c r="K63" i="17"/>
  <c r="W63" i="17"/>
  <c r="K64" i="17"/>
  <c r="W64" i="17"/>
  <c r="L65" i="17"/>
  <c r="Z65" i="17"/>
  <c r="AC65" i="17" s="1"/>
  <c r="M66" i="17"/>
  <c r="AA66" i="17"/>
  <c r="J68" i="17"/>
  <c r="Y68" i="17"/>
  <c r="I69" i="17"/>
  <c r="U69" i="17"/>
  <c r="U70" i="17"/>
  <c r="S73" i="17"/>
  <c r="K73" i="17"/>
  <c r="Y73" i="17"/>
  <c r="N73" i="17"/>
  <c r="W73" i="17"/>
  <c r="L73" i="17"/>
  <c r="U73" i="17"/>
  <c r="U74" i="17"/>
  <c r="L74" i="17"/>
  <c r="R74" i="17"/>
  <c r="I74" i="17"/>
  <c r="V74" i="17"/>
  <c r="J74" i="17"/>
  <c r="W74" i="17"/>
  <c r="I75" i="17"/>
  <c r="S76" i="17"/>
  <c r="M80" i="17"/>
  <c r="I84" i="17"/>
  <c r="AA84" i="17"/>
  <c r="K85" i="17"/>
  <c r="Z85" i="17"/>
  <c r="AC85" i="17" s="1"/>
  <c r="J89" i="17"/>
  <c r="Z89" i="17"/>
  <c r="AC89" i="17" s="1"/>
  <c r="M90" i="17"/>
  <c r="AB90" i="17"/>
  <c r="K96" i="17"/>
  <c r="AA96" i="17"/>
  <c r="U98" i="17"/>
  <c r="L98" i="17"/>
  <c r="Y98" i="17"/>
  <c r="N98" i="17"/>
  <c r="AB98" i="17"/>
  <c r="P98" i="17"/>
  <c r="AA98" i="17"/>
  <c r="O98" i="17"/>
  <c r="Z98" i="17"/>
  <c r="AC98" i="17" s="1"/>
  <c r="M98" i="17"/>
  <c r="W98" i="17"/>
  <c r="AA100" i="17"/>
  <c r="K101" i="17"/>
  <c r="M103" i="17"/>
  <c r="P106" i="17"/>
  <c r="V107" i="17"/>
  <c r="M107" i="17"/>
  <c r="Y107" i="17"/>
  <c r="N107" i="17"/>
  <c r="Z107" i="17"/>
  <c r="AC107" i="17" s="1"/>
  <c r="L107" i="17"/>
  <c r="W107" i="17"/>
  <c r="K107" i="17"/>
  <c r="U107" i="17"/>
  <c r="J107" i="17"/>
  <c r="AB107" i="17"/>
  <c r="Z110" i="17"/>
  <c r="AC110" i="17" s="1"/>
  <c r="AB110" i="17"/>
  <c r="U112" i="17"/>
  <c r="L113" i="17"/>
  <c r="AC116" i="17"/>
  <c r="L118" i="17"/>
  <c r="Y125" i="17"/>
  <c r="O125" i="17"/>
  <c r="U125" i="17"/>
  <c r="K125" i="17"/>
  <c r="Z125" i="17"/>
  <c r="AC125" i="17" s="1"/>
  <c r="M125" i="17"/>
  <c r="W125" i="17"/>
  <c r="L125" i="17"/>
  <c r="V125" i="17"/>
  <c r="J125" i="17"/>
  <c r="AB125" i="17"/>
  <c r="AD125" i="17" s="1"/>
  <c r="P125" i="17"/>
  <c r="Q129" i="17"/>
  <c r="O130" i="17"/>
  <c r="Q137" i="17"/>
  <c r="AD147" i="17"/>
  <c r="AA148" i="17"/>
  <c r="O167" i="17"/>
  <c r="S174" i="17"/>
  <c r="K174" i="17"/>
  <c r="Z174" i="17"/>
  <c r="AC174" i="17" s="1"/>
  <c r="O174" i="17"/>
  <c r="Y174" i="17"/>
  <c r="M174" i="17"/>
  <c r="W174" i="17"/>
  <c r="L174" i="17"/>
  <c r="V174" i="17"/>
  <c r="J174" i="17"/>
  <c r="Q174" i="17"/>
  <c r="P174" i="17"/>
  <c r="N174" i="17"/>
  <c r="U174" i="17"/>
  <c r="AA180" i="17"/>
  <c r="Q180" i="17"/>
  <c r="I180" i="17"/>
  <c r="U180" i="17"/>
  <c r="K180" i="17"/>
  <c r="AB180" i="17"/>
  <c r="O180" i="17"/>
  <c r="Z180" i="17"/>
  <c r="N180" i="17"/>
  <c r="Y180" i="17"/>
  <c r="M180" i="17"/>
  <c r="R180" i="17"/>
  <c r="P180" i="17"/>
  <c r="L180" i="17"/>
  <c r="V180" i="17"/>
  <c r="K183" i="17"/>
  <c r="W184" i="17"/>
  <c r="U191" i="17"/>
  <c r="L191" i="17"/>
  <c r="S191" i="17"/>
  <c r="J191" i="17"/>
  <c r="Z191" i="17"/>
  <c r="N191" i="17"/>
  <c r="Y191" i="17"/>
  <c r="M191" i="17"/>
  <c r="W191" i="17"/>
  <c r="K191" i="17"/>
  <c r="Q191" i="17"/>
  <c r="R191" i="17"/>
  <c r="P191" i="17"/>
  <c r="O191" i="17"/>
  <c r="AA191" i="17"/>
  <c r="W192" i="17"/>
  <c r="S193" i="17"/>
  <c r="AD203" i="17"/>
  <c r="S205" i="17"/>
  <c r="K205" i="17"/>
  <c r="W205" i="17"/>
  <c r="M205" i="17"/>
  <c r="Z205" i="17"/>
  <c r="N205" i="17"/>
  <c r="AB205" i="17"/>
  <c r="AD205" i="17" s="1"/>
  <c r="O205" i="17"/>
  <c r="AA205" i="17"/>
  <c r="L205" i="17"/>
  <c r="Y205" i="17"/>
  <c r="J205" i="17"/>
  <c r="R205" i="17"/>
  <c r="Q205" i="17"/>
  <c r="P205" i="17"/>
  <c r="I205" i="17"/>
  <c r="V205" i="17"/>
  <c r="S234" i="17"/>
  <c r="AB120" i="17"/>
  <c r="R120" i="17"/>
  <c r="J120" i="17"/>
  <c r="S120" i="17"/>
  <c r="I120" i="17"/>
  <c r="U120" i="17"/>
  <c r="AA127" i="17"/>
  <c r="Q127" i="17"/>
  <c r="I127" i="17"/>
  <c r="S127" i="17"/>
  <c r="J127" i="17"/>
  <c r="U127" i="17"/>
  <c r="W132" i="17"/>
  <c r="N132" i="17"/>
  <c r="V132" i="17"/>
  <c r="L132" i="17"/>
  <c r="R132" i="17"/>
  <c r="AA135" i="17"/>
  <c r="Q135" i="17"/>
  <c r="I135" i="17"/>
  <c r="Y135" i="17"/>
  <c r="N135" i="17"/>
  <c r="S135" i="17"/>
  <c r="P140" i="17"/>
  <c r="S153" i="17"/>
  <c r="K153" i="17"/>
  <c r="Y153" i="17"/>
  <c r="N153" i="17"/>
  <c r="W153" i="17"/>
  <c r="M153" i="17"/>
  <c r="V153" i="17"/>
  <c r="L153" i="17"/>
  <c r="Z153" i="17"/>
  <c r="Y165" i="17"/>
  <c r="O165" i="17"/>
  <c r="AA165" i="17"/>
  <c r="P165" i="17"/>
  <c r="Z165" i="17"/>
  <c r="AD165" i="17" s="1"/>
  <c r="N165" i="17"/>
  <c r="W165" i="17"/>
  <c r="M165" i="17"/>
  <c r="U165" i="17"/>
  <c r="W177" i="17"/>
  <c r="N177" i="17"/>
  <c r="R177" i="17"/>
  <c r="I177" i="17"/>
  <c r="AA177" i="17"/>
  <c r="O177" i="17"/>
  <c r="Z177" i="17"/>
  <c r="M177" i="17"/>
  <c r="Y177" i="17"/>
  <c r="L177" i="17"/>
  <c r="AB177" i="17"/>
  <c r="S190" i="17"/>
  <c r="K190" i="17"/>
  <c r="Z190" i="17"/>
  <c r="O190" i="17"/>
  <c r="AB190" i="17"/>
  <c r="P190" i="17"/>
  <c r="AA190" i="17"/>
  <c r="N190" i="17"/>
  <c r="Y190" i="17"/>
  <c r="M190" i="17"/>
  <c r="U190" i="17"/>
  <c r="I190" i="17"/>
  <c r="Z215" i="17"/>
  <c r="N215" i="17"/>
  <c r="Y215" i="17"/>
  <c r="L215" i="17"/>
  <c r="W215" i="17"/>
  <c r="K215" i="17"/>
  <c r="O215" i="17"/>
  <c r="J215" i="17"/>
  <c r="I215" i="17"/>
  <c r="S215" i="17"/>
  <c r="S221" i="17"/>
  <c r="K221" i="17"/>
  <c r="W221" i="17"/>
  <c r="M221" i="17"/>
  <c r="AB221" i="17"/>
  <c r="P221" i="17"/>
  <c r="AA221" i="17"/>
  <c r="O221" i="17"/>
  <c r="Z221" i="17"/>
  <c r="N221" i="17"/>
  <c r="V221" i="17"/>
  <c r="J221" i="17"/>
  <c r="Y221" i="17"/>
  <c r="U221" i="17"/>
  <c r="R221" i="17"/>
  <c r="I221" i="17"/>
  <c r="Z245" i="17"/>
  <c r="N245" i="17"/>
  <c r="Y245" i="17"/>
  <c r="M245" i="17"/>
  <c r="W245" i="17"/>
  <c r="L245" i="17"/>
  <c r="U245" i="17"/>
  <c r="I245" i="17"/>
  <c r="P245" i="17"/>
  <c r="O245" i="17"/>
  <c r="J245" i="17"/>
  <c r="AA245" i="17"/>
  <c r="Y77" i="17"/>
  <c r="O77" i="17"/>
  <c r="U77" i="17"/>
  <c r="K77" i="17"/>
  <c r="R77" i="17"/>
  <c r="AB88" i="17"/>
  <c r="AD88" i="17" s="1"/>
  <c r="R88" i="17"/>
  <c r="J88" i="17"/>
  <c r="S88" i="17"/>
  <c r="I88" i="17"/>
  <c r="U88" i="17"/>
  <c r="AA95" i="17"/>
  <c r="AC95" i="17" s="1"/>
  <c r="Q95" i="17"/>
  <c r="I95" i="17"/>
  <c r="S95" i="17"/>
  <c r="J95" i="17"/>
  <c r="U95" i="17"/>
  <c r="W100" i="17"/>
  <c r="N100" i="17"/>
  <c r="V100" i="17"/>
  <c r="L100" i="17"/>
  <c r="R100" i="17"/>
  <c r="AA103" i="17"/>
  <c r="Q103" i="17"/>
  <c r="I103" i="17"/>
  <c r="Y103" i="17"/>
  <c r="N103" i="17"/>
  <c r="S103" i="17"/>
  <c r="P108" i="17"/>
  <c r="P111" i="17"/>
  <c r="V115" i="17"/>
  <c r="M115" i="17"/>
  <c r="R115" i="17"/>
  <c r="I115" i="17"/>
  <c r="S115" i="17"/>
  <c r="P116" i="17"/>
  <c r="AB116" i="17"/>
  <c r="AD116" i="17" s="1"/>
  <c r="Z118" i="17"/>
  <c r="AC118" i="17" s="1"/>
  <c r="P119" i="17"/>
  <c r="N120" i="17"/>
  <c r="Z120" i="17"/>
  <c r="V123" i="17"/>
  <c r="M123" i="17"/>
  <c r="Y123" i="17"/>
  <c r="N123" i="17"/>
  <c r="R123" i="17"/>
  <c r="Y126" i="17"/>
  <c r="N126" i="17"/>
  <c r="Q126" i="17"/>
  <c r="N127" i="17"/>
  <c r="Z127" i="17"/>
  <c r="U130" i="17"/>
  <c r="L130" i="17"/>
  <c r="Y130" i="17"/>
  <c r="N130" i="17"/>
  <c r="R130" i="17"/>
  <c r="P131" i="17"/>
  <c r="AB131" i="17"/>
  <c r="AD131" i="17" s="1"/>
  <c r="M132" i="17"/>
  <c r="Z132" i="17"/>
  <c r="O134" i="17"/>
  <c r="M135" i="17"/>
  <c r="Z135" i="17"/>
  <c r="P139" i="17"/>
  <c r="AB139" i="17"/>
  <c r="AD139" i="17" s="1"/>
  <c r="K140" i="17"/>
  <c r="V140" i="17"/>
  <c r="Y141" i="17"/>
  <c r="O141" i="17"/>
  <c r="U141" i="17"/>
  <c r="K141" i="17"/>
  <c r="R141" i="17"/>
  <c r="S141" i="17"/>
  <c r="Y142" i="17"/>
  <c r="N142" i="17"/>
  <c r="V142" i="17"/>
  <c r="L142" i="17"/>
  <c r="R142" i="17"/>
  <c r="U146" i="17"/>
  <c r="L146" i="17"/>
  <c r="Y146" i="17"/>
  <c r="N146" i="17"/>
  <c r="V146" i="17"/>
  <c r="K146" i="17"/>
  <c r="S146" i="17"/>
  <c r="V147" i="17"/>
  <c r="M147" i="17"/>
  <c r="R147" i="17"/>
  <c r="I147" i="17"/>
  <c r="AA147" i="17"/>
  <c r="AC147" i="17" s="1"/>
  <c r="P147" i="17"/>
  <c r="U147" i="17"/>
  <c r="W148" i="17"/>
  <c r="N148" i="17"/>
  <c r="V148" i="17"/>
  <c r="L148" i="17"/>
  <c r="S148" i="17"/>
  <c r="J148" i="17"/>
  <c r="U148" i="17"/>
  <c r="Y149" i="17"/>
  <c r="O149" i="17"/>
  <c r="AA149" i="17"/>
  <c r="AC149" i="17" s="1"/>
  <c r="P149" i="17"/>
  <c r="W149" i="17"/>
  <c r="M149" i="17"/>
  <c r="S149" i="17"/>
  <c r="S150" i="17"/>
  <c r="J150" i="17"/>
  <c r="AB150" i="17"/>
  <c r="Q150" i="17"/>
  <c r="R150" i="17"/>
  <c r="P153" i="17"/>
  <c r="R162" i="17"/>
  <c r="L165" i="17"/>
  <c r="AA167" i="17"/>
  <c r="Q167" i="17"/>
  <c r="I167" i="17"/>
  <c r="Y167" i="17"/>
  <c r="N167" i="17"/>
  <c r="W167" i="17"/>
  <c r="M167" i="17"/>
  <c r="V167" i="17"/>
  <c r="L167" i="17"/>
  <c r="Z167" i="17"/>
  <c r="AC167" i="17" s="1"/>
  <c r="AC168" i="17"/>
  <c r="V173" i="17"/>
  <c r="Q177" i="17"/>
  <c r="Y178" i="17"/>
  <c r="O178" i="17"/>
  <c r="V178" i="17"/>
  <c r="L178" i="17"/>
  <c r="W178" i="17"/>
  <c r="K178" i="17"/>
  <c r="U178" i="17"/>
  <c r="J178" i="17"/>
  <c r="S178" i="17"/>
  <c r="I178" i="17"/>
  <c r="AB178" i="17"/>
  <c r="AD178" i="17" s="1"/>
  <c r="Y181" i="17"/>
  <c r="AD182" i="17"/>
  <c r="U187" i="17"/>
  <c r="K187" i="17"/>
  <c r="AA187" i="17"/>
  <c r="N187" i="17"/>
  <c r="Y187" i="17"/>
  <c r="M187" i="17"/>
  <c r="W187" i="17"/>
  <c r="L187" i="17"/>
  <c r="R187" i="17"/>
  <c r="AB187" i="17"/>
  <c r="AC189" i="17"/>
  <c r="R190" i="17"/>
  <c r="AB212" i="17"/>
  <c r="R212" i="17"/>
  <c r="J212" i="17"/>
  <c r="W212" i="17"/>
  <c r="M212" i="17"/>
  <c r="Y212" i="17"/>
  <c r="L212" i="17"/>
  <c r="U212" i="17"/>
  <c r="I212" i="17"/>
  <c r="O212" i="17"/>
  <c r="N212" i="17"/>
  <c r="AA212" i="17"/>
  <c r="K212" i="17"/>
  <c r="S212" i="17"/>
  <c r="U215" i="17"/>
  <c r="W242" i="17"/>
  <c r="M242" i="17"/>
  <c r="Y242" i="17"/>
  <c r="L242" i="17"/>
  <c r="V242" i="17"/>
  <c r="K242" i="17"/>
  <c r="U242" i="17"/>
  <c r="J242" i="17"/>
  <c r="R242" i="17"/>
  <c r="AA242" i="17"/>
  <c r="S242" i="17"/>
  <c r="Q242" i="17"/>
  <c r="I242" i="17"/>
  <c r="O120" i="17"/>
  <c r="AA120" i="17"/>
  <c r="O127" i="17"/>
  <c r="AB127" i="17"/>
  <c r="O132" i="17"/>
  <c r="AA132" i="17"/>
  <c r="S134" i="17"/>
  <c r="J134" i="17"/>
  <c r="Q134" i="17"/>
  <c r="O135" i="17"/>
  <c r="AB135" i="17"/>
  <c r="AD135" i="17" s="1"/>
  <c r="U138" i="17"/>
  <c r="L138" i="17"/>
  <c r="R138" i="17"/>
  <c r="I138" i="17"/>
  <c r="S138" i="17"/>
  <c r="L140" i="17"/>
  <c r="Y140" i="17"/>
  <c r="AB144" i="17"/>
  <c r="AD144" i="17" s="1"/>
  <c r="R144" i="17"/>
  <c r="J144" i="17"/>
  <c r="Y144" i="17"/>
  <c r="N144" i="17"/>
  <c r="V144" i="17"/>
  <c r="L144" i="17"/>
  <c r="U144" i="17"/>
  <c r="S145" i="17"/>
  <c r="K145" i="17"/>
  <c r="R145" i="17"/>
  <c r="I145" i="17"/>
  <c r="AA145" i="17"/>
  <c r="AC145" i="17" s="1"/>
  <c r="P145" i="17"/>
  <c r="V145" i="17"/>
  <c r="AA151" i="17"/>
  <c r="Q151" i="17"/>
  <c r="I151" i="17"/>
  <c r="Y151" i="17"/>
  <c r="N151" i="17"/>
  <c r="W151" i="17"/>
  <c r="M151" i="17"/>
  <c r="V151" i="17"/>
  <c r="L151" i="17"/>
  <c r="Z151" i="17"/>
  <c r="AC152" i="17"/>
  <c r="Q153" i="17"/>
  <c r="Y158" i="17"/>
  <c r="N158" i="17"/>
  <c r="W158" i="17"/>
  <c r="V158" i="17"/>
  <c r="L158" i="17"/>
  <c r="R158" i="17"/>
  <c r="Q165" i="17"/>
  <c r="V175" i="17"/>
  <c r="I175" i="17"/>
  <c r="Z175" i="17"/>
  <c r="AD175" i="17" s="1"/>
  <c r="S177" i="17"/>
  <c r="V190" i="17"/>
  <c r="W208" i="17"/>
  <c r="N208" i="17"/>
  <c r="AA208" i="17"/>
  <c r="P208" i="17"/>
  <c r="Z208" i="17"/>
  <c r="M208" i="17"/>
  <c r="V208" i="17"/>
  <c r="K208" i="17"/>
  <c r="R208" i="17"/>
  <c r="Q208" i="17"/>
  <c r="O208" i="17"/>
  <c r="Y208" i="17"/>
  <c r="I208" i="17"/>
  <c r="AA215" i="17"/>
  <c r="W224" i="17"/>
  <c r="N224" i="17"/>
  <c r="AA224" i="17"/>
  <c r="P224" i="17"/>
  <c r="Q224" i="17"/>
  <c r="AB224" i="17"/>
  <c r="O224" i="17"/>
  <c r="Z224" i="17"/>
  <c r="M224" i="17"/>
  <c r="V224" i="17"/>
  <c r="K224" i="17"/>
  <c r="U224" i="17"/>
  <c r="S224" i="17"/>
  <c r="R224" i="17"/>
  <c r="I224" i="17"/>
  <c r="P232" i="17"/>
  <c r="O232" i="17"/>
  <c r="I232" i="17"/>
  <c r="AA232" i="17"/>
  <c r="Y249" i="17"/>
  <c r="O249" i="17"/>
  <c r="Z249" i="17"/>
  <c r="N249" i="17"/>
  <c r="V249" i="17"/>
  <c r="K249" i="17"/>
  <c r="U249" i="17"/>
  <c r="J249" i="17"/>
  <c r="S249" i="17"/>
  <c r="I249" i="17"/>
  <c r="Q249" i="17"/>
  <c r="AA249" i="17"/>
  <c r="W249" i="17"/>
  <c r="R249" i="17"/>
  <c r="L249" i="17"/>
  <c r="U253" i="17"/>
  <c r="I253" i="17"/>
  <c r="AB253" i="17"/>
  <c r="P253" i="17"/>
  <c r="O253" i="17"/>
  <c r="N253" i="17"/>
  <c r="L253" i="17"/>
  <c r="Z253" i="17"/>
  <c r="AC253" i="17" s="1"/>
  <c r="L261" i="17"/>
  <c r="V261" i="17"/>
  <c r="R261" i="17"/>
  <c r="Q261" i="17"/>
  <c r="U2" i="17"/>
  <c r="L2" i="17"/>
  <c r="Q2" i="17"/>
  <c r="AB2" i="17"/>
  <c r="W7" i="17"/>
  <c r="M7" i="17"/>
  <c r="Q7" i="17"/>
  <c r="U10" i="17"/>
  <c r="L10" i="17"/>
  <c r="Q10" i="17"/>
  <c r="AB10" i="17"/>
  <c r="W15" i="17"/>
  <c r="N15" i="17"/>
  <c r="Q15" i="17"/>
  <c r="AB15" i="17"/>
  <c r="AD15" i="17" s="1"/>
  <c r="W31" i="17"/>
  <c r="N31" i="17"/>
  <c r="Q31" i="17"/>
  <c r="AB31" i="17"/>
  <c r="AD31" i="17" s="1"/>
  <c r="AB40" i="17"/>
  <c r="AD40" i="17" s="1"/>
  <c r="R40" i="17"/>
  <c r="J40" i="17"/>
  <c r="S40" i="17"/>
  <c r="I40" i="17"/>
  <c r="U40" i="17"/>
  <c r="AA47" i="17"/>
  <c r="Q47" i="17"/>
  <c r="I47" i="17"/>
  <c r="S47" i="17"/>
  <c r="J47" i="17"/>
  <c r="U47" i="17"/>
  <c r="W52" i="17"/>
  <c r="N52" i="17"/>
  <c r="V52" i="17"/>
  <c r="L52" i="17"/>
  <c r="R52" i="17"/>
  <c r="AA55" i="17"/>
  <c r="Q55" i="17"/>
  <c r="I55" i="17"/>
  <c r="Y55" i="17"/>
  <c r="N55" i="17"/>
  <c r="S55" i="17"/>
  <c r="V67" i="17"/>
  <c r="M67" i="17"/>
  <c r="R67" i="17"/>
  <c r="I67" i="17"/>
  <c r="S67" i="17"/>
  <c r="Z70" i="17"/>
  <c r="AC70" i="17" s="1"/>
  <c r="V75" i="17"/>
  <c r="M75" i="17"/>
  <c r="Y75" i="17"/>
  <c r="N75" i="17"/>
  <c r="R75" i="17"/>
  <c r="J77" i="17"/>
  <c r="V77" i="17"/>
  <c r="Y78" i="17"/>
  <c r="N78" i="17"/>
  <c r="Q78" i="17"/>
  <c r="U82" i="17"/>
  <c r="L82" i="17"/>
  <c r="Y82" i="17"/>
  <c r="N82" i="17"/>
  <c r="R82" i="17"/>
  <c r="L88" i="17"/>
  <c r="W88" i="17"/>
  <c r="Y93" i="17"/>
  <c r="O93" i="17"/>
  <c r="U93" i="17"/>
  <c r="K93" i="17"/>
  <c r="R93" i="17"/>
  <c r="L95" i="17"/>
  <c r="W95" i="17"/>
  <c r="J100" i="17"/>
  <c r="U100" i="17"/>
  <c r="K103" i="17"/>
  <c r="V103" i="17"/>
  <c r="AB104" i="17"/>
  <c r="AD104" i="17" s="1"/>
  <c r="R104" i="17"/>
  <c r="J104" i="17"/>
  <c r="S104" i="17"/>
  <c r="I104" i="17"/>
  <c r="U104" i="17"/>
  <c r="I108" i="17"/>
  <c r="AA111" i="17"/>
  <c r="AC111" i="17" s="1"/>
  <c r="Q111" i="17"/>
  <c r="I111" i="17"/>
  <c r="S111" i="17"/>
  <c r="J111" i="17"/>
  <c r="U111" i="17"/>
  <c r="K115" i="17"/>
  <c r="W115" i="17"/>
  <c r="W116" i="17"/>
  <c r="N116" i="17"/>
  <c r="V116" i="17"/>
  <c r="L116" i="17"/>
  <c r="R116" i="17"/>
  <c r="AA119" i="17"/>
  <c r="AC119" i="17" s="1"/>
  <c r="Q119" i="17"/>
  <c r="I119" i="17"/>
  <c r="Y119" i="17"/>
  <c r="N119" i="17"/>
  <c r="S119" i="17"/>
  <c r="P120" i="17"/>
  <c r="J123" i="17"/>
  <c r="U123" i="17"/>
  <c r="I126" i="17"/>
  <c r="S126" i="17"/>
  <c r="P127" i="17"/>
  <c r="J130" i="17"/>
  <c r="V130" i="17"/>
  <c r="V131" i="17"/>
  <c r="M131" i="17"/>
  <c r="R131" i="17"/>
  <c r="I131" i="17"/>
  <c r="S131" i="17"/>
  <c r="P132" i="17"/>
  <c r="AB132" i="17"/>
  <c r="Z134" i="17"/>
  <c r="AC134" i="17" s="1"/>
  <c r="R134" i="17"/>
  <c r="P135" i="17"/>
  <c r="J138" i="17"/>
  <c r="V138" i="17"/>
  <c r="V139" i="17"/>
  <c r="M139" i="17"/>
  <c r="Y139" i="17"/>
  <c r="N139" i="17"/>
  <c r="R139" i="17"/>
  <c r="M140" i="17"/>
  <c r="J141" i="17"/>
  <c r="W141" i="17"/>
  <c r="I142" i="17"/>
  <c r="U142" i="17"/>
  <c r="AA143" i="17"/>
  <c r="AC143" i="17" s="1"/>
  <c r="Q143" i="17"/>
  <c r="I143" i="17"/>
  <c r="S143" i="17"/>
  <c r="J143" i="17"/>
  <c r="AB143" i="17"/>
  <c r="AD143" i="17" s="1"/>
  <c r="P143" i="17"/>
  <c r="V143" i="17"/>
  <c r="I144" i="17"/>
  <c r="W144" i="17"/>
  <c r="J145" i="17"/>
  <c r="W145" i="17"/>
  <c r="J146" i="17"/>
  <c r="Z146" i="17"/>
  <c r="K147" i="17"/>
  <c r="Y147" i="17"/>
  <c r="K148" i="17"/>
  <c r="Z148" i="17"/>
  <c r="AC148" i="17" s="1"/>
  <c r="J149" i="17"/>
  <c r="V149" i="17"/>
  <c r="I150" i="17"/>
  <c r="V150" i="17"/>
  <c r="J151" i="17"/>
  <c r="AB151" i="17"/>
  <c r="R153" i="17"/>
  <c r="Z158" i="17"/>
  <c r="S158" i="17"/>
  <c r="AD159" i="17"/>
  <c r="U162" i="17"/>
  <c r="L162" i="17"/>
  <c r="Y162" i="17"/>
  <c r="N162" i="17"/>
  <c r="W162" i="17"/>
  <c r="M162" i="17"/>
  <c r="V162" i="17"/>
  <c r="K162" i="17"/>
  <c r="Z162" i="17"/>
  <c r="AC162" i="17" s="1"/>
  <c r="AC163" i="17"/>
  <c r="R165" i="17"/>
  <c r="S166" i="17"/>
  <c r="J166" i="17"/>
  <c r="R166" i="17"/>
  <c r="I166" i="17"/>
  <c r="AB166" i="17"/>
  <c r="Q166" i="17"/>
  <c r="V166" i="17"/>
  <c r="K167" i="17"/>
  <c r="AB173" i="17"/>
  <c r="R173" i="17"/>
  <c r="J173" i="17"/>
  <c r="U173" i="17"/>
  <c r="K173" i="17"/>
  <c r="P173" i="17"/>
  <c r="AA173" i="17"/>
  <c r="O173" i="17"/>
  <c r="Z173" i="17"/>
  <c r="N173" i="17"/>
  <c r="Y173" i="17"/>
  <c r="AA175" i="17"/>
  <c r="U177" i="17"/>
  <c r="N178" i="17"/>
  <c r="AB181" i="17"/>
  <c r="R181" i="17"/>
  <c r="J181" i="17"/>
  <c r="Z181" i="17"/>
  <c r="AC181" i="17" s="1"/>
  <c r="O181" i="17"/>
  <c r="W181" i="17"/>
  <c r="L181" i="17"/>
  <c r="V181" i="17"/>
  <c r="K181" i="17"/>
  <c r="U181" i="17"/>
  <c r="I181" i="17"/>
  <c r="I187" i="17"/>
  <c r="W190" i="17"/>
  <c r="AA196" i="17"/>
  <c r="AC196" i="17" s="1"/>
  <c r="Q196" i="17"/>
  <c r="I196" i="17"/>
  <c r="U196" i="17"/>
  <c r="K196" i="17"/>
  <c r="R196" i="17"/>
  <c r="P196" i="17"/>
  <c r="AB196" i="17"/>
  <c r="AD196" i="17" s="1"/>
  <c r="O196" i="17"/>
  <c r="W196" i="17"/>
  <c r="L196" i="17"/>
  <c r="J208" i="17"/>
  <c r="Q212" i="17"/>
  <c r="J224" i="17"/>
  <c r="N242" i="17"/>
  <c r="AC244" i="17"/>
  <c r="M249" i="17"/>
  <c r="Y252" i="17"/>
  <c r="M252" i="17"/>
  <c r="W252" i="17"/>
  <c r="L252" i="17"/>
  <c r="V252" i="17"/>
  <c r="K252" i="17"/>
  <c r="S252" i="17"/>
  <c r="Z252" i="17"/>
  <c r="AC252" i="17" s="1"/>
  <c r="U252" i="17"/>
  <c r="P252" i="17"/>
  <c r="I252" i="17"/>
  <c r="Y278" i="17"/>
  <c r="O278" i="17"/>
  <c r="W278" i="17"/>
  <c r="M278" i="17"/>
  <c r="AA278" i="17"/>
  <c r="N278" i="17"/>
  <c r="Z278" i="17"/>
  <c r="L278" i="17"/>
  <c r="S278" i="17"/>
  <c r="R278" i="17"/>
  <c r="Q278" i="17"/>
  <c r="K278" i="17"/>
  <c r="AB278" i="17"/>
  <c r="AD278" i="17" s="1"/>
  <c r="V278" i="17"/>
  <c r="U278" i="17"/>
  <c r="I278" i="17"/>
  <c r="S322" i="17"/>
  <c r="K322" i="17"/>
  <c r="AA322" i="17"/>
  <c r="P322" i="17"/>
  <c r="Y322" i="17"/>
  <c r="M322" i="17"/>
  <c r="W322" i="17"/>
  <c r="L322" i="17"/>
  <c r="V322" i="17"/>
  <c r="J322" i="17"/>
  <c r="U322" i="17"/>
  <c r="I322" i="17"/>
  <c r="Z322" i="17"/>
  <c r="R322" i="17"/>
  <c r="Q322" i="17"/>
  <c r="N322" i="17"/>
  <c r="AB322" i="17"/>
  <c r="O322" i="17"/>
  <c r="S330" i="17"/>
  <c r="K330" i="17"/>
  <c r="R330" i="17"/>
  <c r="I330" i="17"/>
  <c r="W330" i="17"/>
  <c r="L330" i="17"/>
  <c r="AB330" i="17"/>
  <c r="P330" i="17"/>
  <c r="O330" i="17"/>
  <c r="N330" i="17"/>
  <c r="AA330" i="17"/>
  <c r="M330" i="17"/>
  <c r="Z330" i="17"/>
  <c r="J330" i="17"/>
  <c r="Y330" i="17"/>
  <c r="U330" i="17"/>
  <c r="V330" i="17"/>
  <c r="Z187" i="17"/>
  <c r="AC187" i="17" s="1"/>
  <c r="Y194" i="17"/>
  <c r="O194" i="17"/>
  <c r="V194" i="17"/>
  <c r="L194" i="17"/>
  <c r="R194" i="17"/>
  <c r="AB197" i="17"/>
  <c r="R197" i="17"/>
  <c r="J197" i="17"/>
  <c r="Z197" i="17"/>
  <c r="O197" i="17"/>
  <c r="S197" i="17"/>
  <c r="W201" i="17"/>
  <c r="N201" i="17"/>
  <c r="Y201" i="17"/>
  <c r="M201" i="17"/>
  <c r="R201" i="17"/>
  <c r="V206" i="17"/>
  <c r="J206" i="17"/>
  <c r="R206" i="17"/>
  <c r="S206" i="17"/>
  <c r="R218" i="17"/>
  <c r="I218" i="17"/>
  <c r="Y218" i="17"/>
  <c r="M218" i="17"/>
  <c r="W218" i="17"/>
  <c r="L218" i="17"/>
  <c r="V218" i="17"/>
  <c r="K218" i="17"/>
  <c r="AA218" i="17"/>
  <c r="AC218" i="17" s="1"/>
  <c r="Y222" i="17"/>
  <c r="M222" i="17"/>
  <c r="W222" i="17"/>
  <c r="K222" i="17"/>
  <c r="V222" i="17"/>
  <c r="J222" i="17"/>
  <c r="R222" i="17"/>
  <c r="AA222" i="17"/>
  <c r="AC222" i="17" s="1"/>
  <c r="AB228" i="17"/>
  <c r="AD228" i="17" s="1"/>
  <c r="R228" i="17"/>
  <c r="J228" i="17"/>
  <c r="W228" i="17"/>
  <c r="M228" i="17"/>
  <c r="AA228" i="17"/>
  <c r="O228" i="17"/>
  <c r="Z228" i="17"/>
  <c r="N228" i="17"/>
  <c r="Y228" i="17"/>
  <c r="L228" i="17"/>
  <c r="U228" i="17"/>
  <c r="I228" i="17"/>
  <c r="AC229" i="17"/>
  <c r="AB244" i="17"/>
  <c r="AD244" i="17" s="1"/>
  <c r="R244" i="17"/>
  <c r="J244" i="17"/>
  <c r="W244" i="17"/>
  <c r="M244" i="17"/>
  <c r="Q244" i="17"/>
  <c r="P244" i="17"/>
  <c r="AA244" i="17"/>
  <c r="O244" i="17"/>
  <c r="Y244" i="17"/>
  <c r="L244" i="17"/>
  <c r="AC247" i="17"/>
  <c r="V255" i="17"/>
  <c r="M255" i="17"/>
  <c r="W255" i="17"/>
  <c r="L255" i="17"/>
  <c r="AB255" i="17"/>
  <c r="P255" i="17"/>
  <c r="AA255" i="17"/>
  <c r="O255" i="17"/>
  <c r="Z255" i="17"/>
  <c r="N255" i="17"/>
  <c r="U255" i="17"/>
  <c r="J255" i="17"/>
  <c r="Q268" i="17"/>
  <c r="W301" i="17"/>
  <c r="N301" i="17"/>
  <c r="Z301" i="17"/>
  <c r="O301" i="17"/>
  <c r="AB301" i="17"/>
  <c r="P301" i="17"/>
  <c r="AA301" i="17"/>
  <c r="M301" i="17"/>
  <c r="Y301" i="17"/>
  <c r="L301" i="17"/>
  <c r="R301" i="17"/>
  <c r="Q301" i="17"/>
  <c r="K301" i="17"/>
  <c r="I301" i="17"/>
  <c r="AA304" i="17"/>
  <c r="Q304" i="17"/>
  <c r="I304" i="17"/>
  <c r="AB304" i="17"/>
  <c r="P304" i="17"/>
  <c r="O304" i="17"/>
  <c r="Z304" i="17"/>
  <c r="N304" i="17"/>
  <c r="Y304" i="17"/>
  <c r="M304" i="17"/>
  <c r="V304" i="17"/>
  <c r="U304" i="17"/>
  <c r="S304" i="17"/>
  <c r="L304" i="17"/>
  <c r="AB305" i="17"/>
  <c r="R305" i="17"/>
  <c r="J305" i="17"/>
  <c r="V305" i="17"/>
  <c r="L305" i="17"/>
  <c r="Z305" i="17"/>
  <c r="N305" i="17"/>
  <c r="Y305" i="17"/>
  <c r="M305" i="17"/>
  <c r="W305" i="17"/>
  <c r="K305" i="17"/>
  <c r="P305" i="17"/>
  <c r="O305" i="17"/>
  <c r="I305" i="17"/>
  <c r="AA305" i="17"/>
  <c r="Y318" i="17"/>
  <c r="O318" i="17"/>
  <c r="R318" i="17"/>
  <c r="I318" i="17"/>
  <c r="AA318" i="17"/>
  <c r="N318" i="17"/>
  <c r="Z318" i="17"/>
  <c r="AC318" i="17" s="1"/>
  <c r="M318" i="17"/>
  <c r="W318" i="17"/>
  <c r="L318" i="17"/>
  <c r="V318" i="17"/>
  <c r="K318" i="17"/>
  <c r="Q318" i="17"/>
  <c r="P318" i="17"/>
  <c r="J318" i="17"/>
  <c r="AD323" i="17"/>
  <c r="L329" i="17"/>
  <c r="AA329" i="17"/>
  <c r="K329" i="17"/>
  <c r="W329" i="17"/>
  <c r="I329" i="17"/>
  <c r="V329" i="17"/>
  <c r="U329" i="17"/>
  <c r="P329" i="17"/>
  <c r="AC349" i="17"/>
  <c r="Z150" i="17"/>
  <c r="AC150" i="17" s="1"/>
  <c r="P152" i="17"/>
  <c r="P154" i="17"/>
  <c r="O156" i="17"/>
  <c r="Z156" i="17"/>
  <c r="AC156" i="17" s="1"/>
  <c r="P159" i="17"/>
  <c r="P161" i="17"/>
  <c r="P163" i="17"/>
  <c r="Z166" i="17"/>
  <c r="AC166" i="17" s="1"/>
  <c r="P168" i="17"/>
  <c r="P170" i="17"/>
  <c r="P172" i="17"/>
  <c r="U175" i="17"/>
  <c r="L175" i="17"/>
  <c r="S175" i="17"/>
  <c r="J175" i="17"/>
  <c r="R175" i="17"/>
  <c r="P176" i="17"/>
  <c r="AB176" i="17"/>
  <c r="AA188" i="17"/>
  <c r="Q188" i="17"/>
  <c r="I188" i="17"/>
  <c r="Z188" i="17"/>
  <c r="AC188" i="17" s="1"/>
  <c r="O188" i="17"/>
  <c r="S188" i="17"/>
  <c r="P189" i="17"/>
  <c r="V192" i="17"/>
  <c r="M192" i="17"/>
  <c r="Z192" i="17"/>
  <c r="AC192" i="17" s="1"/>
  <c r="O192" i="17"/>
  <c r="R192" i="17"/>
  <c r="K194" i="17"/>
  <c r="W194" i="17"/>
  <c r="L197" i="17"/>
  <c r="W197" i="17"/>
  <c r="K201" i="17"/>
  <c r="V201" i="17"/>
  <c r="K206" i="17"/>
  <c r="Z206" i="17"/>
  <c r="AC206" i="17" s="1"/>
  <c r="Z211" i="17"/>
  <c r="N211" i="17"/>
  <c r="W211" i="17"/>
  <c r="L211" i="17"/>
  <c r="U211" i="17"/>
  <c r="N218" i="17"/>
  <c r="N222" i="17"/>
  <c r="S223" i="17"/>
  <c r="I223" i="17"/>
  <c r="AB223" i="17"/>
  <c r="AD223" i="17" s="1"/>
  <c r="P223" i="17"/>
  <c r="AA223" i="17"/>
  <c r="AC223" i="17" s="1"/>
  <c r="Q228" i="17"/>
  <c r="N244" i="17"/>
  <c r="Q255" i="17"/>
  <c r="W256" i="17"/>
  <c r="N256" i="17"/>
  <c r="AA256" i="17"/>
  <c r="AC256" i="17" s="1"/>
  <c r="P256" i="17"/>
  <c r="V256" i="17"/>
  <c r="K256" i="17"/>
  <c r="U256" i="17"/>
  <c r="J256" i="17"/>
  <c r="S256" i="17"/>
  <c r="I256" i="17"/>
  <c r="Q256" i="17"/>
  <c r="S282" i="17"/>
  <c r="K282" i="17"/>
  <c r="V282" i="17"/>
  <c r="L282" i="17"/>
  <c r="Y282" i="17"/>
  <c r="M282" i="17"/>
  <c r="W282" i="17"/>
  <c r="J282" i="17"/>
  <c r="Q282" i="17"/>
  <c r="P282" i="17"/>
  <c r="O282" i="17"/>
  <c r="AA282" i="17"/>
  <c r="I282" i="17"/>
  <c r="AC284" i="17"/>
  <c r="Q289" i="17"/>
  <c r="AD292" i="17"/>
  <c r="O296" i="17"/>
  <c r="N296" i="17"/>
  <c r="AB296" i="17"/>
  <c r="AD296" i="17" s="1"/>
  <c r="M296" i="17"/>
  <c r="Y296" i="17"/>
  <c r="U301" i="17"/>
  <c r="R304" i="17"/>
  <c r="U305" i="17"/>
  <c r="V308" i="17"/>
  <c r="M308" i="17"/>
  <c r="AA308" i="17"/>
  <c r="P308" i="17"/>
  <c r="AB308" i="17"/>
  <c r="O308" i="17"/>
  <c r="Z308" i="17"/>
  <c r="AC308" i="17" s="1"/>
  <c r="N308" i="17"/>
  <c r="Y308" i="17"/>
  <c r="L308" i="17"/>
  <c r="K308" i="17"/>
  <c r="J308" i="17"/>
  <c r="I308" i="17"/>
  <c r="U308" i="17"/>
  <c r="AB318" i="17"/>
  <c r="Q329" i="17"/>
  <c r="U331" i="17"/>
  <c r="L331" i="17"/>
  <c r="Y331" i="17"/>
  <c r="N331" i="17"/>
  <c r="S331" i="17"/>
  <c r="I331" i="17"/>
  <c r="AA331" i="17"/>
  <c r="O331" i="17"/>
  <c r="V331" i="17"/>
  <c r="R331" i="17"/>
  <c r="Q331" i="17"/>
  <c r="P331" i="17"/>
  <c r="AB331" i="17"/>
  <c r="Z331" i="17"/>
  <c r="M331" i="17"/>
  <c r="Q333" i="17"/>
  <c r="P333" i="17"/>
  <c r="AB345" i="17"/>
  <c r="R345" i="17"/>
  <c r="J345" i="17"/>
  <c r="V345" i="17"/>
  <c r="L345" i="17"/>
  <c r="W345" i="17"/>
  <c r="K345" i="17"/>
  <c r="AA345" i="17"/>
  <c r="N345" i="17"/>
  <c r="Z345" i="17"/>
  <c r="M345" i="17"/>
  <c r="Y345" i="17"/>
  <c r="I345" i="17"/>
  <c r="S345" i="17"/>
  <c r="U345" i="17"/>
  <c r="Q345" i="17"/>
  <c r="AA368" i="17"/>
  <c r="Q368" i="17"/>
  <c r="I368" i="17"/>
  <c r="V368" i="17"/>
  <c r="L368" i="17"/>
  <c r="Y368" i="17"/>
  <c r="M368" i="17"/>
  <c r="W368" i="17"/>
  <c r="K368" i="17"/>
  <c r="U368" i="17"/>
  <c r="S368" i="17"/>
  <c r="R368" i="17"/>
  <c r="O368" i="17"/>
  <c r="AB368" i="17"/>
  <c r="Z368" i="17"/>
  <c r="AC368" i="17" s="1"/>
  <c r="P368" i="17"/>
  <c r="N368" i="17"/>
  <c r="AB152" i="17"/>
  <c r="AD152" i="17" s="1"/>
  <c r="R152" i="17"/>
  <c r="J152" i="17"/>
  <c r="Q152" i="17"/>
  <c r="U154" i="17"/>
  <c r="L154" i="17"/>
  <c r="Q154" i="17"/>
  <c r="AB154" i="17"/>
  <c r="AD154" i="17" s="1"/>
  <c r="P156" i="17"/>
  <c r="AA159" i="17"/>
  <c r="AC159" i="17" s="1"/>
  <c r="Q159" i="17"/>
  <c r="I159" i="17"/>
  <c r="R159" i="17"/>
  <c r="S161" i="17"/>
  <c r="K161" i="17"/>
  <c r="Q161" i="17"/>
  <c r="AB161" i="17"/>
  <c r="AD161" i="17" s="1"/>
  <c r="V163" i="17"/>
  <c r="M163" i="17"/>
  <c r="Q163" i="17"/>
  <c r="AB163" i="17"/>
  <c r="AD163" i="17" s="1"/>
  <c r="AB168" i="17"/>
  <c r="AD168" i="17" s="1"/>
  <c r="R168" i="17"/>
  <c r="J168" i="17"/>
  <c r="Q168" i="17"/>
  <c r="U170" i="17"/>
  <c r="L170" i="17"/>
  <c r="Q170" i="17"/>
  <c r="AB170" i="17"/>
  <c r="AD170" i="17" s="1"/>
  <c r="S182" i="17"/>
  <c r="K182" i="17"/>
  <c r="U182" i="17"/>
  <c r="J182" i="17"/>
  <c r="R182" i="17"/>
  <c r="M194" i="17"/>
  <c r="Z194" i="17"/>
  <c r="AD194" i="17" s="1"/>
  <c r="M197" i="17"/>
  <c r="Y197" i="17"/>
  <c r="U199" i="17"/>
  <c r="L199" i="17"/>
  <c r="Z199" i="17"/>
  <c r="AC199" i="17" s="1"/>
  <c r="O199" i="17"/>
  <c r="R199" i="17"/>
  <c r="L201" i="17"/>
  <c r="Z201" i="17"/>
  <c r="M206" i="17"/>
  <c r="AA206" i="17"/>
  <c r="W210" i="17"/>
  <c r="M210" i="17"/>
  <c r="R210" i="17"/>
  <c r="AB210" i="17"/>
  <c r="O210" i="17"/>
  <c r="S210" i="17"/>
  <c r="Y217" i="17"/>
  <c r="O217" i="17"/>
  <c r="Z217" i="17"/>
  <c r="N217" i="17"/>
  <c r="Q217" i="17"/>
  <c r="AB217" i="17"/>
  <c r="P217" i="17"/>
  <c r="AA217" i="17"/>
  <c r="M217" i="17"/>
  <c r="V217" i="17"/>
  <c r="O218" i="17"/>
  <c r="U219" i="17"/>
  <c r="J219" i="17"/>
  <c r="Z219" i="17"/>
  <c r="O222" i="17"/>
  <c r="W226" i="17"/>
  <c r="M226" i="17"/>
  <c r="U226" i="17"/>
  <c r="J226" i="17"/>
  <c r="S226" i="17"/>
  <c r="I226" i="17"/>
  <c r="R226" i="17"/>
  <c r="AB226" i="17"/>
  <c r="O226" i="17"/>
  <c r="AA226" i="17"/>
  <c r="S228" i="17"/>
  <c r="AA238" i="17"/>
  <c r="O238" i="17"/>
  <c r="Z238" i="17"/>
  <c r="N238" i="17"/>
  <c r="Y238" i="17"/>
  <c r="M238" i="17"/>
  <c r="V238" i="17"/>
  <c r="J238" i="17"/>
  <c r="S244" i="17"/>
  <c r="U246" i="17"/>
  <c r="L246" i="17"/>
  <c r="W246" i="17"/>
  <c r="M246" i="17"/>
  <c r="Y246" i="17"/>
  <c r="K246" i="17"/>
  <c r="V246" i="17"/>
  <c r="J246" i="17"/>
  <c r="S246" i="17"/>
  <c r="I246" i="17"/>
  <c r="Q246" i="17"/>
  <c r="W248" i="17"/>
  <c r="N248" i="17"/>
  <c r="U248" i="17"/>
  <c r="K248" i="17"/>
  <c r="AB248" i="17"/>
  <c r="P248" i="17"/>
  <c r="AA248" i="17"/>
  <c r="O248" i="17"/>
  <c r="Z248" i="17"/>
  <c r="AC248" i="17" s="1"/>
  <c r="M248" i="17"/>
  <c r="V248" i="17"/>
  <c r="J248" i="17"/>
  <c r="R255" i="17"/>
  <c r="W264" i="17"/>
  <c r="J264" i="17"/>
  <c r="R264" i="17"/>
  <c r="AB281" i="17"/>
  <c r="AD281" i="17" s="1"/>
  <c r="R281" i="17"/>
  <c r="J281" i="17"/>
  <c r="AA281" i="17"/>
  <c r="P281" i="17"/>
  <c r="Z281" i="17"/>
  <c r="N281" i="17"/>
  <c r="Y281" i="17"/>
  <c r="M281" i="17"/>
  <c r="L281" i="17"/>
  <c r="K281" i="17"/>
  <c r="W281" i="17"/>
  <c r="I281" i="17"/>
  <c r="U281" i="17"/>
  <c r="S289" i="17"/>
  <c r="AB297" i="17"/>
  <c r="R297" i="17"/>
  <c r="J297" i="17"/>
  <c r="AA297" i="17"/>
  <c r="P297" i="17"/>
  <c r="Q297" i="17"/>
  <c r="O297" i="17"/>
  <c r="N297" i="17"/>
  <c r="M297" i="17"/>
  <c r="Z297" i="17"/>
  <c r="L297" i="17"/>
  <c r="W297" i="17"/>
  <c r="I297" i="17"/>
  <c r="S298" i="17"/>
  <c r="K298" i="17"/>
  <c r="V298" i="17"/>
  <c r="L298" i="17"/>
  <c r="AA298" i="17"/>
  <c r="O298" i="17"/>
  <c r="Z298" i="17"/>
  <c r="N298" i="17"/>
  <c r="U298" i="17"/>
  <c r="R298" i="17"/>
  <c r="Q298" i="17"/>
  <c r="M298" i="17"/>
  <c r="V301" i="17"/>
  <c r="W304" i="17"/>
  <c r="U315" i="17"/>
  <c r="L315" i="17"/>
  <c r="AA315" i="17"/>
  <c r="P315" i="17"/>
  <c r="Z315" i="17"/>
  <c r="N315" i="17"/>
  <c r="Y315" i="17"/>
  <c r="M315" i="17"/>
  <c r="W315" i="17"/>
  <c r="K315" i="17"/>
  <c r="V315" i="17"/>
  <c r="J315" i="17"/>
  <c r="AB315" i="17"/>
  <c r="AD315" i="17" s="1"/>
  <c r="S315" i="17"/>
  <c r="Q315" i="17"/>
  <c r="AB321" i="17"/>
  <c r="R321" i="17"/>
  <c r="J321" i="17"/>
  <c r="V321" i="17"/>
  <c r="L321" i="17"/>
  <c r="P321" i="17"/>
  <c r="AA321" i="17"/>
  <c r="O321" i="17"/>
  <c r="Z321" i="17"/>
  <c r="AC321" i="17" s="1"/>
  <c r="N321" i="17"/>
  <c r="Y321" i="17"/>
  <c r="M321" i="17"/>
  <c r="W321" i="17"/>
  <c r="U321" i="17"/>
  <c r="Q321" i="17"/>
  <c r="J368" i="17"/>
  <c r="P4" i="17"/>
  <c r="P17" i="17"/>
  <c r="P25" i="17"/>
  <c r="W44" i="17"/>
  <c r="N44" i="17"/>
  <c r="Q44" i="17"/>
  <c r="AB44" i="17"/>
  <c r="AD44" i="17" s="1"/>
  <c r="W60" i="17"/>
  <c r="N60" i="17"/>
  <c r="Q60" i="17"/>
  <c r="AB60" i="17"/>
  <c r="AD60" i="17" s="1"/>
  <c r="W76" i="17"/>
  <c r="N76" i="17"/>
  <c r="Q76" i="17"/>
  <c r="AB76" i="17"/>
  <c r="AD76" i="17" s="1"/>
  <c r="W92" i="17"/>
  <c r="N92" i="17"/>
  <c r="Q92" i="17"/>
  <c r="AB92" i="17"/>
  <c r="AD92" i="17" s="1"/>
  <c r="W108" i="17"/>
  <c r="N108" i="17"/>
  <c r="Q108" i="17"/>
  <c r="AB108" i="17"/>
  <c r="AD108" i="17" s="1"/>
  <c r="W124" i="17"/>
  <c r="N124" i="17"/>
  <c r="Q124" i="17"/>
  <c r="AB124" i="17"/>
  <c r="AD124" i="17" s="1"/>
  <c r="W140" i="17"/>
  <c r="N140" i="17"/>
  <c r="Q140" i="17"/>
  <c r="AB140" i="17"/>
  <c r="AD140" i="17" s="1"/>
  <c r="I152" i="17"/>
  <c r="S152" i="17"/>
  <c r="I154" i="17"/>
  <c r="R154" i="17"/>
  <c r="W156" i="17"/>
  <c r="N156" i="17"/>
  <c r="Q156" i="17"/>
  <c r="AB156" i="17"/>
  <c r="J159" i="17"/>
  <c r="S159" i="17"/>
  <c r="I161" i="17"/>
  <c r="R161" i="17"/>
  <c r="I163" i="17"/>
  <c r="R163" i="17"/>
  <c r="I168" i="17"/>
  <c r="S168" i="17"/>
  <c r="I170" i="17"/>
  <c r="R170" i="17"/>
  <c r="AA172" i="17"/>
  <c r="Q172" i="17"/>
  <c r="I172" i="17"/>
  <c r="Z172" i="17"/>
  <c r="O172" i="17"/>
  <c r="S172" i="17"/>
  <c r="K175" i="17"/>
  <c r="W175" i="17"/>
  <c r="V176" i="17"/>
  <c r="M176" i="17"/>
  <c r="Z176" i="17"/>
  <c r="AC176" i="17" s="1"/>
  <c r="O176" i="17"/>
  <c r="R176" i="17"/>
  <c r="I182" i="17"/>
  <c r="V182" i="17"/>
  <c r="K188" i="17"/>
  <c r="V188" i="17"/>
  <c r="AB189" i="17"/>
  <c r="AD189" i="17" s="1"/>
  <c r="R189" i="17"/>
  <c r="J189" i="17"/>
  <c r="U189" i="17"/>
  <c r="K189" i="17"/>
  <c r="S189" i="17"/>
  <c r="J192" i="17"/>
  <c r="U192" i="17"/>
  <c r="N194" i="17"/>
  <c r="AA194" i="17"/>
  <c r="N197" i="17"/>
  <c r="AA197" i="17"/>
  <c r="I199" i="17"/>
  <c r="S199" i="17"/>
  <c r="O201" i="17"/>
  <c r="AA201" i="17"/>
  <c r="U203" i="17"/>
  <c r="K203" i="17"/>
  <c r="Q203" i="17"/>
  <c r="N206" i="17"/>
  <c r="U210" i="17"/>
  <c r="J211" i="17"/>
  <c r="Y211" i="17"/>
  <c r="I217" i="17"/>
  <c r="W217" i="17"/>
  <c r="Q218" i="17"/>
  <c r="AB219" i="17"/>
  <c r="P222" i="17"/>
  <c r="K223" i="17"/>
  <c r="V228" i="17"/>
  <c r="Y241" i="17"/>
  <c r="O241" i="17"/>
  <c r="S241" i="17"/>
  <c r="J241" i="17"/>
  <c r="AB241" i="17"/>
  <c r="P241" i="17"/>
  <c r="AA241" i="17"/>
  <c r="N241" i="17"/>
  <c r="Z241" i="17"/>
  <c r="AC241" i="17" s="1"/>
  <c r="M241" i="17"/>
  <c r="V241" i="17"/>
  <c r="K241" i="17"/>
  <c r="U244" i="17"/>
  <c r="N246" i="17"/>
  <c r="I248" i="17"/>
  <c r="AA251" i="17"/>
  <c r="Q251" i="17"/>
  <c r="I251" i="17"/>
  <c r="W251" i="17"/>
  <c r="M251" i="17"/>
  <c r="P251" i="17"/>
  <c r="AB251" i="17"/>
  <c r="O251" i="17"/>
  <c r="Z251" i="17"/>
  <c r="AC251" i="17" s="1"/>
  <c r="N251" i="17"/>
  <c r="V251" i="17"/>
  <c r="K251" i="17"/>
  <c r="S255" i="17"/>
  <c r="M256" i="17"/>
  <c r="Y258" i="17"/>
  <c r="M258" i="17"/>
  <c r="O258" i="17"/>
  <c r="AB258" i="17"/>
  <c r="AD258" i="17" s="1"/>
  <c r="N258" i="17"/>
  <c r="Z258" i="17"/>
  <c r="L258" i="17"/>
  <c r="V258" i="17"/>
  <c r="J258" i="17"/>
  <c r="AD267" i="17"/>
  <c r="O281" i="17"/>
  <c r="R282" i="17"/>
  <c r="Y289" i="17"/>
  <c r="AD293" i="17"/>
  <c r="K296" i="17"/>
  <c r="K297" i="17"/>
  <c r="I298" i="17"/>
  <c r="R308" i="17"/>
  <c r="I315" i="17"/>
  <c r="I321" i="17"/>
  <c r="K331" i="17"/>
  <c r="R333" i="17"/>
  <c r="AA336" i="17"/>
  <c r="Q336" i="17"/>
  <c r="I336" i="17"/>
  <c r="V336" i="17"/>
  <c r="L336" i="17"/>
  <c r="R336" i="17"/>
  <c r="P336" i="17"/>
  <c r="Y336" i="17"/>
  <c r="K336" i="17"/>
  <c r="S336" i="17"/>
  <c r="O336" i="17"/>
  <c r="N336" i="17"/>
  <c r="M336" i="17"/>
  <c r="AB336" i="17"/>
  <c r="Z336" i="17"/>
  <c r="W336" i="17"/>
  <c r="J336" i="17"/>
  <c r="P345" i="17"/>
  <c r="Y225" i="17"/>
  <c r="O225" i="17"/>
  <c r="S225" i="17"/>
  <c r="J225" i="17"/>
  <c r="R225" i="17"/>
  <c r="P229" i="17"/>
  <c r="W232" i="17"/>
  <c r="N232" i="17"/>
  <c r="U232" i="17"/>
  <c r="K232" i="17"/>
  <c r="R232" i="17"/>
  <c r="AA235" i="17"/>
  <c r="Q235" i="17"/>
  <c r="I235" i="17"/>
  <c r="W235" i="17"/>
  <c r="M235" i="17"/>
  <c r="S235" i="17"/>
  <c r="N237" i="17"/>
  <c r="Z237" i="17"/>
  <c r="AC237" i="17" s="1"/>
  <c r="V239" i="17"/>
  <c r="M239" i="17"/>
  <c r="W239" i="17"/>
  <c r="L239" i="17"/>
  <c r="R239" i="17"/>
  <c r="M240" i="17"/>
  <c r="Z240" i="17"/>
  <c r="Z242" i="17"/>
  <c r="AC242" i="17" s="1"/>
  <c r="M250" i="17"/>
  <c r="Y250" i="17"/>
  <c r="M254" i="17"/>
  <c r="Y254" i="17"/>
  <c r="W261" i="17"/>
  <c r="N261" i="17"/>
  <c r="S261" i="17"/>
  <c r="J261" i="17"/>
  <c r="AA261" i="17"/>
  <c r="O261" i="17"/>
  <c r="U261" i="17"/>
  <c r="Y262" i="17"/>
  <c r="O262" i="17"/>
  <c r="W262" i="17"/>
  <c r="M262" i="17"/>
  <c r="V262" i="17"/>
  <c r="K262" i="17"/>
  <c r="S262" i="17"/>
  <c r="AB263" i="17"/>
  <c r="Q263" i="17"/>
  <c r="R263" i="17"/>
  <c r="O263" i="17"/>
  <c r="P269" i="17"/>
  <c r="M271" i="17"/>
  <c r="AB271" i="17"/>
  <c r="V276" i="17"/>
  <c r="M276" i="17"/>
  <c r="AA276" i="17"/>
  <c r="AC276" i="17" s="1"/>
  <c r="P276" i="17"/>
  <c r="U276" i="17"/>
  <c r="J276" i="17"/>
  <c r="S276" i="17"/>
  <c r="I276" i="17"/>
  <c r="Y276" i="17"/>
  <c r="N279" i="17"/>
  <c r="O280" i="17"/>
  <c r="AD283" i="17"/>
  <c r="Q285" i="17"/>
  <c r="AB289" i="17"/>
  <c r="R289" i="17"/>
  <c r="J289" i="17"/>
  <c r="V289" i="17"/>
  <c r="L289" i="17"/>
  <c r="W289" i="17"/>
  <c r="K289" i="17"/>
  <c r="U289" i="17"/>
  <c r="I289" i="17"/>
  <c r="Z289" i="17"/>
  <c r="AC289" i="17" s="1"/>
  <c r="P293" i="17"/>
  <c r="AB295" i="17"/>
  <c r="Q295" i="17"/>
  <c r="W295" i="17"/>
  <c r="L295" i="17"/>
  <c r="V295" i="17"/>
  <c r="K295" i="17"/>
  <c r="S295" i="17"/>
  <c r="W300" i="17"/>
  <c r="Z312" i="17"/>
  <c r="V348" i="17"/>
  <c r="M348" i="17"/>
  <c r="AA348" i="17"/>
  <c r="P348" i="17"/>
  <c r="Y348" i="17"/>
  <c r="L348" i="17"/>
  <c r="W348" i="17"/>
  <c r="K348" i="17"/>
  <c r="N348" i="17"/>
  <c r="AB348" i="17"/>
  <c r="J348" i="17"/>
  <c r="Z348" i="17"/>
  <c r="I348" i="17"/>
  <c r="S348" i="17"/>
  <c r="U348" i="17"/>
  <c r="R348" i="17"/>
  <c r="Q348" i="17"/>
  <c r="O348" i="17"/>
  <c r="Y350" i="17"/>
  <c r="O350" i="17"/>
  <c r="W350" i="17"/>
  <c r="M350" i="17"/>
  <c r="Q350" i="17"/>
  <c r="AB350" i="17"/>
  <c r="AD350" i="17" s="1"/>
  <c r="P350" i="17"/>
  <c r="N350" i="17"/>
  <c r="L350" i="17"/>
  <c r="AA350" i="17"/>
  <c r="K350" i="17"/>
  <c r="V350" i="17"/>
  <c r="I350" i="17"/>
  <c r="U350" i="17"/>
  <c r="S350" i="17"/>
  <c r="R350" i="17"/>
  <c r="J350" i="17"/>
  <c r="AA360" i="17"/>
  <c r="Q360" i="17"/>
  <c r="I360" i="17"/>
  <c r="AB360" i="17"/>
  <c r="P360" i="17"/>
  <c r="O360" i="17"/>
  <c r="Z360" i="17"/>
  <c r="N360" i="17"/>
  <c r="L360" i="17"/>
  <c r="Y360" i="17"/>
  <c r="K360" i="17"/>
  <c r="W360" i="17"/>
  <c r="J360" i="17"/>
  <c r="U360" i="17"/>
  <c r="V360" i="17"/>
  <c r="S360" i="17"/>
  <c r="R360" i="17"/>
  <c r="AC350" i="17"/>
  <c r="W357" i="17"/>
  <c r="N357" i="17"/>
  <c r="Z357" i="17"/>
  <c r="O357" i="17"/>
  <c r="AB357" i="17"/>
  <c r="P357" i="17"/>
  <c r="AA357" i="17"/>
  <c r="M357" i="17"/>
  <c r="S357" i="17"/>
  <c r="R357" i="17"/>
  <c r="Q357" i="17"/>
  <c r="K357" i="17"/>
  <c r="V357" i="17"/>
  <c r="U357" i="17"/>
  <c r="L357" i="17"/>
  <c r="J357" i="17"/>
  <c r="S362" i="17"/>
  <c r="K362" i="17"/>
  <c r="AA362" i="17"/>
  <c r="P362" i="17"/>
  <c r="V362" i="17"/>
  <c r="J362" i="17"/>
  <c r="U362" i="17"/>
  <c r="I362" i="17"/>
  <c r="W362" i="17"/>
  <c r="R362" i="17"/>
  <c r="Q362" i="17"/>
  <c r="N362" i="17"/>
  <c r="AB362" i="17"/>
  <c r="Z362" i="17"/>
  <c r="Y362" i="17"/>
  <c r="O362" i="17"/>
  <c r="AB377" i="17"/>
  <c r="R377" i="17"/>
  <c r="J377" i="17"/>
  <c r="V377" i="17"/>
  <c r="L377" i="17"/>
  <c r="U377" i="17"/>
  <c r="K377" i="17"/>
  <c r="AA377" i="17"/>
  <c r="N377" i="17"/>
  <c r="Z377" i="17"/>
  <c r="AC377" i="17" s="1"/>
  <c r="M377" i="17"/>
  <c r="W377" i="17"/>
  <c r="S377" i="17"/>
  <c r="Q377" i="17"/>
  <c r="P377" i="17"/>
  <c r="O377" i="17"/>
  <c r="Y377" i="17"/>
  <c r="I377" i="17"/>
  <c r="Y209" i="17"/>
  <c r="O209" i="17"/>
  <c r="S209" i="17"/>
  <c r="J209" i="17"/>
  <c r="R209" i="17"/>
  <c r="P213" i="17"/>
  <c r="W216" i="17"/>
  <c r="N216" i="17"/>
  <c r="U216" i="17"/>
  <c r="K216" i="17"/>
  <c r="R216" i="17"/>
  <c r="AA219" i="17"/>
  <c r="Q219" i="17"/>
  <c r="I219" i="17"/>
  <c r="W219" i="17"/>
  <c r="M219" i="17"/>
  <c r="S219" i="17"/>
  <c r="O220" i="17"/>
  <c r="AA220" i="17"/>
  <c r="AC220" i="17" s="1"/>
  <c r="V223" i="17"/>
  <c r="M223" i="17"/>
  <c r="W223" i="17"/>
  <c r="L223" i="17"/>
  <c r="R223" i="17"/>
  <c r="K225" i="17"/>
  <c r="V225" i="17"/>
  <c r="Z226" i="17"/>
  <c r="I229" i="17"/>
  <c r="U229" i="17"/>
  <c r="J232" i="17"/>
  <c r="V232" i="17"/>
  <c r="K235" i="17"/>
  <c r="V235" i="17"/>
  <c r="P237" i="17"/>
  <c r="AB237" i="17"/>
  <c r="J239" i="17"/>
  <c r="U239" i="17"/>
  <c r="P243" i="17"/>
  <c r="P247" i="17"/>
  <c r="O250" i="17"/>
  <c r="S253" i="17"/>
  <c r="K253" i="17"/>
  <c r="W253" i="17"/>
  <c r="M253" i="17"/>
  <c r="R253" i="17"/>
  <c r="O254" i="17"/>
  <c r="AA254" i="17"/>
  <c r="AC254" i="17" s="1"/>
  <c r="AD257" i="17"/>
  <c r="K261" i="17"/>
  <c r="Y261" i="17"/>
  <c r="J262" i="17"/>
  <c r="Z262" i="17"/>
  <c r="I263" i="17"/>
  <c r="U263" i="17"/>
  <c r="AA264" i="17"/>
  <c r="AC264" i="17" s="1"/>
  <c r="Q264" i="17"/>
  <c r="I264" i="17"/>
  <c r="V264" i="17"/>
  <c r="L264" i="17"/>
  <c r="AB264" i="17"/>
  <c r="AD264" i="17" s="1"/>
  <c r="O264" i="17"/>
  <c r="U264" i="17"/>
  <c r="AB265" i="17"/>
  <c r="AD265" i="17" s="1"/>
  <c r="R265" i="17"/>
  <c r="J265" i="17"/>
  <c r="AA265" i="17"/>
  <c r="AC265" i="17" s="1"/>
  <c r="P265" i="17"/>
  <c r="W265" i="17"/>
  <c r="L265" i="17"/>
  <c r="U265" i="17"/>
  <c r="S266" i="17"/>
  <c r="K266" i="17"/>
  <c r="V266" i="17"/>
  <c r="L266" i="17"/>
  <c r="U266" i="17"/>
  <c r="I266" i="17"/>
  <c r="W266" i="17"/>
  <c r="U267" i="17"/>
  <c r="L267" i="17"/>
  <c r="AA267" i="17"/>
  <c r="AC267" i="17" s="1"/>
  <c r="P267" i="17"/>
  <c r="Q267" i="17"/>
  <c r="S267" i="17"/>
  <c r="V268" i="17"/>
  <c r="M268" i="17"/>
  <c r="U268" i="17"/>
  <c r="K268" i="17"/>
  <c r="AA268" i="17"/>
  <c r="O268" i="17"/>
  <c r="S268" i="17"/>
  <c r="U275" i="17"/>
  <c r="L275" i="17"/>
  <c r="V275" i="17"/>
  <c r="K275" i="17"/>
  <c r="Z275" i="17"/>
  <c r="N275" i="17"/>
  <c r="Y275" i="17"/>
  <c r="M275" i="17"/>
  <c r="W275" i="17"/>
  <c r="AA288" i="17"/>
  <c r="Q288" i="17"/>
  <c r="I288" i="17"/>
  <c r="AB288" i="17"/>
  <c r="P288" i="17"/>
  <c r="Y288" i="17"/>
  <c r="M288" i="17"/>
  <c r="W288" i="17"/>
  <c r="L288" i="17"/>
  <c r="V288" i="17"/>
  <c r="V293" i="17"/>
  <c r="Y294" i="17"/>
  <c r="O294" i="17"/>
  <c r="W294" i="17"/>
  <c r="M294" i="17"/>
  <c r="Q294" i="17"/>
  <c r="AB294" i="17"/>
  <c r="P294" i="17"/>
  <c r="U294" i="17"/>
  <c r="AC300" i="17"/>
  <c r="V319" i="17"/>
  <c r="L319" i="17"/>
  <c r="W319" i="17"/>
  <c r="K319" i="17"/>
  <c r="U319" i="17"/>
  <c r="J319" i="17"/>
  <c r="S319" i="17"/>
  <c r="I319" i="17"/>
  <c r="R319" i="17"/>
  <c r="AB319" i="17"/>
  <c r="W325" i="17"/>
  <c r="N325" i="17"/>
  <c r="S325" i="17"/>
  <c r="J325" i="17"/>
  <c r="Z325" i="17"/>
  <c r="AC325" i="17" s="1"/>
  <c r="O325" i="17"/>
  <c r="R325" i="17"/>
  <c r="Q325" i="17"/>
  <c r="P325" i="17"/>
  <c r="AB325" i="17"/>
  <c r="M325" i="17"/>
  <c r="Y334" i="17"/>
  <c r="O334" i="17"/>
  <c r="AA334" i="17"/>
  <c r="P334" i="17"/>
  <c r="U334" i="17"/>
  <c r="J334" i="17"/>
  <c r="AB334" i="17"/>
  <c r="N334" i="17"/>
  <c r="M334" i="17"/>
  <c r="L334" i="17"/>
  <c r="Z334" i="17"/>
  <c r="AC334" i="17" s="1"/>
  <c r="K334" i="17"/>
  <c r="W334" i="17"/>
  <c r="I334" i="17"/>
  <c r="I347" i="17"/>
  <c r="Z347" i="17"/>
  <c r="R347" i="17"/>
  <c r="O347" i="17"/>
  <c r="N347" i="17"/>
  <c r="I357" i="17"/>
  <c r="V359" i="17"/>
  <c r="L359" i="17"/>
  <c r="S359" i="17"/>
  <c r="I359" i="17"/>
  <c r="R359" i="17"/>
  <c r="AA359" i="17"/>
  <c r="K359" i="17"/>
  <c r="Y359" i="17"/>
  <c r="J359" i="17"/>
  <c r="W359" i="17"/>
  <c r="Q359" i="17"/>
  <c r="AB359" i="17"/>
  <c r="U359" i="17"/>
  <c r="O359" i="17"/>
  <c r="L362" i="17"/>
  <c r="AA385" i="17"/>
  <c r="Q385" i="17"/>
  <c r="I385" i="17"/>
  <c r="AB385" i="17"/>
  <c r="P385" i="17"/>
  <c r="W385" i="17"/>
  <c r="L385" i="17"/>
  <c r="V385" i="17"/>
  <c r="K385" i="17"/>
  <c r="U385" i="17"/>
  <c r="S385" i="17"/>
  <c r="Z385" i="17"/>
  <c r="Y385" i="17"/>
  <c r="R385" i="17"/>
  <c r="O385" i="17"/>
  <c r="N385" i="17"/>
  <c r="M385" i="17"/>
  <c r="J385" i="17"/>
  <c r="Y396" i="17"/>
  <c r="J396" i="17"/>
  <c r="O396" i="17"/>
  <c r="I396" i="17"/>
  <c r="W396" i="17"/>
  <c r="R396" i="17"/>
  <c r="Q396" i="17"/>
  <c r="P220" i="17"/>
  <c r="L225" i="17"/>
  <c r="W225" i="17"/>
  <c r="J229" i="17"/>
  <c r="V229" i="17"/>
  <c r="U230" i="17"/>
  <c r="L230" i="17"/>
  <c r="W230" i="17"/>
  <c r="M230" i="17"/>
  <c r="R230" i="17"/>
  <c r="L232" i="17"/>
  <c r="Y232" i="17"/>
  <c r="Y233" i="17"/>
  <c r="O233" i="17"/>
  <c r="Z233" i="17"/>
  <c r="AC233" i="17" s="1"/>
  <c r="N233" i="17"/>
  <c r="R233" i="17"/>
  <c r="L235" i="17"/>
  <c r="Y235" i="17"/>
  <c r="W240" i="17"/>
  <c r="N240" i="17"/>
  <c r="AA240" i="17"/>
  <c r="P240" i="17"/>
  <c r="R240" i="17"/>
  <c r="R250" i="17"/>
  <c r="I250" i="17"/>
  <c r="Q250" i="17"/>
  <c r="P254" i="17"/>
  <c r="Z261" i="17"/>
  <c r="L262" i="17"/>
  <c r="AA262" i="17"/>
  <c r="J263" i="17"/>
  <c r="V263" i="17"/>
  <c r="V265" i="17"/>
  <c r="J266" i="17"/>
  <c r="Y266" i="17"/>
  <c r="I267" i="17"/>
  <c r="V267" i="17"/>
  <c r="I268" i="17"/>
  <c r="W268" i="17"/>
  <c r="W269" i="17"/>
  <c r="N269" i="17"/>
  <c r="Z269" i="17"/>
  <c r="O269" i="17"/>
  <c r="U269" i="17"/>
  <c r="J269" i="17"/>
  <c r="S269" i="17"/>
  <c r="V271" i="17"/>
  <c r="L271" i="17"/>
  <c r="AA271" i="17"/>
  <c r="N271" i="17"/>
  <c r="R271" i="17"/>
  <c r="I275" i="17"/>
  <c r="AA275" i="17"/>
  <c r="AB279" i="17"/>
  <c r="Q279" i="17"/>
  <c r="U279" i="17"/>
  <c r="J279" i="17"/>
  <c r="S279" i="17"/>
  <c r="I279" i="17"/>
  <c r="V279" i="17"/>
  <c r="AA280" i="17"/>
  <c r="AC280" i="17" s="1"/>
  <c r="Q280" i="17"/>
  <c r="I280" i="17"/>
  <c r="V280" i="17"/>
  <c r="L280" i="17"/>
  <c r="R280" i="17"/>
  <c r="P280" i="17"/>
  <c r="W280" i="17"/>
  <c r="W285" i="17"/>
  <c r="N285" i="17"/>
  <c r="Z285" i="17"/>
  <c r="O285" i="17"/>
  <c r="Y285" i="17"/>
  <c r="L285" i="17"/>
  <c r="V285" i="17"/>
  <c r="K285" i="17"/>
  <c r="U285" i="17"/>
  <c r="J288" i="17"/>
  <c r="Z288" i="17"/>
  <c r="AC288" i="17" s="1"/>
  <c r="O289" i="17"/>
  <c r="AD290" i="17"/>
  <c r="Y293" i="17"/>
  <c r="I294" i="17"/>
  <c r="V294" i="17"/>
  <c r="J295" i="17"/>
  <c r="AA295" i="17"/>
  <c r="U299" i="17"/>
  <c r="L299" i="17"/>
  <c r="AA299" i="17"/>
  <c r="P299" i="17"/>
  <c r="W299" i="17"/>
  <c r="K299" i="17"/>
  <c r="V299" i="17"/>
  <c r="J299" i="17"/>
  <c r="Y299" i="17"/>
  <c r="L300" i="17"/>
  <c r="AA300" i="17"/>
  <c r="S314" i="17"/>
  <c r="K314" i="17"/>
  <c r="V314" i="17"/>
  <c r="L314" i="17"/>
  <c r="Q314" i="17"/>
  <c r="AB314" i="17"/>
  <c r="P314" i="17"/>
  <c r="AA314" i="17"/>
  <c r="O314" i="17"/>
  <c r="Z314" i="17"/>
  <c r="N314" i="17"/>
  <c r="I325" i="17"/>
  <c r="Q334" i="17"/>
  <c r="W341" i="17"/>
  <c r="N341" i="17"/>
  <c r="Z341" i="17"/>
  <c r="O341" i="17"/>
  <c r="Y341" i="17"/>
  <c r="L341" i="17"/>
  <c r="P341" i="17"/>
  <c r="AB341" i="17"/>
  <c r="M341" i="17"/>
  <c r="AA341" i="17"/>
  <c r="K341" i="17"/>
  <c r="U341" i="17"/>
  <c r="I341" i="17"/>
  <c r="V341" i="17"/>
  <c r="S341" i="17"/>
  <c r="Q347" i="17"/>
  <c r="O349" i="17"/>
  <c r="AB349" i="17"/>
  <c r="AD349" i="17" s="1"/>
  <c r="M349" i="17"/>
  <c r="AA349" i="17"/>
  <c r="L349" i="17"/>
  <c r="Y349" i="17"/>
  <c r="V349" i="17"/>
  <c r="Q349" i="17"/>
  <c r="P349" i="17"/>
  <c r="K349" i="17"/>
  <c r="AB351" i="17"/>
  <c r="Q351" i="17"/>
  <c r="W351" i="17"/>
  <c r="L351" i="17"/>
  <c r="V351" i="17"/>
  <c r="K351" i="17"/>
  <c r="R351" i="17"/>
  <c r="O351" i="17"/>
  <c r="N351" i="17"/>
  <c r="AA351" i="17"/>
  <c r="J351" i="17"/>
  <c r="U351" i="17"/>
  <c r="S351" i="17"/>
  <c r="M351" i="17"/>
  <c r="I351" i="17"/>
  <c r="Q356" i="17"/>
  <c r="P356" i="17"/>
  <c r="O356" i="17"/>
  <c r="AA356" i="17"/>
  <c r="L356" i="17"/>
  <c r="AB356" i="17"/>
  <c r="Z356" i="17"/>
  <c r="Y356" i="17"/>
  <c r="W356" i="17"/>
  <c r="Y357" i="17"/>
  <c r="M362" i="17"/>
  <c r="K373" i="17"/>
  <c r="J373" i="17"/>
  <c r="AA373" i="17"/>
  <c r="I373" i="17"/>
  <c r="U373" i="17"/>
  <c r="S373" i="17"/>
  <c r="R373" i="17"/>
  <c r="S379" i="17"/>
  <c r="V379" i="17"/>
  <c r="L379" i="17"/>
  <c r="W379" i="17"/>
  <c r="K379" i="17"/>
  <c r="U379" i="17"/>
  <c r="J379" i="17"/>
  <c r="AB379" i="17"/>
  <c r="AD379" i="17" s="1"/>
  <c r="N379" i="17"/>
  <c r="AA379" i="17"/>
  <c r="AC379" i="17" s="1"/>
  <c r="M379" i="17"/>
  <c r="Y379" i="17"/>
  <c r="R379" i="17"/>
  <c r="Q379" i="17"/>
  <c r="P379" i="17"/>
  <c r="O379" i="17"/>
  <c r="P38" i="17"/>
  <c r="P46" i="17"/>
  <c r="P54" i="17"/>
  <c r="P62" i="17"/>
  <c r="P70" i="17"/>
  <c r="P78" i="17"/>
  <c r="P86" i="17"/>
  <c r="P94" i="17"/>
  <c r="P102" i="17"/>
  <c r="P110" i="17"/>
  <c r="P118" i="17"/>
  <c r="P126" i="17"/>
  <c r="P134" i="17"/>
  <c r="P142" i="17"/>
  <c r="P150" i="17"/>
  <c r="P158" i="17"/>
  <c r="P166" i="17"/>
  <c r="O179" i="17"/>
  <c r="Y186" i="17"/>
  <c r="O186" i="17"/>
  <c r="Q186" i="17"/>
  <c r="AB186" i="17"/>
  <c r="AD186" i="17" s="1"/>
  <c r="O195" i="17"/>
  <c r="Y202" i="17"/>
  <c r="O202" i="17"/>
  <c r="Q202" i="17"/>
  <c r="AB202" i="17"/>
  <c r="AD202" i="17" s="1"/>
  <c r="V207" i="17"/>
  <c r="M207" i="17"/>
  <c r="W207" i="17"/>
  <c r="L207" i="17"/>
  <c r="R207" i="17"/>
  <c r="K209" i="17"/>
  <c r="V209" i="17"/>
  <c r="Z210" i="17"/>
  <c r="AC210" i="17" s="1"/>
  <c r="I213" i="17"/>
  <c r="J216" i="17"/>
  <c r="V216" i="17"/>
  <c r="K219" i="17"/>
  <c r="V219" i="17"/>
  <c r="J223" i="17"/>
  <c r="U223" i="17"/>
  <c r="M225" i="17"/>
  <c r="Z225" i="17"/>
  <c r="AC225" i="17" s="1"/>
  <c r="L229" i="17"/>
  <c r="I230" i="17"/>
  <c r="S230" i="17"/>
  <c r="M232" i="17"/>
  <c r="Z232" i="17"/>
  <c r="I233" i="17"/>
  <c r="S233" i="17"/>
  <c r="N235" i="17"/>
  <c r="Z235" i="17"/>
  <c r="S237" i="17"/>
  <c r="K237" i="17"/>
  <c r="W237" i="17"/>
  <c r="M237" i="17"/>
  <c r="R237" i="17"/>
  <c r="N239" i="17"/>
  <c r="Z239" i="17"/>
  <c r="AC239" i="17" s="1"/>
  <c r="I240" i="17"/>
  <c r="S240" i="17"/>
  <c r="J243" i="17"/>
  <c r="I247" i="17"/>
  <c r="Z250" i="17"/>
  <c r="AC250" i="17" s="1"/>
  <c r="S250" i="17"/>
  <c r="J253" i="17"/>
  <c r="V253" i="17"/>
  <c r="Y257" i="17"/>
  <c r="O257" i="17"/>
  <c r="S257" i="17"/>
  <c r="J257" i="17"/>
  <c r="R257" i="17"/>
  <c r="AD260" i="17"/>
  <c r="M261" i="17"/>
  <c r="AB261" i="17"/>
  <c r="AD261" i="17" s="1"/>
  <c r="N262" i="17"/>
  <c r="AB262" i="17"/>
  <c r="AD262" i="17" s="1"/>
  <c r="K263" i="17"/>
  <c r="W263" i="17"/>
  <c r="K264" i="17"/>
  <c r="Y264" i="17"/>
  <c r="K265" i="17"/>
  <c r="Y265" i="17"/>
  <c r="M266" i="17"/>
  <c r="Z266" i="17"/>
  <c r="AC266" i="17" s="1"/>
  <c r="J267" i="17"/>
  <c r="W267" i="17"/>
  <c r="J268" i="17"/>
  <c r="Y268" i="17"/>
  <c r="I269" i="17"/>
  <c r="V269" i="17"/>
  <c r="Y270" i="17"/>
  <c r="O270" i="17"/>
  <c r="R270" i="17"/>
  <c r="I270" i="17"/>
  <c r="Q270" i="17"/>
  <c r="U270" i="17"/>
  <c r="Z271" i="17"/>
  <c r="S271" i="17"/>
  <c r="U273" i="17"/>
  <c r="S274" i="17"/>
  <c r="K274" i="17"/>
  <c r="AA274" i="17"/>
  <c r="P274" i="17"/>
  <c r="AB274" i="17"/>
  <c r="O274" i="17"/>
  <c r="Z274" i="17"/>
  <c r="AC274" i="17" s="1"/>
  <c r="N274" i="17"/>
  <c r="V274" i="17"/>
  <c r="J275" i="17"/>
  <c r="AB275" i="17"/>
  <c r="O276" i="17"/>
  <c r="W279" i="17"/>
  <c r="J280" i="17"/>
  <c r="Y280" i="17"/>
  <c r="V284" i="17"/>
  <c r="M284" i="17"/>
  <c r="U284" i="17"/>
  <c r="K284" i="17"/>
  <c r="Q284" i="17"/>
  <c r="AB284" i="17"/>
  <c r="AD284" i="17" s="1"/>
  <c r="P284" i="17"/>
  <c r="W284" i="17"/>
  <c r="I285" i="17"/>
  <c r="AA285" i="17"/>
  <c r="K288" i="17"/>
  <c r="P289" i="17"/>
  <c r="V292" i="17"/>
  <c r="M292" i="17"/>
  <c r="AA292" i="17"/>
  <c r="AC292" i="17" s="1"/>
  <c r="P292" i="17"/>
  <c r="Y292" i="17"/>
  <c r="L292" i="17"/>
  <c r="W292" i="17"/>
  <c r="K292" i="17"/>
  <c r="U292" i="17"/>
  <c r="K293" i="17"/>
  <c r="J294" i="17"/>
  <c r="Z294" i="17"/>
  <c r="AC294" i="17" s="1"/>
  <c r="M295" i="17"/>
  <c r="I299" i="17"/>
  <c r="Z299" i="17"/>
  <c r="N300" i="17"/>
  <c r="Y302" i="17"/>
  <c r="O302" i="17"/>
  <c r="R302" i="17"/>
  <c r="I302" i="17"/>
  <c r="W302" i="17"/>
  <c r="L302" i="17"/>
  <c r="V302" i="17"/>
  <c r="K302" i="17"/>
  <c r="U302" i="17"/>
  <c r="J302" i="17"/>
  <c r="AB302" i="17"/>
  <c r="AD302" i="17" s="1"/>
  <c r="AC307" i="17"/>
  <c r="I314" i="17"/>
  <c r="M319" i="17"/>
  <c r="K325" i="17"/>
  <c r="Y326" i="17"/>
  <c r="O326" i="17"/>
  <c r="W326" i="17"/>
  <c r="M326" i="17"/>
  <c r="R326" i="17"/>
  <c r="I326" i="17"/>
  <c r="S326" i="17"/>
  <c r="Q326" i="17"/>
  <c r="P326" i="17"/>
  <c r="AB326" i="17"/>
  <c r="AD326" i="17" s="1"/>
  <c r="N326" i="17"/>
  <c r="R334" i="17"/>
  <c r="J341" i="17"/>
  <c r="M347" i="17"/>
  <c r="M359" i="17"/>
  <c r="AB361" i="17"/>
  <c r="R361" i="17"/>
  <c r="J361" i="17"/>
  <c r="V361" i="17"/>
  <c r="L361" i="17"/>
  <c r="Z361" i="17"/>
  <c r="AC361" i="17" s="1"/>
  <c r="N361" i="17"/>
  <c r="Y361" i="17"/>
  <c r="M361" i="17"/>
  <c r="Q361" i="17"/>
  <c r="P361" i="17"/>
  <c r="O361" i="17"/>
  <c r="AA361" i="17"/>
  <c r="I361" i="17"/>
  <c r="W361" i="17"/>
  <c r="U361" i="17"/>
  <c r="W365" i="17"/>
  <c r="N365" i="17"/>
  <c r="S365" i="17"/>
  <c r="J365" i="17"/>
  <c r="Y365" i="17"/>
  <c r="L365" i="17"/>
  <c r="V365" i="17"/>
  <c r="K365" i="17"/>
  <c r="O365" i="17"/>
  <c r="AB365" i="17"/>
  <c r="M365" i="17"/>
  <c r="AA365" i="17"/>
  <c r="I365" i="17"/>
  <c r="U365" i="17"/>
  <c r="Z365" i="17"/>
  <c r="R365" i="17"/>
  <c r="Q365" i="17"/>
  <c r="I379" i="17"/>
  <c r="AA312" i="17"/>
  <c r="Q312" i="17"/>
  <c r="I312" i="17"/>
  <c r="V312" i="17"/>
  <c r="L312" i="17"/>
  <c r="S312" i="17"/>
  <c r="V316" i="17"/>
  <c r="M316" i="17"/>
  <c r="U316" i="17"/>
  <c r="K316" i="17"/>
  <c r="R316" i="17"/>
  <c r="Z319" i="17"/>
  <c r="AC319" i="17" s="1"/>
  <c r="W333" i="17"/>
  <c r="N333" i="17"/>
  <c r="V333" i="17"/>
  <c r="L333" i="17"/>
  <c r="AA333" i="17"/>
  <c r="O333" i="17"/>
  <c r="S333" i="17"/>
  <c r="I333" i="17"/>
  <c r="Y333" i="17"/>
  <c r="S338" i="17"/>
  <c r="K338" i="17"/>
  <c r="V338" i="17"/>
  <c r="L338" i="17"/>
  <c r="Y338" i="17"/>
  <c r="M338" i="17"/>
  <c r="Q338" i="17"/>
  <c r="AB338" i="17"/>
  <c r="O338" i="17"/>
  <c r="Z338" i="17"/>
  <c r="AC338" i="17" s="1"/>
  <c r="J338" i="17"/>
  <c r="V384" i="17"/>
  <c r="L384" i="17"/>
  <c r="AB384" i="17"/>
  <c r="O384" i="17"/>
  <c r="AA384" i="17"/>
  <c r="N384" i="17"/>
  <c r="R384" i="17"/>
  <c r="Q384" i="17"/>
  <c r="M384" i="17"/>
  <c r="K384" i="17"/>
  <c r="J384" i="17"/>
  <c r="I384" i="17"/>
  <c r="Y384" i="17"/>
  <c r="V303" i="17"/>
  <c r="L303" i="17"/>
  <c r="Q303" i="17"/>
  <c r="S306" i="17"/>
  <c r="K306" i="17"/>
  <c r="AA306" i="17"/>
  <c r="AC306" i="17" s="1"/>
  <c r="P306" i="17"/>
  <c r="R306" i="17"/>
  <c r="AD307" i="17"/>
  <c r="J312" i="17"/>
  <c r="U312" i="17"/>
  <c r="I316" i="17"/>
  <c r="S316" i="17"/>
  <c r="U323" i="17"/>
  <c r="L323" i="17"/>
  <c r="V323" i="17"/>
  <c r="K323" i="17"/>
  <c r="R323" i="17"/>
  <c r="J333" i="17"/>
  <c r="Z333" i="17"/>
  <c r="AC333" i="17" s="1"/>
  <c r="I338" i="17"/>
  <c r="AD391" i="17"/>
  <c r="U283" i="17"/>
  <c r="L283" i="17"/>
  <c r="AA283" i="17"/>
  <c r="AC283" i="17" s="1"/>
  <c r="P283" i="17"/>
  <c r="R283" i="17"/>
  <c r="Y286" i="17"/>
  <c r="O286" i="17"/>
  <c r="R286" i="17"/>
  <c r="I286" i="17"/>
  <c r="S286" i="17"/>
  <c r="W293" i="17"/>
  <c r="N293" i="17"/>
  <c r="S293" i="17"/>
  <c r="J293" i="17"/>
  <c r="R293" i="17"/>
  <c r="AA296" i="17"/>
  <c r="AC296" i="17" s="1"/>
  <c r="Q296" i="17"/>
  <c r="I296" i="17"/>
  <c r="V296" i="17"/>
  <c r="L296" i="17"/>
  <c r="S296" i="17"/>
  <c r="V300" i="17"/>
  <c r="M300" i="17"/>
  <c r="U300" i="17"/>
  <c r="K300" i="17"/>
  <c r="R300" i="17"/>
  <c r="Z303" i="17"/>
  <c r="AC303" i="17" s="1"/>
  <c r="R303" i="17"/>
  <c r="I306" i="17"/>
  <c r="U306" i="17"/>
  <c r="Y310" i="17"/>
  <c r="O310" i="17"/>
  <c r="W310" i="17"/>
  <c r="M310" i="17"/>
  <c r="R310" i="17"/>
  <c r="K312" i="17"/>
  <c r="W312" i="17"/>
  <c r="AB313" i="17"/>
  <c r="AD313" i="17" s="1"/>
  <c r="R313" i="17"/>
  <c r="J313" i="17"/>
  <c r="AA313" i="17"/>
  <c r="AC313" i="17" s="1"/>
  <c r="P313" i="17"/>
  <c r="S313" i="17"/>
  <c r="J316" i="17"/>
  <c r="W316" i="17"/>
  <c r="I323" i="17"/>
  <c r="S323" i="17"/>
  <c r="V332" i="17"/>
  <c r="M332" i="17"/>
  <c r="R332" i="17"/>
  <c r="I332" i="17"/>
  <c r="Q332" i="17"/>
  <c r="Y332" i="17"/>
  <c r="L332" i="17"/>
  <c r="W332" i="17"/>
  <c r="K333" i="17"/>
  <c r="AB333" i="17"/>
  <c r="AD333" i="17" s="1"/>
  <c r="N338" i="17"/>
  <c r="U339" i="17"/>
  <c r="L339" i="17"/>
  <c r="AA339" i="17"/>
  <c r="AC339" i="17" s="1"/>
  <c r="P339" i="17"/>
  <c r="S339" i="17"/>
  <c r="I339" i="17"/>
  <c r="Q339" i="17"/>
  <c r="O339" i="17"/>
  <c r="AB339" i="17"/>
  <c r="AD339" i="17" s="1"/>
  <c r="N339" i="17"/>
  <c r="Y339" i="17"/>
  <c r="K339" i="17"/>
  <c r="R354" i="17"/>
  <c r="AD363" i="17"/>
  <c r="AB367" i="17"/>
  <c r="AD367" i="17" s="1"/>
  <c r="Q367" i="17"/>
  <c r="AA367" i="17"/>
  <c r="N367" i="17"/>
  <c r="Y367" i="17"/>
  <c r="M367" i="17"/>
  <c r="R367" i="17"/>
  <c r="O367" i="17"/>
  <c r="L367" i="17"/>
  <c r="W367" i="17"/>
  <c r="J367" i="17"/>
  <c r="S384" i="17"/>
  <c r="V397" i="17"/>
  <c r="M397" i="17"/>
  <c r="U397" i="17"/>
  <c r="L397" i="17"/>
  <c r="AA397" i="17"/>
  <c r="O397" i="17"/>
  <c r="P397" i="17"/>
  <c r="AB397" i="17"/>
  <c r="N397" i="17"/>
  <c r="Z397" i="17"/>
  <c r="K397" i="17"/>
  <c r="W397" i="17"/>
  <c r="I397" i="17"/>
  <c r="Q397" i="17"/>
  <c r="J397" i="17"/>
  <c r="Y397" i="17"/>
  <c r="P179" i="17"/>
  <c r="P187" i="17"/>
  <c r="P195" i="17"/>
  <c r="P203" i="17"/>
  <c r="U206" i="17"/>
  <c r="L206" i="17"/>
  <c r="Q206" i="17"/>
  <c r="AB206" i="17"/>
  <c r="AA211" i="17"/>
  <c r="Q211" i="17"/>
  <c r="I211" i="17"/>
  <c r="R211" i="17"/>
  <c r="S213" i="17"/>
  <c r="K213" i="17"/>
  <c r="Q213" i="17"/>
  <c r="AB213" i="17"/>
  <c r="AD213" i="17" s="1"/>
  <c r="V215" i="17"/>
  <c r="M215" i="17"/>
  <c r="Q215" i="17"/>
  <c r="AB215" i="17"/>
  <c r="AB220" i="17"/>
  <c r="AD220" i="17" s="1"/>
  <c r="R220" i="17"/>
  <c r="J220" i="17"/>
  <c r="Q220" i="17"/>
  <c r="U222" i="17"/>
  <c r="L222" i="17"/>
  <c r="Q222" i="17"/>
  <c r="AB222" i="17"/>
  <c r="AD222" i="17" s="1"/>
  <c r="AA227" i="17"/>
  <c r="AC227" i="17" s="1"/>
  <c r="Q227" i="17"/>
  <c r="I227" i="17"/>
  <c r="R227" i="17"/>
  <c r="S229" i="17"/>
  <c r="K229" i="17"/>
  <c r="Q229" i="17"/>
  <c r="AB229" i="17"/>
  <c r="AD229" i="17" s="1"/>
  <c r="V231" i="17"/>
  <c r="M231" i="17"/>
  <c r="Q231" i="17"/>
  <c r="AB231" i="17"/>
  <c r="AD231" i="17" s="1"/>
  <c r="AB236" i="17"/>
  <c r="R236" i="17"/>
  <c r="J236" i="17"/>
  <c r="Q236" i="17"/>
  <c r="U238" i="17"/>
  <c r="L238" i="17"/>
  <c r="Q238" i="17"/>
  <c r="AB238" i="17"/>
  <c r="AA243" i="17"/>
  <c r="AC243" i="17" s="1"/>
  <c r="Q243" i="17"/>
  <c r="I243" i="17"/>
  <c r="R243" i="17"/>
  <c r="S245" i="17"/>
  <c r="K245" i="17"/>
  <c r="Q245" i="17"/>
  <c r="AB245" i="17"/>
  <c r="V247" i="17"/>
  <c r="M247" i="17"/>
  <c r="Q247" i="17"/>
  <c r="AB247" i="17"/>
  <c r="AD247" i="17" s="1"/>
  <c r="AB252" i="17"/>
  <c r="AD252" i="17" s="1"/>
  <c r="R252" i="17"/>
  <c r="J252" i="17"/>
  <c r="Q252" i="17"/>
  <c r="U254" i="17"/>
  <c r="L254" i="17"/>
  <c r="Q254" i="17"/>
  <c r="AB254" i="17"/>
  <c r="AD254" i="17" s="1"/>
  <c r="V260" i="17"/>
  <c r="M260" i="17"/>
  <c r="AA260" i="17"/>
  <c r="AC260" i="17" s="1"/>
  <c r="P260" i="17"/>
  <c r="R260" i="17"/>
  <c r="AB273" i="17"/>
  <c r="AD273" i="17" s="1"/>
  <c r="R273" i="17"/>
  <c r="J273" i="17"/>
  <c r="V273" i="17"/>
  <c r="L273" i="17"/>
  <c r="S273" i="17"/>
  <c r="I283" i="17"/>
  <c r="S283" i="17"/>
  <c r="J286" i="17"/>
  <c r="U286" i="17"/>
  <c r="V287" i="17"/>
  <c r="L287" i="17"/>
  <c r="Q287" i="17"/>
  <c r="S290" i="17"/>
  <c r="K290" i="17"/>
  <c r="AA290" i="17"/>
  <c r="AC290" i="17" s="1"/>
  <c r="P290" i="17"/>
  <c r="R290" i="17"/>
  <c r="I293" i="17"/>
  <c r="U293" i="17"/>
  <c r="J296" i="17"/>
  <c r="U296" i="17"/>
  <c r="I300" i="17"/>
  <c r="S300" i="17"/>
  <c r="I303" i="17"/>
  <c r="S303" i="17"/>
  <c r="J306" i="17"/>
  <c r="V306" i="17"/>
  <c r="U307" i="17"/>
  <c r="L307" i="17"/>
  <c r="V307" i="17"/>
  <c r="K307" i="17"/>
  <c r="R307" i="17"/>
  <c r="I310" i="17"/>
  <c r="S310" i="17"/>
  <c r="M312" i="17"/>
  <c r="Y312" i="17"/>
  <c r="I313" i="17"/>
  <c r="U313" i="17"/>
  <c r="L316" i="17"/>
  <c r="Y316" i="17"/>
  <c r="W317" i="17"/>
  <c r="N317" i="17"/>
  <c r="Z317" i="17"/>
  <c r="AC317" i="17" s="1"/>
  <c r="O317" i="17"/>
  <c r="R317" i="17"/>
  <c r="AA320" i="17"/>
  <c r="AC320" i="17" s="1"/>
  <c r="Q320" i="17"/>
  <c r="I320" i="17"/>
  <c r="AB320" i="17"/>
  <c r="AD320" i="17" s="1"/>
  <c r="P320" i="17"/>
  <c r="S320" i="17"/>
  <c r="J323" i="17"/>
  <c r="W323" i="17"/>
  <c r="V324" i="17"/>
  <c r="M324" i="17"/>
  <c r="AA324" i="17"/>
  <c r="AC324" i="17" s="1"/>
  <c r="P324" i="17"/>
  <c r="U324" i="17"/>
  <c r="K324" i="17"/>
  <c r="S324" i="17"/>
  <c r="Y327" i="17"/>
  <c r="N327" i="17"/>
  <c r="R327" i="17"/>
  <c r="W327" i="17"/>
  <c r="L327" i="17"/>
  <c r="S327" i="17"/>
  <c r="AA328" i="17"/>
  <c r="AC328" i="17" s="1"/>
  <c r="Q328" i="17"/>
  <c r="I328" i="17"/>
  <c r="S328" i="17"/>
  <c r="J328" i="17"/>
  <c r="AB328" i="17"/>
  <c r="AD328" i="17" s="1"/>
  <c r="O328" i="17"/>
  <c r="V328" i="17"/>
  <c r="K328" i="17"/>
  <c r="Y328" i="17"/>
  <c r="J332" i="17"/>
  <c r="Z332" i="17"/>
  <c r="AC332" i="17" s="1"/>
  <c r="M333" i="17"/>
  <c r="AB337" i="17"/>
  <c r="R337" i="17"/>
  <c r="J337" i="17"/>
  <c r="AA337" i="17"/>
  <c r="P337" i="17"/>
  <c r="Z337" i="17"/>
  <c r="N337" i="17"/>
  <c r="Q337" i="17"/>
  <c r="W337" i="17"/>
  <c r="K337" i="17"/>
  <c r="Y337" i="17"/>
  <c r="P338" i="17"/>
  <c r="J339" i="17"/>
  <c r="V340" i="17"/>
  <c r="M340" i="17"/>
  <c r="U340" i="17"/>
  <c r="K340" i="17"/>
  <c r="Q340" i="17"/>
  <c r="P340" i="17"/>
  <c r="AB340" i="17"/>
  <c r="AD340" i="17" s="1"/>
  <c r="O340" i="17"/>
  <c r="AA340" i="17"/>
  <c r="AC340" i="17" s="1"/>
  <c r="N340" i="17"/>
  <c r="Y340" i="17"/>
  <c r="J340" i="17"/>
  <c r="AA344" i="17"/>
  <c r="Q344" i="17"/>
  <c r="I344" i="17"/>
  <c r="AB344" i="17"/>
  <c r="P344" i="17"/>
  <c r="Y344" i="17"/>
  <c r="M344" i="17"/>
  <c r="Z344" i="17"/>
  <c r="L344" i="17"/>
  <c r="W344" i="17"/>
  <c r="K344" i="17"/>
  <c r="V344" i="17"/>
  <c r="J344" i="17"/>
  <c r="S344" i="17"/>
  <c r="U384" i="17"/>
  <c r="U388" i="17"/>
  <c r="L388" i="17"/>
  <c r="V388" i="17"/>
  <c r="K388" i="17"/>
  <c r="AA388" i="17"/>
  <c r="O388" i="17"/>
  <c r="Z388" i="17"/>
  <c r="N388" i="17"/>
  <c r="P388" i="17"/>
  <c r="M388" i="17"/>
  <c r="S388" i="17"/>
  <c r="R388" i="17"/>
  <c r="Q388" i="17"/>
  <c r="J388" i="17"/>
  <c r="I388" i="17"/>
  <c r="R397" i="17"/>
  <c r="AB329" i="17"/>
  <c r="R329" i="17"/>
  <c r="J329" i="17"/>
  <c r="Y329" i="17"/>
  <c r="N329" i="17"/>
  <c r="S329" i="17"/>
  <c r="Y342" i="17"/>
  <c r="O342" i="17"/>
  <c r="R342" i="17"/>
  <c r="I342" i="17"/>
  <c r="U342" i="17"/>
  <c r="J342" i="17"/>
  <c r="V342" i="17"/>
  <c r="U355" i="17"/>
  <c r="L355" i="17"/>
  <c r="AA355" i="17"/>
  <c r="AC355" i="17" s="1"/>
  <c r="P355" i="17"/>
  <c r="W355" i="17"/>
  <c r="K355" i="17"/>
  <c r="V355" i="17"/>
  <c r="J355" i="17"/>
  <c r="Y355" i="17"/>
  <c r="U371" i="17"/>
  <c r="L371" i="17"/>
  <c r="AA371" i="17"/>
  <c r="P371" i="17"/>
  <c r="Z371" i="17"/>
  <c r="O371" i="17"/>
  <c r="N371" i="17"/>
  <c r="AB371" i="17"/>
  <c r="M371" i="17"/>
  <c r="W371" i="17"/>
  <c r="Q372" i="17"/>
  <c r="W373" i="17"/>
  <c r="N373" i="17"/>
  <c r="Z373" i="17"/>
  <c r="AC373" i="17" s="1"/>
  <c r="O373" i="17"/>
  <c r="Y373" i="17"/>
  <c r="M373" i="17"/>
  <c r="P373" i="17"/>
  <c r="AB373" i="17"/>
  <c r="L373" i="17"/>
  <c r="V373" i="17"/>
  <c r="R382" i="17"/>
  <c r="Z384" i="17"/>
  <c r="Z386" i="17"/>
  <c r="K386" i="17"/>
  <c r="Y386" i="17"/>
  <c r="AA386" i="17"/>
  <c r="Y389" i="17"/>
  <c r="V381" i="17"/>
  <c r="M381" i="17"/>
  <c r="U381" i="17"/>
  <c r="K381" i="17"/>
  <c r="AB381" i="17"/>
  <c r="P381" i="17"/>
  <c r="AA381" i="17"/>
  <c r="O381" i="17"/>
  <c r="N381" i="17"/>
  <c r="L381" i="17"/>
  <c r="Z381" i="17"/>
  <c r="U347" i="17"/>
  <c r="L347" i="17"/>
  <c r="V347" i="17"/>
  <c r="K347" i="17"/>
  <c r="AB347" i="17"/>
  <c r="AD347" i="17" s="1"/>
  <c r="P347" i="17"/>
  <c r="AA347" i="17"/>
  <c r="S347" i="17"/>
  <c r="S354" i="17"/>
  <c r="K354" i="17"/>
  <c r="V354" i="17"/>
  <c r="L354" i="17"/>
  <c r="AA354" i="17"/>
  <c r="O354" i="17"/>
  <c r="Z354" i="17"/>
  <c r="AC354" i="17" s="1"/>
  <c r="N354" i="17"/>
  <c r="W354" i="17"/>
  <c r="AD355" i="17"/>
  <c r="V364" i="17"/>
  <c r="M364" i="17"/>
  <c r="AA364" i="17"/>
  <c r="P364" i="17"/>
  <c r="AB364" i="17"/>
  <c r="O364" i="17"/>
  <c r="Z364" i="17"/>
  <c r="N364" i="17"/>
  <c r="U364" i="17"/>
  <c r="S370" i="17"/>
  <c r="K370" i="17"/>
  <c r="V370" i="17"/>
  <c r="L370" i="17"/>
  <c r="Q370" i="17"/>
  <c r="AB370" i="17"/>
  <c r="P370" i="17"/>
  <c r="W370" i="17"/>
  <c r="W372" i="17"/>
  <c r="AA376" i="17"/>
  <c r="Q376" i="17"/>
  <c r="I376" i="17"/>
  <c r="AB376" i="17"/>
  <c r="P376" i="17"/>
  <c r="Z376" i="17"/>
  <c r="O376" i="17"/>
  <c r="Y376" i="17"/>
  <c r="L376" i="17"/>
  <c r="W376" i="17"/>
  <c r="K376" i="17"/>
  <c r="S378" i="17"/>
  <c r="K378" i="17"/>
  <c r="AA378" i="17"/>
  <c r="P378" i="17"/>
  <c r="Z378" i="17"/>
  <c r="O378" i="17"/>
  <c r="Y378" i="17"/>
  <c r="L378" i="17"/>
  <c r="W378" i="17"/>
  <c r="J378" i="17"/>
  <c r="AB378" i="17"/>
  <c r="I381" i="17"/>
  <c r="Y382" i="17"/>
  <c r="V389" i="17"/>
  <c r="M389" i="17"/>
  <c r="AA389" i="17"/>
  <c r="AC389" i="17" s="1"/>
  <c r="P389" i="17"/>
  <c r="W389" i="17"/>
  <c r="K389" i="17"/>
  <c r="U389" i="17"/>
  <c r="J389" i="17"/>
  <c r="R389" i="17"/>
  <c r="Q389" i="17"/>
  <c r="AB389" i="17"/>
  <c r="AD389" i="17" s="1"/>
  <c r="AC406" i="17"/>
  <c r="W347" i="17"/>
  <c r="I354" i="17"/>
  <c r="Y354" i="17"/>
  <c r="I364" i="17"/>
  <c r="W364" i="17"/>
  <c r="Y370" i="17"/>
  <c r="J376" i="17"/>
  <c r="I378" i="17"/>
  <c r="J381" i="17"/>
  <c r="W398" i="17"/>
  <c r="N398" i="17"/>
  <c r="V398" i="17"/>
  <c r="M398" i="17"/>
  <c r="Y398" i="17"/>
  <c r="K398" i="17"/>
  <c r="P398" i="17"/>
  <c r="AB398" i="17"/>
  <c r="AD398" i="17" s="1"/>
  <c r="O398" i="17"/>
  <c r="AA398" i="17"/>
  <c r="AC398" i="17" s="1"/>
  <c r="L398" i="17"/>
  <c r="U398" i="17"/>
  <c r="I398" i="17"/>
  <c r="Q398" i="17"/>
  <c r="J398" i="17"/>
  <c r="R412" i="17"/>
  <c r="Q412" i="17"/>
  <c r="O412" i="17"/>
  <c r="P210" i="17"/>
  <c r="P218" i="17"/>
  <c r="P226" i="17"/>
  <c r="P234" i="17"/>
  <c r="P242" i="17"/>
  <c r="P250" i="17"/>
  <c r="S258" i="17"/>
  <c r="P258" i="17"/>
  <c r="AA258" i="17"/>
  <c r="Z263" i="17"/>
  <c r="AC263" i="17" s="1"/>
  <c r="Z279" i="17"/>
  <c r="AC279" i="17" s="1"/>
  <c r="Z295" i="17"/>
  <c r="Z311" i="17"/>
  <c r="AC311" i="17" s="1"/>
  <c r="Z327" i="17"/>
  <c r="AC327" i="17" s="1"/>
  <c r="M329" i="17"/>
  <c r="Z329" i="17"/>
  <c r="U335" i="17"/>
  <c r="J335" i="17"/>
  <c r="R335" i="17"/>
  <c r="N342" i="17"/>
  <c r="AB342" i="17"/>
  <c r="AD342" i="17" s="1"/>
  <c r="J347" i="17"/>
  <c r="Y347" i="17"/>
  <c r="AB353" i="17"/>
  <c r="AD353" i="17" s="1"/>
  <c r="R353" i="17"/>
  <c r="J353" i="17"/>
  <c r="AA353" i="17"/>
  <c r="AC353" i="17" s="1"/>
  <c r="P353" i="17"/>
  <c r="Q353" i="17"/>
  <c r="O353" i="17"/>
  <c r="V353" i="17"/>
  <c r="J354" i="17"/>
  <c r="AB354" i="17"/>
  <c r="O355" i="17"/>
  <c r="Y358" i="17"/>
  <c r="O358" i="17"/>
  <c r="R358" i="17"/>
  <c r="I358" i="17"/>
  <c r="W358" i="17"/>
  <c r="L358" i="17"/>
  <c r="V358" i="17"/>
  <c r="K358" i="17"/>
  <c r="Z358" i="17"/>
  <c r="AC358" i="17" s="1"/>
  <c r="J364" i="17"/>
  <c r="Y364" i="17"/>
  <c r="J370" i="17"/>
  <c r="Z370" i="17"/>
  <c r="AC370" i="17" s="1"/>
  <c r="Q371" i="17"/>
  <c r="V372" i="17"/>
  <c r="M372" i="17"/>
  <c r="U372" i="17"/>
  <c r="K372" i="17"/>
  <c r="S372" i="17"/>
  <c r="J372" i="17"/>
  <c r="P372" i="17"/>
  <c r="AB372" i="17"/>
  <c r="O372" i="17"/>
  <c r="Z372" i="17"/>
  <c r="AC372" i="17" s="1"/>
  <c r="Q373" i="17"/>
  <c r="V375" i="17"/>
  <c r="L375" i="17"/>
  <c r="U375" i="17"/>
  <c r="K375" i="17"/>
  <c r="AB375" i="17"/>
  <c r="AD375" i="17" s="1"/>
  <c r="N375" i="17"/>
  <c r="AA375" i="17"/>
  <c r="AC375" i="17" s="1"/>
  <c r="M375" i="17"/>
  <c r="W375" i="17"/>
  <c r="M376" i="17"/>
  <c r="M378" i="17"/>
  <c r="Q381" i="17"/>
  <c r="W382" i="17"/>
  <c r="N382" i="17"/>
  <c r="Z382" i="17"/>
  <c r="AC382" i="17" s="1"/>
  <c r="O382" i="17"/>
  <c r="V382" i="17"/>
  <c r="K382" i="17"/>
  <c r="U382" i="17"/>
  <c r="J382" i="17"/>
  <c r="Q382" i="17"/>
  <c r="P382" i="17"/>
  <c r="AB382" i="17"/>
  <c r="AD382" i="17" s="1"/>
  <c r="O386" i="17"/>
  <c r="L389" i="17"/>
  <c r="N394" i="17"/>
  <c r="Z394" i="17"/>
  <c r="M394" i="17"/>
  <c r="Y394" i="17"/>
  <c r="L394" i="17"/>
  <c r="V394" i="17"/>
  <c r="W394" i="17"/>
  <c r="R398" i="17"/>
  <c r="AD406" i="17"/>
  <c r="AD408" i="17"/>
  <c r="N410" i="17"/>
  <c r="Z410" i="17"/>
  <c r="M410" i="17"/>
  <c r="Y410" i="17"/>
  <c r="L410" i="17"/>
  <c r="W410" i="17"/>
  <c r="K410" i="17"/>
  <c r="V410" i="17"/>
  <c r="W349" i="17"/>
  <c r="N349" i="17"/>
  <c r="S349" i="17"/>
  <c r="J349" i="17"/>
  <c r="R349" i="17"/>
  <c r="AA352" i="17"/>
  <c r="AC352" i="17" s="1"/>
  <c r="Q352" i="17"/>
  <c r="I352" i="17"/>
  <c r="V352" i="17"/>
  <c r="L352" i="17"/>
  <c r="S352" i="17"/>
  <c r="V356" i="17"/>
  <c r="M356" i="17"/>
  <c r="U356" i="17"/>
  <c r="K356" i="17"/>
  <c r="R356" i="17"/>
  <c r="Z359" i="17"/>
  <c r="Y366" i="17"/>
  <c r="O366" i="17"/>
  <c r="W366" i="17"/>
  <c r="M366" i="17"/>
  <c r="R366" i="17"/>
  <c r="AB369" i="17"/>
  <c r="AD369" i="17" s="1"/>
  <c r="R369" i="17"/>
  <c r="J369" i="17"/>
  <c r="AA369" i="17"/>
  <c r="AC369" i="17" s="1"/>
  <c r="P369" i="17"/>
  <c r="S369" i="17"/>
  <c r="AD383" i="17"/>
  <c r="Z390" i="17"/>
  <c r="AC390" i="17" s="1"/>
  <c r="V409" i="17"/>
  <c r="K409" i="17"/>
  <c r="N409" i="17"/>
  <c r="AB409" i="17"/>
  <c r="M409" i="17"/>
  <c r="Y409" i="17"/>
  <c r="L409" i="17"/>
  <c r="W409" i="17"/>
  <c r="J409" i="17"/>
  <c r="U409" i="17"/>
  <c r="V343" i="17"/>
  <c r="L343" i="17"/>
  <c r="Q343" i="17"/>
  <c r="S346" i="17"/>
  <c r="K346" i="17"/>
  <c r="AA346" i="17"/>
  <c r="AC346" i="17" s="1"/>
  <c r="P346" i="17"/>
  <c r="R346" i="17"/>
  <c r="I349" i="17"/>
  <c r="U349" i="17"/>
  <c r="J352" i="17"/>
  <c r="U352" i="17"/>
  <c r="I356" i="17"/>
  <c r="S356" i="17"/>
  <c r="U363" i="17"/>
  <c r="L363" i="17"/>
  <c r="V363" i="17"/>
  <c r="K363" i="17"/>
  <c r="R363" i="17"/>
  <c r="I366" i="17"/>
  <c r="S366" i="17"/>
  <c r="I369" i="17"/>
  <c r="U369" i="17"/>
  <c r="V393" i="17"/>
  <c r="K393" i="17"/>
  <c r="N393" i="17"/>
  <c r="AB393" i="17"/>
  <c r="M393" i="17"/>
  <c r="Y393" i="17"/>
  <c r="L393" i="17"/>
  <c r="U393" i="17"/>
  <c r="AD405" i="17"/>
  <c r="O410" i="17"/>
  <c r="AA393" i="17"/>
  <c r="S395" i="17"/>
  <c r="K395" i="17"/>
  <c r="AB395" i="17"/>
  <c r="R395" i="17"/>
  <c r="J395" i="17"/>
  <c r="Q395" i="17"/>
  <c r="V395" i="17"/>
  <c r="U396" i="17"/>
  <c r="L396" i="17"/>
  <c r="S396" i="17"/>
  <c r="K396" i="17"/>
  <c r="AB396" i="17"/>
  <c r="P396" i="17"/>
  <c r="V396" i="17"/>
  <c r="AA409" i="17"/>
  <c r="S411" i="17"/>
  <c r="K411" i="17"/>
  <c r="AB411" i="17"/>
  <c r="R411" i="17"/>
  <c r="J411" i="17"/>
  <c r="Q411" i="17"/>
  <c r="V411" i="17"/>
  <c r="U412" i="17"/>
  <c r="L412" i="17"/>
  <c r="S412" i="17"/>
  <c r="K412" i="17"/>
  <c r="AB412" i="17"/>
  <c r="P412" i="17"/>
  <c r="V412" i="17"/>
  <c r="AD407" i="17"/>
  <c r="I411" i="17"/>
  <c r="W411" i="17"/>
  <c r="I412" i="17"/>
  <c r="W412" i="17"/>
  <c r="L411" i="17"/>
  <c r="Y411" i="17"/>
  <c r="J412" i="17"/>
  <c r="Y412" i="17"/>
  <c r="Y374" i="17"/>
  <c r="O374" i="17"/>
  <c r="Q374" i="17"/>
  <c r="AB374" i="17"/>
  <c r="AD374" i="17" s="1"/>
  <c r="AB386" i="17"/>
  <c r="R386" i="17"/>
  <c r="J386" i="17"/>
  <c r="V386" i="17"/>
  <c r="L386" i="17"/>
  <c r="S386" i="17"/>
  <c r="W390" i="17"/>
  <c r="N390" i="17"/>
  <c r="V390" i="17"/>
  <c r="M390" i="17"/>
  <c r="Y390" i="17"/>
  <c r="K390" i="17"/>
  <c r="S390" i="17"/>
  <c r="M395" i="17"/>
  <c r="Z395" i="17"/>
  <c r="M396" i="17"/>
  <c r="Z396" i="17"/>
  <c r="V401" i="17"/>
  <c r="K401" i="17"/>
  <c r="S401" i="17"/>
  <c r="S402" i="17"/>
  <c r="V405" i="17"/>
  <c r="M405" i="17"/>
  <c r="U405" i="17"/>
  <c r="L405" i="17"/>
  <c r="AA405" i="17"/>
  <c r="AC405" i="17" s="1"/>
  <c r="O405" i="17"/>
  <c r="S405" i="17"/>
  <c r="W406" i="17"/>
  <c r="N406" i="17"/>
  <c r="V406" i="17"/>
  <c r="M406" i="17"/>
  <c r="Y406" i="17"/>
  <c r="K406" i="17"/>
  <c r="S406" i="17"/>
  <c r="M411" i="17"/>
  <c r="Z411" i="17"/>
  <c r="M412" i="17"/>
  <c r="Z412" i="17"/>
  <c r="P263" i="17"/>
  <c r="P271" i="17"/>
  <c r="P279" i="17"/>
  <c r="P287" i="17"/>
  <c r="P295" i="17"/>
  <c r="P303" i="17"/>
  <c r="P311" i="17"/>
  <c r="P319" i="17"/>
  <c r="P327" i="17"/>
  <c r="Z335" i="17"/>
  <c r="AC335" i="17" s="1"/>
  <c r="P335" i="17"/>
  <c r="Q335" i="17"/>
  <c r="AB335" i="17"/>
  <c r="Z351" i="17"/>
  <c r="AC351" i="17" s="1"/>
  <c r="Z367" i="17"/>
  <c r="I374" i="17"/>
  <c r="R374" i="17"/>
  <c r="U380" i="17"/>
  <c r="L380" i="17"/>
  <c r="AA380" i="17"/>
  <c r="AC380" i="17" s="1"/>
  <c r="P380" i="17"/>
  <c r="R380" i="17"/>
  <c r="Y383" i="17"/>
  <c r="O383" i="17"/>
  <c r="R383" i="17"/>
  <c r="I383" i="17"/>
  <c r="S383" i="17"/>
  <c r="I386" i="17"/>
  <c r="U386" i="17"/>
  <c r="I390" i="17"/>
  <c r="U390" i="17"/>
  <c r="N395" i="17"/>
  <c r="AA395" i="17"/>
  <c r="N396" i="17"/>
  <c r="AA396" i="17"/>
  <c r="AA401" i="17"/>
  <c r="U401" i="17"/>
  <c r="S403" i="17"/>
  <c r="K403" i="17"/>
  <c r="AB403" i="17"/>
  <c r="AD403" i="17" s="1"/>
  <c r="R403" i="17"/>
  <c r="J403" i="17"/>
  <c r="Q403" i="17"/>
  <c r="V403" i="17"/>
  <c r="U404" i="17"/>
  <c r="L404" i="17"/>
  <c r="S404" i="17"/>
  <c r="K404" i="17"/>
  <c r="AB404" i="17"/>
  <c r="AD404" i="17" s="1"/>
  <c r="P404" i="17"/>
  <c r="V404" i="17"/>
  <c r="I405" i="17"/>
  <c r="W405" i="17"/>
  <c r="I406" i="17"/>
  <c r="U406" i="17"/>
  <c r="N411" i="17"/>
  <c r="AA411" i="17"/>
  <c r="N412" i="17"/>
  <c r="AA412" i="17"/>
  <c r="P343" i="17"/>
  <c r="P351" i="17"/>
  <c r="P359" i="17"/>
  <c r="P367" i="17"/>
  <c r="P375" i="17"/>
  <c r="Y391" i="17"/>
  <c r="O391" i="17"/>
  <c r="W391" i="17"/>
  <c r="N391" i="17"/>
  <c r="R391" i="17"/>
  <c r="AB394" i="17"/>
  <c r="R394" i="17"/>
  <c r="J394" i="17"/>
  <c r="AA394" i="17"/>
  <c r="Q394" i="17"/>
  <c r="I394" i="17"/>
  <c r="U394" i="17"/>
  <c r="Y399" i="17"/>
  <c r="O399" i="17"/>
  <c r="W399" i="17"/>
  <c r="N399" i="17"/>
  <c r="R399" i="17"/>
  <c r="AB402" i="17"/>
  <c r="AD402" i="17" s="1"/>
  <c r="R402" i="17"/>
  <c r="J402" i="17"/>
  <c r="AA402" i="17"/>
  <c r="AC402" i="17" s="1"/>
  <c r="Q402" i="17"/>
  <c r="I402" i="17"/>
  <c r="U402" i="17"/>
  <c r="Y407" i="17"/>
  <c r="O407" i="17"/>
  <c r="W407" i="17"/>
  <c r="N407" i="17"/>
  <c r="R407" i="17"/>
  <c r="AB410" i="17"/>
  <c r="R410" i="17"/>
  <c r="J410" i="17"/>
  <c r="AA410" i="17"/>
  <c r="Q410" i="17"/>
  <c r="I410" i="17"/>
  <c r="U410" i="17"/>
  <c r="O392" i="17"/>
  <c r="P393" i="17"/>
  <c r="Z393" i="17"/>
  <c r="AC393" i="17" s="1"/>
  <c r="O400" i="17"/>
  <c r="P401" i="17"/>
  <c r="Z401" i="17"/>
  <c r="O408" i="17"/>
  <c r="P409" i="17"/>
  <c r="Z409" i="17"/>
  <c r="P384" i="17"/>
  <c r="P392" i="17"/>
  <c r="I393" i="17"/>
  <c r="Q393" i="17"/>
  <c r="P400" i="17"/>
  <c r="I401" i="17"/>
  <c r="Q401" i="17"/>
  <c r="P408" i="17"/>
  <c r="I409" i="17"/>
  <c r="Q409" i="17"/>
  <c r="AC113" i="17" l="1"/>
  <c r="AC157" i="17"/>
  <c r="AC204" i="17"/>
  <c r="AD387" i="17"/>
  <c r="AC7" i="17"/>
  <c r="AD300" i="17"/>
  <c r="AC146" i="17"/>
  <c r="AD207" i="17"/>
  <c r="AD399" i="17"/>
  <c r="AD37" i="17"/>
  <c r="AC138" i="17"/>
  <c r="AC378" i="17"/>
  <c r="AC177" i="17"/>
  <c r="AC57" i="17"/>
  <c r="AC71" i="17"/>
  <c r="AD133" i="17"/>
  <c r="AD48" i="17"/>
  <c r="AC404" i="17"/>
  <c r="AD236" i="17"/>
  <c r="AC164" i="17"/>
  <c r="AC323" i="17"/>
  <c r="AC126" i="17"/>
  <c r="AC108" i="17"/>
  <c r="AD352" i="17"/>
  <c r="AC75" i="17"/>
  <c r="AD245" i="17"/>
  <c r="AD238" i="17"/>
  <c r="AC357" i="17"/>
  <c r="AC197" i="17"/>
  <c r="AD253" i="17"/>
  <c r="AC282" i="17"/>
  <c r="AC316" i="17"/>
  <c r="AD169" i="17"/>
  <c r="AC91" i="17"/>
  <c r="AC24" i="17"/>
  <c r="AD243" i="17"/>
  <c r="AC209" i="17"/>
  <c r="AD259" i="17"/>
  <c r="AC128" i="17"/>
  <c r="AC114" i="17"/>
  <c r="AC366" i="17"/>
  <c r="AD151" i="17"/>
  <c r="AC136" i="17"/>
  <c r="AD386" i="17"/>
  <c r="AC224" i="17"/>
  <c r="AC127" i="17"/>
  <c r="AD157" i="17"/>
  <c r="AC236" i="17"/>
  <c r="AD291" i="17"/>
  <c r="AC232" i="17"/>
  <c r="AD162" i="17"/>
  <c r="AC17" i="17"/>
  <c r="AC47" i="17"/>
  <c r="AD309" i="17"/>
  <c r="AD99" i="17"/>
  <c r="AD115" i="17"/>
  <c r="AC235" i="17"/>
  <c r="AC295" i="17"/>
  <c r="AD364" i="17"/>
  <c r="AC272" i="17"/>
  <c r="AD43" i="17"/>
  <c r="AC87" i="17"/>
  <c r="AC293" i="17"/>
  <c r="AC5" i="17"/>
  <c r="AD335" i="17"/>
  <c r="AC394" i="17"/>
  <c r="AD371" i="17"/>
  <c r="AD365" i="17"/>
  <c r="AC341" i="17"/>
  <c r="AD248" i="17"/>
  <c r="AD176" i="17"/>
  <c r="AD187" i="17"/>
  <c r="AD110" i="17"/>
  <c r="AC66" i="17"/>
  <c r="AD101" i="17"/>
  <c r="AD27" i="17"/>
  <c r="AD53" i="17"/>
  <c r="AC10" i="17"/>
  <c r="AC117" i="17"/>
  <c r="AD4" i="17"/>
  <c r="AC169" i="17"/>
  <c r="AC81" i="17"/>
  <c r="AD102" i="17"/>
  <c r="AC399" i="17"/>
  <c r="AD77" i="17"/>
  <c r="AC88" i="17"/>
  <c r="AC179" i="17"/>
  <c r="AD138" i="17"/>
  <c r="AD327" i="17"/>
  <c r="AD150" i="17"/>
  <c r="AC6" i="17"/>
  <c r="AD171" i="17"/>
  <c r="AD36" i="17"/>
  <c r="AC28" i="17"/>
  <c r="AC123" i="17"/>
  <c r="AD166" i="17"/>
  <c r="AC67" i="17"/>
  <c r="AD22" i="17"/>
  <c r="AC115" i="17"/>
  <c r="AD392" i="17"/>
  <c r="AD179" i="17"/>
  <c r="AC77" i="17"/>
  <c r="AD288" i="17"/>
  <c r="AC201" i="17"/>
  <c r="AD311" i="17"/>
  <c r="AD80" i="17"/>
  <c r="AC49" i="17"/>
  <c r="AD67" i="17"/>
  <c r="AC203" i="17"/>
  <c r="AC297" i="17"/>
  <c r="AD146" i="17"/>
  <c r="AD356" i="17"/>
  <c r="AC412" i="17"/>
  <c r="AC395" i="17"/>
  <c r="AD329" i="17"/>
  <c r="AD337" i="17"/>
  <c r="AC261" i="17"/>
  <c r="AD289" i="17"/>
  <c r="AD217" i="17"/>
  <c r="AD331" i="17"/>
  <c r="AC305" i="17"/>
  <c r="AD304" i="17"/>
  <c r="AD132" i="17"/>
  <c r="AD127" i="17"/>
  <c r="AD221" i="17"/>
  <c r="AC190" i="17"/>
  <c r="AD233" i="17"/>
  <c r="AD38" i="17"/>
  <c r="AC105" i="17"/>
  <c r="AC78" i="17"/>
  <c r="AC93" i="17"/>
  <c r="AC182" i="17"/>
  <c r="AC170" i="17"/>
  <c r="AD227" i="17"/>
  <c r="AD3" i="17"/>
  <c r="AC367" i="17"/>
  <c r="AC410" i="17"/>
  <c r="AC329" i="17"/>
  <c r="AC314" i="17"/>
  <c r="AD359" i="17"/>
  <c r="AC262" i="17"/>
  <c r="AC315" i="17"/>
  <c r="AC228" i="17"/>
  <c r="AC173" i="17"/>
  <c r="AD173" i="17"/>
  <c r="AD2" i="17"/>
  <c r="AD235" i="17"/>
  <c r="AC153" i="17"/>
  <c r="AD120" i="17"/>
  <c r="AD96" i="17"/>
  <c r="AC103" i="17"/>
  <c r="AD6" i="17"/>
  <c r="AD91" i="17"/>
  <c r="AD155" i="17"/>
  <c r="AD343" i="17"/>
  <c r="AD400" i="17"/>
  <c r="AD366" i="17"/>
  <c r="AC287" i="17"/>
  <c r="AC142" i="17"/>
  <c r="AC9" i="17"/>
  <c r="AC15" i="17"/>
  <c r="AD410" i="17"/>
  <c r="AD394" i="17"/>
  <c r="AC411" i="17"/>
  <c r="AC359" i="17"/>
  <c r="AD381" i="17"/>
  <c r="AC388" i="17"/>
  <c r="AD388" i="17"/>
  <c r="AC385" i="17"/>
  <c r="AD385" i="17"/>
  <c r="AD325" i="17"/>
  <c r="AC226" i="17"/>
  <c r="AD362" i="17"/>
  <c r="AC360" i="17"/>
  <c r="AD348" i="17"/>
  <c r="AD219" i="17"/>
  <c r="AC172" i="17"/>
  <c r="AC345" i="17"/>
  <c r="AD255" i="17"/>
  <c r="AD330" i="17"/>
  <c r="AD322" i="17"/>
  <c r="AC165" i="17"/>
  <c r="AC216" i="17"/>
  <c r="AC90" i="17"/>
  <c r="AC106" i="17"/>
  <c r="AD50" i="17"/>
  <c r="AC214" i="17"/>
  <c r="AD62" i="17"/>
  <c r="AD198" i="17"/>
  <c r="AC19" i="17"/>
  <c r="AD59" i="17"/>
  <c r="AD174" i="17"/>
  <c r="AC160" i="17"/>
  <c r="AC8" i="17"/>
  <c r="AC121" i="17"/>
  <c r="AC185" i="17"/>
  <c r="AD24" i="17"/>
  <c r="AC326" i="17"/>
  <c r="AD346" i="17"/>
  <c r="AD39" i="17"/>
  <c r="AC231" i="17"/>
  <c r="AD195" i="17"/>
  <c r="AD357" i="17"/>
  <c r="AC215" i="17"/>
  <c r="AC100" i="17"/>
  <c r="AD250" i="17"/>
  <c r="AD214" i="17"/>
  <c r="AD148" i="17"/>
  <c r="AD199" i="17"/>
  <c r="AD134" i="17"/>
  <c r="AD188" i="17"/>
  <c r="AD393" i="17"/>
  <c r="AC371" i="17"/>
  <c r="AD215" i="17"/>
  <c r="AC271" i="17"/>
  <c r="AD303" i="17"/>
  <c r="AC240" i="17"/>
  <c r="AD317" i="17"/>
  <c r="AC298" i="17"/>
  <c r="AC217" i="17"/>
  <c r="AD345" i="17"/>
  <c r="AC301" i="17"/>
  <c r="AC255" i="17"/>
  <c r="AC322" i="17"/>
  <c r="AC249" i="17"/>
  <c r="AD249" i="17"/>
  <c r="AC208" i="17"/>
  <c r="AC175" i="17"/>
  <c r="AD298" i="17"/>
  <c r="AC135" i="17"/>
  <c r="AD190" i="17"/>
  <c r="AD193" i="17"/>
  <c r="AC96" i="17"/>
  <c r="AC171" i="17"/>
  <c r="AC80" i="17"/>
  <c r="AC27" i="17"/>
  <c r="AD12" i="17"/>
  <c r="AD272" i="17"/>
  <c r="AC268" i="17"/>
  <c r="AD390" i="17"/>
  <c r="AC198" i="17"/>
  <c r="AD19" i="17"/>
  <c r="AD30" i="17"/>
  <c r="AD100" i="17"/>
  <c r="AD184" i="17"/>
  <c r="AD32" i="17"/>
  <c r="AC109" i="17"/>
  <c r="AD28" i="17"/>
  <c r="AD17" i="17"/>
  <c r="AD321" i="17"/>
  <c r="AC158" i="17"/>
  <c r="AD158" i="17"/>
  <c r="AD224" i="17"/>
  <c r="AD107" i="17"/>
  <c r="AD70" i="17"/>
  <c r="AD204" i="17"/>
  <c r="AD192" i="17"/>
  <c r="AD66" i="17"/>
  <c r="AC122" i="17"/>
  <c r="AD160" i="17"/>
  <c r="AD85" i="17"/>
  <c r="AD128" i="17"/>
  <c r="AC55" i="17"/>
  <c r="AD197" i="17"/>
  <c r="AD47" i="17"/>
  <c r="AC212" i="17"/>
  <c r="AD232" i="17"/>
  <c r="AD103" i="17"/>
  <c r="AC61" i="17"/>
  <c r="AD61" i="17"/>
  <c r="AC46" i="17"/>
  <c r="AD225" i="17"/>
  <c r="AD105" i="17"/>
  <c r="AC79" i="17"/>
  <c r="AD263" i="17"/>
  <c r="AD118" i="17"/>
  <c r="AD239" i="17"/>
  <c r="AC13" i="17"/>
  <c r="AD13" i="17"/>
  <c r="AD52" i="17"/>
  <c r="AC99" i="17"/>
  <c r="AD81" i="17"/>
  <c r="AC83" i="17"/>
  <c r="AD130" i="17"/>
  <c r="AC409" i="17"/>
  <c r="AC344" i="17"/>
  <c r="AC347" i="17"/>
  <c r="AC275" i="17"/>
  <c r="AD360" i="17"/>
  <c r="AD156" i="17"/>
  <c r="AD226" i="17"/>
  <c r="AD318" i="17"/>
  <c r="AC205" i="17"/>
  <c r="AC180" i="17"/>
  <c r="AD167" i="17"/>
  <c r="AD396" i="17"/>
  <c r="AD378" i="17"/>
  <c r="AC376" i="17"/>
  <c r="AD206" i="17"/>
  <c r="AD397" i="17"/>
  <c r="AD361" i="17"/>
  <c r="AC299" i="17"/>
  <c r="AD294" i="17"/>
  <c r="AC312" i="17"/>
  <c r="AD295" i="17"/>
  <c r="AD251" i="17"/>
  <c r="AC194" i="17"/>
  <c r="AC331" i="17"/>
  <c r="AD312" i="17"/>
  <c r="AD10" i="17"/>
  <c r="AC151" i="17"/>
  <c r="AC245" i="17"/>
  <c r="AD208" i="17"/>
  <c r="AC183" i="17"/>
  <c r="AD106" i="17"/>
  <c r="AD56" i="17"/>
  <c r="AD216" i="17"/>
  <c r="AC94" i="17"/>
  <c r="AC50" i="17"/>
  <c r="AD46" i="17"/>
  <c r="AC20" i="17"/>
  <c r="AC97" i="17"/>
  <c r="AD97" i="17"/>
  <c r="AD25" i="17"/>
  <c r="AC58" i="17"/>
  <c r="AD109" i="17"/>
  <c r="AC137" i="17"/>
  <c r="AD185" i="17"/>
  <c r="AD274" i="17"/>
  <c r="AC269" i="17"/>
  <c r="AD269" i="17"/>
  <c r="AD372" i="17"/>
  <c r="AD275" i="17"/>
  <c r="AD351" i="17"/>
  <c r="AD334" i="17"/>
  <c r="AD377" i="17"/>
  <c r="AC132" i="17"/>
  <c r="AC401" i="17"/>
  <c r="AC396" i="17"/>
  <c r="AD412" i="17"/>
  <c r="AD395" i="17"/>
  <c r="AD370" i="17"/>
  <c r="AC364" i="17"/>
  <c r="AC386" i="17"/>
  <c r="AC337" i="17"/>
  <c r="AD384" i="17"/>
  <c r="AD338" i="17"/>
  <c r="AD314" i="17"/>
  <c r="AC285" i="17"/>
  <c r="AD285" i="17"/>
  <c r="AD401" i="17"/>
  <c r="AD271" i="17"/>
  <c r="AC336" i="17"/>
  <c r="AD241" i="17"/>
  <c r="AC281" i="17"/>
  <c r="AC238" i="17"/>
  <c r="AC219" i="17"/>
  <c r="AD210" i="17"/>
  <c r="AD181" i="17"/>
  <c r="AD242" i="17"/>
  <c r="AC221" i="17"/>
  <c r="AD177" i="17"/>
  <c r="AD240" i="17"/>
  <c r="AC191" i="17"/>
  <c r="AD180" i="17"/>
  <c r="AD90" i="17"/>
  <c r="AC101" i="17"/>
  <c r="AC86" i="17"/>
  <c r="AD332" i="17"/>
  <c r="AC84" i="17"/>
  <c r="AD84" i="17"/>
  <c r="AD113" i="17"/>
  <c r="AC16" i="17"/>
  <c r="AC309" i="17"/>
  <c r="AC259" i="17"/>
  <c r="AC277" i="17"/>
  <c r="AD277" i="17"/>
  <c r="AD266" i="17"/>
  <c r="AD191" i="17"/>
  <c r="AD65" i="17"/>
  <c r="AD35" i="17"/>
  <c r="AD164" i="17"/>
  <c r="AD49" i="17"/>
  <c r="AC53" i="17"/>
  <c r="AC129" i="17"/>
  <c r="AD86" i="17"/>
  <c r="AC155" i="17"/>
  <c r="AD123" i="17"/>
  <c r="AD114" i="17"/>
  <c r="AD55" i="17"/>
  <c r="AD83" i="17"/>
  <c r="AC48" i="17"/>
  <c r="AD200" i="17"/>
  <c r="AD153" i="17"/>
  <c r="AD409" i="17"/>
  <c r="AD354" i="17"/>
  <c r="AD373" i="17"/>
  <c r="AC397" i="17"/>
  <c r="AD297" i="17"/>
  <c r="AD368" i="17"/>
  <c r="AD411" i="17"/>
  <c r="AD376" i="17"/>
  <c r="AC381" i="17"/>
  <c r="AC384" i="17"/>
  <c r="AD344" i="17"/>
  <c r="AC365" i="17"/>
  <c r="AC356" i="17"/>
  <c r="AD341" i="17"/>
  <c r="AD279" i="17"/>
  <c r="AD319" i="17"/>
  <c r="AD237" i="17"/>
  <c r="AC362" i="17"/>
  <c r="AD358" i="17"/>
  <c r="AC348" i="17"/>
  <c r="AD336" i="17"/>
  <c r="AC258" i="17"/>
  <c r="AD308" i="17"/>
  <c r="AD299" i="17"/>
  <c r="AC211" i="17"/>
  <c r="AD211" i="17"/>
  <c r="AD305" i="17"/>
  <c r="AC304" i="17"/>
  <c r="AD301" i="17"/>
  <c r="AC330" i="17"/>
  <c r="AC278" i="17"/>
  <c r="AD212" i="17"/>
  <c r="AC120" i="17"/>
  <c r="AD98" i="17"/>
  <c r="AD201" i="17"/>
  <c r="AD316" i="17"/>
  <c r="AC387" i="17"/>
  <c r="AD89" i="17"/>
  <c r="AC291" i="17"/>
  <c r="AD122" i="17"/>
  <c r="AD172" i="17"/>
  <c r="AD57" i="17"/>
  <c r="AD136" i="17"/>
  <c r="AD121" i="17"/>
  <c r="AC207" i="17"/>
  <c r="F412" i="16" l="1"/>
  <c r="B412" i="16"/>
  <c r="E412" i="16" s="1"/>
  <c r="F411" i="16"/>
  <c r="B411" i="16"/>
  <c r="E411" i="16" s="1"/>
  <c r="G411" i="16" s="1"/>
  <c r="R411" i="16" s="1"/>
  <c r="S411" i="16" s="1"/>
  <c r="F410" i="16"/>
  <c r="B410" i="16"/>
  <c r="I410" i="16" s="1"/>
  <c r="F409" i="16"/>
  <c r="B409" i="16"/>
  <c r="F408" i="16"/>
  <c r="B408" i="16"/>
  <c r="M408" i="16" s="1"/>
  <c r="F407" i="16"/>
  <c r="B407" i="16"/>
  <c r="F406" i="16"/>
  <c r="B406" i="16"/>
  <c r="M406" i="16" s="1"/>
  <c r="K405" i="16"/>
  <c r="F405" i="16"/>
  <c r="B405" i="16"/>
  <c r="F404" i="16"/>
  <c r="B404" i="16"/>
  <c r="M404" i="16" s="1"/>
  <c r="F403" i="16"/>
  <c r="B403" i="16"/>
  <c r="F402" i="16"/>
  <c r="B402" i="16"/>
  <c r="F401" i="16"/>
  <c r="B401" i="16"/>
  <c r="F400" i="16"/>
  <c r="B400" i="16"/>
  <c r="M400" i="16" s="1"/>
  <c r="F399" i="16"/>
  <c r="B399" i="16"/>
  <c r="M399" i="16" s="1"/>
  <c r="F398" i="16"/>
  <c r="B398" i="16"/>
  <c r="M398" i="16" s="1"/>
  <c r="F397" i="16"/>
  <c r="B397" i="16"/>
  <c r="F396" i="16"/>
  <c r="B396" i="16"/>
  <c r="F395" i="16"/>
  <c r="B395" i="16"/>
  <c r="F394" i="16"/>
  <c r="B394" i="16"/>
  <c r="F393" i="16"/>
  <c r="B393" i="16"/>
  <c r="F392" i="16"/>
  <c r="B392" i="16"/>
  <c r="I392" i="16" s="1"/>
  <c r="F391" i="16"/>
  <c r="B391" i="16"/>
  <c r="K391" i="16" s="1"/>
  <c r="F390" i="16"/>
  <c r="B390" i="16"/>
  <c r="M390" i="16" s="1"/>
  <c r="F389" i="16"/>
  <c r="B389" i="16"/>
  <c r="F388" i="16"/>
  <c r="B388" i="16"/>
  <c r="F387" i="16"/>
  <c r="B387" i="16"/>
  <c r="F386" i="16"/>
  <c r="B386" i="16"/>
  <c r="F385" i="16"/>
  <c r="B385" i="16"/>
  <c r="F384" i="16"/>
  <c r="B384" i="16"/>
  <c r="F383" i="16"/>
  <c r="B383" i="16"/>
  <c r="M383" i="16" s="1"/>
  <c r="K382" i="16"/>
  <c r="F382" i="16"/>
  <c r="B382" i="16"/>
  <c r="M382" i="16" s="1"/>
  <c r="F381" i="16"/>
  <c r="B381" i="16"/>
  <c r="M381" i="16" s="1"/>
  <c r="F380" i="16"/>
  <c r="B380" i="16"/>
  <c r="M380" i="16" s="1"/>
  <c r="F379" i="16"/>
  <c r="B379" i="16"/>
  <c r="F378" i="16"/>
  <c r="B378" i="16"/>
  <c r="F377" i="16"/>
  <c r="B377" i="16"/>
  <c r="F376" i="16"/>
  <c r="B376" i="16"/>
  <c r="I376" i="16" s="1"/>
  <c r="F375" i="16"/>
  <c r="B375" i="16"/>
  <c r="K375" i="16" s="1"/>
  <c r="F374" i="16"/>
  <c r="B374" i="16"/>
  <c r="F373" i="16"/>
  <c r="B373" i="16"/>
  <c r="F372" i="16"/>
  <c r="B372" i="16"/>
  <c r="F371" i="16"/>
  <c r="B371" i="16"/>
  <c r="F370" i="16"/>
  <c r="B370" i="16"/>
  <c r="F369" i="16"/>
  <c r="B369" i="16"/>
  <c r="F368" i="16"/>
  <c r="B368" i="16"/>
  <c r="F367" i="16"/>
  <c r="B367" i="16"/>
  <c r="M367" i="16" s="1"/>
  <c r="F366" i="16"/>
  <c r="B366" i="16"/>
  <c r="M366" i="16" s="1"/>
  <c r="F365" i="16"/>
  <c r="B365" i="16"/>
  <c r="I365" i="16" s="1"/>
  <c r="M364" i="16"/>
  <c r="F364" i="16"/>
  <c r="B364" i="16"/>
  <c r="K364" i="16" s="1"/>
  <c r="F363" i="16"/>
  <c r="B363" i="16"/>
  <c r="K363" i="16" s="1"/>
  <c r="F362" i="16"/>
  <c r="B362" i="16"/>
  <c r="M362" i="16" s="1"/>
  <c r="F361" i="16"/>
  <c r="B361" i="16"/>
  <c r="F360" i="16"/>
  <c r="B360" i="16"/>
  <c r="F359" i="16"/>
  <c r="B359" i="16"/>
  <c r="K359" i="16" s="1"/>
  <c r="F358" i="16"/>
  <c r="B358" i="16"/>
  <c r="M358" i="16" s="1"/>
  <c r="F357" i="16"/>
  <c r="B357" i="16"/>
  <c r="F356" i="16"/>
  <c r="B356" i="16"/>
  <c r="M356" i="16" s="1"/>
  <c r="F355" i="16"/>
  <c r="B355" i="16"/>
  <c r="F354" i="16"/>
  <c r="B354" i="16"/>
  <c r="I354" i="16" s="1"/>
  <c r="F353" i="16"/>
  <c r="B353" i="16"/>
  <c r="K353" i="16" s="1"/>
  <c r="F352" i="16"/>
  <c r="B352" i="16"/>
  <c r="M352" i="16" s="1"/>
  <c r="F351" i="16"/>
  <c r="B351" i="16"/>
  <c r="M351" i="16" s="1"/>
  <c r="F350" i="16"/>
  <c r="B350" i="16"/>
  <c r="M350" i="16" s="1"/>
  <c r="F349" i="16"/>
  <c r="B349" i="16"/>
  <c r="F348" i="16"/>
  <c r="B348" i="16"/>
  <c r="F347" i="16"/>
  <c r="B347" i="16"/>
  <c r="F346" i="16"/>
  <c r="B346" i="16"/>
  <c r="F345" i="16"/>
  <c r="B345" i="16"/>
  <c r="F344" i="16"/>
  <c r="B344" i="16"/>
  <c r="M344" i="16" s="1"/>
  <c r="F343" i="16"/>
  <c r="B343" i="16"/>
  <c r="M343" i="16" s="1"/>
  <c r="F342" i="16"/>
  <c r="B342" i="16"/>
  <c r="M342" i="16" s="1"/>
  <c r="F341" i="16"/>
  <c r="B341" i="16"/>
  <c r="F340" i="16"/>
  <c r="B340" i="16"/>
  <c r="I340" i="16" s="1"/>
  <c r="F339" i="16"/>
  <c r="B339" i="16"/>
  <c r="M339" i="16" s="1"/>
  <c r="F338" i="16"/>
  <c r="B338" i="16"/>
  <c r="F337" i="16"/>
  <c r="B337" i="16"/>
  <c r="M337" i="16" s="1"/>
  <c r="F336" i="16"/>
  <c r="B336" i="16"/>
  <c r="F335" i="16"/>
  <c r="B335" i="16"/>
  <c r="M335" i="16" s="1"/>
  <c r="F334" i="16"/>
  <c r="B334" i="16"/>
  <c r="M334" i="16" s="1"/>
  <c r="F333" i="16"/>
  <c r="B333" i="16"/>
  <c r="F332" i="16"/>
  <c r="B332" i="16"/>
  <c r="I332" i="16" s="1"/>
  <c r="F331" i="16"/>
  <c r="B331" i="16"/>
  <c r="F330" i="16"/>
  <c r="B330" i="16"/>
  <c r="F329" i="16"/>
  <c r="B329" i="16"/>
  <c r="I329" i="16" s="1"/>
  <c r="F328" i="16"/>
  <c r="B328" i="16"/>
  <c r="M328" i="16" s="1"/>
  <c r="F327" i="16"/>
  <c r="B327" i="16"/>
  <c r="M327" i="16" s="1"/>
  <c r="F326" i="16"/>
  <c r="B326" i="16"/>
  <c r="F325" i="16"/>
  <c r="B325" i="16"/>
  <c r="K325" i="16" s="1"/>
  <c r="F324" i="16"/>
  <c r="B324" i="16"/>
  <c r="F323" i="16"/>
  <c r="B323" i="16"/>
  <c r="K323" i="16" s="1"/>
  <c r="F322" i="16"/>
  <c r="B322" i="16"/>
  <c r="F321" i="16"/>
  <c r="B321" i="16"/>
  <c r="F320" i="16"/>
  <c r="B320" i="16"/>
  <c r="F319" i="16"/>
  <c r="B319" i="16"/>
  <c r="F318" i="16"/>
  <c r="B318" i="16"/>
  <c r="M318" i="16" s="1"/>
  <c r="F317" i="16"/>
  <c r="B317" i="16"/>
  <c r="F316" i="16"/>
  <c r="B316" i="16"/>
  <c r="I316" i="16" s="1"/>
  <c r="F315" i="16"/>
  <c r="B315" i="16"/>
  <c r="F314" i="16"/>
  <c r="B314" i="16"/>
  <c r="M314" i="16" s="1"/>
  <c r="F313" i="16"/>
  <c r="B313" i="16"/>
  <c r="I313" i="16" s="1"/>
  <c r="F312" i="16"/>
  <c r="B312" i="16"/>
  <c r="F311" i="16"/>
  <c r="B311" i="16"/>
  <c r="I311" i="16" s="1"/>
  <c r="F310" i="16"/>
  <c r="B310" i="16"/>
  <c r="F309" i="16"/>
  <c r="B309" i="16"/>
  <c r="F308" i="16"/>
  <c r="B308" i="16"/>
  <c r="F307" i="16"/>
  <c r="B307" i="16"/>
  <c r="M307" i="16" s="1"/>
  <c r="F306" i="16"/>
  <c r="B306" i="16"/>
  <c r="F305" i="16"/>
  <c r="B305" i="16"/>
  <c r="M305" i="16" s="1"/>
  <c r="F304" i="16"/>
  <c r="B304" i="16"/>
  <c r="F303" i="16"/>
  <c r="B303" i="16"/>
  <c r="F302" i="16"/>
  <c r="B302" i="16"/>
  <c r="F301" i="16"/>
  <c r="B301" i="16"/>
  <c r="M301" i="16" s="1"/>
  <c r="F300" i="16"/>
  <c r="B300" i="16"/>
  <c r="F299" i="16"/>
  <c r="B299" i="16"/>
  <c r="F298" i="16"/>
  <c r="B298" i="16"/>
  <c r="K298" i="16" s="1"/>
  <c r="F297" i="16"/>
  <c r="B297" i="16"/>
  <c r="M297" i="16" s="1"/>
  <c r="F296" i="16"/>
  <c r="B296" i="16"/>
  <c r="F295" i="16"/>
  <c r="B295" i="16"/>
  <c r="F294" i="16"/>
  <c r="B294" i="16"/>
  <c r="F293" i="16"/>
  <c r="B293" i="16"/>
  <c r="M293" i="16" s="1"/>
  <c r="F292" i="16"/>
  <c r="B292" i="16"/>
  <c r="F291" i="16"/>
  <c r="B291" i="16"/>
  <c r="F290" i="16"/>
  <c r="B290" i="16"/>
  <c r="F289" i="16"/>
  <c r="B289" i="16"/>
  <c r="M289" i="16" s="1"/>
  <c r="F288" i="16"/>
  <c r="B288" i="16"/>
  <c r="M288" i="16" s="1"/>
  <c r="F287" i="16"/>
  <c r="B287" i="16"/>
  <c r="M287" i="16" s="1"/>
  <c r="F286" i="16"/>
  <c r="B286" i="16"/>
  <c r="F285" i="16"/>
  <c r="B285" i="16"/>
  <c r="M285" i="16" s="1"/>
  <c r="F284" i="16"/>
  <c r="B284" i="16"/>
  <c r="I284" i="16" s="1"/>
  <c r="F283" i="16"/>
  <c r="B283" i="16"/>
  <c r="F282" i="16"/>
  <c r="B282" i="16"/>
  <c r="F281" i="16"/>
  <c r="B281" i="16"/>
  <c r="M281" i="16" s="1"/>
  <c r="F280" i="16"/>
  <c r="B280" i="16"/>
  <c r="F279" i="16"/>
  <c r="B279" i="16"/>
  <c r="F278" i="16"/>
  <c r="B278" i="16"/>
  <c r="K278" i="16" s="1"/>
  <c r="F277" i="16"/>
  <c r="B277" i="16"/>
  <c r="I277" i="16" s="1"/>
  <c r="F276" i="16"/>
  <c r="B276" i="16"/>
  <c r="M275" i="16"/>
  <c r="K275" i="16"/>
  <c r="F275" i="16"/>
  <c r="B275" i="16"/>
  <c r="F274" i="16"/>
  <c r="B274" i="16"/>
  <c r="F273" i="16"/>
  <c r="B273" i="16"/>
  <c r="M273" i="16" s="1"/>
  <c r="F272" i="16"/>
  <c r="B272" i="16"/>
  <c r="F271" i="16"/>
  <c r="B271" i="16"/>
  <c r="K271" i="16" s="1"/>
  <c r="F270" i="16"/>
  <c r="B270" i="16"/>
  <c r="F269" i="16"/>
  <c r="B269" i="16"/>
  <c r="K269" i="16" s="1"/>
  <c r="F268" i="16"/>
  <c r="B268" i="16"/>
  <c r="M268" i="16" s="1"/>
  <c r="F267" i="16"/>
  <c r="B267" i="16"/>
  <c r="F266" i="16"/>
  <c r="B266" i="16"/>
  <c r="F265" i="16"/>
  <c r="B265" i="16"/>
  <c r="I265" i="16" s="1"/>
  <c r="F264" i="16"/>
  <c r="B264" i="16"/>
  <c r="F263" i="16"/>
  <c r="B263" i="16"/>
  <c r="F262" i="16"/>
  <c r="B262" i="16"/>
  <c r="F261" i="16"/>
  <c r="B261" i="16"/>
  <c r="F260" i="16"/>
  <c r="B260" i="16"/>
  <c r="F259" i="16"/>
  <c r="B259" i="16"/>
  <c r="F258" i="16"/>
  <c r="B258" i="16"/>
  <c r="F257" i="16"/>
  <c r="B257" i="16"/>
  <c r="M257" i="16" s="1"/>
  <c r="F256" i="16"/>
  <c r="B256" i="16"/>
  <c r="M256" i="16" s="1"/>
  <c r="F255" i="16"/>
  <c r="B255" i="16"/>
  <c r="K255" i="16" s="1"/>
  <c r="F254" i="16"/>
  <c r="B254" i="16"/>
  <c r="M254" i="16" s="1"/>
  <c r="F253" i="16"/>
  <c r="B253" i="16"/>
  <c r="M253" i="16" s="1"/>
  <c r="F252" i="16"/>
  <c r="B252" i="16"/>
  <c r="M252" i="16" s="1"/>
  <c r="F251" i="16"/>
  <c r="B251" i="16"/>
  <c r="F250" i="16"/>
  <c r="B250" i="16"/>
  <c r="F249" i="16"/>
  <c r="B249" i="16"/>
  <c r="M249" i="16" s="1"/>
  <c r="F248" i="16"/>
  <c r="B248" i="16"/>
  <c r="K248" i="16" s="1"/>
  <c r="F247" i="16"/>
  <c r="B247" i="16"/>
  <c r="F246" i="16"/>
  <c r="B246" i="16"/>
  <c r="K246" i="16" s="1"/>
  <c r="F245" i="16"/>
  <c r="B245" i="16"/>
  <c r="F244" i="16"/>
  <c r="B244" i="16"/>
  <c r="M244" i="16" s="1"/>
  <c r="F243" i="16"/>
  <c r="B243" i="16"/>
  <c r="K243" i="16" s="1"/>
  <c r="F242" i="16"/>
  <c r="B242" i="16"/>
  <c r="F241" i="16"/>
  <c r="B241" i="16"/>
  <c r="M241" i="16" s="1"/>
  <c r="F240" i="16"/>
  <c r="B240" i="16"/>
  <c r="F239" i="16"/>
  <c r="B239" i="16"/>
  <c r="F238" i="16"/>
  <c r="B238" i="16"/>
  <c r="F237" i="16"/>
  <c r="B237" i="16"/>
  <c r="F236" i="16"/>
  <c r="B236" i="16"/>
  <c r="K236" i="16" s="1"/>
  <c r="F235" i="16"/>
  <c r="B235" i="16"/>
  <c r="F234" i="16"/>
  <c r="B234" i="16"/>
  <c r="F233" i="16"/>
  <c r="B233" i="16"/>
  <c r="M233" i="16" s="1"/>
  <c r="F232" i="16"/>
  <c r="B232" i="16"/>
  <c r="M232" i="16" s="1"/>
  <c r="F231" i="16"/>
  <c r="B231" i="16"/>
  <c r="M231" i="16" s="1"/>
  <c r="F230" i="16"/>
  <c r="B230" i="16"/>
  <c r="F229" i="16"/>
  <c r="B229" i="16"/>
  <c r="K229" i="16" s="1"/>
  <c r="F228" i="16"/>
  <c r="B228" i="16"/>
  <c r="M228" i="16" s="1"/>
  <c r="F227" i="16"/>
  <c r="B227" i="16"/>
  <c r="F226" i="16"/>
  <c r="B226" i="16"/>
  <c r="F225" i="16"/>
  <c r="B225" i="16"/>
  <c r="M225" i="16" s="1"/>
  <c r="F224" i="16"/>
  <c r="B224" i="16"/>
  <c r="M224" i="16" s="1"/>
  <c r="F223" i="16"/>
  <c r="B223" i="16"/>
  <c r="F222" i="16"/>
  <c r="B222" i="16"/>
  <c r="I222" i="16" s="1"/>
  <c r="F221" i="16"/>
  <c r="B221" i="16"/>
  <c r="F220" i="16"/>
  <c r="B220" i="16"/>
  <c r="M220" i="16" s="1"/>
  <c r="F219" i="16"/>
  <c r="B219" i="16"/>
  <c r="I219" i="16" s="1"/>
  <c r="F218" i="16"/>
  <c r="B218" i="16"/>
  <c r="F217" i="16"/>
  <c r="B217" i="16"/>
  <c r="K217" i="16" s="1"/>
  <c r="F216" i="16"/>
  <c r="B216" i="16"/>
  <c r="M216" i="16" s="1"/>
  <c r="F215" i="16"/>
  <c r="B215" i="16"/>
  <c r="K215" i="16" s="1"/>
  <c r="F214" i="16"/>
  <c r="B214" i="16"/>
  <c r="F213" i="16"/>
  <c r="B213" i="16"/>
  <c r="M213" i="16" s="1"/>
  <c r="F212" i="16"/>
  <c r="B212" i="16"/>
  <c r="F211" i="16"/>
  <c r="B211" i="16"/>
  <c r="F210" i="16"/>
  <c r="B210" i="16"/>
  <c r="F209" i="16"/>
  <c r="B209" i="16"/>
  <c r="M209" i="16" s="1"/>
  <c r="F208" i="16"/>
  <c r="B208" i="16"/>
  <c r="F207" i="16"/>
  <c r="B207" i="16"/>
  <c r="F206" i="16"/>
  <c r="B206" i="16"/>
  <c r="F205" i="16"/>
  <c r="B205" i="16"/>
  <c r="F204" i="16"/>
  <c r="B204" i="16"/>
  <c r="F203" i="16"/>
  <c r="B203" i="16"/>
  <c r="I203" i="16" s="1"/>
  <c r="F202" i="16"/>
  <c r="B202" i="16"/>
  <c r="I202" i="16" s="1"/>
  <c r="F201" i="16"/>
  <c r="B201" i="16"/>
  <c r="K201" i="16" s="1"/>
  <c r="M200" i="16"/>
  <c r="K200" i="16"/>
  <c r="F200" i="16"/>
  <c r="B200" i="16"/>
  <c r="I200" i="16" s="1"/>
  <c r="F199" i="16"/>
  <c r="B199" i="16"/>
  <c r="F198" i="16"/>
  <c r="B198" i="16"/>
  <c r="M198" i="16" s="1"/>
  <c r="F197" i="16"/>
  <c r="B197" i="16"/>
  <c r="M197" i="16" s="1"/>
  <c r="F196" i="16"/>
  <c r="B196" i="16"/>
  <c r="M196" i="16" s="1"/>
  <c r="F195" i="16"/>
  <c r="B195" i="16"/>
  <c r="I195" i="16" s="1"/>
  <c r="F194" i="16"/>
  <c r="B194" i="16"/>
  <c r="F193" i="16"/>
  <c r="B193" i="16"/>
  <c r="M193" i="16" s="1"/>
  <c r="F192" i="16"/>
  <c r="B192" i="16"/>
  <c r="M192" i="16" s="1"/>
  <c r="F191" i="16"/>
  <c r="B191" i="16"/>
  <c r="F190" i="16"/>
  <c r="B190" i="16"/>
  <c r="F189" i="16"/>
  <c r="B189" i="16"/>
  <c r="M189" i="16" s="1"/>
  <c r="F188" i="16"/>
  <c r="B188" i="16"/>
  <c r="M188" i="16" s="1"/>
  <c r="F187" i="16"/>
  <c r="B187" i="16"/>
  <c r="F186" i="16"/>
  <c r="B186" i="16"/>
  <c r="M186" i="16" s="1"/>
  <c r="F185" i="16"/>
  <c r="B185" i="16"/>
  <c r="M185" i="16" s="1"/>
  <c r="F184" i="16"/>
  <c r="B184" i="16"/>
  <c r="M184" i="16" s="1"/>
  <c r="F183" i="16"/>
  <c r="B183" i="16"/>
  <c r="F182" i="16"/>
  <c r="B182" i="16"/>
  <c r="F181" i="16"/>
  <c r="B181" i="16"/>
  <c r="F180" i="16"/>
  <c r="B180" i="16"/>
  <c r="F179" i="16"/>
  <c r="B179" i="16"/>
  <c r="I179" i="16" s="1"/>
  <c r="F178" i="16"/>
  <c r="B178" i="16"/>
  <c r="F177" i="16"/>
  <c r="B177" i="16"/>
  <c r="F176" i="16"/>
  <c r="B176" i="16"/>
  <c r="F175" i="16"/>
  <c r="B175" i="16"/>
  <c r="M175" i="16" s="1"/>
  <c r="F174" i="16"/>
  <c r="B174" i="16"/>
  <c r="F173" i="16"/>
  <c r="B173" i="16"/>
  <c r="F172" i="16"/>
  <c r="B172" i="16"/>
  <c r="K172" i="16" s="1"/>
  <c r="F171" i="16"/>
  <c r="B171" i="16"/>
  <c r="I171" i="16" s="1"/>
  <c r="F170" i="16"/>
  <c r="B170" i="16"/>
  <c r="F169" i="16"/>
  <c r="B169" i="16"/>
  <c r="F168" i="16"/>
  <c r="B168" i="16"/>
  <c r="F167" i="16"/>
  <c r="B167" i="16"/>
  <c r="M167" i="16" s="1"/>
  <c r="F166" i="16"/>
  <c r="B166" i="16"/>
  <c r="M166" i="16" s="1"/>
  <c r="F165" i="16"/>
  <c r="B165" i="16"/>
  <c r="K165" i="16" s="1"/>
  <c r="F164" i="16"/>
  <c r="B164" i="16"/>
  <c r="K164" i="16" s="1"/>
  <c r="F163" i="16"/>
  <c r="B163" i="16"/>
  <c r="F162" i="16"/>
  <c r="B162" i="16"/>
  <c r="F161" i="16"/>
  <c r="B161" i="16"/>
  <c r="F160" i="16"/>
  <c r="B160" i="16"/>
  <c r="F159" i="16"/>
  <c r="B159" i="16"/>
  <c r="F158" i="16"/>
  <c r="B158" i="16"/>
  <c r="K158" i="16" s="1"/>
  <c r="F157" i="16"/>
  <c r="B157" i="16"/>
  <c r="M157" i="16" s="1"/>
  <c r="F156" i="16"/>
  <c r="B156" i="16"/>
  <c r="M156" i="16" s="1"/>
  <c r="F155" i="16"/>
  <c r="B155" i="16"/>
  <c r="I155" i="16" s="1"/>
  <c r="F154" i="16"/>
  <c r="B154" i="16"/>
  <c r="F153" i="16"/>
  <c r="B153" i="16"/>
  <c r="M153" i="16" s="1"/>
  <c r="F152" i="16"/>
  <c r="B152" i="16"/>
  <c r="F151" i="16"/>
  <c r="B151" i="16"/>
  <c r="F150" i="16"/>
  <c r="B150" i="16"/>
  <c r="M150" i="16" s="1"/>
  <c r="F149" i="16"/>
  <c r="B149" i="16"/>
  <c r="M149" i="16" s="1"/>
  <c r="F148" i="16"/>
  <c r="B148" i="16"/>
  <c r="M148" i="16" s="1"/>
  <c r="F147" i="16"/>
  <c r="B147" i="16"/>
  <c r="I147" i="16" s="1"/>
  <c r="F146" i="16"/>
  <c r="B146" i="16"/>
  <c r="F145" i="16"/>
  <c r="B145" i="16"/>
  <c r="M145" i="16" s="1"/>
  <c r="F144" i="16"/>
  <c r="B144" i="16"/>
  <c r="F143" i="16"/>
  <c r="B143" i="16"/>
  <c r="M143" i="16" s="1"/>
  <c r="F142" i="16"/>
  <c r="B142" i="16"/>
  <c r="M142" i="16" s="1"/>
  <c r="F141" i="16"/>
  <c r="B141" i="16"/>
  <c r="F140" i="16"/>
  <c r="B140" i="16"/>
  <c r="F139" i="16"/>
  <c r="B139" i="16"/>
  <c r="I139" i="16" s="1"/>
  <c r="F138" i="16"/>
  <c r="B138" i="16"/>
  <c r="F137" i="16"/>
  <c r="B137" i="16"/>
  <c r="I137" i="16" s="1"/>
  <c r="F136" i="16"/>
  <c r="B136" i="16"/>
  <c r="F135" i="16"/>
  <c r="B135" i="16"/>
  <c r="M135" i="16" s="1"/>
  <c r="F134" i="16"/>
  <c r="B134" i="16"/>
  <c r="F133" i="16"/>
  <c r="B133" i="16"/>
  <c r="K133" i="16" s="1"/>
  <c r="F132" i="16"/>
  <c r="B132" i="16"/>
  <c r="K132" i="16" s="1"/>
  <c r="F131" i="16"/>
  <c r="B131" i="16"/>
  <c r="I131" i="16" s="1"/>
  <c r="F130" i="16"/>
  <c r="B130" i="16"/>
  <c r="I130" i="16" s="1"/>
  <c r="F129" i="16"/>
  <c r="B129" i="16"/>
  <c r="M129" i="16" s="1"/>
  <c r="F128" i="16"/>
  <c r="B128" i="16"/>
  <c r="K128" i="16" s="1"/>
  <c r="F127" i="16"/>
  <c r="B127" i="16"/>
  <c r="M127" i="16" s="1"/>
  <c r="F126" i="16"/>
  <c r="B126" i="16"/>
  <c r="I126" i="16" s="1"/>
  <c r="F125" i="16"/>
  <c r="B125" i="16"/>
  <c r="F124" i="16"/>
  <c r="B124" i="16"/>
  <c r="F123" i="16"/>
  <c r="B123" i="16"/>
  <c r="F122" i="16"/>
  <c r="B122" i="16"/>
  <c r="M122" i="16" s="1"/>
  <c r="F121" i="16"/>
  <c r="B121" i="16"/>
  <c r="F120" i="16"/>
  <c r="B120" i="16"/>
  <c r="F119" i="16"/>
  <c r="B119" i="16"/>
  <c r="F118" i="16"/>
  <c r="B118" i="16"/>
  <c r="F117" i="16"/>
  <c r="B117" i="16"/>
  <c r="K117" i="16" s="1"/>
  <c r="F116" i="16"/>
  <c r="B116" i="16"/>
  <c r="K116" i="16" s="1"/>
  <c r="F115" i="16"/>
  <c r="B115" i="16"/>
  <c r="I115" i="16" s="1"/>
  <c r="F114" i="16"/>
  <c r="B114" i="16"/>
  <c r="I114" i="16" s="1"/>
  <c r="F113" i="16"/>
  <c r="B113" i="16"/>
  <c r="M113" i="16" s="1"/>
  <c r="F112" i="16"/>
  <c r="B112" i="16"/>
  <c r="K112" i="16" s="1"/>
  <c r="F111" i="16"/>
  <c r="B111" i="16"/>
  <c r="M111" i="16" s="1"/>
  <c r="F110" i="16"/>
  <c r="B110" i="16"/>
  <c r="I110" i="16" s="1"/>
  <c r="F109" i="16"/>
  <c r="B109" i="16"/>
  <c r="F108" i="16"/>
  <c r="B108" i="16"/>
  <c r="F107" i="16"/>
  <c r="B107" i="16"/>
  <c r="F106" i="16"/>
  <c r="B106" i="16"/>
  <c r="I106" i="16" s="1"/>
  <c r="F105" i="16"/>
  <c r="B105" i="16"/>
  <c r="F104" i="16"/>
  <c r="B104" i="16"/>
  <c r="F103" i="16"/>
  <c r="B103" i="16"/>
  <c r="M103" i="16" s="1"/>
  <c r="F102" i="16"/>
  <c r="B102" i="16"/>
  <c r="F101" i="16"/>
  <c r="B101" i="16"/>
  <c r="M101" i="16" s="1"/>
  <c r="F100" i="16"/>
  <c r="B100" i="16"/>
  <c r="F99" i="16"/>
  <c r="B99" i="16"/>
  <c r="I99" i="16" s="1"/>
  <c r="F98" i="16"/>
  <c r="B98" i="16"/>
  <c r="I98" i="16" s="1"/>
  <c r="F97" i="16"/>
  <c r="B97" i="16"/>
  <c r="I97" i="16" s="1"/>
  <c r="F96" i="16"/>
  <c r="B96" i="16"/>
  <c r="M96" i="16" s="1"/>
  <c r="F95" i="16"/>
  <c r="B95" i="16"/>
  <c r="M95" i="16" s="1"/>
  <c r="F94" i="16"/>
  <c r="B94" i="16"/>
  <c r="F93" i="16"/>
  <c r="B93" i="16"/>
  <c r="I93" i="16" s="1"/>
  <c r="F92" i="16"/>
  <c r="B92" i="16"/>
  <c r="F91" i="16"/>
  <c r="B91" i="16"/>
  <c r="F90" i="16"/>
  <c r="B90" i="16"/>
  <c r="K90" i="16" s="1"/>
  <c r="F89" i="16"/>
  <c r="B89" i="16"/>
  <c r="I89" i="16" s="1"/>
  <c r="F88" i="16"/>
  <c r="B88" i="16"/>
  <c r="M88" i="16" s="1"/>
  <c r="F87" i="16"/>
  <c r="B87" i="16"/>
  <c r="I87" i="16" s="1"/>
  <c r="F86" i="16"/>
  <c r="B86" i="16"/>
  <c r="M86" i="16" s="1"/>
  <c r="F85" i="16"/>
  <c r="B85" i="16"/>
  <c r="I85" i="16" s="1"/>
  <c r="F84" i="16"/>
  <c r="B84" i="16"/>
  <c r="M84" i="16" s="1"/>
  <c r="F83" i="16"/>
  <c r="B83" i="16"/>
  <c r="F82" i="16"/>
  <c r="B82" i="16"/>
  <c r="K82" i="16" s="1"/>
  <c r="F81" i="16"/>
  <c r="B81" i="16"/>
  <c r="K81" i="16" s="1"/>
  <c r="F80" i="16"/>
  <c r="B80" i="16"/>
  <c r="F79" i="16"/>
  <c r="B79" i="16"/>
  <c r="M79" i="16" s="1"/>
  <c r="F78" i="16"/>
  <c r="B78" i="16"/>
  <c r="F77" i="16"/>
  <c r="B77" i="16"/>
  <c r="K77" i="16" s="1"/>
  <c r="F76" i="16"/>
  <c r="B76" i="16"/>
  <c r="F75" i="16"/>
  <c r="B75" i="16"/>
  <c r="F74" i="16"/>
  <c r="B74" i="16"/>
  <c r="F73" i="16"/>
  <c r="B73" i="16"/>
  <c r="F72" i="16"/>
  <c r="B72" i="16"/>
  <c r="M72" i="16" s="1"/>
  <c r="F71" i="16"/>
  <c r="B71" i="16"/>
  <c r="F70" i="16"/>
  <c r="B70" i="16"/>
  <c r="M70" i="16" s="1"/>
  <c r="F69" i="16"/>
  <c r="B69" i="16"/>
  <c r="I69" i="16" s="1"/>
  <c r="F68" i="16"/>
  <c r="B68" i="16"/>
  <c r="M68" i="16" s="1"/>
  <c r="F67" i="16"/>
  <c r="B67" i="16"/>
  <c r="K67" i="16" s="1"/>
  <c r="F66" i="16"/>
  <c r="B66" i="16"/>
  <c r="M66" i="16" s="1"/>
  <c r="F65" i="16"/>
  <c r="B65" i="16"/>
  <c r="F64" i="16"/>
  <c r="B64" i="16"/>
  <c r="M64" i="16" s="1"/>
  <c r="F63" i="16"/>
  <c r="B63" i="16"/>
  <c r="F62" i="16"/>
  <c r="B62" i="16"/>
  <c r="M62" i="16" s="1"/>
  <c r="F61" i="16"/>
  <c r="B61" i="16"/>
  <c r="I61" i="16" s="1"/>
  <c r="F60" i="16"/>
  <c r="B60" i="16"/>
  <c r="F59" i="16"/>
  <c r="B59" i="16"/>
  <c r="K59" i="16" s="1"/>
  <c r="F58" i="16"/>
  <c r="B58" i="16"/>
  <c r="M58" i="16" s="1"/>
  <c r="F57" i="16"/>
  <c r="B57" i="16"/>
  <c r="F56" i="16"/>
  <c r="B56" i="16"/>
  <c r="F55" i="16"/>
  <c r="B55" i="16"/>
  <c r="F54" i="16"/>
  <c r="B54" i="16"/>
  <c r="F53" i="16"/>
  <c r="B53" i="16"/>
  <c r="I53" i="16" s="1"/>
  <c r="F52" i="16"/>
  <c r="B52" i="16"/>
  <c r="F51" i="16"/>
  <c r="B51" i="16"/>
  <c r="K51" i="16" s="1"/>
  <c r="F50" i="16"/>
  <c r="B50" i="16"/>
  <c r="F49" i="16"/>
  <c r="B49" i="16"/>
  <c r="F48" i="16"/>
  <c r="B48" i="16"/>
  <c r="M48" i="16" s="1"/>
  <c r="F47" i="16"/>
  <c r="B47" i="16"/>
  <c r="F46" i="16"/>
  <c r="B46" i="16"/>
  <c r="I46" i="16" s="1"/>
  <c r="F45" i="16"/>
  <c r="B45" i="16"/>
  <c r="I45" i="16" s="1"/>
  <c r="F44" i="16"/>
  <c r="B44" i="16"/>
  <c r="F43" i="16"/>
  <c r="B43" i="16"/>
  <c r="F42" i="16"/>
  <c r="B42" i="16"/>
  <c r="M42" i="16" s="1"/>
  <c r="F41" i="16"/>
  <c r="B41" i="16"/>
  <c r="F40" i="16"/>
  <c r="B40" i="16"/>
  <c r="F39" i="16"/>
  <c r="B39" i="16"/>
  <c r="F38" i="16"/>
  <c r="B38" i="16"/>
  <c r="M38" i="16" s="1"/>
  <c r="F37" i="16"/>
  <c r="B37" i="16"/>
  <c r="I37" i="16" s="1"/>
  <c r="F36" i="16"/>
  <c r="B36" i="16"/>
  <c r="F35" i="16"/>
  <c r="B35" i="16"/>
  <c r="K35" i="16" s="1"/>
  <c r="F34" i="16"/>
  <c r="B34" i="16"/>
  <c r="F33" i="16"/>
  <c r="B33" i="16"/>
  <c r="F32" i="16"/>
  <c r="B32" i="16"/>
  <c r="F31" i="16"/>
  <c r="B31" i="16"/>
  <c r="K31" i="16" s="1"/>
  <c r="F30" i="16"/>
  <c r="B30" i="16"/>
  <c r="M30" i="16" s="1"/>
  <c r="F29" i="16"/>
  <c r="B29" i="16"/>
  <c r="I29" i="16" s="1"/>
  <c r="F28" i="16"/>
  <c r="B28" i="16"/>
  <c r="F27" i="16"/>
  <c r="B27" i="16"/>
  <c r="K27" i="16" s="1"/>
  <c r="F26" i="16"/>
  <c r="B26" i="16"/>
  <c r="M26" i="16" s="1"/>
  <c r="F25" i="16"/>
  <c r="B25" i="16"/>
  <c r="F24" i="16"/>
  <c r="B24" i="16"/>
  <c r="M24" i="16" s="1"/>
  <c r="F23" i="16"/>
  <c r="B23" i="16"/>
  <c r="F22" i="16"/>
  <c r="B22" i="16"/>
  <c r="F21" i="16"/>
  <c r="B21" i="16"/>
  <c r="F20" i="16"/>
  <c r="B20" i="16"/>
  <c r="M20" i="16" s="1"/>
  <c r="F19" i="16"/>
  <c r="B19" i="16"/>
  <c r="K19" i="16" s="1"/>
  <c r="F18" i="16"/>
  <c r="B18" i="16"/>
  <c r="M18" i="16" s="1"/>
  <c r="F17" i="16"/>
  <c r="B17" i="16"/>
  <c r="F16" i="16"/>
  <c r="B16" i="16"/>
  <c r="M16" i="16" s="1"/>
  <c r="F15" i="16"/>
  <c r="B15" i="16"/>
  <c r="F14" i="16"/>
  <c r="B14" i="16"/>
  <c r="F13" i="16"/>
  <c r="B13" i="16"/>
  <c r="F12" i="16"/>
  <c r="B12" i="16"/>
  <c r="M12" i="16" s="1"/>
  <c r="F11" i="16"/>
  <c r="B11" i="16"/>
  <c r="F10" i="16"/>
  <c r="B10" i="16"/>
  <c r="I10" i="16" s="1"/>
  <c r="F9" i="16"/>
  <c r="B9" i="16"/>
  <c r="I9" i="16" s="1"/>
  <c r="F8" i="16"/>
  <c r="B8" i="16"/>
  <c r="F7" i="16"/>
  <c r="B7" i="16"/>
  <c r="I7" i="16" s="1"/>
  <c r="F6" i="16"/>
  <c r="B6" i="16"/>
  <c r="F5" i="16"/>
  <c r="B5" i="16"/>
  <c r="F4" i="16"/>
  <c r="B4" i="16"/>
  <c r="F3" i="16"/>
  <c r="B3" i="16"/>
  <c r="F2" i="16"/>
  <c r="B2" i="16"/>
  <c r="E83" i="16" l="1"/>
  <c r="G83" i="16" s="1"/>
  <c r="R83" i="16" s="1"/>
  <c r="S83" i="16" s="1"/>
  <c r="I366" i="16"/>
  <c r="E21" i="16"/>
  <c r="I225" i="16"/>
  <c r="M322" i="16"/>
  <c r="M2" i="16"/>
  <c r="K2" i="16"/>
  <c r="E44" i="16"/>
  <c r="G44" i="16" s="1"/>
  <c r="E369" i="16"/>
  <c r="E377" i="16"/>
  <c r="K52" i="16"/>
  <c r="E8" i="16"/>
  <c r="I84" i="16"/>
  <c r="K89" i="16"/>
  <c r="E278" i="16"/>
  <c r="G278" i="16" s="1"/>
  <c r="R278" i="16" s="1"/>
  <c r="S278" i="16" s="1"/>
  <c r="E105" i="16"/>
  <c r="G105" i="16" s="1"/>
  <c r="R105" i="16" s="1"/>
  <c r="S105" i="16" s="1"/>
  <c r="E118" i="16"/>
  <c r="E401" i="16"/>
  <c r="I241" i="16"/>
  <c r="I289" i="16"/>
  <c r="I25" i="16"/>
  <c r="M23" i="16"/>
  <c r="K25" i="16"/>
  <c r="K30" i="16"/>
  <c r="M139" i="16"/>
  <c r="M106" i="16"/>
  <c r="K216" i="16"/>
  <c r="K287" i="16"/>
  <c r="K289" i="16"/>
  <c r="K93" i="16"/>
  <c r="K137" i="16"/>
  <c r="K196" i="16"/>
  <c r="E14" i="16"/>
  <c r="E34" i="16"/>
  <c r="E63" i="16"/>
  <c r="E107" i="16"/>
  <c r="G107" i="16" s="1"/>
  <c r="R107" i="16" s="1"/>
  <c r="S107" i="16" s="1"/>
  <c r="K135" i="16"/>
  <c r="M179" i="16"/>
  <c r="K326" i="16"/>
  <c r="E358" i="16"/>
  <c r="G358" i="16" s="1"/>
  <c r="R358" i="16" s="1"/>
  <c r="S358" i="16" s="1"/>
  <c r="E71" i="16"/>
  <c r="G71" i="16" s="1"/>
  <c r="R71" i="16" s="1"/>
  <c r="S71" i="16" s="1"/>
  <c r="E162" i="16"/>
  <c r="E299" i="16"/>
  <c r="E125" i="16"/>
  <c r="G125" i="16" s="1"/>
  <c r="R125" i="16" s="1"/>
  <c r="S125" i="16" s="1"/>
  <c r="G369" i="16"/>
  <c r="R369" i="16" s="1"/>
  <c r="S369" i="16" s="1"/>
  <c r="E367" i="16"/>
  <c r="E385" i="16"/>
  <c r="I173" i="16"/>
  <c r="I175" i="16"/>
  <c r="K237" i="16"/>
  <c r="K241" i="16"/>
  <c r="I266" i="16"/>
  <c r="E305" i="16"/>
  <c r="K343" i="16"/>
  <c r="M353" i="16"/>
  <c r="K367" i="16"/>
  <c r="K104" i="16"/>
  <c r="M6" i="16"/>
  <c r="K36" i="16"/>
  <c r="M34" i="16"/>
  <c r="E65" i="16"/>
  <c r="M237" i="16"/>
  <c r="E242" i="16"/>
  <c r="K266" i="16"/>
  <c r="E279" i="16"/>
  <c r="I290" i="16"/>
  <c r="I300" i="16"/>
  <c r="E303" i="16"/>
  <c r="G303" i="16" s="1"/>
  <c r="R303" i="16" s="1"/>
  <c r="S303" i="16" s="1"/>
  <c r="I6" i="16"/>
  <c r="K6" i="16"/>
  <c r="I52" i="16"/>
  <c r="I54" i="16"/>
  <c r="K188" i="16"/>
  <c r="K290" i="16"/>
  <c r="K300" i="16"/>
  <c r="I328" i="16"/>
  <c r="K73" i="16"/>
  <c r="E13" i="16"/>
  <c r="M17" i="16"/>
  <c r="K34" i="16"/>
  <c r="I36" i="16"/>
  <c r="M56" i="16"/>
  <c r="K179" i="16"/>
  <c r="M181" i="16"/>
  <c r="I188" i="16"/>
  <c r="E245" i="16"/>
  <c r="G245" i="16" s="1"/>
  <c r="R245" i="16" s="1"/>
  <c r="S245" i="16" s="1"/>
  <c r="E249" i="16"/>
  <c r="E280" i="16"/>
  <c r="G280" i="16" s="1"/>
  <c r="R280" i="16" s="1"/>
  <c r="S280" i="16" s="1"/>
  <c r="M316" i="16"/>
  <c r="I350" i="16"/>
  <c r="I367" i="16"/>
  <c r="K386" i="16"/>
  <c r="K393" i="16"/>
  <c r="K398" i="16"/>
  <c r="K350" i="16"/>
  <c r="E94" i="16"/>
  <c r="G94" i="16" s="1"/>
  <c r="E134" i="16"/>
  <c r="E164" i="16"/>
  <c r="E174" i="16"/>
  <c r="G174" i="16" s="1"/>
  <c r="R174" i="16" s="1"/>
  <c r="S174" i="16" s="1"/>
  <c r="I237" i="16"/>
  <c r="I287" i="16"/>
  <c r="E308" i="16"/>
  <c r="G308" i="16" s="1"/>
  <c r="R308" i="16" s="1"/>
  <c r="S308" i="16" s="1"/>
  <c r="M326" i="16"/>
  <c r="E351" i="16"/>
  <c r="G351" i="16" s="1"/>
  <c r="R351" i="16" s="1"/>
  <c r="S351" i="16" s="1"/>
  <c r="E371" i="16"/>
  <c r="I73" i="16"/>
  <c r="I75" i="16"/>
  <c r="K285" i="16"/>
  <c r="I293" i="16"/>
  <c r="E360" i="16"/>
  <c r="E409" i="16"/>
  <c r="G409" i="16" s="1"/>
  <c r="R409" i="16" s="1"/>
  <c r="S409" i="16" s="1"/>
  <c r="M112" i="16"/>
  <c r="I117" i="16"/>
  <c r="K75" i="16"/>
  <c r="I378" i="16"/>
  <c r="I399" i="16"/>
  <c r="K401" i="16"/>
  <c r="M4" i="16"/>
  <c r="E131" i="16"/>
  <c r="G131" i="16" s="1"/>
  <c r="R131" i="16" s="1"/>
  <c r="S131" i="16" s="1"/>
  <c r="I2" i="16"/>
  <c r="I92" i="16"/>
  <c r="K96" i="16"/>
  <c r="K150" i="16"/>
  <c r="I152" i="16"/>
  <c r="M222" i="16"/>
  <c r="I231" i="16"/>
  <c r="M303" i="16"/>
  <c r="K39" i="16"/>
  <c r="I44" i="16"/>
  <c r="E54" i="16"/>
  <c r="E74" i="16"/>
  <c r="E76" i="16"/>
  <c r="I90" i="16"/>
  <c r="I101" i="16"/>
  <c r="K127" i="16"/>
  <c r="M134" i="16"/>
  <c r="I189" i="16"/>
  <c r="K193" i="16"/>
  <c r="K231" i="16"/>
  <c r="I233" i="16"/>
  <c r="I257" i="16"/>
  <c r="K272" i="16"/>
  <c r="I281" i="16"/>
  <c r="I325" i="16"/>
  <c r="E348" i="16"/>
  <c r="I351" i="16"/>
  <c r="M371" i="16"/>
  <c r="M376" i="16"/>
  <c r="K378" i="16"/>
  <c r="I390" i="16"/>
  <c r="K399" i="16"/>
  <c r="M37" i="16"/>
  <c r="I39" i="16"/>
  <c r="M191" i="16"/>
  <c r="I193" i="16"/>
  <c r="K17" i="16"/>
  <c r="E25" i="16"/>
  <c r="E38" i="16"/>
  <c r="G38" i="16" s="1"/>
  <c r="R38" i="16" s="1"/>
  <c r="S38" i="16" s="1"/>
  <c r="K44" i="16"/>
  <c r="E47" i="16"/>
  <c r="G47" i="16" s="1"/>
  <c r="R47" i="16" s="1"/>
  <c r="S47" i="16" s="1"/>
  <c r="E95" i="16"/>
  <c r="K120" i="16"/>
  <c r="E175" i="16"/>
  <c r="E186" i="16"/>
  <c r="I246" i="16"/>
  <c r="I253" i="16"/>
  <c r="M272" i="16"/>
  <c r="K281" i="16"/>
  <c r="K318" i="16"/>
  <c r="K351" i="16"/>
  <c r="E111" i="16"/>
  <c r="G111" i="16" s="1"/>
  <c r="R111" i="16" s="1"/>
  <c r="S111" i="16" s="1"/>
  <c r="E406" i="16"/>
  <c r="G406" i="16" s="1"/>
  <c r="E232" i="16"/>
  <c r="G232" i="16" s="1"/>
  <c r="K14" i="16"/>
  <c r="K94" i="16"/>
  <c r="I157" i="16"/>
  <c r="M170" i="16"/>
  <c r="I185" i="16"/>
  <c r="I209" i="16"/>
  <c r="G8" i="16"/>
  <c r="R8" i="16" s="1"/>
  <c r="S8" i="16" s="1"/>
  <c r="M14" i="16"/>
  <c r="M81" i="16"/>
  <c r="E84" i="16"/>
  <c r="G84" i="16" s="1"/>
  <c r="R84" i="16" s="1"/>
  <c r="S84" i="16" s="1"/>
  <c r="M94" i="16"/>
  <c r="K149" i="16"/>
  <c r="K157" i="16"/>
  <c r="K185" i="16"/>
  <c r="E193" i="16"/>
  <c r="G193" i="16" s="1"/>
  <c r="R193" i="16" s="1"/>
  <c r="S193" i="16" s="1"/>
  <c r="E208" i="16"/>
  <c r="K209" i="16"/>
  <c r="M242" i="16"/>
  <c r="E253" i="16"/>
  <c r="G253" i="16" s="1"/>
  <c r="R253" i="16" s="1"/>
  <c r="S253" i="16" s="1"/>
  <c r="E264" i="16"/>
  <c r="G264" i="16" s="1"/>
  <c r="R264" i="16" s="1"/>
  <c r="S264" i="16" s="1"/>
  <c r="K273" i="16"/>
  <c r="M277" i="16"/>
  <c r="E281" i="16"/>
  <c r="E283" i="16"/>
  <c r="G283" i="16" s="1"/>
  <c r="R283" i="16" s="1"/>
  <c r="S283" i="16" s="1"/>
  <c r="K296" i="16"/>
  <c r="I301" i="16"/>
  <c r="M304" i="16"/>
  <c r="M311" i="16"/>
  <c r="K322" i="16"/>
  <c r="K329" i="16"/>
  <c r="K344" i="16"/>
  <c r="M365" i="16"/>
  <c r="M379" i="16"/>
  <c r="K383" i="16"/>
  <c r="K397" i="16"/>
  <c r="I405" i="16"/>
  <c r="E67" i="16"/>
  <c r="E209" i="16"/>
  <c r="G209" i="16" s="1"/>
  <c r="R209" i="16" s="1"/>
  <c r="S209" i="16" s="1"/>
  <c r="K29" i="16"/>
  <c r="I60" i="16"/>
  <c r="I122" i="16"/>
  <c r="I149" i="16"/>
  <c r="M215" i="16"/>
  <c r="M29" i="16"/>
  <c r="G34" i="16"/>
  <c r="R34" i="16" s="1"/>
  <c r="S34" i="16" s="1"/>
  <c r="K50" i="16"/>
  <c r="K60" i="16"/>
  <c r="I62" i="16"/>
  <c r="I70" i="16"/>
  <c r="M87" i="16"/>
  <c r="K110" i="16"/>
  <c r="E15" i="16"/>
  <c r="G15" i="16" s="1"/>
  <c r="R15" i="16" s="1"/>
  <c r="S15" i="16" s="1"/>
  <c r="E49" i="16"/>
  <c r="G49" i="16" s="1"/>
  <c r="R49" i="16" s="1"/>
  <c r="S49" i="16" s="1"/>
  <c r="M50" i="16"/>
  <c r="K62" i="16"/>
  <c r="K70" i="16"/>
  <c r="E86" i="16"/>
  <c r="G86" i="16" s="1"/>
  <c r="E101" i="16"/>
  <c r="E109" i="16"/>
  <c r="G109" i="16" s="1"/>
  <c r="R109" i="16" s="1"/>
  <c r="S109" i="16" s="1"/>
  <c r="M110" i="16"/>
  <c r="E121" i="16"/>
  <c r="G121" i="16" s="1"/>
  <c r="R121" i="16" s="1"/>
  <c r="S121" i="16" s="1"/>
  <c r="E123" i="16"/>
  <c r="G123" i="16" s="1"/>
  <c r="R123" i="16" s="1"/>
  <c r="S123" i="16" s="1"/>
  <c r="E184" i="16"/>
  <c r="G184" i="16" s="1"/>
  <c r="R184" i="16" s="1"/>
  <c r="S184" i="16" s="1"/>
  <c r="E225" i="16"/>
  <c r="G225" i="16" s="1"/>
  <c r="R225" i="16" s="1"/>
  <c r="S225" i="16" s="1"/>
  <c r="E233" i="16"/>
  <c r="G233" i="16" s="1"/>
  <c r="E257" i="16"/>
  <c r="G257" i="16" s="1"/>
  <c r="E289" i="16"/>
  <c r="G289" i="16" s="1"/>
  <c r="R289" i="16" s="1"/>
  <c r="S289" i="16" s="1"/>
  <c r="M296" i="16"/>
  <c r="K301" i="16"/>
  <c r="E310" i="16"/>
  <c r="M329" i="16"/>
  <c r="E341" i="16"/>
  <c r="G341" i="16" s="1"/>
  <c r="R341" i="16" s="1"/>
  <c r="S341" i="16" s="1"/>
  <c r="E345" i="16"/>
  <c r="G345" i="16" s="1"/>
  <c r="R345" i="16" s="1"/>
  <c r="S345" i="16" s="1"/>
  <c r="E364" i="16"/>
  <c r="G364" i="16" s="1"/>
  <c r="R364" i="16" s="1"/>
  <c r="S364" i="16" s="1"/>
  <c r="E115" i="16"/>
  <c r="G115" i="16" s="1"/>
  <c r="R115" i="16" s="1"/>
  <c r="S115" i="16" s="1"/>
  <c r="E335" i="16"/>
  <c r="G335" i="16" s="1"/>
  <c r="R335" i="16" s="1"/>
  <c r="S335" i="16" s="1"/>
  <c r="E273" i="16"/>
  <c r="E327" i="16"/>
  <c r="E383" i="16"/>
  <c r="G383" i="16" s="1"/>
  <c r="R383" i="16" s="1"/>
  <c r="S383" i="16" s="1"/>
  <c r="M40" i="16"/>
  <c r="E62" i="16"/>
  <c r="G62" i="16" s="1"/>
  <c r="R62" i="16" s="1"/>
  <c r="S62" i="16" s="1"/>
  <c r="K63" i="16"/>
  <c r="I65" i="16"/>
  <c r="M90" i="16"/>
  <c r="K92" i="16"/>
  <c r="K95" i="16"/>
  <c r="K101" i="16"/>
  <c r="K103" i="16"/>
  <c r="E110" i="16"/>
  <c r="G110" i="16" s="1"/>
  <c r="R110" i="16" s="1"/>
  <c r="S110" i="16" s="1"/>
  <c r="K136" i="16"/>
  <c r="I138" i="16"/>
  <c r="E141" i="16"/>
  <c r="I158" i="16"/>
  <c r="I192" i="16"/>
  <c r="K195" i="16"/>
  <c r="E202" i="16"/>
  <c r="G202" i="16" s="1"/>
  <c r="R202" i="16" s="1"/>
  <c r="S202" i="16" s="1"/>
  <c r="K213" i="16"/>
  <c r="K233" i="16"/>
  <c r="I249" i="16"/>
  <c r="K257" i="16"/>
  <c r="I278" i="16"/>
  <c r="K299" i="16"/>
  <c r="E301" i="16"/>
  <c r="G301" i="16" s="1"/>
  <c r="R301" i="16" s="1"/>
  <c r="S301" i="16" s="1"/>
  <c r="I302" i="16"/>
  <c r="I323" i="16"/>
  <c r="M325" i="16"/>
  <c r="E329" i="16"/>
  <c r="G329" i="16" s="1"/>
  <c r="E349" i="16"/>
  <c r="I358" i="16"/>
  <c r="K366" i="16"/>
  <c r="K370" i="16"/>
  <c r="E397" i="16"/>
  <c r="G397" i="16" s="1"/>
  <c r="R397" i="16" s="1"/>
  <c r="S397" i="16" s="1"/>
  <c r="E297" i="16"/>
  <c r="G297" i="16" s="1"/>
  <c r="E143" i="16"/>
  <c r="G143" i="16" s="1"/>
  <c r="R143" i="16" s="1"/>
  <c r="S143" i="16" s="1"/>
  <c r="E149" i="16"/>
  <c r="G149" i="16" s="1"/>
  <c r="E157" i="16"/>
  <c r="G157" i="16" s="1"/>
  <c r="R157" i="16" s="1"/>
  <c r="S157" i="16" s="1"/>
  <c r="I20" i="16"/>
  <c r="M22" i="16"/>
  <c r="E2" i="16"/>
  <c r="G2" i="16" s="1"/>
  <c r="M3" i="16"/>
  <c r="M9" i="16"/>
  <c r="I14" i="16"/>
  <c r="K20" i="16"/>
  <c r="E23" i="16"/>
  <c r="G23" i="16" s="1"/>
  <c r="R23" i="16" s="1"/>
  <c r="S23" i="16" s="1"/>
  <c r="E27" i="16"/>
  <c r="G27" i="16" s="1"/>
  <c r="I33" i="16"/>
  <c r="E41" i="16"/>
  <c r="G41" i="16" s="1"/>
  <c r="R41" i="16" s="1"/>
  <c r="S41" i="16" s="1"/>
  <c r="K53" i="16"/>
  <c r="M63" i="16"/>
  <c r="K65" i="16"/>
  <c r="M92" i="16"/>
  <c r="M97" i="16"/>
  <c r="K111" i="16"/>
  <c r="M128" i="16"/>
  <c r="E135" i="16"/>
  <c r="G135" i="16" s="1"/>
  <c r="K145" i="16"/>
  <c r="M158" i="16"/>
  <c r="K170" i="16"/>
  <c r="K192" i="16"/>
  <c r="E194" i="16"/>
  <c r="G194" i="16" s="1"/>
  <c r="R194" i="16" s="1"/>
  <c r="S194" i="16" s="1"/>
  <c r="I215" i="16"/>
  <c r="K219" i="16"/>
  <c r="E231" i="16"/>
  <c r="G231" i="16" s="1"/>
  <c r="E246" i="16"/>
  <c r="G246" i="16" s="1"/>
  <c r="R246" i="16" s="1"/>
  <c r="S246" i="16" s="1"/>
  <c r="I256" i="16"/>
  <c r="E258" i="16"/>
  <c r="E272" i="16"/>
  <c r="G272" i="16" s="1"/>
  <c r="M278" i="16"/>
  <c r="M280" i="16"/>
  <c r="M284" i="16"/>
  <c r="M299" i="16"/>
  <c r="K302" i="16"/>
  <c r="E324" i="16"/>
  <c r="G324" i="16" s="1"/>
  <c r="R324" i="16" s="1"/>
  <c r="S324" i="16" s="1"/>
  <c r="I335" i="16"/>
  <c r="I363" i="16"/>
  <c r="M370" i="16"/>
  <c r="E399" i="16"/>
  <c r="K400" i="16"/>
  <c r="I402" i="16"/>
  <c r="E215" i="16"/>
  <c r="G215" i="16" s="1"/>
  <c r="R215" i="16" s="1"/>
  <c r="S215" i="16" s="1"/>
  <c r="E288" i="16"/>
  <c r="G288" i="16" s="1"/>
  <c r="R288" i="16" s="1"/>
  <c r="S288" i="16" s="1"/>
  <c r="K33" i="16"/>
  <c r="I50" i="16"/>
  <c r="M53" i="16"/>
  <c r="K87" i="16"/>
  <c r="K143" i="16"/>
  <c r="K267" i="16"/>
  <c r="I273" i="16"/>
  <c r="K277" i="16"/>
  <c r="I288" i="16"/>
  <c r="I296" i="16"/>
  <c r="K304" i="16"/>
  <c r="K311" i="16"/>
  <c r="K313" i="16"/>
  <c r="I327" i="16"/>
  <c r="K335" i="16"/>
  <c r="K342" i="16"/>
  <c r="M363" i="16"/>
  <c r="I383" i="16"/>
  <c r="K385" i="16"/>
  <c r="I275" i="16"/>
  <c r="E275" i="16"/>
  <c r="G275" i="16" s="1"/>
  <c r="E346" i="16"/>
  <c r="G346" i="16" s="1"/>
  <c r="R346" i="16" s="1"/>
  <c r="S346" i="16" s="1"/>
  <c r="M346" i="16"/>
  <c r="K346" i="16"/>
  <c r="E168" i="16"/>
  <c r="M168" i="16"/>
  <c r="K168" i="16"/>
  <c r="E5" i="16"/>
  <c r="E16" i="16"/>
  <c r="G16" i="16" s="1"/>
  <c r="R16" i="16" s="1"/>
  <c r="S16" i="16" s="1"/>
  <c r="E19" i="16"/>
  <c r="G19" i="16" s="1"/>
  <c r="R19" i="16" s="1"/>
  <c r="S19" i="16" s="1"/>
  <c r="E28" i="16"/>
  <c r="G28" i="16" s="1"/>
  <c r="R28" i="16" s="1"/>
  <c r="S28" i="16" s="1"/>
  <c r="E55" i="16"/>
  <c r="G55" i="16" s="1"/>
  <c r="R55" i="16" s="1"/>
  <c r="S55" i="16" s="1"/>
  <c r="E72" i="16"/>
  <c r="G72" i="16" s="1"/>
  <c r="R72" i="16" s="1"/>
  <c r="S72" i="16" s="1"/>
  <c r="E77" i="16"/>
  <c r="G77" i="16" s="1"/>
  <c r="E103" i="16"/>
  <c r="M119" i="16"/>
  <c r="E119" i="16"/>
  <c r="G119" i="16" s="1"/>
  <c r="R119" i="16" s="1"/>
  <c r="S119" i="16" s="1"/>
  <c r="E126" i="16"/>
  <c r="G126" i="16" s="1"/>
  <c r="R126" i="16" s="1"/>
  <c r="S126" i="16" s="1"/>
  <c r="K141" i="16"/>
  <c r="E147" i="16"/>
  <c r="G147" i="16" s="1"/>
  <c r="R147" i="16" s="1"/>
  <c r="S147" i="16" s="1"/>
  <c r="E152" i="16"/>
  <c r="G152" i="16" s="1"/>
  <c r="R152" i="16" s="1"/>
  <c r="S152" i="16" s="1"/>
  <c r="M159" i="16"/>
  <c r="E159" i="16"/>
  <c r="G159" i="16" s="1"/>
  <c r="R159" i="16" s="1"/>
  <c r="S159" i="16" s="1"/>
  <c r="E176" i="16"/>
  <c r="E195" i="16"/>
  <c r="G195" i="16" s="1"/>
  <c r="R195" i="16" s="1"/>
  <c r="S195" i="16" s="1"/>
  <c r="E197" i="16"/>
  <c r="G197" i="16" s="1"/>
  <c r="R197" i="16" s="1"/>
  <c r="S197" i="16" s="1"/>
  <c r="K197" i="16"/>
  <c r="I197" i="16"/>
  <c r="E203" i="16"/>
  <c r="G203" i="16" s="1"/>
  <c r="R203" i="16" s="1"/>
  <c r="S203" i="16" s="1"/>
  <c r="K203" i="16"/>
  <c r="K228" i="16"/>
  <c r="I228" i="16"/>
  <c r="M255" i="16"/>
  <c r="I255" i="16"/>
  <c r="E255" i="16"/>
  <c r="G255" i="16" s="1"/>
  <c r="K332" i="16"/>
  <c r="M332" i="16"/>
  <c r="M338" i="16"/>
  <c r="I338" i="16"/>
  <c r="E294" i="16"/>
  <c r="G294" i="16" s="1"/>
  <c r="R294" i="16" s="1"/>
  <c r="S294" i="16" s="1"/>
  <c r="K294" i="16"/>
  <c r="M319" i="16"/>
  <c r="K319" i="16"/>
  <c r="I319" i="16"/>
  <c r="G371" i="16"/>
  <c r="R371" i="16" s="1"/>
  <c r="S371" i="16" s="1"/>
  <c r="I381" i="16"/>
  <c r="K408" i="16"/>
  <c r="I83" i="16"/>
  <c r="M125" i="16"/>
  <c r="K125" i="16"/>
  <c r="E142" i="16"/>
  <c r="G142" i="16" s="1"/>
  <c r="R142" i="16" s="1"/>
  <c r="S142" i="16" s="1"/>
  <c r="I154" i="16"/>
  <c r="M169" i="16"/>
  <c r="I169" i="16"/>
  <c r="E169" i="16"/>
  <c r="G169" i="16" s="1"/>
  <c r="R169" i="16" s="1"/>
  <c r="S169" i="16" s="1"/>
  <c r="M172" i="16"/>
  <c r="E187" i="16"/>
  <c r="G187" i="16" s="1"/>
  <c r="R187" i="16" s="1"/>
  <c r="S187" i="16" s="1"/>
  <c r="K194" i="16"/>
  <c r="I194" i="16"/>
  <c r="I240" i="16"/>
  <c r="M245" i="16"/>
  <c r="U245" i="16" s="1"/>
  <c r="V245" i="16" s="1"/>
  <c r="K245" i="16"/>
  <c r="O245" i="16" s="1"/>
  <c r="P245" i="16" s="1"/>
  <c r="K270" i="16"/>
  <c r="E270" i="16"/>
  <c r="G270" i="16" s="1"/>
  <c r="R270" i="16" s="1"/>
  <c r="S270" i="16" s="1"/>
  <c r="M270" i="16"/>
  <c r="M279" i="16"/>
  <c r="K279" i="16"/>
  <c r="I279" i="16"/>
  <c r="M309" i="16"/>
  <c r="I309" i="16"/>
  <c r="E309" i="16"/>
  <c r="G309" i="16" s="1"/>
  <c r="R309" i="16" s="1"/>
  <c r="S309" i="16" s="1"/>
  <c r="E317" i="16"/>
  <c r="G317" i="16" s="1"/>
  <c r="R317" i="16" s="1"/>
  <c r="S317" i="16" s="1"/>
  <c r="E319" i="16"/>
  <c r="G319" i="16" s="1"/>
  <c r="E330" i="16"/>
  <c r="G330" i="16" s="1"/>
  <c r="R330" i="16" s="1"/>
  <c r="S330" i="16" s="1"/>
  <c r="I346" i="16"/>
  <c r="K369" i="16"/>
  <c r="E405" i="16"/>
  <c r="G405" i="16" s="1"/>
  <c r="R405" i="16" s="1"/>
  <c r="S405" i="16" s="1"/>
  <c r="M109" i="16"/>
  <c r="K109" i="16"/>
  <c r="M69" i="16"/>
  <c r="K347" i="16"/>
  <c r="I347" i="16"/>
  <c r="M374" i="16"/>
  <c r="E374" i="16"/>
  <c r="G374" i="16" s="1"/>
  <c r="R374" i="16" s="1"/>
  <c r="S374" i="16" s="1"/>
  <c r="K374" i="16"/>
  <c r="I374" i="16"/>
  <c r="M407" i="16"/>
  <c r="K407" i="16"/>
  <c r="E407" i="16"/>
  <c r="M77" i="16"/>
  <c r="I77" i="16"/>
  <c r="K182" i="16"/>
  <c r="E182" i="16"/>
  <c r="G182" i="16" s="1"/>
  <c r="R182" i="16" s="1"/>
  <c r="S182" i="16" s="1"/>
  <c r="I201" i="16"/>
  <c r="E201" i="16"/>
  <c r="G201" i="16" s="1"/>
  <c r="R201" i="16" s="1"/>
  <c r="S201" i="16" s="1"/>
  <c r="I8" i="16"/>
  <c r="E35" i="16"/>
  <c r="G35" i="16" s="1"/>
  <c r="I91" i="16"/>
  <c r="M91" i="16"/>
  <c r="K100" i="16"/>
  <c r="M100" i="16"/>
  <c r="I5" i="16"/>
  <c r="K147" i="16"/>
  <c r="K238" i="16"/>
  <c r="M238" i="16"/>
  <c r="I238" i="16"/>
  <c r="K262" i="16"/>
  <c r="M262" i="16"/>
  <c r="E262" i="16"/>
  <c r="G262" i="16" s="1"/>
  <c r="R262" i="16" s="1"/>
  <c r="S262" i="16" s="1"/>
  <c r="E339" i="16"/>
  <c r="G339" i="16" s="1"/>
  <c r="K339" i="16"/>
  <c r="K5" i="16"/>
  <c r="M8" i="16"/>
  <c r="K10" i="16"/>
  <c r="K16" i="16"/>
  <c r="E20" i="16"/>
  <c r="G20" i="16" s="1"/>
  <c r="R20" i="16" s="1"/>
  <c r="S20" i="16" s="1"/>
  <c r="I21" i="16"/>
  <c r="M28" i="16"/>
  <c r="I38" i="16"/>
  <c r="I41" i="16"/>
  <c r="M46" i="16"/>
  <c r="K46" i="16"/>
  <c r="K47" i="16"/>
  <c r="I49" i="16"/>
  <c r="I55" i="16"/>
  <c r="G63" i="16"/>
  <c r="R63" i="16" s="1"/>
  <c r="S63" i="16" s="1"/>
  <c r="G65" i="16"/>
  <c r="R65" i="16" s="1"/>
  <c r="S65" i="16" s="1"/>
  <c r="I66" i="16"/>
  <c r="E82" i="16"/>
  <c r="G82" i="16" s="1"/>
  <c r="M83" i="16"/>
  <c r="U83" i="16" s="1"/>
  <c r="V83" i="16" s="1"/>
  <c r="I86" i="16"/>
  <c r="M89" i="16"/>
  <c r="M93" i="16"/>
  <c r="E93" i="16"/>
  <c r="G93" i="16" s="1"/>
  <c r="R93" i="16" s="1"/>
  <c r="S93" i="16" s="1"/>
  <c r="E102" i="16"/>
  <c r="G102" i="16" s="1"/>
  <c r="R102" i="16" s="1"/>
  <c r="S102" i="16" s="1"/>
  <c r="I107" i="16"/>
  <c r="I116" i="16"/>
  <c r="K119" i="16"/>
  <c r="M126" i="16"/>
  <c r="E137" i="16"/>
  <c r="G137" i="16" s="1"/>
  <c r="M147" i="16"/>
  <c r="M151" i="16"/>
  <c r="K151" i="16"/>
  <c r="K152" i="16"/>
  <c r="I162" i="16"/>
  <c r="M165" i="16"/>
  <c r="I165" i="16"/>
  <c r="E165" i="16"/>
  <c r="G165" i="16" s="1"/>
  <c r="E167" i="16"/>
  <c r="G167" i="16" s="1"/>
  <c r="M203" i="16"/>
  <c r="I213" i="16"/>
  <c r="E213" i="16"/>
  <c r="G213" i="16" s="1"/>
  <c r="I220" i="16"/>
  <c r="K224" i="16"/>
  <c r="E238" i="16"/>
  <c r="I276" i="16"/>
  <c r="M276" i="16"/>
  <c r="E293" i="16"/>
  <c r="G293" i="16" s="1"/>
  <c r="K293" i="16"/>
  <c r="I295" i="16"/>
  <c r="E295" i="16"/>
  <c r="G295" i="16" s="1"/>
  <c r="R295" i="16" s="1"/>
  <c r="S295" i="16" s="1"/>
  <c r="I337" i="16"/>
  <c r="K337" i="16"/>
  <c r="E337" i="16"/>
  <c r="G337" i="16" s="1"/>
  <c r="K352" i="16"/>
  <c r="I356" i="16"/>
  <c r="M239" i="16"/>
  <c r="E239" i="16"/>
  <c r="G239" i="16" s="1"/>
  <c r="E4" i="16"/>
  <c r="G4" i="16" s="1"/>
  <c r="K69" i="16"/>
  <c r="M85" i="16"/>
  <c r="K85" i="16"/>
  <c r="K8" i="16"/>
  <c r="O8" i="16" s="1"/>
  <c r="P8" i="16" s="1"/>
  <c r="K13" i="16"/>
  <c r="I16" i="16"/>
  <c r="M54" i="16"/>
  <c r="K54" i="16"/>
  <c r="E59" i="16"/>
  <c r="G59" i="16" s="1"/>
  <c r="R59" i="16" s="1"/>
  <c r="S59" i="16" s="1"/>
  <c r="K83" i="16"/>
  <c r="O83" i="16" s="1"/>
  <c r="P83" i="16" s="1"/>
  <c r="M177" i="16"/>
  <c r="I177" i="16"/>
  <c r="E177" i="16"/>
  <c r="G177" i="16" s="1"/>
  <c r="R177" i="16" s="1"/>
  <c r="S177" i="16" s="1"/>
  <c r="M247" i="16"/>
  <c r="K247" i="16"/>
  <c r="E247" i="16"/>
  <c r="G247" i="16" s="1"/>
  <c r="R247" i="16" s="1"/>
  <c r="S247" i="16" s="1"/>
  <c r="E3" i="16"/>
  <c r="G3" i="16" s="1"/>
  <c r="R3" i="16" s="1"/>
  <c r="S3" i="16" s="1"/>
  <c r="I4" i="16"/>
  <c r="E6" i="16"/>
  <c r="G6" i="16" s="1"/>
  <c r="M10" i="16"/>
  <c r="I12" i="16"/>
  <c r="K15" i="16"/>
  <c r="K21" i="16"/>
  <c r="I23" i="16"/>
  <c r="E36" i="16"/>
  <c r="G36" i="16" s="1"/>
  <c r="K38" i="16"/>
  <c r="K41" i="16"/>
  <c r="E46" i="16"/>
  <c r="G46" i="16" s="1"/>
  <c r="R46" i="16" s="1"/>
  <c r="S46" i="16" s="1"/>
  <c r="M47" i="16"/>
  <c r="U47" i="16" s="1"/>
  <c r="V47" i="16" s="1"/>
  <c r="K49" i="16"/>
  <c r="O49" i="16" s="1"/>
  <c r="P49" i="16" s="1"/>
  <c r="E51" i="16"/>
  <c r="G51" i="16" s="1"/>
  <c r="K55" i="16"/>
  <c r="I68" i="16"/>
  <c r="E70" i="16"/>
  <c r="G70" i="16" s="1"/>
  <c r="I71" i="16"/>
  <c r="M74" i="16"/>
  <c r="K91" i="16"/>
  <c r="I100" i="16"/>
  <c r="K107" i="16"/>
  <c r="I109" i="16"/>
  <c r="I113" i="16"/>
  <c r="K113" i="16"/>
  <c r="M116" i="16"/>
  <c r="I123" i="16"/>
  <c r="I132" i="16"/>
  <c r="I142" i="16"/>
  <c r="E151" i="16"/>
  <c r="G151" i="16" s="1"/>
  <c r="M152" i="16"/>
  <c r="K169" i="16"/>
  <c r="K240" i="16"/>
  <c r="K242" i="16"/>
  <c r="I242" i="16"/>
  <c r="M265" i="16"/>
  <c r="E265" i="16"/>
  <c r="G265" i="16" s="1"/>
  <c r="R265" i="16" s="1"/>
  <c r="S265" i="16" s="1"/>
  <c r="K265" i="16"/>
  <c r="I268" i="16"/>
  <c r="M271" i="16"/>
  <c r="I271" i="16"/>
  <c r="E271" i="16"/>
  <c r="G271" i="16" s="1"/>
  <c r="R271" i="16" s="1"/>
  <c r="S271" i="16" s="1"/>
  <c r="K297" i="16"/>
  <c r="I297" i="16"/>
  <c r="I298" i="16"/>
  <c r="K309" i="16"/>
  <c r="E314" i="16"/>
  <c r="G314" i="16" s="1"/>
  <c r="R314" i="16" s="1"/>
  <c r="S314" i="16" s="1"/>
  <c r="K314" i="16"/>
  <c r="I314" i="16"/>
  <c r="E357" i="16"/>
  <c r="G357" i="16" s="1"/>
  <c r="R357" i="16" s="1"/>
  <c r="S357" i="16" s="1"/>
  <c r="I357" i="16"/>
  <c r="M359" i="16"/>
  <c r="I359" i="16"/>
  <c r="I79" i="16"/>
  <c r="K79" i="16"/>
  <c r="M133" i="16"/>
  <c r="E133" i="16"/>
  <c r="G133" i="16" s="1"/>
  <c r="K43" i="16"/>
  <c r="E43" i="16"/>
  <c r="G43" i="16" s="1"/>
  <c r="R43" i="16" s="1"/>
  <c r="S43" i="16" s="1"/>
  <c r="E66" i="16"/>
  <c r="G66" i="16" s="1"/>
  <c r="K66" i="16"/>
  <c r="E220" i="16"/>
  <c r="G220" i="16" s="1"/>
  <c r="K220" i="16"/>
  <c r="K264" i="16"/>
  <c r="M264" i="16"/>
  <c r="I264" i="16"/>
  <c r="E12" i="16"/>
  <c r="G12" i="16" s="1"/>
  <c r="I13" i="16"/>
  <c r="E57" i="16"/>
  <c r="G57" i="16" s="1"/>
  <c r="R57" i="16" s="1"/>
  <c r="S57" i="16" s="1"/>
  <c r="I57" i="16"/>
  <c r="E88" i="16"/>
  <c r="G88" i="16" s="1"/>
  <c r="K88" i="16"/>
  <c r="K28" i="16"/>
  <c r="E30" i="16"/>
  <c r="G30" i="16" s="1"/>
  <c r="R30" i="16" s="1"/>
  <c r="S30" i="16" s="1"/>
  <c r="E85" i="16"/>
  <c r="G85" i="16" s="1"/>
  <c r="R85" i="16" s="1"/>
  <c r="S85" i="16" s="1"/>
  <c r="K126" i="16"/>
  <c r="I133" i="16"/>
  <c r="M141" i="16"/>
  <c r="I141" i="16"/>
  <c r="M201" i="16"/>
  <c r="K4" i="16"/>
  <c r="M7" i="16"/>
  <c r="K12" i="16"/>
  <c r="M15" i="16"/>
  <c r="E17" i="16"/>
  <c r="G17" i="16" s="1"/>
  <c r="R17" i="16" s="1"/>
  <c r="S17" i="16" s="1"/>
  <c r="E22" i="16"/>
  <c r="G22" i="16" s="1"/>
  <c r="R22" i="16" s="1"/>
  <c r="S22" i="16" s="1"/>
  <c r="K23" i="16"/>
  <c r="O23" i="16" s="1"/>
  <c r="P23" i="16" s="1"/>
  <c r="I30" i="16"/>
  <c r="E33" i="16"/>
  <c r="G33" i="16" s="1"/>
  <c r="I34" i="16"/>
  <c r="K37" i="16"/>
  <c r="E39" i="16"/>
  <c r="G39" i="16" s="1"/>
  <c r="E50" i="16"/>
  <c r="G50" i="16" s="1"/>
  <c r="K57" i="16"/>
  <c r="E60" i="16"/>
  <c r="G60" i="16" s="1"/>
  <c r="R60" i="16" s="1"/>
  <c r="S60" i="16" s="1"/>
  <c r="K68" i="16"/>
  <c r="K71" i="16"/>
  <c r="O71" i="16" s="1"/>
  <c r="P71" i="16" s="1"/>
  <c r="E75" i="16"/>
  <c r="G75" i="16" s="1"/>
  <c r="M76" i="16"/>
  <c r="E81" i="16"/>
  <c r="G81" i="16" s="1"/>
  <c r="I81" i="16"/>
  <c r="I88" i="16"/>
  <c r="E92" i="16"/>
  <c r="G92" i="16" s="1"/>
  <c r="R92" i="16" s="1"/>
  <c r="S92" i="16" s="1"/>
  <c r="M117" i="16"/>
  <c r="E117" i="16"/>
  <c r="G117" i="16" s="1"/>
  <c r="R117" i="16" s="1"/>
  <c r="S117" i="16" s="1"/>
  <c r="K123" i="16"/>
  <c r="O123" i="16" s="1"/>
  <c r="P123" i="16" s="1"/>
  <c r="I125" i="16"/>
  <c r="E127" i="16"/>
  <c r="G127" i="16" s="1"/>
  <c r="R127" i="16" s="1"/>
  <c r="S127" i="16" s="1"/>
  <c r="I129" i="16"/>
  <c r="K129" i="16"/>
  <c r="M132" i="16"/>
  <c r="K142" i="16"/>
  <c r="E148" i="16"/>
  <c r="G148" i="16" s="1"/>
  <c r="I153" i="16"/>
  <c r="K153" i="16"/>
  <c r="E153" i="16"/>
  <c r="G153" i="16" s="1"/>
  <c r="K177" i="16"/>
  <c r="M194" i="16"/>
  <c r="U194" i="16" s="1"/>
  <c r="V194" i="16" s="1"/>
  <c r="M217" i="16"/>
  <c r="E217" i="16"/>
  <c r="G217" i="16" s="1"/>
  <c r="I217" i="16"/>
  <c r="M240" i="16"/>
  <c r="G242" i="16"/>
  <c r="R242" i="16" s="1"/>
  <c r="S242" i="16" s="1"/>
  <c r="I248" i="16"/>
  <c r="M248" i="16"/>
  <c r="I263" i="16"/>
  <c r="K263" i="16"/>
  <c r="E263" i="16"/>
  <c r="G263" i="16" s="1"/>
  <c r="R263" i="16" s="1"/>
  <c r="S263" i="16" s="1"/>
  <c r="M269" i="16"/>
  <c r="I269" i="16"/>
  <c r="E269" i="16"/>
  <c r="G269" i="16" s="1"/>
  <c r="I291" i="16"/>
  <c r="M291" i="16"/>
  <c r="E291" i="16"/>
  <c r="G291" i="16" s="1"/>
  <c r="R291" i="16" s="1"/>
  <c r="S291" i="16" s="1"/>
  <c r="G305" i="16"/>
  <c r="G310" i="16"/>
  <c r="R310" i="16" s="1"/>
  <c r="S310" i="16" s="1"/>
  <c r="E328" i="16"/>
  <c r="G328" i="16" s="1"/>
  <c r="K328" i="16"/>
  <c r="I339" i="16"/>
  <c r="I341" i="16"/>
  <c r="M347" i="16"/>
  <c r="K355" i="16"/>
  <c r="M355" i="16"/>
  <c r="I355" i="16"/>
  <c r="M375" i="16"/>
  <c r="I375" i="16"/>
  <c r="E375" i="16"/>
  <c r="G375" i="16" s="1"/>
  <c r="R375" i="16" s="1"/>
  <c r="S375" i="16" s="1"/>
  <c r="E381" i="16"/>
  <c r="G381" i="16" s="1"/>
  <c r="K381" i="16"/>
  <c r="E389" i="16"/>
  <c r="G389" i="16" s="1"/>
  <c r="R389" i="16" s="1"/>
  <c r="S389" i="16" s="1"/>
  <c r="I389" i="16"/>
  <c r="M391" i="16"/>
  <c r="I391" i="16"/>
  <c r="E391" i="16"/>
  <c r="G391" i="16" s="1"/>
  <c r="R391" i="16" s="1"/>
  <c r="S391" i="16" s="1"/>
  <c r="E170" i="16"/>
  <c r="G170" i="16" s="1"/>
  <c r="R170" i="16" s="1"/>
  <c r="S170" i="16" s="1"/>
  <c r="K377" i="16"/>
  <c r="I394" i="16"/>
  <c r="E179" i="16"/>
  <c r="G179" i="16" s="1"/>
  <c r="E181" i="16"/>
  <c r="G181" i="16" s="1"/>
  <c r="E183" i="16"/>
  <c r="G183" i="16" s="1"/>
  <c r="R183" i="16" s="1"/>
  <c r="S183" i="16" s="1"/>
  <c r="E185" i="16"/>
  <c r="G185" i="16" s="1"/>
  <c r="G186" i="16"/>
  <c r="E192" i="16"/>
  <c r="G192" i="16" s="1"/>
  <c r="R192" i="16" s="1"/>
  <c r="S192" i="16" s="1"/>
  <c r="E223" i="16"/>
  <c r="G223" i="16" s="1"/>
  <c r="R223" i="16" s="1"/>
  <c r="S223" i="16" s="1"/>
  <c r="E240" i="16"/>
  <c r="G240" i="16" s="1"/>
  <c r="R240" i="16" s="1"/>
  <c r="S240" i="16" s="1"/>
  <c r="E285" i="16"/>
  <c r="G285" i="16" s="1"/>
  <c r="E287" i="16"/>
  <c r="G287" i="16" s="1"/>
  <c r="E290" i="16"/>
  <c r="G290" i="16" s="1"/>
  <c r="E307" i="16"/>
  <c r="G307" i="16" s="1"/>
  <c r="R307" i="16" s="1"/>
  <c r="S307" i="16" s="1"/>
  <c r="E311" i="16"/>
  <c r="G311" i="16" s="1"/>
  <c r="R311" i="16" s="1"/>
  <c r="S311" i="16" s="1"/>
  <c r="E342" i="16"/>
  <c r="G342" i="16" s="1"/>
  <c r="R342" i="16" s="1"/>
  <c r="S342" i="16" s="1"/>
  <c r="I343" i="16"/>
  <c r="E350" i="16"/>
  <c r="E363" i="16"/>
  <c r="G363" i="16" s="1"/>
  <c r="R363" i="16" s="1"/>
  <c r="S363" i="16" s="1"/>
  <c r="E366" i="16"/>
  <c r="G366" i="16" s="1"/>
  <c r="R366" i="16" s="1"/>
  <c r="S366" i="16" s="1"/>
  <c r="E373" i="16"/>
  <c r="G373" i="16" s="1"/>
  <c r="R373" i="16" s="1"/>
  <c r="S373" i="16" s="1"/>
  <c r="E378" i="16"/>
  <c r="G378" i="16" s="1"/>
  <c r="I382" i="16"/>
  <c r="K394" i="16"/>
  <c r="I398" i="16"/>
  <c r="E402" i="16"/>
  <c r="G402" i="16" s="1"/>
  <c r="R402" i="16" s="1"/>
  <c r="S402" i="16" s="1"/>
  <c r="E136" i="16"/>
  <c r="G136" i="16" s="1"/>
  <c r="R136" i="16" s="1"/>
  <c r="S136" i="16" s="1"/>
  <c r="E146" i="16"/>
  <c r="G146" i="16" s="1"/>
  <c r="R146" i="16" s="1"/>
  <c r="S146" i="16" s="1"/>
  <c r="I170" i="16"/>
  <c r="E191" i="16"/>
  <c r="G191" i="16" s="1"/>
  <c r="I196" i="16"/>
  <c r="I216" i="16"/>
  <c r="I272" i="16"/>
  <c r="I299" i="16"/>
  <c r="E304" i="16"/>
  <c r="G304" i="16" s="1"/>
  <c r="R304" i="16" s="1"/>
  <c r="S304" i="16" s="1"/>
  <c r="E315" i="16"/>
  <c r="G315" i="16" s="1"/>
  <c r="R315" i="16" s="1"/>
  <c r="S315" i="16" s="1"/>
  <c r="I322" i="16"/>
  <c r="E326" i="16"/>
  <c r="G326" i="16" s="1"/>
  <c r="R326" i="16" s="1"/>
  <c r="S326" i="16" s="1"/>
  <c r="K376" i="16"/>
  <c r="I386" i="16"/>
  <c r="I397" i="16"/>
  <c r="K409" i="16"/>
  <c r="G401" i="16"/>
  <c r="I406" i="16"/>
  <c r="E52" i="16"/>
  <c r="G52" i="16" s="1"/>
  <c r="E73" i="16"/>
  <c r="G73" i="16" s="1"/>
  <c r="I94" i="16"/>
  <c r="K97" i="16"/>
  <c r="I104" i="16"/>
  <c r="I120" i="16"/>
  <c r="I136" i="16"/>
  <c r="E138" i="16"/>
  <c r="G138" i="16" s="1"/>
  <c r="R138" i="16" s="1"/>
  <c r="S138" i="16" s="1"/>
  <c r="I146" i="16"/>
  <c r="E173" i="16"/>
  <c r="G173" i="16" s="1"/>
  <c r="R173" i="16" s="1"/>
  <c r="S173" i="16" s="1"/>
  <c r="K191" i="16"/>
  <c r="K225" i="16"/>
  <c r="I229" i="16"/>
  <c r="E237" i="16"/>
  <c r="G237" i="16" s="1"/>
  <c r="M246" i="16"/>
  <c r="K249" i="16"/>
  <c r="K253" i="16"/>
  <c r="E267" i="16"/>
  <c r="G267" i="16" s="1"/>
  <c r="M290" i="16"/>
  <c r="E300" i="16"/>
  <c r="G300" i="16" s="1"/>
  <c r="I304" i="16"/>
  <c r="I326" i="16"/>
  <c r="K327" i="16"/>
  <c r="E343" i="16"/>
  <c r="G343" i="16" s="1"/>
  <c r="R343" i="16" s="1"/>
  <c r="S343" i="16" s="1"/>
  <c r="K358" i="16"/>
  <c r="K365" i="16"/>
  <c r="I370" i="16"/>
  <c r="E382" i="16"/>
  <c r="G382" i="16" s="1"/>
  <c r="R382" i="16" s="1"/>
  <c r="S382" i="16" s="1"/>
  <c r="K390" i="16"/>
  <c r="E392" i="16"/>
  <c r="G392" i="16" s="1"/>
  <c r="R392" i="16" s="1"/>
  <c r="S392" i="16" s="1"/>
  <c r="E398" i="16"/>
  <c r="G398" i="16" s="1"/>
  <c r="R398" i="16" s="1"/>
  <c r="S398" i="16" s="1"/>
  <c r="K406" i="16"/>
  <c r="G14" i="16"/>
  <c r="E296" i="16"/>
  <c r="G296" i="16" s="1"/>
  <c r="R296" i="16" s="1"/>
  <c r="S296" i="16" s="1"/>
  <c r="G25" i="16"/>
  <c r="E154" i="16"/>
  <c r="G154" i="16" s="1"/>
  <c r="R154" i="16" s="1"/>
  <c r="S154" i="16" s="1"/>
  <c r="E243" i="16"/>
  <c r="G243" i="16" s="1"/>
  <c r="R243" i="16" s="1"/>
  <c r="S243" i="16" s="1"/>
  <c r="G281" i="16"/>
  <c r="G67" i="16"/>
  <c r="G21" i="16"/>
  <c r="R21" i="16" s="1"/>
  <c r="S21" i="16" s="1"/>
  <c r="G238" i="16"/>
  <c r="R238" i="16" s="1"/>
  <c r="S238" i="16" s="1"/>
  <c r="E161" i="16"/>
  <c r="G161" i="16" s="1"/>
  <c r="R161" i="16" s="1"/>
  <c r="S161" i="16" s="1"/>
  <c r="E171" i="16"/>
  <c r="G171" i="16" s="1"/>
  <c r="R171" i="16" s="1"/>
  <c r="S171" i="16" s="1"/>
  <c r="G54" i="16"/>
  <c r="R54" i="16" s="1"/>
  <c r="S54" i="16" s="1"/>
  <c r="G249" i="16"/>
  <c r="G103" i="16"/>
  <c r="R103" i="16" s="1"/>
  <c r="S103" i="16" s="1"/>
  <c r="G141" i="16"/>
  <c r="R141" i="16" s="1"/>
  <c r="S141" i="16" s="1"/>
  <c r="G175" i="16"/>
  <c r="E390" i="16"/>
  <c r="G390" i="16" s="1"/>
  <c r="R390" i="16" s="1"/>
  <c r="S390" i="16" s="1"/>
  <c r="E347" i="16"/>
  <c r="G347" i="16" s="1"/>
  <c r="R347" i="16" s="1"/>
  <c r="S347" i="16" s="1"/>
  <c r="E40" i="16"/>
  <c r="G40" i="16" s="1"/>
  <c r="R40" i="16" s="1"/>
  <c r="S40" i="16" s="1"/>
  <c r="E56" i="16"/>
  <c r="G56" i="16" s="1"/>
  <c r="R56" i="16" s="1"/>
  <c r="S56" i="16" s="1"/>
  <c r="G279" i="16"/>
  <c r="G5" i="16"/>
  <c r="R5" i="16" s="1"/>
  <c r="S5" i="16" s="1"/>
  <c r="U34" i="16"/>
  <c r="V34" i="16" s="1"/>
  <c r="O34" i="16"/>
  <c r="P34" i="16" s="1"/>
  <c r="G13" i="16"/>
  <c r="R13" i="16" s="1"/>
  <c r="S13" i="16" s="1"/>
  <c r="U23" i="16"/>
  <c r="V23" i="16" s="1"/>
  <c r="E48" i="16"/>
  <c r="G48" i="16" s="1"/>
  <c r="R48" i="16" s="1"/>
  <c r="S48" i="16" s="1"/>
  <c r="E99" i="16"/>
  <c r="G99" i="16" s="1"/>
  <c r="R99" i="16" s="1"/>
  <c r="S99" i="16" s="1"/>
  <c r="K7" i="16"/>
  <c r="K9" i="16"/>
  <c r="I15" i="16"/>
  <c r="I17" i="16"/>
  <c r="K22" i="16"/>
  <c r="I28" i="16"/>
  <c r="M31" i="16"/>
  <c r="I47" i="16"/>
  <c r="I63" i="16"/>
  <c r="K74" i="16"/>
  <c r="I74" i="16"/>
  <c r="I76" i="16"/>
  <c r="K76" i="16"/>
  <c r="M99" i="16"/>
  <c r="I105" i="16"/>
  <c r="K105" i="16"/>
  <c r="M105" i="16"/>
  <c r="E106" i="16"/>
  <c r="G106" i="16" s="1"/>
  <c r="R106" i="16" s="1"/>
  <c r="S106" i="16" s="1"/>
  <c r="K106" i="16"/>
  <c r="I134" i="16"/>
  <c r="K134" i="16"/>
  <c r="K139" i="16"/>
  <c r="K156" i="16"/>
  <c r="I156" i="16"/>
  <c r="E156" i="16"/>
  <c r="G156" i="16" s="1"/>
  <c r="R156" i="16" s="1"/>
  <c r="S156" i="16" s="1"/>
  <c r="E158" i="16"/>
  <c r="G158" i="16" s="1"/>
  <c r="R158" i="16" s="1"/>
  <c r="S158" i="16" s="1"/>
  <c r="G162" i="16"/>
  <c r="R162" i="16" s="1"/>
  <c r="S162" i="16" s="1"/>
  <c r="I78" i="16"/>
  <c r="K78" i="16"/>
  <c r="I118" i="16"/>
  <c r="K118" i="16"/>
  <c r="E144" i="16"/>
  <c r="G144" i="16" s="1"/>
  <c r="R144" i="16" s="1"/>
  <c r="S144" i="16" s="1"/>
  <c r="I144" i="16"/>
  <c r="U179" i="16"/>
  <c r="V179" i="16" s="1"/>
  <c r="E26" i="16"/>
  <c r="G26" i="16" s="1"/>
  <c r="R26" i="16" s="1"/>
  <c r="S26" i="16" s="1"/>
  <c r="E31" i="16"/>
  <c r="G31" i="16" s="1"/>
  <c r="R31" i="16" s="1"/>
  <c r="S31" i="16" s="1"/>
  <c r="I32" i="16"/>
  <c r="K32" i="16"/>
  <c r="E42" i="16"/>
  <c r="G42" i="16" s="1"/>
  <c r="R42" i="16" s="1"/>
  <c r="S42" i="16" s="1"/>
  <c r="E45" i="16"/>
  <c r="G45" i="16" s="1"/>
  <c r="R45" i="16" s="1"/>
  <c r="S45" i="16" s="1"/>
  <c r="E58" i="16"/>
  <c r="G58" i="16" s="1"/>
  <c r="R58" i="16" s="1"/>
  <c r="S58" i="16" s="1"/>
  <c r="E61" i="16"/>
  <c r="G61" i="16" s="1"/>
  <c r="R61" i="16" s="1"/>
  <c r="S61" i="16" s="1"/>
  <c r="E78" i="16"/>
  <c r="G78" i="16" s="1"/>
  <c r="R78" i="16" s="1"/>
  <c r="S78" i="16" s="1"/>
  <c r="G95" i="16"/>
  <c r="R95" i="16" s="1"/>
  <c r="S95" i="16" s="1"/>
  <c r="I102" i="16"/>
  <c r="K102" i="16"/>
  <c r="E155" i="16"/>
  <c r="G155" i="16" s="1"/>
  <c r="R155" i="16" s="1"/>
  <c r="S155" i="16" s="1"/>
  <c r="E7" i="16"/>
  <c r="G7" i="16" s="1"/>
  <c r="R7" i="16" s="1"/>
  <c r="S7" i="16" s="1"/>
  <c r="E9" i="16"/>
  <c r="G9" i="16" s="1"/>
  <c r="R9" i="16" s="1"/>
  <c r="S9" i="16" s="1"/>
  <c r="E32" i="16"/>
  <c r="G32" i="16" s="1"/>
  <c r="R32" i="16" s="1"/>
  <c r="S32" i="16" s="1"/>
  <c r="I48" i="16"/>
  <c r="K48" i="16"/>
  <c r="I64" i="16"/>
  <c r="K64" i="16"/>
  <c r="K140" i="16"/>
  <c r="I140" i="16"/>
  <c r="E140" i="16"/>
  <c r="G140" i="16" s="1"/>
  <c r="R140" i="16" s="1"/>
  <c r="S140" i="16" s="1"/>
  <c r="K163" i="16"/>
  <c r="I163" i="16"/>
  <c r="M163" i="16"/>
  <c r="K11" i="16"/>
  <c r="I11" i="16"/>
  <c r="E11" i="16"/>
  <c r="G11" i="16" s="1"/>
  <c r="R11" i="16" s="1"/>
  <c r="S11" i="16" s="1"/>
  <c r="K144" i="16"/>
  <c r="E160" i="16"/>
  <c r="G160" i="16" s="1"/>
  <c r="R160" i="16" s="1"/>
  <c r="S160" i="16" s="1"/>
  <c r="K160" i="16"/>
  <c r="I160" i="16"/>
  <c r="M160" i="16"/>
  <c r="E163" i="16"/>
  <c r="G163" i="16" s="1"/>
  <c r="R163" i="16" s="1"/>
  <c r="S163" i="16" s="1"/>
  <c r="U193" i="16"/>
  <c r="V193" i="16" s="1"/>
  <c r="O193" i="16"/>
  <c r="P193" i="16" s="1"/>
  <c r="I26" i="16"/>
  <c r="E29" i="16"/>
  <c r="G29" i="16" s="1"/>
  <c r="R29" i="16" s="1"/>
  <c r="S29" i="16" s="1"/>
  <c r="M78" i="16"/>
  <c r="G101" i="16"/>
  <c r="R101" i="16" s="1"/>
  <c r="S101" i="16" s="1"/>
  <c r="M118" i="16"/>
  <c r="K124" i="16"/>
  <c r="M124" i="16"/>
  <c r="I124" i="16"/>
  <c r="E128" i="16"/>
  <c r="G128" i="16" s="1"/>
  <c r="R128" i="16" s="1"/>
  <c r="S128" i="16" s="1"/>
  <c r="I128" i="16"/>
  <c r="K131" i="16"/>
  <c r="O131" i="16" s="1"/>
  <c r="P131" i="16" s="1"/>
  <c r="E139" i="16"/>
  <c r="G139" i="16" s="1"/>
  <c r="R139" i="16" s="1"/>
  <c r="S139" i="16" s="1"/>
  <c r="M144" i="16"/>
  <c r="E150" i="16"/>
  <c r="G150" i="16" s="1"/>
  <c r="R150" i="16" s="1"/>
  <c r="S150" i="16" s="1"/>
  <c r="I150" i="16"/>
  <c r="K155" i="16"/>
  <c r="I166" i="16"/>
  <c r="E166" i="16"/>
  <c r="G166" i="16" s="1"/>
  <c r="R166" i="16" s="1"/>
  <c r="S166" i="16" s="1"/>
  <c r="K166" i="16"/>
  <c r="G74" i="16"/>
  <c r="R74" i="16" s="1"/>
  <c r="S74" i="16" s="1"/>
  <c r="E64" i="16"/>
  <c r="G64" i="16" s="1"/>
  <c r="R64" i="16" s="1"/>
  <c r="S64" i="16" s="1"/>
  <c r="O125" i="16"/>
  <c r="P125" i="16" s="1"/>
  <c r="I42" i="16"/>
  <c r="K45" i="16"/>
  <c r="I58" i="16"/>
  <c r="K61" i="16"/>
  <c r="I18" i="16"/>
  <c r="K18" i="16"/>
  <c r="I24" i="16"/>
  <c r="K24" i="16"/>
  <c r="K26" i="16"/>
  <c r="I31" i="16"/>
  <c r="E37" i="16"/>
  <c r="G37" i="16" s="1"/>
  <c r="R37" i="16" s="1"/>
  <c r="S37" i="16" s="1"/>
  <c r="M39" i="16"/>
  <c r="K42" i="16"/>
  <c r="M61" i="16"/>
  <c r="M102" i="16"/>
  <c r="K108" i="16"/>
  <c r="M108" i="16"/>
  <c r="I108" i="16"/>
  <c r="E112" i="16"/>
  <c r="G112" i="16" s="1"/>
  <c r="R112" i="16" s="1"/>
  <c r="S112" i="16" s="1"/>
  <c r="I112" i="16"/>
  <c r="K115" i="16"/>
  <c r="E124" i="16"/>
  <c r="G124" i="16" s="1"/>
  <c r="R124" i="16" s="1"/>
  <c r="S124" i="16" s="1"/>
  <c r="M131" i="16"/>
  <c r="U131" i="16" s="1"/>
  <c r="V131" i="16" s="1"/>
  <c r="M140" i="16"/>
  <c r="M155" i="16"/>
  <c r="M45" i="16"/>
  <c r="E53" i="16"/>
  <c r="G53" i="16" s="1"/>
  <c r="R53" i="16" s="1"/>
  <c r="S53" i="16" s="1"/>
  <c r="M55" i="16"/>
  <c r="K58" i="16"/>
  <c r="E69" i="16"/>
  <c r="G69" i="16" s="1"/>
  <c r="R69" i="16" s="1"/>
  <c r="S69" i="16" s="1"/>
  <c r="M71" i="16"/>
  <c r="U71" i="16" s="1"/>
  <c r="V71" i="16" s="1"/>
  <c r="E87" i="16"/>
  <c r="G87" i="16" s="1"/>
  <c r="R87" i="16" s="1"/>
  <c r="S87" i="16" s="1"/>
  <c r="K3" i="16"/>
  <c r="I3" i="16"/>
  <c r="E10" i="16"/>
  <c r="G10" i="16" s="1"/>
  <c r="R10" i="16" s="1"/>
  <c r="S10" i="16" s="1"/>
  <c r="M11" i="16"/>
  <c r="E18" i="16"/>
  <c r="G18" i="16" s="1"/>
  <c r="R18" i="16" s="1"/>
  <c r="S18" i="16" s="1"/>
  <c r="I22" i="16"/>
  <c r="E24" i="16"/>
  <c r="G24" i="16" s="1"/>
  <c r="R24" i="16" s="1"/>
  <c r="S24" i="16" s="1"/>
  <c r="M32" i="16"/>
  <c r="I40" i="16"/>
  <c r="K40" i="16"/>
  <c r="I56" i="16"/>
  <c r="K56" i="16"/>
  <c r="I72" i="16"/>
  <c r="K72" i="16"/>
  <c r="E80" i="16"/>
  <c r="G80" i="16" s="1"/>
  <c r="R80" i="16" s="1"/>
  <c r="S80" i="16" s="1"/>
  <c r="K80" i="16"/>
  <c r="I80" i="16"/>
  <c r="M80" i="16"/>
  <c r="E89" i="16"/>
  <c r="G89" i="16" s="1"/>
  <c r="R89" i="16" s="1"/>
  <c r="S89" i="16" s="1"/>
  <c r="E91" i="16"/>
  <c r="G91" i="16" s="1"/>
  <c r="R91" i="16" s="1"/>
  <c r="S91" i="16" s="1"/>
  <c r="E96" i="16"/>
  <c r="G96" i="16" s="1"/>
  <c r="R96" i="16" s="1"/>
  <c r="S96" i="16" s="1"/>
  <c r="I96" i="16"/>
  <c r="K99" i="16"/>
  <c r="E108" i="16"/>
  <c r="G108" i="16" s="1"/>
  <c r="R108" i="16" s="1"/>
  <c r="S108" i="16" s="1"/>
  <c r="M115" i="16"/>
  <c r="I121" i="16"/>
  <c r="K121" i="16"/>
  <c r="O121" i="16" s="1"/>
  <c r="P121" i="16" s="1"/>
  <c r="M121" i="16"/>
  <c r="U121" i="16" s="1"/>
  <c r="V121" i="16" s="1"/>
  <c r="E122" i="16"/>
  <c r="G122" i="16" s="1"/>
  <c r="R122" i="16" s="1"/>
  <c r="S122" i="16" s="1"/>
  <c r="K122" i="16"/>
  <c r="I145" i="16"/>
  <c r="E145" i="16"/>
  <c r="G145" i="16" s="1"/>
  <c r="R145" i="16" s="1"/>
  <c r="S145" i="16" s="1"/>
  <c r="I161" i="16"/>
  <c r="K161" i="16"/>
  <c r="M161" i="16"/>
  <c r="I178" i="16"/>
  <c r="K178" i="16"/>
  <c r="E178" i="16"/>
  <c r="G178" i="16" s="1"/>
  <c r="R178" i="16" s="1"/>
  <c r="S178" i="16" s="1"/>
  <c r="M178" i="16"/>
  <c r="M19" i="16"/>
  <c r="M27" i="16"/>
  <c r="M35" i="16"/>
  <c r="M43" i="16"/>
  <c r="M51" i="16"/>
  <c r="M59" i="16"/>
  <c r="M67" i="16"/>
  <c r="E98" i="16"/>
  <c r="G98" i="16" s="1"/>
  <c r="R98" i="16" s="1"/>
  <c r="S98" i="16" s="1"/>
  <c r="K98" i="16"/>
  <c r="E104" i="16"/>
  <c r="G104" i="16" s="1"/>
  <c r="R104" i="16" s="1"/>
  <c r="S104" i="16" s="1"/>
  <c r="E114" i="16"/>
  <c r="G114" i="16" s="1"/>
  <c r="R114" i="16" s="1"/>
  <c r="S114" i="16" s="1"/>
  <c r="K114" i="16"/>
  <c r="E120" i="16"/>
  <c r="G120" i="16" s="1"/>
  <c r="R120" i="16" s="1"/>
  <c r="S120" i="16" s="1"/>
  <c r="E130" i="16"/>
  <c r="G130" i="16" s="1"/>
  <c r="R130" i="16" s="1"/>
  <c r="S130" i="16" s="1"/>
  <c r="K130" i="16"/>
  <c r="K148" i="16"/>
  <c r="I148" i="16"/>
  <c r="I168" i="16"/>
  <c r="K181" i="16"/>
  <c r="M183" i="16"/>
  <c r="I187" i="16"/>
  <c r="K187" i="16"/>
  <c r="M187" i="16"/>
  <c r="I191" i="16"/>
  <c r="I208" i="16"/>
  <c r="K208" i="16"/>
  <c r="M208" i="16"/>
  <c r="K206" i="16"/>
  <c r="E206" i="16"/>
  <c r="G206" i="16" s="1"/>
  <c r="R206" i="16" s="1"/>
  <c r="S206" i="16" s="1"/>
  <c r="I206" i="16"/>
  <c r="M206" i="16"/>
  <c r="I211" i="16"/>
  <c r="K211" i="16"/>
  <c r="M211" i="16"/>
  <c r="E200" i="16"/>
  <c r="G200" i="16" s="1"/>
  <c r="R200" i="16" s="1"/>
  <c r="S200" i="16" s="1"/>
  <c r="E211" i="16"/>
  <c r="G211" i="16" s="1"/>
  <c r="R211" i="16" s="1"/>
  <c r="S211" i="16" s="1"/>
  <c r="E221" i="16"/>
  <c r="G221" i="16" s="1"/>
  <c r="R221" i="16" s="1"/>
  <c r="S221" i="16" s="1"/>
  <c r="M221" i="16"/>
  <c r="K221" i="16"/>
  <c r="I221" i="16"/>
  <c r="K174" i="16"/>
  <c r="O174" i="16" s="1"/>
  <c r="P174" i="16" s="1"/>
  <c r="I174" i="16"/>
  <c r="I176" i="16"/>
  <c r="K176" i="16"/>
  <c r="E199" i="16"/>
  <c r="G199" i="16" s="1"/>
  <c r="R199" i="16" s="1"/>
  <c r="S199" i="16" s="1"/>
  <c r="K199" i="16"/>
  <c r="I199" i="16"/>
  <c r="M199" i="16"/>
  <c r="K214" i="16"/>
  <c r="M214" i="16"/>
  <c r="I214" i="16"/>
  <c r="E214" i="16"/>
  <c r="G214" i="16" s="1"/>
  <c r="R214" i="16" s="1"/>
  <c r="S214" i="16" s="1"/>
  <c r="E180" i="16"/>
  <c r="G180" i="16" s="1"/>
  <c r="R180" i="16" s="1"/>
  <c r="S180" i="16" s="1"/>
  <c r="K180" i="16"/>
  <c r="I180" i="16"/>
  <c r="M180" i="16"/>
  <c r="E205" i="16"/>
  <c r="G205" i="16" s="1"/>
  <c r="R205" i="16" s="1"/>
  <c r="S205" i="16" s="1"/>
  <c r="I205" i="16"/>
  <c r="K205" i="16"/>
  <c r="M218" i="16"/>
  <c r="E218" i="16"/>
  <c r="G218" i="16" s="1"/>
  <c r="R218" i="16" s="1"/>
  <c r="S218" i="16" s="1"/>
  <c r="K218" i="16"/>
  <c r="I218" i="16"/>
  <c r="M44" i="16"/>
  <c r="M52" i="16"/>
  <c r="M60" i="16"/>
  <c r="E172" i="16"/>
  <c r="G172" i="16" s="1"/>
  <c r="R172" i="16" s="1"/>
  <c r="S172" i="16" s="1"/>
  <c r="I172" i="16"/>
  <c r="I190" i="16"/>
  <c r="K190" i="16"/>
  <c r="M190" i="16"/>
  <c r="E207" i="16"/>
  <c r="G207" i="16" s="1"/>
  <c r="R207" i="16" s="1"/>
  <c r="S207" i="16" s="1"/>
  <c r="K207" i="16"/>
  <c r="M207" i="16"/>
  <c r="I207" i="16"/>
  <c r="I210" i="16"/>
  <c r="M210" i="16"/>
  <c r="K210" i="16"/>
  <c r="E210" i="16"/>
  <c r="G210" i="16" s="1"/>
  <c r="R210" i="16" s="1"/>
  <c r="S210" i="16" s="1"/>
  <c r="M36" i="16"/>
  <c r="M5" i="16"/>
  <c r="I19" i="16"/>
  <c r="M25" i="16"/>
  <c r="I27" i="16"/>
  <c r="M49" i="16"/>
  <c r="U49" i="16" s="1"/>
  <c r="V49" i="16" s="1"/>
  <c r="I51" i="16"/>
  <c r="M65" i="16"/>
  <c r="I67" i="16"/>
  <c r="E68" i="16"/>
  <c r="G68" i="16" s="1"/>
  <c r="R68" i="16" s="1"/>
  <c r="S68" i="16" s="1"/>
  <c r="M75" i="16"/>
  <c r="E79" i="16"/>
  <c r="G79" i="16" s="1"/>
  <c r="R79" i="16" s="1"/>
  <c r="S79" i="16" s="1"/>
  <c r="I82" i="16"/>
  <c r="K84" i="16"/>
  <c r="K86" i="16"/>
  <c r="E97" i="16"/>
  <c r="G97" i="16" s="1"/>
  <c r="R97" i="16" s="1"/>
  <c r="S97" i="16" s="1"/>
  <c r="M98" i="16"/>
  <c r="E100" i="16"/>
  <c r="G100" i="16" s="1"/>
  <c r="R100" i="16" s="1"/>
  <c r="S100" i="16" s="1"/>
  <c r="M104" i="16"/>
  <c r="M107" i="16"/>
  <c r="U107" i="16" s="1"/>
  <c r="V107" i="16" s="1"/>
  <c r="E113" i="16"/>
  <c r="G113" i="16" s="1"/>
  <c r="R113" i="16" s="1"/>
  <c r="S113" i="16" s="1"/>
  <c r="M114" i="16"/>
  <c r="E116" i="16"/>
  <c r="G116" i="16" s="1"/>
  <c r="R116" i="16" s="1"/>
  <c r="S116" i="16" s="1"/>
  <c r="G118" i="16"/>
  <c r="R118" i="16" s="1"/>
  <c r="S118" i="16" s="1"/>
  <c r="M120" i="16"/>
  <c r="M123" i="16"/>
  <c r="U123" i="16" s="1"/>
  <c r="V123" i="16" s="1"/>
  <c r="E129" i="16"/>
  <c r="G129" i="16" s="1"/>
  <c r="R129" i="16" s="1"/>
  <c r="S129" i="16" s="1"/>
  <c r="M130" i="16"/>
  <c r="E132" i="16"/>
  <c r="G132" i="16" s="1"/>
  <c r="R132" i="16" s="1"/>
  <c r="S132" i="16" s="1"/>
  <c r="G134" i="16"/>
  <c r="R134" i="16" s="1"/>
  <c r="S134" i="16" s="1"/>
  <c r="M136" i="16"/>
  <c r="M137" i="16"/>
  <c r="G164" i="16"/>
  <c r="R164" i="16" s="1"/>
  <c r="S164" i="16" s="1"/>
  <c r="I183" i="16"/>
  <c r="E190" i="16"/>
  <c r="G190" i="16" s="1"/>
  <c r="R190" i="16" s="1"/>
  <c r="S190" i="16" s="1"/>
  <c r="M13" i="16"/>
  <c r="M21" i="16"/>
  <c r="M33" i="16"/>
  <c r="I35" i="16"/>
  <c r="M41" i="16"/>
  <c r="I43" i="16"/>
  <c r="M57" i="16"/>
  <c r="I59" i="16"/>
  <c r="M73" i="16"/>
  <c r="G76" i="16"/>
  <c r="R76" i="16" s="1"/>
  <c r="S76" i="16" s="1"/>
  <c r="M82" i="16"/>
  <c r="E90" i="16"/>
  <c r="G90" i="16" s="1"/>
  <c r="R90" i="16" s="1"/>
  <c r="S90" i="16" s="1"/>
  <c r="M174" i="16"/>
  <c r="U174" i="16" s="1"/>
  <c r="V174" i="16" s="1"/>
  <c r="M176" i="16"/>
  <c r="I181" i="16"/>
  <c r="K183" i="16"/>
  <c r="E204" i="16"/>
  <c r="G204" i="16" s="1"/>
  <c r="R204" i="16" s="1"/>
  <c r="S204" i="16" s="1"/>
  <c r="K204" i="16"/>
  <c r="M204" i="16"/>
  <c r="I204" i="16"/>
  <c r="M205" i="16"/>
  <c r="E212" i="16"/>
  <c r="G212" i="16" s="1"/>
  <c r="R212" i="16" s="1"/>
  <c r="S212" i="16" s="1"/>
  <c r="K212" i="16"/>
  <c r="I212" i="16"/>
  <c r="M212" i="16"/>
  <c r="M164" i="16"/>
  <c r="G168" i="16"/>
  <c r="R168" i="16" s="1"/>
  <c r="S168" i="16" s="1"/>
  <c r="E189" i="16"/>
  <c r="G189" i="16" s="1"/>
  <c r="R189" i="16" s="1"/>
  <c r="S189" i="16" s="1"/>
  <c r="K223" i="16"/>
  <c r="I223" i="16"/>
  <c r="M223" i="16"/>
  <c r="E224" i="16"/>
  <c r="G224" i="16" s="1"/>
  <c r="R224" i="16" s="1"/>
  <c r="S224" i="16" s="1"/>
  <c r="I224" i="16"/>
  <c r="K230" i="16"/>
  <c r="I230" i="16"/>
  <c r="M230" i="16"/>
  <c r="E236" i="16"/>
  <c r="G236" i="16" s="1"/>
  <c r="R236" i="16" s="1"/>
  <c r="S236" i="16" s="1"/>
  <c r="M236" i="16"/>
  <c r="I236" i="16"/>
  <c r="E230" i="16"/>
  <c r="G230" i="16" s="1"/>
  <c r="R230" i="16" s="1"/>
  <c r="S230" i="16" s="1"/>
  <c r="I235" i="16"/>
  <c r="K235" i="16"/>
  <c r="M235" i="16"/>
  <c r="I227" i="16"/>
  <c r="K227" i="16"/>
  <c r="M227" i="16"/>
  <c r="E235" i="16"/>
  <c r="G235" i="16" s="1"/>
  <c r="R235" i="16" s="1"/>
  <c r="S235" i="16" s="1"/>
  <c r="E261" i="16"/>
  <c r="G261" i="16" s="1"/>
  <c r="R261" i="16" s="1"/>
  <c r="S261" i="16" s="1"/>
  <c r="M261" i="16"/>
  <c r="K261" i="16"/>
  <c r="I261" i="16"/>
  <c r="E227" i="16"/>
  <c r="G227" i="16" s="1"/>
  <c r="R227" i="16" s="1"/>
  <c r="S227" i="16" s="1"/>
  <c r="I95" i="16"/>
  <c r="I103" i="16"/>
  <c r="I111" i="16"/>
  <c r="I119" i="16"/>
  <c r="I127" i="16"/>
  <c r="I135" i="16"/>
  <c r="K138" i="16"/>
  <c r="I143" i="16"/>
  <c r="K146" i="16"/>
  <c r="I151" i="16"/>
  <c r="K154" i="16"/>
  <c r="I159" i="16"/>
  <c r="K162" i="16"/>
  <c r="I167" i="16"/>
  <c r="K171" i="16"/>
  <c r="K173" i="16"/>
  <c r="K175" i="16"/>
  <c r="I184" i="16"/>
  <c r="I186" i="16"/>
  <c r="K189" i="16"/>
  <c r="M195" i="16"/>
  <c r="K202" i="16"/>
  <c r="K234" i="16"/>
  <c r="M234" i="16"/>
  <c r="I234" i="16"/>
  <c r="I239" i="16"/>
  <c r="K239" i="16"/>
  <c r="M138" i="16"/>
  <c r="M146" i="16"/>
  <c r="M154" i="16"/>
  <c r="K159" i="16"/>
  <c r="M162" i="16"/>
  <c r="I164" i="16"/>
  <c r="K167" i="16"/>
  <c r="M171" i="16"/>
  <c r="M173" i="16"/>
  <c r="G176" i="16"/>
  <c r="R176" i="16" s="1"/>
  <c r="S176" i="16" s="1"/>
  <c r="I182" i="16"/>
  <c r="K184" i="16"/>
  <c r="K186" i="16"/>
  <c r="I198" i="16"/>
  <c r="K198" i="16"/>
  <c r="M202" i="16"/>
  <c r="E226" i="16"/>
  <c r="G226" i="16" s="1"/>
  <c r="R226" i="16" s="1"/>
  <c r="S226" i="16" s="1"/>
  <c r="M226" i="16"/>
  <c r="K226" i="16"/>
  <c r="I226" i="16"/>
  <c r="E234" i="16"/>
  <c r="G234" i="16" s="1"/>
  <c r="R234" i="16" s="1"/>
  <c r="S234" i="16" s="1"/>
  <c r="M182" i="16"/>
  <c r="E198" i="16"/>
  <c r="G198" i="16" s="1"/>
  <c r="R198" i="16" s="1"/>
  <c r="S198" i="16" s="1"/>
  <c r="E188" i="16"/>
  <c r="G188" i="16" s="1"/>
  <c r="R188" i="16" s="1"/>
  <c r="S188" i="16" s="1"/>
  <c r="E196" i="16"/>
  <c r="G196" i="16" s="1"/>
  <c r="R196" i="16" s="1"/>
  <c r="S196" i="16" s="1"/>
  <c r="E216" i="16"/>
  <c r="G216" i="16" s="1"/>
  <c r="R216" i="16" s="1"/>
  <c r="S216" i="16" s="1"/>
  <c r="G258" i="16"/>
  <c r="R258" i="16" s="1"/>
  <c r="S258" i="16" s="1"/>
  <c r="E252" i="16"/>
  <c r="G252" i="16" s="1"/>
  <c r="R252" i="16" s="1"/>
  <c r="S252" i="16" s="1"/>
  <c r="I252" i="16"/>
  <c r="K252" i="16"/>
  <c r="I259" i="16"/>
  <c r="E259" i="16"/>
  <c r="G259" i="16" s="1"/>
  <c r="R259" i="16" s="1"/>
  <c r="S259" i="16" s="1"/>
  <c r="M259" i="16"/>
  <c r="K259" i="16"/>
  <c r="G273" i="16"/>
  <c r="R273" i="16" s="1"/>
  <c r="S273" i="16" s="1"/>
  <c r="I251" i="16"/>
  <c r="E251" i="16"/>
  <c r="G251" i="16" s="1"/>
  <c r="R251" i="16" s="1"/>
  <c r="S251" i="16" s="1"/>
  <c r="M251" i="16"/>
  <c r="K251" i="16"/>
  <c r="M219" i="16"/>
  <c r="E228" i="16"/>
  <c r="G228" i="16" s="1"/>
  <c r="R228" i="16" s="1"/>
  <c r="S228" i="16" s="1"/>
  <c r="M229" i="16"/>
  <c r="K232" i="16"/>
  <c r="I232" i="16"/>
  <c r="K258" i="16"/>
  <c r="M258" i="16"/>
  <c r="I258" i="16"/>
  <c r="E274" i="16"/>
  <c r="G274" i="16" s="1"/>
  <c r="R274" i="16" s="1"/>
  <c r="S274" i="16" s="1"/>
  <c r="I274" i="16"/>
  <c r="M274" i="16"/>
  <c r="K274" i="16"/>
  <c r="E244" i="16"/>
  <c r="G244" i="16" s="1"/>
  <c r="R244" i="16" s="1"/>
  <c r="S244" i="16" s="1"/>
  <c r="I244" i="16"/>
  <c r="K244" i="16"/>
  <c r="M250" i="16"/>
  <c r="K250" i="16"/>
  <c r="I250" i="16"/>
  <c r="K256" i="16"/>
  <c r="E256" i="16"/>
  <c r="G256" i="16" s="1"/>
  <c r="R256" i="16" s="1"/>
  <c r="S256" i="16" s="1"/>
  <c r="E260" i="16"/>
  <c r="G260" i="16" s="1"/>
  <c r="R260" i="16" s="1"/>
  <c r="S260" i="16" s="1"/>
  <c r="M260" i="16"/>
  <c r="I260" i="16"/>
  <c r="K260" i="16"/>
  <c r="G208" i="16"/>
  <c r="R208" i="16" s="1"/>
  <c r="S208" i="16" s="1"/>
  <c r="E219" i="16"/>
  <c r="G219" i="16" s="1"/>
  <c r="R219" i="16" s="1"/>
  <c r="S219" i="16" s="1"/>
  <c r="K222" i="16"/>
  <c r="E222" i="16"/>
  <c r="G222" i="16" s="1"/>
  <c r="R222" i="16" s="1"/>
  <c r="S222" i="16" s="1"/>
  <c r="E229" i="16"/>
  <c r="G229" i="16" s="1"/>
  <c r="R229" i="16" s="1"/>
  <c r="S229" i="16" s="1"/>
  <c r="E241" i="16"/>
  <c r="G241" i="16" s="1"/>
  <c r="R241" i="16" s="1"/>
  <c r="S241" i="16" s="1"/>
  <c r="E248" i="16"/>
  <c r="G248" i="16" s="1"/>
  <c r="R248" i="16" s="1"/>
  <c r="S248" i="16" s="1"/>
  <c r="E250" i="16"/>
  <c r="G250" i="16" s="1"/>
  <c r="R250" i="16" s="1"/>
  <c r="S250" i="16" s="1"/>
  <c r="I243" i="16"/>
  <c r="M243" i="16"/>
  <c r="E254" i="16"/>
  <c r="G254" i="16" s="1"/>
  <c r="R254" i="16" s="1"/>
  <c r="S254" i="16" s="1"/>
  <c r="M263" i="16"/>
  <c r="E268" i="16"/>
  <c r="G268" i="16" s="1"/>
  <c r="R268" i="16" s="1"/>
  <c r="S268" i="16" s="1"/>
  <c r="K268" i="16"/>
  <c r="E277" i="16"/>
  <c r="G277" i="16" s="1"/>
  <c r="R277" i="16" s="1"/>
  <c r="S277" i="16" s="1"/>
  <c r="E292" i="16"/>
  <c r="G292" i="16" s="1"/>
  <c r="R292" i="16" s="1"/>
  <c r="S292" i="16" s="1"/>
  <c r="K292" i="16"/>
  <c r="M292" i="16"/>
  <c r="I292" i="16"/>
  <c r="K286" i="16"/>
  <c r="M286" i="16"/>
  <c r="I286" i="16"/>
  <c r="K306" i="16"/>
  <c r="E306" i="16"/>
  <c r="G306" i="16" s="1"/>
  <c r="R306" i="16" s="1"/>
  <c r="S306" i="16" s="1"/>
  <c r="M306" i="16"/>
  <c r="I306" i="16"/>
  <c r="I283" i="16"/>
  <c r="K283" i="16"/>
  <c r="O283" i="16" s="1"/>
  <c r="P283" i="16" s="1"/>
  <c r="E286" i="16"/>
  <c r="G286" i="16" s="1"/>
  <c r="R286" i="16" s="1"/>
  <c r="S286" i="16" s="1"/>
  <c r="G299" i="16"/>
  <c r="R299" i="16" s="1"/>
  <c r="S299" i="16" s="1"/>
  <c r="U303" i="16"/>
  <c r="V303" i="16" s="1"/>
  <c r="E312" i="16"/>
  <c r="G312" i="16" s="1"/>
  <c r="R312" i="16" s="1"/>
  <c r="S312" i="16" s="1"/>
  <c r="I312" i="16"/>
  <c r="M312" i="16"/>
  <c r="K312" i="16"/>
  <c r="E282" i="16"/>
  <c r="G282" i="16" s="1"/>
  <c r="R282" i="16" s="1"/>
  <c r="S282" i="16" s="1"/>
  <c r="M282" i="16"/>
  <c r="K282" i="16"/>
  <c r="I282" i="16"/>
  <c r="U314" i="16"/>
  <c r="V314" i="16" s="1"/>
  <c r="K254" i="16"/>
  <c r="I254" i="16"/>
  <c r="I267" i="16"/>
  <c r="M267" i="16"/>
  <c r="K280" i="16"/>
  <c r="I280" i="16"/>
  <c r="M283" i="16"/>
  <c r="U335" i="16"/>
  <c r="V335" i="16" s="1"/>
  <c r="I321" i="16"/>
  <c r="K321" i="16"/>
  <c r="M321" i="16"/>
  <c r="I308" i="16"/>
  <c r="E321" i="16"/>
  <c r="G321" i="16" s="1"/>
  <c r="R321" i="16" s="1"/>
  <c r="S321" i="16" s="1"/>
  <c r="E331" i="16"/>
  <c r="G331" i="16" s="1"/>
  <c r="R331" i="16" s="1"/>
  <c r="S331" i="16" s="1"/>
  <c r="K331" i="16"/>
  <c r="I336" i="16"/>
  <c r="M336" i="16"/>
  <c r="K336" i="16"/>
  <c r="E336" i="16"/>
  <c r="G336" i="16" s="1"/>
  <c r="R336" i="16" s="1"/>
  <c r="S336" i="16" s="1"/>
  <c r="I245" i="16"/>
  <c r="I247" i="16"/>
  <c r="I262" i="16"/>
  <c r="M266" i="16"/>
  <c r="I270" i="16"/>
  <c r="E284" i="16"/>
  <c r="G284" i="16" s="1"/>
  <c r="R284" i="16" s="1"/>
  <c r="S284" i="16" s="1"/>
  <c r="K284" i="16"/>
  <c r="I285" i="16"/>
  <c r="K288" i="16"/>
  <c r="K291" i="16"/>
  <c r="K308" i="16"/>
  <c r="I310" i="16"/>
  <c r="I315" i="16"/>
  <c r="I334" i="16"/>
  <c r="K334" i="16"/>
  <c r="K295" i="16"/>
  <c r="O295" i="16" s="1"/>
  <c r="P295" i="16" s="1"/>
  <c r="M308" i="16"/>
  <c r="K310" i="16"/>
  <c r="K315" i="16"/>
  <c r="E320" i="16"/>
  <c r="G320" i="16" s="1"/>
  <c r="R320" i="16" s="1"/>
  <c r="S320" i="16" s="1"/>
  <c r="M320" i="16"/>
  <c r="K320" i="16"/>
  <c r="I320" i="16"/>
  <c r="E334" i="16"/>
  <c r="G334" i="16" s="1"/>
  <c r="R334" i="16" s="1"/>
  <c r="S334" i="16" s="1"/>
  <c r="E266" i="16"/>
  <c r="G266" i="16" s="1"/>
  <c r="R266" i="16" s="1"/>
  <c r="S266" i="16" s="1"/>
  <c r="M294" i="16"/>
  <c r="I294" i="16"/>
  <c r="M295" i="16"/>
  <c r="U295" i="16" s="1"/>
  <c r="V295" i="16" s="1"/>
  <c r="I303" i="16"/>
  <c r="K303" i="16"/>
  <c r="O303" i="16" s="1"/>
  <c r="P303" i="16" s="1"/>
  <c r="M310" i="16"/>
  <c r="M315" i="16"/>
  <c r="E325" i="16"/>
  <c r="G325" i="16" s="1"/>
  <c r="R325" i="16" s="1"/>
  <c r="S325" i="16" s="1"/>
  <c r="I331" i="16"/>
  <c r="E276" i="16"/>
  <c r="G276" i="16" s="1"/>
  <c r="R276" i="16" s="1"/>
  <c r="S276" i="16" s="1"/>
  <c r="K276" i="16"/>
  <c r="E302" i="16"/>
  <c r="G302" i="16" s="1"/>
  <c r="R302" i="16" s="1"/>
  <c r="S302" i="16" s="1"/>
  <c r="K305" i="16"/>
  <c r="O305" i="16" s="1"/>
  <c r="P305" i="16" s="1"/>
  <c r="I305" i="16"/>
  <c r="K307" i="16"/>
  <c r="I307" i="16"/>
  <c r="K317" i="16"/>
  <c r="I317" i="16"/>
  <c r="M317" i="16"/>
  <c r="E318" i="16"/>
  <c r="G318" i="16" s="1"/>
  <c r="R318" i="16" s="1"/>
  <c r="S318" i="16" s="1"/>
  <c r="I318" i="16"/>
  <c r="K324" i="16"/>
  <c r="M324" i="16"/>
  <c r="I324" i="16"/>
  <c r="G327" i="16"/>
  <c r="R327" i="16" s="1"/>
  <c r="S327" i="16" s="1"/>
  <c r="M331" i="16"/>
  <c r="E333" i="16"/>
  <c r="G333" i="16" s="1"/>
  <c r="R333" i="16" s="1"/>
  <c r="S333" i="16" s="1"/>
  <c r="K333" i="16"/>
  <c r="I333" i="16"/>
  <c r="M333" i="16"/>
  <c r="M330" i="16"/>
  <c r="E361" i="16"/>
  <c r="G361" i="16" s="1"/>
  <c r="R361" i="16" s="1"/>
  <c r="S361" i="16" s="1"/>
  <c r="I361" i="16"/>
  <c r="K361" i="16"/>
  <c r="M361" i="16"/>
  <c r="I345" i="16"/>
  <c r="K345" i="16"/>
  <c r="O345" i="16" s="1"/>
  <c r="P345" i="16" s="1"/>
  <c r="G349" i="16"/>
  <c r="R349" i="16" s="1"/>
  <c r="S349" i="16" s="1"/>
  <c r="I360" i="16"/>
  <c r="M360" i="16"/>
  <c r="K360" i="16"/>
  <c r="E344" i="16"/>
  <c r="G344" i="16" s="1"/>
  <c r="R344" i="16" s="1"/>
  <c r="S344" i="16" s="1"/>
  <c r="U371" i="16"/>
  <c r="V371" i="16" s="1"/>
  <c r="M298" i="16"/>
  <c r="M300" i="16"/>
  <c r="M302" i="16"/>
  <c r="M313" i="16"/>
  <c r="E322" i="16"/>
  <c r="G322" i="16" s="1"/>
  <c r="R322" i="16" s="1"/>
  <c r="S322" i="16" s="1"/>
  <c r="M323" i="16"/>
  <c r="E338" i="16"/>
  <c r="G338" i="16" s="1"/>
  <c r="R338" i="16" s="1"/>
  <c r="S338" i="16" s="1"/>
  <c r="K338" i="16"/>
  <c r="K341" i="16"/>
  <c r="I352" i="16"/>
  <c r="E352" i="16"/>
  <c r="G352" i="16" s="1"/>
  <c r="R352" i="16" s="1"/>
  <c r="S352" i="16" s="1"/>
  <c r="G360" i="16"/>
  <c r="R360" i="16" s="1"/>
  <c r="S360" i="16" s="1"/>
  <c r="E362" i="16"/>
  <c r="G362" i="16" s="1"/>
  <c r="R362" i="16" s="1"/>
  <c r="S362" i="16" s="1"/>
  <c r="I362" i="16"/>
  <c r="K362" i="16"/>
  <c r="I330" i="16"/>
  <c r="K340" i="16"/>
  <c r="M340" i="16"/>
  <c r="M341" i="16"/>
  <c r="G348" i="16"/>
  <c r="R348" i="16" s="1"/>
  <c r="S348" i="16" s="1"/>
  <c r="U383" i="16"/>
  <c r="V383" i="16" s="1"/>
  <c r="O383" i="16"/>
  <c r="P383" i="16" s="1"/>
  <c r="E298" i="16"/>
  <c r="G298" i="16" s="1"/>
  <c r="R298" i="16" s="1"/>
  <c r="S298" i="16" s="1"/>
  <c r="E313" i="16"/>
  <c r="G313" i="16" s="1"/>
  <c r="R313" i="16" s="1"/>
  <c r="S313" i="16" s="1"/>
  <c r="K316" i="16"/>
  <c r="E316" i="16"/>
  <c r="G316" i="16" s="1"/>
  <c r="R316" i="16" s="1"/>
  <c r="S316" i="16" s="1"/>
  <c r="E323" i="16"/>
  <c r="G323" i="16" s="1"/>
  <c r="R323" i="16" s="1"/>
  <c r="S323" i="16" s="1"/>
  <c r="K330" i="16"/>
  <c r="E332" i="16"/>
  <c r="G332" i="16" s="1"/>
  <c r="R332" i="16" s="1"/>
  <c r="S332" i="16" s="1"/>
  <c r="E340" i="16"/>
  <c r="G340" i="16" s="1"/>
  <c r="R340" i="16" s="1"/>
  <c r="S340" i="16" s="1"/>
  <c r="M345" i="16"/>
  <c r="U345" i="16" s="1"/>
  <c r="V345" i="16" s="1"/>
  <c r="M349" i="16"/>
  <c r="K349" i="16"/>
  <c r="I349" i="16"/>
  <c r="I368" i="16"/>
  <c r="K368" i="16"/>
  <c r="E368" i="16"/>
  <c r="G368" i="16" s="1"/>
  <c r="R368" i="16" s="1"/>
  <c r="S368" i="16" s="1"/>
  <c r="M368" i="16"/>
  <c r="K348" i="16"/>
  <c r="I348" i="16"/>
  <c r="K356" i="16"/>
  <c r="E356" i="16"/>
  <c r="G356" i="16" s="1"/>
  <c r="R356" i="16" s="1"/>
  <c r="S356" i="16" s="1"/>
  <c r="M357" i="16"/>
  <c r="K357" i="16"/>
  <c r="O369" i="16"/>
  <c r="P369" i="16" s="1"/>
  <c r="E387" i="16"/>
  <c r="G387" i="16" s="1"/>
  <c r="R387" i="16" s="1"/>
  <c r="S387" i="16" s="1"/>
  <c r="E393" i="16"/>
  <c r="G393" i="16" s="1"/>
  <c r="R393" i="16" s="1"/>
  <c r="S393" i="16" s="1"/>
  <c r="G399" i="16"/>
  <c r="R399" i="16" s="1"/>
  <c r="S399" i="16" s="1"/>
  <c r="I384" i="16"/>
  <c r="M384" i="16"/>
  <c r="K384" i="16"/>
  <c r="E386" i="16"/>
  <c r="G386" i="16" s="1"/>
  <c r="R386" i="16" s="1"/>
  <c r="S386" i="16" s="1"/>
  <c r="E384" i="16"/>
  <c r="G384" i="16" s="1"/>
  <c r="R384" i="16" s="1"/>
  <c r="S384" i="16" s="1"/>
  <c r="K395" i="16"/>
  <c r="I395" i="16"/>
  <c r="M395" i="16"/>
  <c r="E395" i="16"/>
  <c r="G395" i="16" s="1"/>
  <c r="R395" i="16" s="1"/>
  <c r="S395" i="16" s="1"/>
  <c r="I342" i="16"/>
  <c r="I344" i="16"/>
  <c r="M348" i="16"/>
  <c r="E396" i="16"/>
  <c r="G396" i="16" s="1"/>
  <c r="R396" i="16" s="1"/>
  <c r="S396" i="16" s="1"/>
  <c r="K396" i="16"/>
  <c r="I396" i="16"/>
  <c r="M396" i="16"/>
  <c r="G350" i="16"/>
  <c r="R350" i="16" s="1"/>
  <c r="S350" i="16" s="1"/>
  <c r="E354" i="16"/>
  <c r="G354" i="16" s="1"/>
  <c r="R354" i="16" s="1"/>
  <c r="S354" i="16" s="1"/>
  <c r="M354" i="16"/>
  <c r="K354" i="16"/>
  <c r="E365" i="16"/>
  <c r="G365" i="16" s="1"/>
  <c r="R365" i="16" s="1"/>
  <c r="S365" i="16" s="1"/>
  <c r="G377" i="16"/>
  <c r="R377" i="16" s="1"/>
  <c r="S377" i="16" s="1"/>
  <c r="E355" i="16"/>
  <c r="G355" i="16" s="1"/>
  <c r="R355" i="16" s="1"/>
  <c r="S355" i="16" s="1"/>
  <c r="G367" i="16"/>
  <c r="R367" i="16" s="1"/>
  <c r="S367" i="16" s="1"/>
  <c r="K373" i="16"/>
  <c r="I373" i="16"/>
  <c r="M373" i="16"/>
  <c r="G385" i="16"/>
  <c r="R385" i="16" s="1"/>
  <c r="S385" i="16" s="1"/>
  <c r="E372" i="16"/>
  <c r="G372" i="16" s="1"/>
  <c r="R372" i="16" s="1"/>
  <c r="S372" i="16" s="1"/>
  <c r="K372" i="16"/>
  <c r="E376" i="16"/>
  <c r="G376" i="16" s="1"/>
  <c r="R376" i="16" s="1"/>
  <c r="S376" i="16" s="1"/>
  <c r="K387" i="16"/>
  <c r="I387" i="16"/>
  <c r="E388" i="16"/>
  <c r="G388" i="16" s="1"/>
  <c r="R388" i="16" s="1"/>
  <c r="S388" i="16" s="1"/>
  <c r="K388" i="16"/>
  <c r="I388" i="16"/>
  <c r="M392" i="16"/>
  <c r="E403" i="16"/>
  <c r="G403" i="16" s="1"/>
  <c r="R403" i="16" s="1"/>
  <c r="S403" i="16" s="1"/>
  <c r="K403" i="16"/>
  <c r="I403" i="16"/>
  <c r="E394" i="16"/>
  <c r="G394" i="16" s="1"/>
  <c r="R394" i="16" s="1"/>
  <c r="S394" i="16" s="1"/>
  <c r="E353" i="16"/>
  <c r="G353" i="16" s="1"/>
  <c r="R353" i="16" s="1"/>
  <c r="S353" i="16" s="1"/>
  <c r="I353" i="16"/>
  <c r="I372" i="16"/>
  <c r="M387" i="16"/>
  <c r="M388" i="16"/>
  <c r="K389" i="16"/>
  <c r="G407" i="16"/>
  <c r="R407" i="16" s="1"/>
  <c r="S407" i="16" s="1"/>
  <c r="E359" i="16"/>
  <c r="G359" i="16" s="1"/>
  <c r="R359" i="16" s="1"/>
  <c r="S359" i="16" s="1"/>
  <c r="I364" i="16"/>
  <c r="E370" i="16"/>
  <c r="G370" i="16" s="1"/>
  <c r="R370" i="16" s="1"/>
  <c r="S370" i="16" s="1"/>
  <c r="K371" i="16"/>
  <c r="O371" i="16" s="1"/>
  <c r="P371" i="16" s="1"/>
  <c r="I371" i="16"/>
  <c r="M372" i="16"/>
  <c r="K379" i="16"/>
  <c r="I379" i="16"/>
  <c r="E380" i="16"/>
  <c r="G380" i="16" s="1"/>
  <c r="R380" i="16" s="1"/>
  <c r="S380" i="16" s="1"/>
  <c r="K380" i="16"/>
  <c r="I380" i="16"/>
  <c r="M389" i="16"/>
  <c r="M403" i="16"/>
  <c r="E379" i="16"/>
  <c r="G379" i="16" s="1"/>
  <c r="R379" i="16" s="1"/>
  <c r="S379" i="16" s="1"/>
  <c r="K392" i="16"/>
  <c r="E404" i="16"/>
  <c r="G404" i="16" s="1"/>
  <c r="R404" i="16" s="1"/>
  <c r="S404" i="16" s="1"/>
  <c r="K404" i="16"/>
  <c r="I404" i="16"/>
  <c r="G412" i="16"/>
  <c r="R412" i="16" s="1"/>
  <c r="S412" i="16" s="1"/>
  <c r="M397" i="16"/>
  <c r="E400" i="16"/>
  <c r="G400" i="16" s="1"/>
  <c r="R400" i="16" s="1"/>
  <c r="S400" i="16" s="1"/>
  <c r="K402" i="16"/>
  <c r="M405" i="16"/>
  <c r="I407" i="16"/>
  <c r="E408" i="16"/>
  <c r="G408" i="16" s="1"/>
  <c r="R408" i="16" s="1"/>
  <c r="S408" i="16" s="1"/>
  <c r="K410" i="16"/>
  <c r="M378" i="16"/>
  <c r="M386" i="16"/>
  <c r="M394" i="16"/>
  <c r="M402" i="16"/>
  <c r="M410" i="16"/>
  <c r="I412" i="16"/>
  <c r="I369" i="16"/>
  <c r="I377" i="16"/>
  <c r="I385" i="16"/>
  <c r="I393" i="16"/>
  <c r="I401" i="16"/>
  <c r="I409" i="16"/>
  <c r="E410" i="16"/>
  <c r="G410" i="16" s="1"/>
  <c r="R410" i="16" s="1"/>
  <c r="S410" i="16" s="1"/>
  <c r="K412" i="16"/>
  <c r="M412" i="16"/>
  <c r="M369" i="16"/>
  <c r="U369" i="16" s="1"/>
  <c r="V369" i="16" s="1"/>
  <c r="M377" i="16"/>
  <c r="M385" i="16"/>
  <c r="M393" i="16"/>
  <c r="M401" i="16"/>
  <c r="M409" i="16"/>
  <c r="I411" i="16"/>
  <c r="I400" i="16"/>
  <c r="I408" i="16"/>
  <c r="K411" i="16"/>
  <c r="O411" i="16" s="1"/>
  <c r="P411" i="16" s="1"/>
  <c r="M411" i="16"/>
  <c r="U411" i="16" s="1"/>
  <c r="V411" i="16" s="1"/>
  <c r="U44" i="16" l="1"/>
  <c r="V44" i="16" s="1"/>
  <c r="U105" i="16"/>
  <c r="V105" i="16" s="1"/>
  <c r="O77" i="16"/>
  <c r="P77" i="16" s="1"/>
  <c r="R77" i="16"/>
  <c r="S77" i="16" s="1"/>
  <c r="U272" i="16"/>
  <c r="V272" i="16" s="1"/>
  <c r="R272" i="16"/>
  <c r="S272" i="16" s="1"/>
  <c r="O94" i="16"/>
  <c r="P94" i="16" s="1"/>
  <c r="R94" i="16"/>
  <c r="S94" i="16" s="1"/>
  <c r="U406" i="16"/>
  <c r="V406" i="16" s="1"/>
  <c r="R406" i="16"/>
  <c r="S406" i="16" s="1"/>
  <c r="O300" i="16"/>
  <c r="P300" i="16" s="1"/>
  <c r="R300" i="16"/>
  <c r="S300" i="16" s="1"/>
  <c r="U381" i="16"/>
  <c r="V381" i="16" s="1"/>
  <c r="R381" i="16"/>
  <c r="S381" i="16" s="1"/>
  <c r="U153" i="16"/>
  <c r="V153" i="16" s="1"/>
  <c r="R153" i="16"/>
  <c r="S153" i="16" s="1"/>
  <c r="U81" i="16"/>
  <c r="V81" i="16" s="1"/>
  <c r="R81" i="16"/>
  <c r="S81" i="16" s="1"/>
  <c r="O39" i="16"/>
  <c r="P39" i="16" s="1"/>
  <c r="R39" i="16"/>
  <c r="S39" i="16" s="1"/>
  <c r="U66" i="16"/>
  <c r="V66" i="16" s="1"/>
  <c r="R66" i="16"/>
  <c r="S66" i="16" s="1"/>
  <c r="U293" i="16"/>
  <c r="V293" i="16" s="1"/>
  <c r="R293" i="16"/>
  <c r="S293" i="16" s="1"/>
  <c r="U339" i="16"/>
  <c r="V339" i="16" s="1"/>
  <c r="R339" i="16"/>
  <c r="S339" i="16" s="1"/>
  <c r="U149" i="16"/>
  <c r="V149" i="16" s="1"/>
  <c r="R149" i="16"/>
  <c r="S149" i="16" s="1"/>
  <c r="O329" i="16"/>
  <c r="P329" i="16" s="1"/>
  <c r="R329" i="16"/>
  <c r="S329" i="16" s="1"/>
  <c r="O67" i="16"/>
  <c r="P67" i="16" s="1"/>
  <c r="R67" i="16"/>
  <c r="S67" i="16" s="1"/>
  <c r="O44" i="16"/>
  <c r="P44" i="16" s="1"/>
  <c r="R44" i="16"/>
  <c r="S44" i="16" s="1"/>
  <c r="U186" i="16"/>
  <c r="V186" i="16" s="1"/>
  <c r="R186" i="16"/>
  <c r="S186" i="16" s="1"/>
  <c r="O269" i="16"/>
  <c r="P269" i="16" s="1"/>
  <c r="R269" i="16"/>
  <c r="S269" i="16" s="1"/>
  <c r="U12" i="16"/>
  <c r="V12" i="16" s="1"/>
  <c r="R12" i="16"/>
  <c r="S12" i="16" s="1"/>
  <c r="U167" i="16"/>
  <c r="V167" i="16" s="1"/>
  <c r="R167" i="16"/>
  <c r="S167" i="16" s="1"/>
  <c r="U257" i="16"/>
  <c r="V257" i="16" s="1"/>
  <c r="R257" i="16"/>
  <c r="S257" i="16" s="1"/>
  <c r="U249" i="16"/>
  <c r="V249" i="16" s="1"/>
  <c r="R249" i="16"/>
  <c r="S249" i="16" s="1"/>
  <c r="O267" i="16"/>
  <c r="P267" i="16" s="1"/>
  <c r="R267" i="16"/>
  <c r="S267" i="16" s="1"/>
  <c r="O378" i="16"/>
  <c r="P378" i="16" s="1"/>
  <c r="R378" i="16"/>
  <c r="S378" i="16" s="1"/>
  <c r="O185" i="16"/>
  <c r="P185" i="16" s="1"/>
  <c r="R185" i="16"/>
  <c r="S185" i="16" s="1"/>
  <c r="O75" i="16"/>
  <c r="P75" i="16" s="1"/>
  <c r="R75" i="16"/>
  <c r="S75" i="16" s="1"/>
  <c r="O6" i="16"/>
  <c r="P6" i="16" s="1"/>
  <c r="R6" i="16"/>
  <c r="S6" i="16" s="1"/>
  <c r="U337" i="16"/>
  <c r="V337" i="16" s="1"/>
  <c r="R337" i="16"/>
  <c r="S337" i="16" s="1"/>
  <c r="O165" i="16"/>
  <c r="P165" i="16" s="1"/>
  <c r="R165" i="16"/>
  <c r="S165" i="16" s="1"/>
  <c r="O137" i="16"/>
  <c r="P137" i="16" s="1"/>
  <c r="R137" i="16"/>
  <c r="S137" i="16" s="1"/>
  <c r="U297" i="16"/>
  <c r="V297" i="16" s="1"/>
  <c r="R297" i="16"/>
  <c r="S297" i="16" s="1"/>
  <c r="U233" i="16"/>
  <c r="V233" i="16" s="1"/>
  <c r="R233" i="16"/>
  <c r="S233" i="16" s="1"/>
  <c r="U86" i="16"/>
  <c r="V86" i="16" s="1"/>
  <c r="R86" i="16"/>
  <c r="S86" i="16" s="1"/>
  <c r="U281" i="16"/>
  <c r="V281" i="16" s="1"/>
  <c r="R281" i="16"/>
  <c r="S281" i="16" s="1"/>
  <c r="U14" i="16"/>
  <c r="V14" i="16" s="1"/>
  <c r="R14" i="16"/>
  <c r="S14" i="16" s="1"/>
  <c r="O73" i="16"/>
  <c r="P73" i="16" s="1"/>
  <c r="R73" i="16"/>
  <c r="S73" i="16" s="1"/>
  <c r="U191" i="16"/>
  <c r="V191" i="16" s="1"/>
  <c r="R191" i="16"/>
  <c r="S191" i="16" s="1"/>
  <c r="O52" i="16"/>
  <c r="P52" i="16" s="1"/>
  <c r="R52" i="16"/>
  <c r="S52" i="16" s="1"/>
  <c r="O290" i="16"/>
  <c r="P290" i="16" s="1"/>
  <c r="R290" i="16"/>
  <c r="S290" i="16" s="1"/>
  <c r="U328" i="16"/>
  <c r="V328" i="16" s="1"/>
  <c r="R328" i="16"/>
  <c r="S328" i="16" s="1"/>
  <c r="U148" i="16"/>
  <c r="V148" i="16" s="1"/>
  <c r="R148" i="16"/>
  <c r="S148" i="16" s="1"/>
  <c r="O33" i="16"/>
  <c r="P33" i="16" s="1"/>
  <c r="R33" i="16"/>
  <c r="S33" i="16" s="1"/>
  <c r="O133" i="16"/>
  <c r="P133" i="16" s="1"/>
  <c r="R133" i="16"/>
  <c r="S133" i="16" s="1"/>
  <c r="O70" i="16"/>
  <c r="P70" i="16" s="1"/>
  <c r="R70" i="16"/>
  <c r="S70" i="16" s="1"/>
  <c r="O255" i="16"/>
  <c r="P255" i="16" s="1"/>
  <c r="R255" i="16"/>
  <c r="S255" i="16" s="1"/>
  <c r="U232" i="16"/>
  <c r="V232" i="16" s="1"/>
  <c r="R232" i="16"/>
  <c r="S232" i="16" s="1"/>
  <c r="U287" i="16"/>
  <c r="V287" i="16" s="1"/>
  <c r="R287" i="16"/>
  <c r="S287" i="16" s="1"/>
  <c r="U181" i="16"/>
  <c r="V181" i="16" s="1"/>
  <c r="R181" i="16"/>
  <c r="S181" i="16" s="1"/>
  <c r="O217" i="16"/>
  <c r="P217" i="16" s="1"/>
  <c r="R217" i="16"/>
  <c r="S217" i="16" s="1"/>
  <c r="O36" i="16"/>
  <c r="P36" i="16" s="1"/>
  <c r="R36" i="16"/>
  <c r="S36" i="16" s="1"/>
  <c r="U231" i="16"/>
  <c r="V231" i="16" s="1"/>
  <c r="R231" i="16"/>
  <c r="S231" i="16" s="1"/>
  <c r="U135" i="16"/>
  <c r="V135" i="16" s="1"/>
  <c r="R135" i="16"/>
  <c r="S135" i="16" s="1"/>
  <c r="R2" i="16"/>
  <c r="S2" i="16" s="1"/>
  <c r="O2" i="16"/>
  <c r="U175" i="16"/>
  <c r="V175" i="16" s="1"/>
  <c r="R175" i="16"/>
  <c r="S175" i="16" s="1"/>
  <c r="O25" i="16"/>
  <c r="P25" i="16" s="1"/>
  <c r="R25" i="16"/>
  <c r="S25" i="16" s="1"/>
  <c r="O401" i="16"/>
  <c r="P401" i="16" s="1"/>
  <c r="R401" i="16"/>
  <c r="S401" i="16" s="1"/>
  <c r="O285" i="16"/>
  <c r="P285" i="16" s="1"/>
  <c r="R285" i="16"/>
  <c r="S285" i="16" s="1"/>
  <c r="O179" i="16"/>
  <c r="P179" i="16" s="1"/>
  <c r="R179" i="16"/>
  <c r="S179" i="16" s="1"/>
  <c r="U305" i="16"/>
  <c r="V305" i="16" s="1"/>
  <c r="R305" i="16"/>
  <c r="S305" i="16" s="1"/>
  <c r="U88" i="16"/>
  <c r="V88" i="16" s="1"/>
  <c r="R88" i="16"/>
  <c r="S88" i="16" s="1"/>
  <c r="U4" i="16"/>
  <c r="V4" i="16" s="1"/>
  <c r="R4" i="16"/>
  <c r="S4" i="16" s="1"/>
  <c r="O82" i="16"/>
  <c r="P82" i="16" s="1"/>
  <c r="R82" i="16"/>
  <c r="S82" i="16" s="1"/>
  <c r="U8" i="16"/>
  <c r="V8" i="16" s="1"/>
  <c r="O35" i="16"/>
  <c r="P35" i="16" s="1"/>
  <c r="R35" i="16"/>
  <c r="S35" i="16" s="1"/>
  <c r="U319" i="16"/>
  <c r="V319" i="16" s="1"/>
  <c r="R319" i="16"/>
  <c r="S319" i="16" s="1"/>
  <c r="U125" i="16"/>
  <c r="V125" i="16" s="1"/>
  <c r="U275" i="16"/>
  <c r="V275" i="16" s="1"/>
  <c r="R275" i="16"/>
  <c r="S275" i="16" s="1"/>
  <c r="U237" i="16"/>
  <c r="V237" i="16" s="1"/>
  <c r="R237" i="16"/>
  <c r="S237" i="16" s="1"/>
  <c r="U220" i="16"/>
  <c r="V220" i="16" s="1"/>
  <c r="R220" i="16"/>
  <c r="S220" i="16" s="1"/>
  <c r="O151" i="16"/>
  <c r="P151" i="16" s="1"/>
  <c r="R151" i="16"/>
  <c r="S151" i="16" s="1"/>
  <c r="O107" i="16"/>
  <c r="P107" i="16" s="1"/>
  <c r="O51" i="16"/>
  <c r="P51" i="16" s="1"/>
  <c r="R51" i="16"/>
  <c r="S51" i="16" s="1"/>
  <c r="U239" i="16"/>
  <c r="V239" i="16" s="1"/>
  <c r="R239" i="16"/>
  <c r="S239" i="16" s="1"/>
  <c r="O213" i="16"/>
  <c r="P213" i="16" s="1"/>
  <c r="R213" i="16"/>
  <c r="S213" i="16" s="1"/>
  <c r="O27" i="16"/>
  <c r="P27" i="16" s="1"/>
  <c r="R27" i="16"/>
  <c r="S27" i="16" s="1"/>
  <c r="O203" i="16"/>
  <c r="P203" i="16" s="1"/>
  <c r="O105" i="16"/>
  <c r="P105" i="16" s="1"/>
  <c r="O279" i="16"/>
  <c r="P279" i="16" s="1"/>
  <c r="R279" i="16"/>
  <c r="S279" i="16" s="1"/>
  <c r="O50" i="16"/>
  <c r="P50" i="16" s="1"/>
  <c r="R50" i="16"/>
  <c r="S50" i="16" s="1"/>
  <c r="U50" i="16"/>
  <c r="V50" i="16" s="1"/>
  <c r="O390" i="16"/>
  <c r="P390" i="16" s="1"/>
  <c r="U278" i="16"/>
  <c r="V278" i="16" s="1"/>
  <c r="O278" i="16"/>
  <c r="P278" i="16" s="1"/>
  <c r="O242" i="16"/>
  <c r="P242" i="16" s="1"/>
  <c r="O85" i="16"/>
  <c r="P85" i="16" s="1"/>
  <c r="O293" i="16"/>
  <c r="P293" i="16" s="1"/>
  <c r="U242" i="16"/>
  <c r="V242" i="16" s="1"/>
  <c r="O47" i="16"/>
  <c r="P47" i="16" s="1"/>
  <c r="O175" i="16"/>
  <c r="P175" i="16" s="1"/>
  <c r="U269" i="16"/>
  <c r="V269" i="16" s="1"/>
  <c r="U141" i="16"/>
  <c r="V141" i="16" s="1"/>
  <c r="O249" i="16"/>
  <c r="P249" i="16" s="1"/>
  <c r="U271" i="16"/>
  <c r="V271" i="16" s="1"/>
  <c r="O194" i="16"/>
  <c r="P194" i="16" s="1"/>
  <c r="U147" i="16"/>
  <c r="V147" i="16" s="1"/>
  <c r="O324" i="16"/>
  <c r="P324" i="16" s="1"/>
  <c r="U15" i="16"/>
  <c r="V15" i="16" s="1"/>
  <c r="O65" i="16"/>
  <c r="P65" i="16" s="1"/>
  <c r="O335" i="16"/>
  <c r="P335" i="16" s="1"/>
  <c r="U203" i="16"/>
  <c r="V203" i="16" s="1"/>
  <c r="U246" i="16"/>
  <c r="V246" i="16" s="1"/>
  <c r="U63" i="16"/>
  <c r="V63" i="16" s="1"/>
  <c r="U119" i="16"/>
  <c r="V119" i="16" s="1"/>
  <c r="O253" i="16"/>
  <c r="P253" i="16" s="1"/>
  <c r="O339" i="16"/>
  <c r="P339" i="16" s="1"/>
  <c r="O197" i="16"/>
  <c r="P197" i="16" s="1"/>
  <c r="O346" i="16"/>
  <c r="P346" i="16" s="1"/>
  <c r="O41" i="16"/>
  <c r="P41" i="16" s="1"/>
  <c r="O341" i="16"/>
  <c r="P341" i="16" s="1"/>
  <c r="O152" i="16"/>
  <c r="P152" i="16" s="1"/>
  <c r="O238" i="16"/>
  <c r="P238" i="16" s="1"/>
  <c r="O136" i="16"/>
  <c r="P136" i="16" s="1"/>
  <c r="O347" i="16"/>
  <c r="P347" i="16" s="1"/>
  <c r="O21" i="16"/>
  <c r="P21" i="16" s="1"/>
  <c r="O314" i="16"/>
  <c r="P314" i="16" s="1"/>
  <c r="O183" i="16"/>
  <c r="P183" i="16" s="1"/>
  <c r="O81" i="16"/>
  <c r="P81" i="16" s="1"/>
  <c r="O63" i="16"/>
  <c r="P63" i="16" s="1"/>
  <c r="U267" i="16"/>
  <c r="V267" i="16" s="1"/>
  <c r="U39" i="16"/>
  <c r="V39" i="16" s="1"/>
  <c r="U402" i="16"/>
  <c r="V402" i="16" s="1"/>
  <c r="O271" i="16"/>
  <c r="P271" i="16" s="1"/>
  <c r="O181" i="16"/>
  <c r="P181" i="16" s="1"/>
  <c r="U401" i="16"/>
  <c r="V401" i="16" s="1"/>
  <c r="O402" i="16"/>
  <c r="P402" i="16" s="1"/>
  <c r="U283" i="16"/>
  <c r="V283" i="16" s="1"/>
  <c r="O310" i="16"/>
  <c r="P310" i="16" s="1"/>
  <c r="O167" i="16"/>
  <c r="P167" i="16" s="1"/>
  <c r="O263" i="16"/>
  <c r="P263" i="16" s="1"/>
  <c r="U263" i="16"/>
  <c r="V263" i="16" s="1"/>
  <c r="U253" i="16"/>
  <c r="V253" i="16" s="1"/>
  <c r="O157" i="16"/>
  <c r="P157" i="16" s="1"/>
  <c r="U157" i="16"/>
  <c r="V157" i="16" s="1"/>
  <c r="U77" i="16"/>
  <c r="V77" i="16" s="1"/>
  <c r="U262" i="16"/>
  <c r="V262" i="16" s="1"/>
  <c r="O147" i="16"/>
  <c r="P147" i="16" s="1"/>
  <c r="O220" i="16"/>
  <c r="P220" i="16" s="1"/>
  <c r="U255" i="16"/>
  <c r="V255" i="16" s="1"/>
  <c r="U290" i="16"/>
  <c r="V290" i="16" s="1"/>
  <c r="O233" i="16"/>
  <c r="P233" i="16" s="1"/>
  <c r="U109" i="16"/>
  <c r="V109" i="16" s="1"/>
  <c r="U315" i="16"/>
  <c r="V315" i="16" s="1"/>
  <c r="U346" i="16"/>
  <c r="V346" i="16" s="1"/>
  <c r="U285" i="16"/>
  <c r="V285" i="16" s="1"/>
  <c r="O186" i="16"/>
  <c r="P186" i="16" s="1"/>
  <c r="U70" i="16"/>
  <c r="V70" i="16" s="1"/>
  <c r="O231" i="16"/>
  <c r="P231" i="16" s="1"/>
  <c r="U310" i="16"/>
  <c r="V310" i="16" s="1"/>
  <c r="O275" i="16"/>
  <c r="P275" i="16" s="1"/>
  <c r="O262" i="16"/>
  <c r="P262" i="16" s="1"/>
  <c r="U171" i="16"/>
  <c r="V171" i="16" s="1"/>
  <c r="O239" i="16"/>
  <c r="P239" i="16" s="1"/>
  <c r="O109" i="16"/>
  <c r="P109" i="16" s="1"/>
  <c r="O315" i="16"/>
  <c r="P315" i="16" s="1"/>
  <c r="O257" i="16"/>
  <c r="P257" i="16" s="1"/>
  <c r="U213" i="16"/>
  <c r="V213" i="16" s="1"/>
  <c r="U341" i="16"/>
  <c r="V341" i="16" s="1"/>
  <c r="U82" i="16"/>
  <c r="V82" i="16" s="1"/>
  <c r="U136" i="16"/>
  <c r="V136" i="16" s="1"/>
  <c r="U65" i="16"/>
  <c r="V65" i="16" s="1"/>
  <c r="U51" i="16"/>
  <c r="V51" i="16" s="1"/>
  <c r="O86" i="16"/>
  <c r="P86" i="16" s="1"/>
  <c r="U183" i="16"/>
  <c r="V183" i="16" s="1"/>
  <c r="O66" i="16"/>
  <c r="P66" i="16" s="1"/>
  <c r="O28" i="16"/>
  <c r="P28" i="16" s="1"/>
  <c r="U28" i="16"/>
  <c r="V28" i="16" s="1"/>
  <c r="U215" i="16"/>
  <c r="V215" i="16" s="1"/>
  <c r="O215" i="16"/>
  <c r="P215" i="16" s="1"/>
  <c r="O111" i="16"/>
  <c r="P111" i="16" s="1"/>
  <c r="U111" i="16"/>
  <c r="V111" i="16" s="1"/>
  <c r="O342" i="16"/>
  <c r="P342" i="16" s="1"/>
  <c r="U342" i="16"/>
  <c r="V342" i="16" s="1"/>
  <c r="O103" i="16"/>
  <c r="P103" i="16" s="1"/>
  <c r="O381" i="16"/>
  <c r="P381" i="16" s="1"/>
  <c r="U151" i="16"/>
  <c r="V151" i="16" s="1"/>
  <c r="O119" i="16"/>
  <c r="P119" i="16" s="1"/>
  <c r="U409" i="16"/>
  <c r="V409" i="16" s="1"/>
  <c r="O232" i="16"/>
  <c r="P232" i="16" s="1"/>
  <c r="U173" i="16"/>
  <c r="V173" i="16" s="1"/>
  <c r="U35" i="16"/>
  <c r="V35" i="16" s="1"/>
  <c r="O14" i="16"/>
  <c r="P14" i="16" s="1"/>
  <c r="O38" i="16"/>
  <c r="P38" i="16" s="1"/>
  <c r="O170" i="16"/>
  <c r="P170" i="16" s="1"/>
  <c r="O153" i="16"/>
  <c r="P153" i="16" s="1"/>
  <c r="U22" i="16"/>
  <c r="V22" i="16" s="1"/>
  <c r="O88" i="16"/>
  <c r="P88" i="16" s="1"/>
  <c r="O4" i="16"/>
  <c r="P4" i="16" s="1"/>
  <c r="U197" i="16"/>
  <c r="V197" i="16" s="1"/>
  <c r="U33" i="16"/>
  <c r="V33" i="16" s="1"/>
  <c r="O337" i="16"/>
  <c r="P337" i="16" s="1"/>
  <c r="O237" i="16"/>
  <c r="P237" i="16" s="1"/>
  <c r="U41" i="16"/>
  <c r="V41" i="16" s="1"/>
  <c r="U300" i="16"/>
  <c r="V300" i="16" s="1"/>
  <c r="U347" i="16"/>
  <c r="V347" i="16" s="1"/>
  <c r="U25" i="16"/>
  <c r="V25" i="16" s="1"/>
  <c r="U115" i="16"/>
  <c r="V115" i="16" s="1"/>
  <c r="O406" i="16"/>
  <c r="P406" i="16" s="1"/>
  <c r="O177" i="16"/>
  <c r="P177" i="16" s="1"/>
  <c r="U137" i="16"/>
  <c r="V137" i="16" s="1"/>
  <c r="U324" i="16"/>
  <c r="V324" i="16" s="1"/>
  <c r="O246" i="16"/>
  <c r="P246" i="16" s="1"/>
  <c r="O409" i="16"/>
  <c r="P409" i="16" s="1"/>
  <c r="O115" i="16"/>
  <c r="P115" i="16" s="1"/>
  <c r="U378" i="16"/>
  <c r="V378" i="16" s="1"/>
  <c r="O173" i="16"/>
  <c r="P173" i="16" s="1"/>
  <c r="U152" i="16"/>
  <c r="V152" i="16" s="1"/>
  <c r="O55" i="16"/>
  <c r="P55" i="16" s="1"/>
  <c r="O363" i="16"/>
  <c r="P363" i="16" s="1"/>
  <c r="U363" i="16"/>
  <c r="V363" i="16" s="1"/>
  <c r="O304" i="16"/>
  <c r="P304" i="16" s="1"/>
  <c r="U304" i="16"/>
  <c r="V304" i="16" s="1"/>
  <c r="O265" i="16"/>
  <c r="P265" i="16" s="1"/>
  <c r="U265" i="16"/>
  <c r="V265" i="16" s="1"/>
  <c r="O20" i="16"/>
  <c r="P20" i="16" s="1"/>
  <c r="U20" i="16"/>
  <c r="V20" i="16" s="1"/>
  <c r="O311" i="16"/>
  <c r="P311" i="16" s="1"/>
  <c r="U311" i="16"/>
  <c r="V311" i="16" s="1"/>
  <c r="U209" i="16"/>
  <c r="V209" i="16" s="1"/>
  <c r="O209" i="16"/>
  <c r="P209" i="16" s="1"/>
  <c r="O291" i="16"/>
  <c r="P291" i="16" s="1"/>
  <c r="U291" i="16"/>
  <c r="V291" i="16" s="1"/>
  <c r="U92" i="16"/>
  <c r="V92" i="16" s="1"/>
  <c r="O92" i="16"/>
  <c r="P92" i="16" s="1"/>
  <c r="O30" i="16"/>
  <c r="P30" i="16" s="1"/>
  <c r="U30" i="16"/>
  <c r="V30" i="16" s="1"/>
  <c r="U366" i="16"/>
  <c r="V366" i="16" s="1"/>
  <c r="O366" i="16"/>
  <c r="P366" i="16" s="1"/>
  <c r="U398" i="16"/>
  <c r="V398" i="16" s="1"/>
  <c r="O398" i="16"/>
  <c r="P398" i="16" s="1"/>
  <c r="U60" i="16"/>
  <c r="V60" i="16" s="1"/>
  <c r="O60" i="16"/>
  <c r="P60" i="16" s="1"/>
  <c r="U391" i="16"/>
  <c r="V391" i="16" s="1"/>
  <c r="O391" i="16"/>
  <c r="P391" i="16" s="1"/>
  <c r="U375" i="16"/>
  <c r="V375" i="16" s="1"/>
  <c r="O375" i="16"/>
  <c r="P375" i="16" s="1"/>
  <c r="O146" i="16"/>
  <c r="P146" i="16" s="1"/>
  <c r="U36" i="16"/>
  <c r="V36" i="16" s="1"/>
  <c r="U55" i="16"/>
  <c r="V55" i="16" s="1"/>
  <c r="O22" i="16"/>
  <c r="P22" i="16" s="1"/>
  <c r="U67" i="16"/>
  <c r="V67" i="16" s="1"/>
  <c r="O191" i="16"/>
  <c r="P191" i="16" s="1"/>
  <c r="U52" i="16"/>
  <c r="V52" i="16" s="1"/>
  <c r="O54" i="16"/>
  <c r="P54" i="16" s="1"/>
  <c r="O297" i="16"/>
  <c r="P297" i="16" s="1"/>
  <c r="U85" i="16"/>
  <c r="V85" i="16" s="1"/>
  <c r="U185" i="16"/>
  <c r="V185" i="16" s="1"/>
  <c r="O149" i="16"/>
  <c r="P149" i="16" s="1"/>
  <c r="O171" i="16"/>
  <c r="P171" i="16" s="1"/>
  <c r="U308" i="16"/>
  <c r="V308" i="16" s="1"/>
  <c r="O308" i="16"/>
  <c r="P308" i="16" s="1"/>
  <c r="U279" i="16"/>
  <c r="V279" i="16" s="1"/>
  <c r="U21" i="16"/>
  <c r="V21" i="16" s="1"/>
  <c r="U177" i="16"/>
  <c r="V177" i="16" s="1"/>
  <c r="O135" i="16"/>
  <c r="P135" i="16" s="1"/>
  <c r="O15" i="16"/>
  <c r="P15" i="16" s="1"/>
  <c r="O287" i="16"/>
  <c r="P287" i="16" s="1"/>
  <c r="U329" i="16"/>
  <c r="V329" i="16" s="1"/>
  <c r="O272" i="16"/>
  <c r="P272" i="16" s="1"/>
  <c r="U170" i="16"/>
  <c r="V170" i="16" s="1"/>
  <c r="U27" i="16"/>
  <c r="V27" i="16" s="1"/>
  <c r="U217" i="16"/>
  <c r="V217" i="16" s="1"/>
  <c r="O57" i="16"/>
  <c r="P57" i="16" s="1"/>
  <c r="O328" i="16"/>
  <c r="P328" i="16" s="1"/>
  <c r="U146" i="16"/>
  <c r="V146" i="16" s="1"/>
  <c r="U94" i="16"/>
  <c r="V94" i="16" s="1"/>
  <c r="P2" i="16"/>
  <c r="U2" i="16"/>
  <c r="V2" i="16" s="1"/>
  <c r="O12" i="16"/>
  <c r="P12" i="16" s="1"/>
  <c r="U57" i="16"/>
  <c r="V57" i="16" s="1"/>
  <c r="U103" i="16"/>
  <c r="V103" i="16" s="1"/>
  <c r="O357" i="16"/>
  <c r="P357" i="16" s="1"/>
  <c r="U54" i="16"/>
  <c r="V54" i="16" s="1"/>
  <c r="U6" i="16"/>
  <c r="V6" i="16" s="1"/>
  <c r="U357" i="16"/>
  <c r="V357" i="16" s="1"/>
  <c r="O141" i="16"/>
  <c r="P141" i="16" s="1"/>
  <c r="U38" i="16"/>
  <c r="V38" i="16" s="1"/>
  <c r="O319" i="16"/>
  <c r="P319" i="16" s="1"/>
  <c r="U75" i="16"/>
  <c r="V75" i="16" s="1"/>
  <c r="U390" i="16"/>
  <c r="V390" i="16" s="1"/>
  <c r="O281" i="16"/>
  <c r="P281" i="16" s="1"/>
  <c r="U161" i="16"/>
  <c r="V161" i="16" s="1"/>
  <c r="U133" i="16"/>
  <c r="V133" i="16" s="1"/>
  <c r="U165" i="16"/>
  <c r="V165" i="16" s="1"/>
  <c r="U238" i="16"/>
  <c r="V238" i="16" s="1"/>
  <c r="U73" i="16"/>
  <c r="V73" i="16" s="1"/>
  <c r="O148" i="16"/>
  <c r="P148" i="16" s="1"/>
  <c r="O161" i="16"/>
  <c r="P161" i="16" s="1"/>
  <c r="U61" i="16"/>
  <c r="V61" i="16" s="1"/>
  <c r="O61" i="16"/>
  <c r="P61" i="16" s="1"/>
  <c r="U288" i="16"/>
  <c r="V288" i="16" s="1"/>
  <c r="O288" i="16"/>
  <c r="P288" i="16" s="1"/>
  <c r="U408" i="16"/>
  <c r="V408" i="16" s="1"/>
  <c r="O408" i="16"/>
  <c r="P408" i="16" s="1"/>
  <c r="O230" i="16"/>
  <c r="P230" i="16" s="1"/>
  <c r="U230" i="16"/>
  <c r="V230" i="16" s="1"/>
  <c r="U332" i="16"/>
  <c r="V332" i="16" s="1"/>
  <c r="O332" i="16"/>
  <c r="P332" i="16" s="1"/>
  <c r="O276" i="16"/>
  <c r="P276" i="16" s="1"/>
  <c r="U276" i="16"/>
  <c r="V276" i="16" s="1"/>
  <c r="O260" i="16"/>
  <c r="P260" i="16" s="1"/>
  <c r="U260" i="16"/>
  <c r="V260" i="16" s="1"/>
  <c r="U79" i="16"/>
  <c r="V79" i="16" s="1"/>
  <c r="O79" i="16"/>
  <c r="P79" i="16" s="1"/>
  <c r="U112" i="16"/>
  <c r="V112" i="16" s="1"/>
  <c r="O112" i="16"/>
  <c r="P112" i="16" s="1"/>
  <c r="U37" i="16"/>
  <c r="V37" i="16" s="1"/>
  <c r="O37" i="16"/>
  <c r="P37" i="16" s="1"/>
  <c r="U11" i="16"/>
  <c r="V11" i="16" s="1"/>
  <c r="O11" i="16"/>
  <c r="P11" i="16" s="1"/>
  <c r="U32" i="16"/>
  <c r="V32" i="16" s="1"/>
  <c r="O32" i="16"/>
  <c r="P32" i="16" s="1"/>
  <c r="U144" i="16"/>
  <c r="V144" i="16" s="1"/>
  <c r="O144" i="16"/>
  <c r="P144" i="16" s="1"/>
  <c r="O365" i="16"/>
  <c r="P365" i="16" s="1"/>
  <c r="U365" i="16"/>
  <c r="V365" i="16" s="1"/>
  <c r="O130" i="16"/>
  <c r="P130" i="16" s="1"/>
  <c r="U130" i="16"/>
  <c r="V130" i="16" s="1"/>
  <c r="O353" i="16"/>
  <c r="P353" i="16" s="1"/>
  <c r="U353" i="16"/>
  <c r="V353" i="16" s="1"/>
  <c r="O396" i="16"/>
  <c r="P396" i="16" s="1"/>
  <c r="U396" i="16"/>
  <c r="V396" i="16" s="1"/>
  <c r="U53" i="16"/>
  <c r="V53" i="16" s="1"/>
  <c r="O53" i="16"/>
  <c r="P53" i="16" s="1"/>
  <c r="U256" i="16"/>
  <c r="V256" i="16" s="1"/>
  <c r="O256" i="16"/>
  <c r="P256" i="16" s="1"/>
  <c r="O251" i="16"/>
  <c r="P251" i="16" s="1"/>
  <c r="U251" i="16"/>
  <c r="V251" i="16" s="1"/>
  <c r="O114" i="16"/>
  <c r="P114" i="16" s="1"/>
  <c r="U114" i="16"/>
  <c r="V114" i="16" s="1"/>
  <c r="O64" i="16"/>
  <c r="P64" i="16" s="1"/>
  <c r="U64" i="16"/>
  <c r="V64" i="16" s="1"/>
  <c r="U9" i="16"/>
  <c r="V9" i="16" s="1"/>
  <c r="O9" i="16"/>
  <c r="P9" i="16" s="1"/>
  <c r="O298" i="16"/>
  <c r="P298" i="16" s="1"/>
  <c r="U298" i="16"/>
  <c r="V298" i="16" s="1"/>
  <c r="O124" i="16"/>
  <c r="P124" i="16" s="1"/>
  <c r="U124" i="16"/>
  <c r="V124" i="16" s="1"/>
  <c r="U10" i="16"/>
  <c r="V10" i="16" s="1"/>
  <c r="O10" i="16"/>
  <c r="P10" i="16" s="1"/>
  <c r="U384" i="16"/>
  <c r="V384" i="16" s="1"/>
  <c r="O384" i="16"/>
  <c r="P384" i="16" s="1"/>
  <c r="O259" i="16"/>
  <c r="P259" i="16" s="1"/>
  <c r="U259" i="16"/>
  <c r="V259" i="16" s="1"/>
  <c r="U100" i="16"/>
  <c r="V100" i="16" s="1"/>
  <c r="O100" i="16"/>
  <c r="P100" i="16" s="1"/>
  <c r="U110" i="16"/>
  <c r="V110" i="16" s="1"/>
  <c r="O110" i="16"/>
  <c r="P110" i="16" s="1"/>
  <c r="U7" i="16"/>
  <c r="V7" i="16" s="1"/>
  <c r="O7" i="16"/>
  <c r="P7" i="16" s="1"/>
  <c r="U344" i="16"/>
  <c r="V344" i="16" s="1"/>
  <c r="O344" i="16"/>
  <c r="P344" i="16" s="1"/>
  <c r="O361" i="16"/>
  <c r="P361" i="16" s="1"/>
  <c r="U361" i="16"/>
  <c r="V361" i="16" s="1"/>
  <c r="U318" i="16"/>
  <c r="V318" i="16" s="1"/>
  <c r="O318" i="16"/>
  <c r="P318" i="16" s="1"/>
  <c r="U306" i="16"/>
  <c r="V306" i="16" s="1"/>
  <c r="O306" i="16"/>
  <c r="P306" i="16" s="1"/>
  <c r="U201" i="16"/>
  <c r="V201" i="16" s="1"/>
  <c r="O201" i="16"/>
  <c r="P201" i="16" s="1"/>
  <c r="U234" i="16"/>
  <c r="V234" i="16" s="1"/>
  <c r="O234" i="16"/>
  <c r="P234" i="16" s="1"/>
  <c r="O172" i="16"/>
  <c r="P172" i="16" s="1"/>
  <c r="U172" i="16"/>
  <c r="V172" i="16" s="1"/>
  <c r="U104" i="16"/>
  <c r="V104" i="16" s="1"/>
  <c r="O104" i="16"/>
  <c r="P104" i="16" s="1"/>
  <c r="U93" i="16"/>
  <c r="V93" i="16" s="1"/>
  <c r="O93" i="16"/>
  <c r="P93" i="16" s="1"/>
  <c r="U29" i="16"/>
  <c r="V29" i="16" s="1"/>
  <c r="O29" i="16"/>
  <c r="P29" i="16" s="1"/>
  <c r="U126" i="16"/>
  <c r="V126" i="16" s="1"/>
  <c r="O126" i="16"/>
  <c r="P126" i="16" s="1"/>
  <c r="U120" i="16"/>
  <c r="V120" i="16" s="1"/>
  <c r="O120" i="16"/>
  <c r="P120" i="16" s="1"/>
  <c r="O372" i="16"/>
  <c r="P372" i="16" s="1"/>
  <c r="U372" i="16"/>
  <c r="V372" i="16" s="1"/>
  <c r="U356" i="16"/>
  <c r="V356" i="16" s="1"/>
  <c r="O356" i="16"/>
  <c r="P356" i="16" s="1"/>
  <c r="U359" i="16"/>
  <c r="V359" i="16" s="1"/>
  <c r="O359" i="16"/>
  <c r="P359" i="16" s="1"/>
  <c r="U302" i="16"/>
  <c r="V302" i="16" s="1"/>
  <c r="O302" i="16"/>
  <c r="P302" i="16" s="1"/>
  <c r="U222" i="16"/>
  <c r="V222" i="16" s="1"/>
  <c r="O222" i="16"/>
  <c r="P222" i="16" s="1"/>
  <c r="O216" i="16"/>
  <c r="P216" i="16" s="1"/>
  <c r="U216" i="16"/>
  <c r="V216" i="16" s="1"/>
  <c r="U116" i="16"/>
  <c r="V116" i="16" s="1"/>
  <c r="O116" i="16"/>
  <c r="P116" i="16" s="1"/>
  <c r="O207" i="16"/>
  <c r="P207" i="16" s="1"/>
  <c r="U207" i="16"/>
  <c r="V207" i="16" s="1"/>
  <c r="O180" i="16"/>
  <c r="P180" i="16" s="1"/>
  <c r="U180" i="16"/>
  <c r="V180" i="16" s="1"/>
  <c r="O91" i="16"/>
  <c r="P91" i="16" s="1"/>
  <c r="U91" i="16"/>
  <c r="V91" i="16" s="1"/>
  <c r="U18" i="16"/>
  <c r="V18" i="16" s="1"/>
  <c r="O18" i="16"/>
  <c r="P18" i="16" s="1"/>
  <c r="U156" i="16"/>
  <c r="V156" i="16" s="1"/>
  <c r="O156" i="16"/>
  <c r="P156" i="16" s="1"/>
  <c r="O404" i="16"/>
  <c r="P404" i="16" s="1"/>
  <c r="U404" i="16"/>
  <c r="V404" i="16" s="1"/>
  <c r="U360" i="16"/>
  <c r="V360" i="16" s="1"/>
  <c r="O360" i="16"/>
  <c r="P360" i="16" s="1"/>
  <c r="O322" i="16"/>
  <c r="P322" i="16" s="1"/>
  <c r="U322" i="16"/>
  <c r="V322" i="16" s="1"/>
  <c r="O286" i="16"/>
  <c r="P286" i="16" s="1"/>
  <c r="U286" i="16"/>
  <c r="V286" i="16" s="1"/>
  <c r="O333" i="16"/>
  <c r="P333" i="16" s="1"/>
  <c r="U333" i="16"/>
  <c r="V333" i="16" s="1"/>
  <c r="U412" i="16"/>
  <c r="V412" i="16" s="1"/>
  <c r="O412" i="16"/>
  <c r="P412" i="16" s="1"/>
  <c r="U373" i="16"/>
  <c r="V373" i="16" s="1"/>
  <c r="O373" i="16"/>
  <c r="P373" i="16" s="1"/>
  <c r="U395" i="16"/>
  <c r="V395" i="16" s="1"/>
  <c r="O395" i="16"/>
  <c r="P395" i="16" s="1"/>
  <c r="O330" i="16"/>
  <c r="P330" i="16" s="1"/>
  <c r="U330" i="16"/>
  <c r="V330" i="16" s="1"/>
  <c r="U340" i="16"/>
  <c r="V340" i="16" s="1"/>
  <c r="O340" i="16"/>
  <c r="P340" i="16" s="1"/>
  <c r="O338" i="16"/>
  <c r="P338" i="16" s="1"/>
  <c r="U338" i="16"/>
  <c r="V338" i="16" s="1"/>
  <c r="O321" i="16"/>
  <c r="P321" i="16" s="1"/>
  <c r="U321" i="16"/>
  <c r="V321" i="16" s="1"/>
  <c r="O284" i="16"/>
  <c r="P284" i="16" s="1"/>
  <c r="U284" i="16"/>
  <c r="V284" i="16" s="1"/>
  <c r="U307" i="16"/>
  <c r="V307" i="16" s="1"/>
  <c r="O307" i="16"/>
  <c r="P307" i="16" s="1"/>
  <c r="O296" i="16"/>
  <c r="P296" i="16" s="1"/>
  <c r="U296" i="16"/>
  <c r="V296" i="16" s="1"/>
  <c r="U301" i="16"/>
  <c r="V301" i="16" s="1"/>
  <c r="O301" i="16"/>
  <c r="P301" i="16" s="1"/>
  <c r="U241" i="16"/>
  <c r="V241" i="16" s="1"/>
  <c r="O241" i="16"/>
  <c r="P241" i="16" s="1"/>
  <c r="O244" i="16"/>
  <c r="P244" i="16" s="1"/>
  <c r="U244" i="16"/>
  <c r="V244" i="16" s="1"/>
  <c r="O204" i="16"/>
  <c r="P204" i="16" s="1"/>
  <c r="U204" i="16"/>
  <c r="V204" i="16" s="1"/>
  <c r="O240" i="16"/>
  <c r="P240" i="16" s="1"/>
  <c r="U240" i="16"/>
  <c r="V240" i="16" s="1"/>
  <c r="U226" i="16"/>
  <c r="V226" i="16" s="1"/>
  <c r="O226" i="16"/>
  <c r="P226" i="16" s="1"/>
  <c r="U202" i="16"/>
  <c r="V202" i="16" s="1"/>
  <c r="O202" i="16"/>
  <c r="P202" i="16" s="1"/>
  <c r="O182" i="16"/>
  <c r="P182" i="16" s="1"/>
  <c r="U182" i="16"/>
  <c r="V182" i="16" s="1"/>
  <c r="U129" i="16"/>
  <c r="V129" i="16" s="1"/>
  <c r="O129" i="16"/>
  <c r="P129" i="16" s="1"/>
  <c r="O205" i="16"/>
  <c r="P205" i="16" s="1"/>
  <c r="U205" i="16"/>
  <c r="V205" i="16" s="1"/>
  <c r="O169" i="16"/>
  <c r="P169" i="16" s="1"/>
  <c r="U169" i="16"/>
  <c r="V169" i="16" s="1"/>
  <c r="U178" i="16"/>
  <c r="V178" i="16" s="1"/>
  <c r="O178" i="16"/>
  <c r="P178" i="16" s="1"/>
  <c r="O59" i="16"/>
  <c r="P59" i="16" s="1"/>
  <c r="U59" i="16"/>
  <c r="V59" i="16" s="1"/>
  <c r="O154" i="16"/>
  <c r="P154" i="16" s="1"/>
  <c r="U154" i="16"/>
  <c r="V154" i="16" s="1"/>
  <c r="U163" i="16"/>
  <c r="V163" i="16" s="1"/>
  <c r="O163" i="16"/>
  <c r="P163" i="16" s="1"/>
  <c r="U40" i="16"/>
  <c r="V40" i="16" s="1"/>
  <c r="O40" i="16"/>
  <c r="P40" i="16" s="1"/>
  <c r="O80" i="16"/>
  <c r="P80" i="16" s="1"/>
  <c r="U80" i="16"/>
  <c r="V80" i="16" s="1"/>
  <c r="O138" i="16"/>
  <c r="P138" i="16" s="1"/>
  <c r="U138" i="16"/>
  <c r="V138" i="16" s="1"/>
  <c r="O19" i="16"/>
  <c r="P19" i="16" s="1"/>
  <c r="U19" i="16"/>
  <c r="V19" i="16" s="1"/>
  <c r="U379" i="16"/>
  <c r="V379" i="16" s="1"/>
  <c r="O379" i="16"/>
  <c r="P379" i="16" s="1"/>
  <c r="O380" i="16"/>
  <c r="P380" i="16" s="1"/>
  <c r="U380" i="16"/>
  <c r="V380" i="16" s="1"/>
  <c r="O354" i="16"/>
  <c r="P354" i="16" s="1"/>
  <c r="U354" i="16"/>
  <c r="V354" i="16" s="1"/>
  <c r="U368" i="16"/>
  <c r="V368" i="16" s="1"/>
  <c r="O368" i="16"/>
  <c r="P368" i="16" s="1"/>
  <c r="O313" i="16"/>
  <c r="P313" i="16" s="1"/>
  <c r="U313" i="16"/>
  <c r="V313" i="16" s="1"/>
  <c r="O362" i="16"/>
  <c r="P362" i="16" s="1"/>
  <c r="U362" i="16"/>
  <c r="V362" i="16" s="1"/>
  <c r="O327" i="16"/>
  <c r="P327" i="16" s="1"/>
  <c r="U327" i="16"/>
  <c r="V327" i="16" s="1"/>
  <c r="O312" i="16"/>
  <c r="P312" i="16" s="1"/>
  <c r="U312" i="16"/>
  <c r="V312" i="16" s="1"/>
  <c r="O264" i="16"/>
  <c r="P264" i="16" s="1"/>
  <c r="U264" i="16"/>
  <c r="V264" i="16" s="1"/>
  <c r="U282" i="16"/>
  <c r="V282" i="16" s="1"/>
  <c r="O282" i="16"/>
  <c r="P282" i="16" s="1"/>
  <c r="O254" i="16"/>
  <c r="P254" i="16" s="1"/>
  <c r="U254" i="16"/>
  <c r="V254" i="16" s="1"/>
  <c r="O229" i="16"/>
  <c r="P229" i="16" s="1"/>
  <c r="U229" i="16"/>
  <c r="V229" i="16" s="1"/>
  <c r="O252" i="16"/>
  <c r="P252" i="16" s="1"/>
  <c r="U252" i="16"/>
  <c r="V252" i="16" s="1"/>
  <c r="U187" i="16"/>
  <c r="V187" i="16" s="1"/>
  <c r="O187" i="16"/>
  <c r="P187" i="16" s="1"/>
  <c r="U189" i="16"/>
  <c r="V189" i="16" s="1"/>
  <c r="O189" i="16"/>
  <c r="P189" i="16" s="1"/>
  <c r="U102" i="16"/>
  <c r="V102" i="16" s="1"/>
  <c r="O102" i="16"/>
  <c r="P102" i="16" s="1"/>
  <c r="O184" i="16"/>
  <c r="P184" i="16" s="1"/>
  <c r="U184" i="16"/>
  <c r="V184" i="16" s="1"/>
  <c r="O195" i="16"/>
  <c r="P195" i="16" s="1"/>
  <c r="U195" i="16"/>
  <c r="V195" i="16" s="1"/>
  <c r="O192" i="16"/>
  <c r="P192" i="16" s="1"/>
  <c r="U192" i="16"/>
  <c r="V192" i="16" s="1"/>
  <c r="U89" i="16"/>
  <c r="V89" i="16" s="1"/>
  <c r="O89" i="16"/>
  <c r="P89" i="16" s="1"/>
  <c r="O159" i="16"/>
  <c r="P159" i="16" s="1"/>
  <c r="U159" i="16"/>
  <c r="V159" i="16" s="1"/>
  <c r="U31" i="16"/>
  <c r="V31" i="16" s="1"/>
  <c r="O31" i="16"/>
  <c r="P31" i="16" s="1"/>
  <c r="O162" i="16"/>
  <c r="P162" i="16" s="1"/>
  <c r="U162" i="16"/>
  <c r="V162" i="16" s="1"/>
  <c r="O106" i="16"/>
  <c r="P106" i="16" s="1"/>
  <c r="U106" i="16"/>
  <c r="V106" i="16" s="1"/>
  <c r="O117" i="16"/>
  <c r="P117" i="16" s="1"/>
  <c r="U117" i="16"/>
  <c r="V117" i="16" s="1"/>
  <c r="O3" i="16"/>
  <c r="P3" i="16" s="1"/>
  <c r="U3" i="16"/>
  <c r="V3" i="16" s="1"/>
  <c r="O62" i="16"/>
  <c r="P62" i="16" s="1"/>
  <c r="U62" i="16"/>
  <c r="V62" i="16" s="1"/>
  <c r="O358" i="16"/>
  <c r="P358" i="16" s="1"/>
  <c r="U358" i="16"/>
  <c r="V358" i="16" s="1"/>
  <c r="O334" i="16"/>
  <c r="P334" i="16" s="1"/>
  <c r="U334" i="16"/>
  <c r="V334" i="16" s="1"/>
  <c r="O196" i="16"/>
  <c r="P196" i="16" s="1"/>
  <c r="U196" i="16"/>
  <c r="V196" i="16" s="1"/>
  <c r="U225" i="16"/>
  <c r="V225" i="16" s="1"/>
  <c r="O225" i="16"/>
  <c r="P225" i="16" s="1"/>
  <c r="O243" i="16"/>
  <c r="P243" i="16" s="1"/>
  <c r="U243" i="16"/>
  <c r="V243" i="16" s="1"/>
  <c r="U168" i="16"/>
  <c r="V168" i="16" s="1"/>
  <c r="O168" i="16"/>
  <c r="P168" i="16" s="1"/>
  <c r="O164" i="16"/>
  <c r="P164" i="16" s="1"/>
  <c r="U164" i="16"/>
  <c r="V164" i="16" s="1"/>
  <c r="O68" i="16"/>
  <c r="P68" i="16" s="1"/>
  <c r="U68" i="16"/>
  <c r="V68" i="16" s="1"/>
  <c r="U145" i="16"/>
  <c r="V145" i="16" s="1"/>
  <c r="O145" i="16"/>
  <c r="P145" i="16" s="1"/>
  <c r="O17" i="16"/>
  <c r="P17" i="16" s="1"/>
  <c r="U17" i="16"/>
  <c r="V17" i="16" s="1"/>
  <c r="U78" i="16"/>
  <c r="V78" i="16" s="1"/>
  <c r="O78" i="16"/>
  <c r="P78" i="16" s="1"/>
  <c r="U155" i="16"/>
  <c r="V155" i="16" s="1"/>
  <c r="O155" i="16"/>
  <c r="P155" i="16" s="1"/>
  <c r="U26" i="16"/>
  <c r="V26" i="16" s="1"/>
  <c r="O26" i="16"/>
  <c r="P26" i="16" s="1"/>
  <c r="U158" i="16"/>
  <c r="V158" i="16" s="1"/>
  <c r="O158" i="16"/>
  <c r="P158" i="16" s="1"/>
  <c r="U99" i="16"/>
  <c r="V99" i="16" s="1"/>
  <c r="O99" i="16"/>
  <c r="P99" i="16" s="1"/>
  <c r="O13" i="16"/>
  <c r="P13" i="16" s="1"/>
  <c r="U13" i="16"/>
  <c r="V13" i="16" s="1"/>
  <c r="U367" i="16"/>
  <c r="V367" i="16" s="1"/>
  <c r="O367" i="16"/>
  <c r="P367" i="16" s="1"/>
  <c r="U351" i="16"/>
  <c r="V351" i="16" s="1"/>
  <c r="O351" i="16"/>
  <c r="P351" i="16" s="1"/>
  <c r="U294" i="16"/>
  <c r="V294" i="16" s="1"/>
  <c r="O294" i="16"/>
  <c r="P294" i="16" s="1"/>
  <c r="U224" i="16"/>
  <c r="V224" i="16" s="1"/>
  <c r="O224" i="16"/>
  <c r="P224" i="16" s="1"/>
  <c r="U200" i="16"/>
  <c r="V200" i="16" s="1"/>
  <c r="O200" i="16"/>
  <c r="P200" i="16" s="1"/>
  <c r="O214" i="16"/>
  <c r="P214" i="16" s="1"/>
  <c r="U214" i="16"/>
  <c r="V214" i="16" s="1"/>
  <c r="O388" i="16"/>
  <c r="P388" i="16" s="1"/>
  <c r="U388" i="16"/>
  <c r="V388" i="16" s="1"/>
  <c r="O385" i="16"/>
  <c r="P385" i="16" s="1"/>
  <c r="U385" i="16"/>
  <c r="V385" i="16" s="1"/>
  <c r="U399" i="16"/>
  <c r="V399" i="16" s="1"/>
  <c r="O399" i="16"/>
  <c r="P399" i="16" s="1"/>
  <c r="U352" i="16"/>
  <c r="V352" i="16" s="1"/>
  <c r="O352" i="16"/>
  <c r="P352" i="16" s="1"/>
  <c r="U317" i="16"/>
  <c r="V317" i="16" s="1"/>
  <c r="O317" i="16"/>
  <c r="P317" i="16" s="1"/>
  <c r="U316" i="16"/>
  <c r="V316" i="16" s="1"/>
  <c r="O316" i="16"/>
  <c r="P316" i="16" s="1"/>
  <c r="O188" i="16"/>
  <c r="P188" i="16" s="1"/>
  <c r="U188" i="16"/>
  <c r="V188" i="16" s="1"/>
  <c r="U211" i="16"/>
  <c r="V211" i="16" s="1"/>
  <c r="O211" i="16"/>
  <c r="P211" i="16" s="1"/>
  <c r="O199" i="16"/>
  <c r="P199" i="16" s="1"/>
  <c r="U199" i="16"/>
  <c r="V199" i="16" s="1"/>
  <c r="U118" i="16"/>
  <c r="V118" i="16" s="1"/>
  <c r="O118" i="16"/>
  <c r="P118" i="16" s="1"/>
  <c r="O108" i="16"/>
  <c r="P108" i="16" s="1"/>
  <c r="U108" i="16"/>
  <c r="V108" i="16" s="1"/>
  <c r="O43" i="16"/>
  <c r="P43" i="16" s="1"/>
  <c r="U43" i="16"/>
  <c r="V43" i="16" s="1"/>
  <c r="U69" i="16"/>
  <c r="V69" i="16" s="1"/>
  <c r="O69" i="16"/>
  <c r="P69" i="16" s="1"/>
  <c r="U410" i="16"/>
  <c r="V410" i="16" s="1"/>
  <c r="O410" i="16"/>
  <c r="P410" i="16" s="1"/>
  <c r="O397" i="16"/>
  <c r="P397" i="16" s="1"/>
  <c r="U397" i="16"/>
  <c r="V397" i="16" s="1"/>
  <c r="U382" i="16"/>
  <c r="V382" i="16" s="1"/>
  <c r="O382" i="16"/>
  <c r="P382" i="16" s="1"/>
  <c r="O377" i="16"/>
  <c r="P377" i="16" s="1"/>
  <c r="U377" i="16"/>
  <c r="V377" i="16" s="1"/>
  <c r="U400" i="16"/>
  <c r="V400" i="16" s="1"/>
  <c r="O400" i="16"/>
  <c r="P400" i="16" s="1"/>
  <c r="U320" i="16"/>
  <c r="V320" i="16" s="1"/>
  <c r="O320" i="16"/>
  <c r="P320" i="16" s="1"/>
  <c r="O331" i="16"/>
  <c r="P331" i="16" s="1"/>
  <c r="U331" i="16"/>
  <c r="V331" i="16" s="1"/>
  <c r="O292" i="16"/>
  <c r="P292" i="16" s="1"/>
  <c r="U292" i="16"/>
  <c r="V292" i="16" s="1"/>
  <c r="U274" i="16"/>
  <c r="V274" i="16" s="1"/>
  <c r="O274" i="16"/>
  <c r="P274" i="16" s="1"/>
  <c r="O227" i="16"/>
  <c r="P227" i="16" s="1"/>
  <c r="U227" i="16"/>
  <c r="V227" i="16" s="1"/>
  <c r="U210" i="16"/>
  <c r="V210" i="16" s="1"/>
  <c r="O210" i="16"/>
  <c r="P210" i="16" s="1"/>
  <c r="U218" i="16"/>
  <c r="V218" i="16" s="1"/>
  <c r="O218" i="16"/>
  <c r="P218" i="16" s="1"/>
  <c r="O90" i="16"/>
  <c r="P90" i="16" s="1"/>
  <c r="U90" i="16"/>
  <c r="V90" i="16" s="1"/>
  <c r="U97" i="16"/>
  <c r="V97" i="16" s="1"/>
  <c r="O97" i="16"/>
  <c r="P97" i="16" s="1"/>
  <c r="U45" i="16"/>
  <c r="V45" i="16" s="1"/>
  <c r="O45" i="16"/>
  <c r="P45" i="16" s="1"/>
  <c r="U132" i="16"/>
  <c r="V132" i="16" s="1"/>
  <c r="O132" i="16"/>
  <c r="P132" i="16" s="1"/>
  <c r="O127" i="16"/>
  <c r="P127" i="16" s="1"/>
  <c r="U127" i="16"/>
  <c r="V127" i="16" s="1"/>
  <c r="U392" i="16"/>
  <c r="V392" i="16" s="1"/>
  <c r="O392" i="16"/>
  <c r="P392" i="16" s="1"/>
  <c r="O403" i="16"/>
  <c r="P403" i="16" s="1"/>
  <c r="U403" i="16"/>
  <c r="V403" i="16" s="1"/>
  <c r="O323" i="16"/>
  <c r="P323" i="16" s="1"/>
  <c r="U323" i="16"/>
  <c r="V323" i="16" s="1"/>
  <c r="O364" i="16"/>
  <c r="P364" i="16" s="1"/>
  <c r="U364" i="16"/>
  <c r="V364" i="16" s="1"/>
  <c r="O219" i="16"/>
  <c r="P219" i="16" s="1"/>
  <c r="U219" i="16"/>
  <c r="V219" i="16" s="1"/>
  <c r="U206" i="16"/>
  <c r="V206" i="16" s="1"/>
  <c r="O206" i="16"/>
  <c r="P206" i="16" s="1"/>
  <c r="O176" i="16"/>
  <c r="P176" i="16" s="1"/>
  <c r="U176" i="16"/>
  <c r="V176" i="16" s="1"/>
  <c r="O190" i="16"/>
  <c r="P190" i="16" s="1"/>
  <c r="U190" i="16"/>
  <c r="V190" i="16" s="1"/>
  <c r="U134" i="16"/>
  <c r="V134" i="16" s="1"/>
  <c r="O134" i="16"/>
  <c r="P134" i="16" s="1"/>
  <c r="O140" i="16"/>
  <c r="P140" i="16" s="1"/>
  <c r="U140" i="16"/>
  <c r="V140" i="16" s="1"/>
  <c r="U166" i="16"/>
  <c r="V166" i="16" s="1"/>
  <c r="O166" i="16"/>
  <c r="P166" i="16" s="1"/>
  <c r="U139" i="16"/>
  <c r="V139" i="16" s="1"/>
  <c r="O139" i="16"/>
  <c r="P139" i="16" s="1"/>
  <c r="U96" i="16"/>
  <c r="V96" i="16" s="1"/>
  <c r="O96" i="16"/>
  <c r="P96" i="16" s="1"/>
  <c r="U16" i="16"/>
  <c r="V16" i="16" s="1"/>
  <c r="O16" i="16"/>
  <c r="P16" i="16" s="1"/>
  <c r="O46" i="16"/>
  <c r="P46" i="16" s="1"/>
  <c r="U46" i="16"/>
  <c r="V46" i="16" s="1"/>
  <c r="U394" i="16"/>
  <c r="V394" i="16" s="1"/>
  <c r="O394" i="16"/>
  <c r="P394" i="16" s="1"/>
  <c r="U387" i="16"/>
  <c r="V387" i="16" s="1"/>
  <c r="O387" i="16"/>
  <c r="P387" i="16" s="1"/>
  <c r="U325" i="16"/>
  <c r="V325" i="16" s="1"/>
  <c r="O325" i="16"/>
  <c r="P325" i="16" s="1"/>
  <c r="U266" i="16"/>
  <c r="V266" i="16" s="1"/>
  <c r="O266" i="16"/>
  <c r="P266" i="16" s="1"/>
  <c r="O309" i="16"/>
  <c r="P309" i="16" s="1"/>
  <c r="U309" i="16"/>
  <c r="V309" i="16" s="1"/>
  <c r="O208" i="16"/>
  <c r="P208" i="16" s="1"/>
  <c r="U208" i="16"/>
  <c r="V208" i="16" s="1"/>
  <c r="U223" i="16"/>
  <c r="V223" i="16" s="1"/>
  <c r="O223" i="16"/>
  <c r="P223" i="16" s="1"/>
  <c r="O273" i="16"/>
  <c r="P273" i="16" s="1"/>
  <c r="U273" i="16"/>
  <c r="V273" i="16" s="1"/>
  <c r="O247" i="16"/>
  <c r="P247" i="16" s="1"/>
  <c r="U247" i="16"/>
  <c r="V247" i="16" s="1"/>
  <c r="U76" i="16"/>
  <c r="V76" i="16" s="1"/>
  <c r="O76" i="16"/>
  <c r="P76" i="16" s="1"/>
  <c r="U113" i="16"/>
  <c r="V113" i="16" s="1"/>
  <c r="O113" i="16"/>
  <c r="P113" i="16" s="1"/>
  <c r="U221" i="16"/>
  <c r="V221" i="16" s="1"/>
  <c r="O221" i="16"/>
  <c r="P221" i="16" s="1"/>
  <c r="O122" i="16"/>
  <c r="P122" i="16" s="1"/>
  <c r="U122" i="16"/>
  <c r="V122" i="16" s="1"/>
  <c r="U74" i="16"/>
  <c r="V74" i="16" s="1"/>
  <c r="O74" i="16"/>
  <c r="P74" i="16" s="1"/>
  <c r="O143" i="16"/>
  <c r="P143" i="16" s="1"/>
  <c r="U143" i="16"/>
  <c r="V143" i="16" s="1"/>
  <c r="U42" i="16"/>
  <c r="V42" i="16" s="1"/>
  <c r="O42" i="16"/>
  <c r="P42" i="16" s="1"/>
  <c r="O84" i="16"/>
  <c r="P84" i="16" s="1"/>
  <c r="U84" i="16"/>
  <c r="V84" i="16" s="1"/>
  <c r="U374" i="16"/>
  <c r="V374" i="16" s="1"/>
  <c r="O374" i="16"/>
  <c r="P374" i="16" s="1"/>
  <c r="U326" i="16"/>
  <c r="V326" i="16" s="1"/>
  <c r="O326" i="16"/>
  <c r="P326" i="16" s="1"/>
  <c r="O270" i="16"/>
  <c r="P270" i="16" s="1"/>
  <c r="U270" i="16"/>
  <c r="V270" i="16" s="1"/>
  <c r="U299" i="16"/>
  <c r="V299" i="16" s="1"/>
  <c r="O299" i="16"/>
  <c r="P299" i="16" s="1"/>
  <c r="U250" i="16"/>
  <c r="V250" i="16" s="1"/>
  <c r="O250" i="16"/>
  <c r="P250" i="16" s="1"/>
  <c r="U407" i="16"/>
  <c r="V407" i="16" s="1"/>
  <c r="O407" i="16"/>
  <c r="P407" i="16" s="1"/>
  <c r="U355" i="16"/>
  <c r="V355" i="16" s="1"/>
  <c r="O355" i="16"/>
  <c r="P355" i="16" s="1"/>
  <c r="O350" i="16"/>
  <c r="P350" i="16" s="1"/>
  <c r="U350" i="16"/>
  <c r="V350" i="16" s="1"/>
  <c r="U280" i="16"/>
  <c r="V280" i="16" s="1"/>
  <c r="O280" i="16"/>
  <c r="P280" i="16" s="1"/>
  <c r="O289" i="16"/>
  <c r="P289" i="16" s="1"/>
  <c r="U289" i="16"/>
  <c r="V289" i="16" s="1"/>
  <c r="U198" i="16"/>
  <c r="V198" i="16" s="1"/>
  <c r="O198" i="16"/>
  <c r="P198" i="16" s="1"/>
  <c r="U150" i="16"/>
  <c r="V150" i="16" s="1"/>
  <c r="O150" i="16"/>
  <c r="P150" i="16" s="1"/>
  <c r="O48" i="16"/>
  <c r="P48" i="16" s="1"/>
  <c r="U48" i="16"/>
  <c r="V48" i="16" s="1"/>
  <c r="U56" i="16"/>
  <c r="V56" i="16" s="1"/>
  <c r="O56" i="16"/>
  <c r="P56" i="16" s="1"/>
  <c r="U58" i="16"/>
  <c r="V58" i="16" s="1"/>
  <c r="O58" i="16"/>
  <c r="P58" i="16" s="1"/>
  <c r="U24" i="16"/>
  <c r="V24" i="16" s="1"/>
  <c r="O24" i="16"/>
  <c r="P24" i="16" s="1"/>
  <c r="O393" i="16"/>
  <c r="P393" i="16" s="1"/>
  <c r="U393" i="16"/>
  <c r="V393" i="16" s="1"/>
  <c r="O349" i="16"/>
  <c r="P349" i="16" s="1"/>
  <c r="U349" i="16"/>
  <c r="V349" i="16" s="1"/>
  <c r="O268" i="16"/>
  <c r="P268" i="16" s="1"/>
  <c r="U268" i="16"/>
  <c r="V268" i="16" s="1"/>
  <c r="U261" i="16"/>
  <c r="V261" i="16" s="1"/>
  <c r="O261" i="16"/>
  <c r="P261" i="16" s="1"/>
  <c r="U128" i="16"/>
  <c r="V128" i="16" s="1"/>
  <c r="O128" i="16"/>
  <c r="P128" i="16" s="1"/>
  <c r="U142" i="16"/>
  <c r="V142" i="16" s="1"/>
  <c r="O142" i="16"/>
  <c r="P142" i="16" s="1"/>
  <c r="U160" i="16"/>
  <c r="V160" i="16" s="1"/>
  <c r="O160" i="16"/>
  <c r="P160" i="16" s="1"/>
  <c r="U336" i="16"/>
  <c r="V336" i="16" s="1"/>
  <c r="O336" i="16"/>
  <c r="P336" i="16" s="1"/>
  <c r="U277" i="16"/>
  <c r="V277" i="16" s="1"/>
  <c r="O277" i="16"/>
  <c r="P277" i="16" s="1"/>
  <c r="O228" i="16"/>
  <c r="P228" i="16" s="1"/>
  <c r="U228" i="16"/>
  <c r="V228" i="16" s="1"/>
  <c r="O235" i="16"/>
  <c r="P235" i="16" s="1"/>
  <c r="U235" i="16"/>
  <c r="V235" i="16" s="1"/>
  <c r="U370" i="16"/>
  <c r="V370" i="16" s="1"/>
  <c r="O370" i="16"/>
  <c r="P370" i="16" s="1"/>
  <c r="O389" i="16"/>
  <c r="P389" i="16" s="1"/>
  <c r="U389" i="16"/>
  <c r="V389" i="16" s="1"/>
  <c r="O405" i="16"/>
  <c r="P405" i="16" s="1"/>
  <c r="U405" i="16"/>
  <c r="V405" i="16" s="1"/>
  <c r="U386" i="16"/>
  <c r="V386" i="16" s="1"/>
  <c r="O386" i="16"/>
  <c r="P386" i="16" s="1"/>
  <c r="U376" i="16"/>
  <c r="V376" i="16" s="1"/>
  <c r="O376" i="16"/>
  <c r="P376" i="16" s="1"/>
  <c r="U348" i="16"/>
  <c r="V348" i="16" s="1"/>
  <c r="O348" i="16"/>
  <c r="P348" i="16" s="1"/>
  <c r="O343" i="16"/>
  <c r="P343" i="16" s="1"/>
  <c r="U343" i="16"/>
  <c r="V343" i="16" s="1"/>
  <c r="U248" i="16"/>
  <c r="V248" i="16" s="1"/>
  <c r="O248" i="16"/>
  <c r="P248" i="16" s="1"/>
  <c r="U258" i="16"/>
  <c r="V258" i="16" s="1"/>
  <c r="O258" i="16"/>
  <c r="P258" i="16" s="1"/>
  <c r="O236" i="16"/>
  <c r="P236" i="16" s="1"/>
  <c r="U236" i="16"/>
  <c r="V236" i="16" s="1"/>
  <c r="O212" i="16"/>
  <c r="P212" i="16" s="1"/>
  <c r="U212" i="16"/>
  <c r="V212" i="16" s="1"/>
  <c r="O98" i="16"/>
  <c r="P98" i="16" s="1"/>
  <c r="U98" i="16"/>
  <c r="V98" i="16" s="1"/>
  <c r="U87" i="16"/>
  <c r="V87" i="16" s="1"/>
  <c r="O87" i="16"/>
  <c r="P87" i="16" s="1"/>
  <c r="U72" i="16"/>
  <c r="V72" i="16" s="1"/>
  <c r="O72" i="16"/>
  <c r="P72" i="16" s="1"/>
  <c r="O101" i="16"/>
  <c r="P101" i="16" s="1"/>
  <c r="U101" i="16"/>
  <c r="V101" i="16" s="1"/>
  <c r="O95" i="16"/>
  <c r="P95" i="16" s="1"/>
  <c r="U95" i="16"/>
  <c r="V95" i="16" s="1"/>
  <c r="O5" i="16"/>
  <c r="P5" i="16" s="1"/>
  <c r="U5" i="16"/>
  <c r="V5" i="16" s="1"/>
  <c r="F2" i="3" l="1"/>
  <c r="U200" i="2"/>
  <c r="V200" i="2"/>
  <c r="U275" i="2" l="1"/>
  <c r="V275" i="2"/>
  <c r="E12" i="2" l="1"/>
  <c r="C2" i="6" l="1"/>
  <c r="X40" i="2" l="1"/>
  <c r="W40" i="2"/>
  <c r="E40" i="2"/>
  <c r="F109" i="3" l="1"/>
  <c r="C3" i="6" l="1"/>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7" i="6"/>
  <c r="C258" i="6"/>
  <c r="C259" i="6"/>
  <c r="C260" i="6"/>
  <c r="C261" i="6"/>
  <c r="C262" i="6"/>
  <c r="C263" i="6"/>
  <c r="C264" i="6"/>
  <c r="C265" i="6"/>
  <c r="C266" i="6"/>
  <c r="C267" i="6"/>
  <c r="C268" i="6"/>
  <c r="C269" i="6"/>
  <c r="C270" i="6"/>
  <c r="C271" i="6"/>
  <c r="C272"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301" i="6"/>
  <c r="C302" i="6"/>
  <c r="C303" i="6"/>
  <c r="C304" i="6"/>
  <c r="C305" i="6"/>
  <c r="C306" i="6"/>
  <c r="C307" i="6"/>
  <c r="C308" i="6"/>
  <c r="C309" i="6"/>
  <c r="C310" i="6"/>
  <c r="C311" i="6"/>
  <c r="C312" i="6"/>
  <c r="C313" i="6"/>
  <c r="C314" i="6"/>
  <c r="C315" i="6"/>
  <c r="C316" i="6"/>
  <c r="C317" i="6"/>
  <c r="C318" i="6"/>
  <c r="C319" i="6"/>
  <c r="C320" i="6"/>
  <c r="C321" i="6"/>
  <c r="C322" i="6"/>
  <c r="C323" i="6"/>
  <c r="C324" i="6"/>
  <c r="C325" i="6"/>
  <c r="C326" i="6"/>
  <c r="C327" i="6"/>
  <c r="C328" i="6"/>
  <c r="C329" i="6"/>
  <c r="C330" i="6"/>
  <c r="C331" i="6"/>
  <c r="C332" i="6"/>
  <c r="C333" i="6"/>
  <c r="C334" i="6"/>
  <c r="C335" i="6"/>
  <c r="C336" i="6"/>
  <c r="C337" i="6"/>
  <c r="C338" i="6"/>
  <c r="C339" i="6"/>
  <c r="C340" i="6"/>
  <c r="C341" i="6"/>
  <c r="C342" i="6"/>
  <c r="C343" i="6"/>
  <c r="C344"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394" i="6"/>
  <c r="C395" i="6"/>
  <c r="C396" i="6"/>
  <c r="C397" i="6"/>
  <c r="C398" i="6"/>
  <c r="C399" i="6"/>
  <c r="C400" i="6"/>
  <c r="C401" i="6"/>
  <c r="C402" i="6"/>
  <c r="C403" i="6"/>
  <c r="C404" i="6"/>
  <c r="C405" i="6"/>
  <c r="C406" i="6"/>
  <c r="C407" i="6"/>
  <c r="C408" i="6"/>
  <c r="C409" i="6"/>
  <c r="C410" i="6"/>
  <c r="C411" i="6"/>
  <c r="C412" i="6"/>
  <c r="F412" i="6"/>
  <c r="A412" i="6"/>
  <c r="F411" i="6"/>
  <c r="A411" i="6"/>
  <c r="F410" i="6"/>
  <c r="A410" i="6"/>
  <c r="F409" i="6"/>
  <c r="A409" i="6"/>
  <c r="F408" i="6"/>
  <c r="A408" i="6"/>
  <c r="F407" i="6"/>
  <c r="A407" i="6"/>
  <c r="F406" i="6"/>
  <c r="A406" i="6"/>
  <c r="F405" i="6"/>
  <c r="A405" i="6"/>
  <c r="F404" i="6"/>
  <c r="A404" i="6"/>
  <c r="F403" i="6"/>
  <c r="A403" i="6"/>
  <c r="F402" i="6"/>
  <c r="A402" i="6"/>
  <c r="F401" i="6"/>
  <c r="A401" i="6"/>
  <c r="F400" i="6"/>
  <c r="A400" i="6"/>
  <c r="F399" i="6"/>
  <c r="A399" i="6"/>
  <c r="F398" i="6"/>
  <c r="A398" i="6"/>
  <c r="F397" i="6"/>
  <c r="A397" i="6"/>
  <c r="F396" i="6"/>
  <c r="A396" i="6"/>
  <c r="F395" i="6"/>
  <c r="A395" i="6"/>
  <c r="F394" i="6"/>
  <c r="A394" i="6"/>
  <c r="F393" i="6"/>
  <c r="A393" i="6"/>
  <c r="F392" i="6"/>
  <c r="A392" i="6"/>
  <c r="F391" i="6"/>
  <c r="A391" i="6"/>
  <c r="F390" i="6"/>
  <c r="A390" i="6"/>
  <c r="F389" i="6"/>
  <c r="A389" i="6"/>
  <c r="F388" i="6"/>
  <c r="A388" i="6"/>
  <c r="F387" i="6"/>
  <c r="A387" i="6"/>
  <c r="F386" i="6"/>
  <c r="A386" i="6"/>
  <c r="F385" i="6"/>
  <c r="A385" i="6"/>
  <c r="F384" i="6"/>
  <c r="A384" i="6"/>
  <c r="F383" i="6"/>
  <c r="A383" i="6"/>
  <c r="F382" i="6"/>
  <c r="A382" i="6"/>
  <c r="F381" i="6"/>
  <c r="A381" i="6"/>
  <c r="F380" i="6"/>
  <c r="A380" i="6"/>
  <c r="F379" i="6"/>
  <c r="A379" i="6"/>
  <c r="F378" i="6"/>
  <c r="A378" i="6"/>
  <c r="F377" i="6"/>
  <c r="A377" i="6"/>
  <c r="F376" i="6"/>
  <c r="A376" i="6"/>
  <c r="F375" i="6"/>
  <c r="A375" i="6"/>
  <c r="F374" i="6"/>
  <c r="A374" i="6"/>
  <c r="F373" i="6"/>
  <c r="A373" i="6"/>
  <c r="F372" i="6"/>
  <c r="A372" i="6"/>
  <c r="F371" i="6"/>
  <c r="A371" i="6"/>
  <c r="F370" i="6"/>
  <c r="A370" i="6"/>
  <c r="F369" i="6"/>
  <c r="A369" i="6"/>
  <c r="F368" i="6"/>
  <c r="A368" i="6"/>
  <c r="F367" i="6"/>
  <c r="A367" i="6"/>
  <c r="F366" i="6"/>
  <c r="A366" i="6"/>
  <c r="F365" i="6"/>
  <c r="A365" i="6"/>
  <c r="F364" i="6"/>
  <c r="A364" i="6"/>
  <c r="F363" i="6"/>
  <c r="A363" i="6"/>
  <c r="F362" i="6"/>
  <c r="A362" i="6"/>
  <c r="F361" i="6"/>
  <c r="A361" i="6"/>
  <c r="F360" i="6"/>
  <c r="A360" i="6"/>
  <c r="F359" i="6"/>
  <c r="A359" i="6"/>
  <c r="F358" i="6"/>
  <c r="A358" i="6"/>
  <c r="F357" i="6"/>
  <c r="A357" i="6"/>
  <c r="F356" i="6"/>
  <c r="A356" i="6"/>
  <c r="F355" i="6"/>
  <c r="A355" i="6"/>
  <c r="F354" i="6"/>
  <c r="A354" i="6"/>
  <c r="F353" i="6"/>
  <c r="A353" i="6"/>
  <c r="F352" i="6"/>
  <c r="A352" i="6"/>
  <c r="F351" i="6"/>
  <c r="A351" i="6"/>
  <c r="F350" i="6"/>
  <c r="A350" i="6"/>
  <c r="F349" i="6"/>
  <c r="A349" i="6"/>
  <c r="F348" i="6"/>
  <c r="A348" i="6"/>
  <c r="F347" i="6"/>
  <c r="A347" i="6"/>
  <c r="F346" i="6"/>
  <c r="A346" i="6"/>
  <c r="F345" i="6"/>
  <c r="A345" i="6"/>
  <c r="F344" i="6"/>
  <c r="A344" i="6"/>
  <c r="F343" i="6"/>
  <c r="A343" i="6"/>
  <c r="F342" i="6"/>
  <c r="A342" i="6"/>
  <c r="F341" i="6"/>
  <c r="A341" i="6"/>
  <c r="F340" i="6"/>
  <c r="A340" i="6"/>
  <c r="F339" i="6"/>
  <c r="A339" i="6"/>
  <c r="F338" i="6"/>
  <c r="A338" i="6"/>
  <c r="F337" i="6"/>
  <c r="A337" i="6"/>
  <c r="F336" i="6"/>
  <c r="A336" i="6"/>
  <c r="F335" i="6"/>
  <c r="A335" i="6"/>
  <c r="F334" i="6"/>
  <c r="A334" i="6"/>
  <c r="F333" i="6"/>
  <c r="A333" i="6"/>
  <c r="F332" i="6"/>
  <c r="A332" i="6"/>
  <c r="F331" i="6"/>
  <c r="A331" i="6"/>
  <c r="F330" i="6"/>
  <c r="A330" i="6"/>
  <c r="F329" i="6"/>
  <c r="A329" i="6"/>
  <c r="F328" i="6"/>
  <c r="A328" i="6"/>
  <c r="F327" i="6"/>
  <c r="A327" i="6"/>
  <c r="F326" i="6"/>
  <c r="A326" i="6"/>
  <c r="F325" i="6"/>
  <c r="A325" i="6"/>
  <c r="F324" i="6"/>
  <c r="A324" i="6"/>
  <c r="F323" i="6"/>
  <c r="A323" i="6"/>
  <c r="F322" i="6"/>
  <c r="A322" i="6"/>
  <c r="F321" i="6"/>
  <c r="A321" i="6"/>
  <c r="F320" i="6"/>
  <c r="A320" i="6"/>
  <c r="F319" i="6"/>
  <c r="A319" i="6"/>
  <c r="F318" i="6"/>
  <c r="A318" i="6"/>
  <c r="F317" i="6"/>
  <c r="A317" i="6"/>
  <c r="F316" i="6"/>
  <c r="A316" i="6"/>
  <c r="F315" i="6"/>
  <c r="A315" i="6"/>
  <c r="F314" i="6"/>
  <c r="A314" i="6"/>
  <c r="F313" i="6"/>
  <c r="A313" i="6"/>
  <c r="F312" i="6"/>
  <c r="A312" i="6"/>
  <c r="F311" i="6"/>
  <c r="A311" i="6"/>
  <c r="F310" i="6"/>
  <c r="A310" i="6"/>
  <c r="F309" i="6"/>
  <c r="A309" i="6"/>
  <c r="F308" i="6"/>
  <c r="A308" i="6"/>
  <c r="F307" i="6"/>
  <c r="A307" i="6"/>
  <c r="F306" i="6"/>
  <c r="A306" i="6"/>
  <c r="F305" i="6"/>
  <c r="A305" i="6"/>
  <c r="F304" i="6"/>
  <c r="A304" i="6"/>
  <c r="F303" i="6"/>
  <c r="A303" i="6"/>
  <c r="F302" i="6"/>
  <c r="A302" i="6"/>
  <c r="F301" i="6"/>
  <c r="A301" i="6"/>
  <c r="F300" i="6"/>
  <c r="A300" i="6"/>
  <c r="F299" i="6"/>
  <c r="A299" i="6"/>
  <c r="F298" i="6"/>
  <c r="A298" i="6"/>
  <c r="F297" i="6"/>
  <c r="A297" i="6"/>
  <c r="F296" i="6"/>
  <c r="A296" i="6"/>
  <c r="F295" i="6"/>
  <c r="A295" i="6"/>
  <c r="F294" i="6"/>
  <c r="A294" i="6"/>
  <c r="F293" i="6"/>
  <c r="A293" i="6"/>
  <c r="F292" i="6"/>
  <c r="A292" i="6"/>
  <c r="F291" i="6"/>
  <c r="A291" i="6"/>
  <c r="F290" i="6"/>
  <c r="A290" i="6"/>
  <c r="F289" i="6"/>
  <c r="A289" i="6"/>
  <c r="F288" i="6"/>
  <c r="A288" i="6"/>
  <c r="F287" i="6"/>
  <c r="A287" i="6"/>
  <c r="F286" i="6"/>
  <c r="A286" i="6"/>
  <c r="F285" i="6"/>
  <c r="A285" i="6"/>
  <c r="F284" i="6"/>
  <c r="A284" i="6"/>
  <c r="F283" i="6"/>
  <c r="A283" i="6"/>
  <c r="F282" i="6"/>
  <c r="A282" i="6"/>
  <c r="F281" i="6"/>
  <c r="A281" i="6"/>
  <c r="F280" i="6"/>
  <c r="A280" i="6"/>
  <c r="F279" i="6"/>
  <c r="A279" i="6"/>
  <c r="F278" i="6"/>
  <c r="A278" i="6"/>
  <c r="F277" i="6"/>
  <c r="A277" i="6"/>
  <c r="F276" i="6"/>
  <c r="A276" i="6"/>
  <c r="F275" i="6"/>
  <c r="A275" i="6"/>
  <c r="F274" i="6"/>
  <c r="A274" i="6"/>
  <c r="F273" i="6"/>
  <c r="A273" i="6"/>
  <c r="F272" i="6"/>
  <c r="A272" i="6"/>
  <c r="F271" i="6"/>
  <c r="A271" i="6"/>
  <c r="F270" i="6"/>
  <c r="A270" i="6"/>
  <c r="F269" i="6"/>
  <c r="A269" i="6"/>
  <c r="F268" i="6"/>
  <c r="A268" i="6"/>
  <c r="F267" i="6"/>
  <c r="A267" i="6"/>
  <c r="F266" i="6"/>
  <c r="A266" i="6"/>
  <c r="F265" i="6"/>
  <c r="A265" i="6"/>
  <c r="F264" i="6"/>
  <c r="A264" i="6"/>
  <c r="F263" i="6"/>
  <c r="A263" i="6"/>
  <c r="F262" i="6"/>
  <c r="A262" i="6"/>
  <c r="F261" i="6"/>
  <c r="A261" i="6"/>
  <c r="F260" i="6"/>
  <c r="A260" i="6"/>
  <c r="F259" i="6"/>
  <c r="A259" i="6"/>
  <c r="F258" i="6"/>
  <c r="A258" i="6"/>
  <c r="F257" i="6"/>
  <c r="A257" i="6"/>
  <c r="F256" i="6"/>
  <c r="A256" i="6"/>
  <c r="F255" i="6"/>
  <c r="A255" i="6"/>
  <c r="F254" i="6"/>
  <c r="A254" i="6"/>
  <c r="F253" i="6"/>
  <c r="A253" i="6"/>
  <c r="F252" i="6"/>
  <c r="A252" i="6"/>
  <c r="F251" i="6"/>
  <c r="A251" i="6"/>
  <c r="F250" i="6"/>
  <c r="A250" i="6"/>
  <c r="F249" i="6"/>
  <c r="A249" i="6"/>
  <c r="F248" i="6"/>
  <c r="A248" i="6"/>
  <c r="F247" i="6"/>
  <c r="A247" i="6"/>
  <c r="F246" i="6"/>
  <c r="A246" i="6"/>
  <c r="F245" i="6"/>
  <c r="A245" i="6"/>
  <c r="F244" i="6"/>
  <c r="A244" i="6"/>
  <c r="F243" i="6"/>
  <c r="A243" i="6"/>
  <c r="F242" i="6"/>
  <c r="A242" i="6"/>
  <c r="F241" i="6"/>
  <c r="A241" i="6"/>
  <c r="F240" i="6"/>
  <c r="A240" i="6"/>
  <c r="F239" i="6"/>
  <c r="A239" i="6"/>
  <c r="F238" i="6"/>
  <c r="A238" i="6"/>
  <c r="F237" i="6"/>
  <c r="A237" i="6"/>
  <c r="F236" i="6"/>
  <c r="A236" i="6"/>
  <c r="F235" i="6"/>
  <c r="A235" i="6"/>
  <c r="F234" i="6"/>
  <c r="A234" i="6"/>
  <c r="F233" i="6"/>
  <c r="A233" i="6"/>
  <c r="F232" i="6"/>
  <c r="A232" i="6"/>
  <c r="F231" i="6"/>
  <c r="A231" i="6"/>
  <c r="F230" i="6"/>
  <c r="A230" i="6"/>
  <c r="F229" i="6"/>
  <c r="A229" i="6"/>
  <c r="F228" i="6"/>
  <c r="A228" i="6"/>
  <c r="F227" i="6"/>
  <c r="A227" i="6"/>
  <c r="F226" i="6"/>
  <c r="A226" i="6"/>
  <c r="F225" i="6"/>
  <c r="A225" i="6"/>
  <c r="F224" i="6"/>
  <c r="A224" i="6"/>
  <c r="F223" i="6"/>
  <c r="A223" i="6"/>
  <c r="F222" i="6"/>
  <c r="A222" i="6"/>
  <c r="F221" i="6"/>
  <c r="A221" i="6"/>
  <c r="F220" i="6"/>
  <c r="A220" i="6"/>
  <c r="F219" i="6"/>
  <c r="A219" i="6"/>
  <c r="F218" i="6"/>
  <c r="A218" i="6"/>
  <c r="F217" i="6"/>
  <c r="A217" i="6"/>
  <c r="F216" i="6"/>
  <c r="A216" i="6"/>
  <c r="F215" i="6"/>
  <c r="A215" i="6"/>
  <c r="F214" i="6"/>
  <c r="A214" i="6"/>
  <c r="F213" i="6"/>
  <c r="A213" i="6"/>
  <c r="F212" i="6"/>
  <c r="A212" i="6"/>
  <c r="F211" i="6"/>
  <c r="A211" i="6"/>
  <c r="F210" i="6"/>
  <c r="A210" i="6"/>
  <c r="F209" i="6"/>
  <c r="A209" i="6"/>
  <c r="F208" i="6"/>
  <c r="A208" i="6"/>
  <c r="F207" i="6"/>
  <c r="A207" i="6"/>
  <c r="F206" i="6"/>
  <c r="A206" i="6"/>
  <c r="F205" i="6"/>
  <c r="A205" i="6"/>
  <c r="F204" i="6"/>
  <c r="A204" i="6"/>
  <c r="F203" i="6"/>
  <c r="A203" i="6"/>
  <c r="F202" i="6"/>
  <c r="A202" i="6"/>
  <c r="F201" i="6"/>
  <c r="A201" i="6"/>
  <c r="F200" i="6"/>
  <c r="A200" i="6"/>
  <c r="F199" i="6"/>
  <c r="A199" i="6"/>
  <c r="F198" i="6"/>
  <c r="A198" i="6"/>
  <c r="F197" i="6"/>
  <c r="A197" i="6"/>
  <c r="F196" i="6"/>
  <c r="A196" i="6"/>
  <c r="F195" i="6"/>
  <c r="A195" i="6"/>
  <c r="F194" i="6"/>
  <c r="A194" i="6"/>
  <c r="F193" i="6"/>
  <c r="A193" i="6"/>
  <c r="F192" i="6"/>
  <c r="A192" i="6"/>
  <c r="F191" i="6"/>
  <c r="A191" i="6"/>
  <c r="F190" i="6"/>
  <c r="A190" i="6"/>
  <c r="F189" i="6"/>
  <c r="A189" i="6"/>
  <c r="F188" i="6"/>
  <c r="A188" i="6"/>
  <c r="F187" i="6"/>
  <c r="A187" i="6"/>
  <c r="F186" i="6"/>
  <c r="A186" i="6"/>
  <c r="F185" i="6"/>
  <c r="A185" i="6"/>
  <c r="F184" i="6"/>
  <c r="A184" i="6"/>
  <c r="F183" i="6"/>
  <c r="A183" i="6"/>
  <c r="F182" i="6"/>
  <c r="A182" i="6"/>
  <c r="F181" i="6"/>
  <c r="A181" i="6"/>
  <c r="F180" i="6"/>
  <c r="A180" i="6"/>
  <c r="F179" i="6"/>
  <c r="A179" i="6"/>
  <c r="F178" i="6"/>
  <c r="A178" i="6"/>
  <c r="F177" i="6"/>
  <c r="A177" i="6"/>
  <c r="F176" i="6"/>
  <c r="A176" i="6"/>
  <c r="F175" i="6"/>
  <c r="A175" i="6"/>
  <c r="F174" i="6"/>
  <c r="A174" i="6"/>
  <c r="F173" i="6"/>
  <c r="A173" i="6"/>
  <c r="F172" i="6"/>
  <c r="A172" i="6"/>
  <c r="F171" i="6"/>
  <c r="A171" i="6"/>
  <c r="F170" i="6"/>
  <c r="A170" i="6"/>
  <c r="F169" i="6"/>
  <c r="A169" i="6"/>
  <c r="F168" i="6"/>
  <c r="A168" i="6"/>
  <c r="F167" i="6"/>
  <c r="A167" i="6"/>
  <c r="F166" i="6"/>
  <c r="A166" i="6"/>
  <c r="F165" i="6"/>
  <c r="A165" i="6"/>
  <c r="F164" i="6"/>
  <c r="A164" i="6"/>
  <c r="F163" i="6"/>
  <c r="A163" i="6"/>
  <c r="F162" i="6"/>
  <c r="A162" i="6"/>
  <c r="F161" i="6"/>
  <c r="A161" i="6"/>
  <c r="F160" i="6"/>
  <c r="A160" i="6"/>
  <c r="F159" i="6"/>
  <c r="A159" i="6"/>
  <c r="F158" i="6"/>
  <c r="A158" i="6"/>
  <c r="F157" i="6"/>
  <c r="A157" i="6"/>
  <c r="F156" i="6"/>
  <c r="A156" i="6"/>
  <c r="F155" i="6"/>
  <c r="A155" i="6"/>
  <c r="F154" i="6"/>
  <c r="A154" i="6"/>
  <c r="F153" i="6"/>
  <c r="A153" i="6"/>
  <c r="F152" i="6"/>
  <c r="A152" i="6"/>
  <c r="F151" i="6"/>
  <c r="A151" i="6"/>
  <c r="F150" i="6"/>
  <c r="A150" i="6"/>
  <c r="F149" i="6"/>
  <c r="A149" i="6"/>
  <c r="F148" i="6"/>
  <c r="A148" i="6"/>
  <c r="F147" i="6"/>
  <c r="A147" i="6"/>
  <c r="F146" i="6"/>
  <c r="A146" i="6"/>
  <c r="F145" i="6"/>
  <c r="A145" i="6"/>
  <c r="F144" i="6"/>
  <c r="A144" i="6"/>
  <c r="F143" i="6"/>
  <c r="A143" i="6"/>
  <c r="F142" i="6"/>
  <c r="A142" i="6"/>
  <c r="F141" i="6"/>
  <c r="A141" i="6"/>
  <c r="F140" i="6"/>
  <c r="A140" i="6"/>
  <c r="F139" i="6"/>
  <c r="A139" i="6"/>
  <c r="F138" i="6"/>
  <c r="A138" i="6"/>
  <c r="F137" i="6"/>
  <c r="A137" i="6"/>
  <c r="F136" i="6"/>
  <c r="A136" i="6"/>
  <c r="F135" i="6"/>
  <c r="A135" i="6"/>
  <c r="F134" i="6"/>
  <c r="A134" i="6"/>
  <c r="F133" i="6"/>
  <c r="A133" i="6"/>
  <c r="F132" i="6"/>
  <c r="A132" i="6"/>
  <c r="F131" i="6"/>
  <c r="A131" i="6"/>
  <c r="F130" i="6"/>
  <c r="A130" i="6"/>
  <c r="F129" i="6"/>
  <c r="A129" i="6"/>
  <c r="F128" i="6"/>
  <c r="A128" i="6"/>
  <c r="F127" i="6"/>
  <c r="A127" i="6"/>
  <c r="F126" i="6"/>
  <c r="A126" i="6"/>
  <c r="F125" i="6"/>
  <c r="A125" i="6"/>
  <c r="F124" i="6"/>
  <c r="A124" i="6"/>
  <c r="F123" i="6"/>
  <c r="A123" i="6"/>
  <c r="F122" i="6"/>
  <c r="A122" i="6"/>
  <c r="F121" i="6"/>
  <c r="A121" i="6"/>
  <c r="F120" i="6"/>
  <c r="A120" i="6"/>
  <c r="F119" i="6"/>
  <c r="A119" i="6"/>
  <c r="F118" i="6"/>
  <c r="A118" i="6"/>
  <c r="F117" i="6"/>
  <c r="A117" i="6"/>
  <c r="F116" i="6"/>
  <c r="A116" i="6"/>
  <c r="F115" i="6"/>
  <c r="A115" i="6"/>
  <c r="F114" i="6"/>
  <c r="A114" i="6"/>
  <c r="F113" i="6"/>
  <c r="A113" i="6"/>
  <c r="F112" i="6"/>
  <c r="A112" i="6"/>
  <c r="F111" i="6"/>
  <c r="A111" i="6"/>
  <c r="F110" i="6"/>
  <c r="A110" i="6"/>
  <c r="F109" i="6"/>
  <c r="A109" i="6"/>
  <c r="F108" i="6"/>
  <c r="A108" i="6"/>
  <c r="F107" i="6"/>
  <c r="A107" i="6"/>
  <c r="F106" i="6"/>
  <c r="A106" i="6"/>
  <c r="F105" i="6"/>
  <c r="A105" i="6"/>
  <c r="F104" i="6"/>
  <c r="A104" i="6"/>
  <c r="F103" i="6"/>
  <c r="A103" i="6"/>
  <c r="F102" i="6"/>
  <c r="A102" i="6"/>
  <c r="F101" i="6"/>
  <c r="A101" i="6"/>
  <c r="F100" i="6"/>
  <c r="A100" i="6"/>
  <c r="F99" i="6"/>
  <c r="A99" i="6"/>
  <c r="F98" i="6"/>
  <c r="A98" i="6"/>
  <c r="F97" i="6"/>
  <c r="A97" i="6"/>
  <c r="F96" i="6"/>
  <c r="A96" i="6"/>
  <c r="F95" i="6"/>
  <c r="A95" i="6"/>
  <c r="F94" i="6"/>
  <c r="A94" i="6"/>
  <c r="F93" i="6"/>
  <c r="A93" i="6"/>
  <c r="F92" i="6"/>
  <c r="A92" i="6"/>
  <c r="F91" i="6"/>
  <c r="A91" i="6"/>
  <c r="F90" i="6"/>
  <c r="A90" i="6"/>
  <c r="F89" i="6"/>
  <c r="A89" i="6"/>
  <c r="F88" i="6"/>
  <c r="A88" i="6"/>
  <c r="F87" i="6"/>
  <c r="A87" i="6"/>
  <c r="F86" i="6"/>
  <c r="A86" i="6"/>
  <c r="F85" i="6"/>
  <c r="A85" i="6"/>
  <c r="F84" i="6"/>
  <c r="A84" i="6"/>
  <c r="F83" i="6"/>
  <c r="A83" i="6"/>
  <c r="F82" i="6"/>
  <c r="A82" i="6"/>
  <c r="F81" i="6"/>
  <c r="A81" i="6"/>
  <c r="F80" i="6"/>
  <c r="A80" i="6"/>
  <c r="F79" i="6"/>
  <c r="A79" i="6"/>
  <c r="F78" i="6"/>
  <c r="A78" i="6"/>
  <c r="F77" i="6"/>
  <c r="A77" i="6"/>
  <c r="F76" i="6"/>
  <c r="A76" i="6"/>
  <c r="F75" i="6"/>
  <c r="A75" i="6"/>
  <c r="F74" i="6"/>
  <c r="A74" i="6"/>
  <c r="F73" i="6"/>
  <c r="A73" i="6"/>
  <c r="F72" i="6"/>
  <c r="A72" i="6"/>
  <c r="F71" i="6"/>
  <c r="A71" i="6"/>
  <c r="F70" i="6"/>
  <c r="A70" i="6"/>
  <c r="F69" i="6"/>
  <c r="A69" i="6"/>
  <c r="F68" i="6"/>
  <c r="A68" i="6"/>
  <c r="F67" i="6"/>
  <c r="A67" i="6"/>
  <c r="F66" i="6"/>
  <c r="A66" i="6"/>
  <c r="F65" i="6"/>
  <c r="A65" i="6"/>
  <c r="F64" i="6"/>
  <c r="A64" i="6"/>
  <c r="F63" i="6"/>
  <c r="A63" i="6"/>
  <c r="F62" i="6"/>
  <c r="A62" i="6"/>
  <c r="F61" i="6"/>
  <c r="A61" i="6"/>
  <c r="F60" i="6"/>
  <c r="A60" i="6"/>
  <c r="F59" i="6"/>
  <c r="A59" i="6"/>
  <c r="F58" i="6"/>
  <c r="A58" i="6"/>
  <c r="F57" i="6"/>
  <c r="A57" i="6"/>
  <c r="F56" i="6"/>
  <c r="A56" i="6"/>
  <c r="F55" i="6"/>
  <c r="A55" i="6"/>
  <c r="F54" i="6"/>
  <c r="A54" i="6"/>
  <c r="F53" i="6"/>
  <c r="A53" i="6"/>
  <c r="F52" i="6"/>
  <c r="A52" i="6"/>
  <c r="F51" i="6"/>
  <c r="A51" i="6"/>
  <c r="F50" i="6"/>
  <c r="A50" i="6"/>
  <c r="F49" i="6"/>
  <c r="A49" i="6"/>
  <c r="F48" i="6"/>
  <c r="A48" i="6"/>
  <c r="F47" i="6"/>
  <c r="A47" i="6"/>
  <c r="F46" i="6"/>
  <c r="A46" i="6"/>
  <c r="F45" i="6"/>
  <c r="A45" i="6"/>
  <c r="F44" i="6"/>
  <c r="A44" i="6"/>
  <c r="F43" i="6"/>
  <c r="A43" i="6"/>
  <c r="F42" i="6"/>
  <c r="A42" i="6"/>
  <c r="F41" i="6"/>
  <c r="A41" i="6"/>
  <c r="F40" i="6"/>
  <c r="A40" i="6"/>
  <c r="F39" i="6"/>
  <c r="A39" i="6"/>
  <c r="F38" i="6"/>
  <c r="A38" i="6"/>
  <c r="F37" i="6"/>
  <c r="A37" i="6"/>
  <c r="F36" i="6"/>
  <c r="A36" i="6"/>
  <c r="F35" i="6"/>
  <c r="A35" i="6"/>
  <c r="F34" i="6"/>
  <c r="A34" i="6"/>
  <c r="F33" i="6"/>
  <c r="A33" i="6"/>
  <c r="F32" i="6"/>
  <c r="A32" i="6"/>
  <c r="F31" i="6"/>
  <c r="A31" i="6"/>
  <c r="F30" i="6"/>
  <c r="A30" i="6"/>
  <c r="F29" i="6"/>
  <c r="A29" i="6"/>
  <c r="F28" i="6"/>
  <c r="A28" i="6"/>
  <c r="F27" i="6"/>
  <c r="A27" i="6"/>
  <c r="F26" i="6"/>
  <c r="A26" i="6"/>
  <c r="F25" i="6"/>
  <c r="A25" i="6"/>
  <c r="F24" i="6"/>
  <c r="A24" i="6"/>
  <c r="F23" i="6"/>
  <c r="A23" i="6"/>
  <c r="F22" i="6"/>
  <c r="A22" i="6"/>
  <c r="F21" i="6"/>
  <c r="A21" i="6"/>
  <c r="F20" i="6"/>
  <c r="A20" i="6"/>
  <c r="F19" i="6"/>
  <c r="A19" i="6"/>
  <c r="F18" i="6"/>
  <c r="A18" i="6"/>
  <c r="F17" i="6"/>
  <c r="A17" i="6"/>
  <c r="F16" i="6"/>
  <c r="A16" i="6"/>
  <c r="F15" i="6"/>
  <c r="A15" i="6"/>
  <c r="F14" i="6"/>
  <c r="A14" i="6"/>
  <c r="F13" i="6"/>
  <c r="A13" i="6"/>
  <c r="F12" i="6"/>
  <c r="A12" i="6"/>
  <c r="F11" i="6"/>
  <c r="A11" i="6"/>
  <c r="F10" i="6"/>
  <c r="A10" i="6"/>
  <c r="F9" i="6"/>
  <c r="A9" i="6"/>
  <c r="F8" i="6"/>
  <c r="A8" i="6"/>
  <c r="F7" i="6"/>
  <c r="A7" i="6"/>
  <c r="F6" i="6"/>
  <c r="A6" i="6"/>
  <c r="F5" i="6"/>
  <c r="A5" i="6"/>
  <c r="F4" i="6"/>
  <c r="A4" i="6"/>
  <c r="F3" i="6"/>
  <c r="A3" i="6"/>
  <c r="F2" i="6"/>
  <c r="A2" i="6"/>
  <c r="Z200" i="6" l="1"/>
  <c r="Y200" i="6"/>
  <c r="A3" i="3"/>
  <c r="C3" i="3"/>
  <c r="F3" i="3"/>
  <c r="A4" i="3"/>
  <c r="C4" i="3"/>
  <c r="F4" i="3"/>
  <c r="A5" i="3"/>
  <c r="C5" i="3"/>
  <c r="F5" i="3"/>
  <c r="A6" i="3"/>
  <c r="C6" i="3"/>
  <c r="F6" i="3"/>
  <c r="A7" i="3"/>
  <c r="C7" i="3"/>
  <c r="F7" i="3"/>
  <c r="A8" i="3"/>
  <c r="C8" i="3"/>
  <c r="F8" i="3"/>
  <c r="A9" i="3"/>
  <c r="C9" i="3"/>
  <c r="F9" i="3"/>
  <c r="A10" i="3"/>
  <c r="C10" i="3"/>
  <c r="F10" i="3"/>
  <c r="A11" i="3"/>
  <c r="C11" i="3"/>
  <c r="F11" i="3"/>
  <c r="A12" i="3"/>
  <c r="C12" i="3"/>
  <c r="F12" i="3"/>
  <c r="A13" i="3"/>
  <c r="C13" i="3"/>
  <c r="F13" i="3"/>
  <c r="A14" i="3"/>
  <c r="C14" i="3"/>
  <c r="F14" i="3"/>
  <c r="A15" i="3"/>
  <c r="C15" i="3"/>
  <c r="F15" i="3"/>
  <c r="A16" i="3"/>
  <c r="C16" i="3"/>
  <c r="F16" i="3"/>
  <c r="A17" i="3"/>
  <c r="C17" i="3"/>
  <c r="F17" i="3"/>
  <c r="A18" i="3"/>
  <c r="C18" i="3"/>
  <c r="F18" i="3"/>
  <c r="A19" i="3"/>
  <c r="C19" i="3"/>
  <c r="F19" i="3"/>
  <c r="A20" i="3"/>
  <c r="C20" i="3"/>
  <c r="F20" i="3"/>
  <c r="A21" i="3"/>
  <c r="C21" i="3"/>
  <c r="F21" i="3"/>
  <c r="A22" i="3"/>
  <c r="C22" i="3"/>
  <c r="F22" i="3"/>
  <c r="A23" i="3"/>
  <c r="C23" i="3"/>
  <c r="F23" i="3"/>
  <c r="A24" i="3"/>
  <c r="C24" i="3"/>
  <c r="F24" i="3"/>
  <c r="A25" i="3"/>
  <c r="C25" i="3"/>
  <c r="F25" i="3"/>
  <c r="A26" i="3"/>
  <c r="C26" i="3"/>
  <c r="F26" i="3"/>
  <c r="A27" i="3"/>
  <c r="C27" i="3"/>
  <c r="F27" i="3"/>
  <c r="A28" i="3"/>
  <c r="C28" i="3"/>
  <c r="F28" i="3"/>
  <c r="A29" i="3"/>
  <c r="C29" i="3"/>
  <c r="F29" i="3"/>
  <c r="A30" i="3"/>
  <c r="C30" i="3"/>
  <c r="F30" i="3"/>
  <c r="A31" i="3"/>
  <c r="C31" i="3"/>
  <c r="F31" i="3"/>
  <c r="A32" i="3"/>
  <c r="C32" i="3"/>
  <c r="F32" i="3"/>
  <c r="A33" i="3"/>
  <c r="C33" i="3"/>
  <c r="F33" i="3"/>
  <c r="A34" i="3"/>
  <c r="C34" i="3"/>
  <c r="F34" i="3"/>
  <c r="A35" i="3"/>
  <c r="C35" i="3"/>
  <c r="F35" i="3"/>
  <c r="A36" i="3"/>
  <c r="C36" i="3"/>
  <c r="F36" i="3"/>
  <c r="A37" i="3"/>
  <c r="C37" i="3"/>
  <c r="F37" i="3"/>
  <c r="A38" i="3"/>
  <c r="C38" i="3"/>
  <c r="F38" i="3"/>
  <c r="A39" i="3"/>
  <c r="C39" i="3"/>
  <c r="F39" i="3"/>
  <c r="A40" i="3"/>
  <c r="C40" i="3"/>
  <c r="F40" i="3"/>
  <c r="A41" i="3"/>
  <c r="C41" i="3"/>
  <c r="F41" i="3"/>
  <c r="A42" i="3"/>
  <c r="C42" i="3"/>
  <c r="F42" i="3"/>
  <c r="A43" i="3"/>
  <c r="C43" i="3"/>
  <c r="F43" i="3"/>
  <c r="A44" i="3"/>
  <c r="C44" i="3"/>
  <c r="F44" i="3"/>
  <c r="A45" i="3"/>
  <c r="C45" i="3"/>
  <c r="F45" i="3"/>
  <c r="A46" i="3"/>
  <c r="C46" i="3"/>
  <c r="F46" i="3"/>
  <c r="A47" i="3"/>
  <c r="C47" i="3"/>
  <c r="F47" i="3"/>
  <c r="A48" i="3"/>
  <c r="C48" i="3"/>
  <c r="F48" i="3"/>
  <c r="A49" i="3"/>
  <c r="C49" i="3"/>
  <c r="F49" i="3"/>
  <c r="A50" i="3"/>
  <c r="C50" i="3"/>
  <c r="F50" i="3"/>
  <c r="A51" i="3"/>
  <c r="C51" i="3"/>
  <c r="F51" i="3"/>
  <c r="A52" i="3"/>
  <c r="C52" i="3"/>
  <c r="F52" i="3"/>
  <c r="A53" i="3"/>
  <c r="C53" i="3"/>
  <c r="F53" i="3"/>
  <c r="A54" i="3"/>
  <c r="C54" i="3"/>
  <c r="F54" i="3"/>
  <c r="A55" i="3"/>
  <c r="C55" i="3"/>
  <c r="F55" i="3"/>
  <c r="A56" i="3"/>
  <c r="C56" i="3"/>
  <c r="F56" i="3"/>
  <c r="A57" i="3"/>
  <c r="C57" i="3"/>
  <c r="F57" i="3"/>
  <c r="A58" i="3"/>
  <c r="C58" i="3"/>
  <c r="F58" i="3"/>
  <c r="A59" i="3"/>
  <c r="C59" i="3"/>
  <c r="F59" i="3"/>
  <c r="A60" i="3"/>
  <c r="C60" i="3"/>
  <c r="F60" i="3"/>
  <c r="A61" i="3"/>
  <c r="C61" i="3"/>
  <c r="F61" i="3"/>
  <c r="A62" i="3"/>
  <c r="C62" i="3"/>
  <c r="F62" i="3"/>
  <c r="A63" i="3"/>
  <c r="C63" i="3"/>
  <c r="F63" i="3"/>
  <c r="A64" i="3"/>
  <c r="C64" i="3"/>
  <c r="F64" i="3"/>
  <c r="A65" i="3"/>
  <c r="C65" i="3"/>
  <c r="F65" i="3"/>
  <c r="A66" i="3"/>
  <c r="C66" i="3"/>
  <c r="F66" i="3"/>
  <c r="A67" i="3"/>
  <c r="C67" i="3"/>
  <c r="F67" i="3"/>
  <c r="A68" i="3"/>
  <c r="C68" i="3"/>
  <c r="F68" i="3"/>
  <c r="A69" i="3"/>
  <c r="C69" i="3"/>
  <c r="F69" i="3"/>
  <c r="A70" i="3"/>
  <c r="C70" i="3"/>
  <c r="F70" i="3"/>
  <c r="A71" i="3"/>
  <c r="C71" i="3"/>
  <c r="F71" i="3"/>
  <c r="A72" i="3"/>
  <c r="C72" i="3"/>
  <c r="F72" i="3"/>
  <c r="A73" i="3"/>
  <c r="C73" i="3"/>
  <c r="F73" i="3"/>
  <c r="A74" i="3"/>
  <c r="C74" i="3"/>
  <c r="F74" i="3"/>
  <c r="A75" i="3"/>
  <c r="C75" i="3"/>
  <c r="F75" i="3"/>
  <c r="A76" i="3"/>
  <c r="C76" i="3"/>
  <c r="F76" i="3"/>
  <c r="A77" i="3"/>
  <c r="C77" i="3"/>
  <c r="F77" i="3"/>
  <c r="A78" i="3"/>
  <c r="C78" i="3"/>
  <c r="F78" i="3"/>
  <c r="A79" i="3"/>
  <c r="C79" i="3"/>
  <c r="F79" i="3"/>
  <c r="A80" i="3"/>
  <c r="C80" i="3"/>
  <c r="F80" i="3"/>
  <c r="A81" i="3"/>
  <c r="C81" i="3"/>
  <c r="F81" i="3"/>
  <c r="A82" i="3"/>
  <c r="C82" i="3"/>
  <c r="F82" i="3"/>
  <c r="A83" i="3"/>
  <c r="C83" i="3"/>
  <c r="F83" i="3"/>
  <c r="A84" i="3"/>
  <c r="C84" i="3"/>
  <c r="F84" i="3"/>
  <c r="A85" i="3"/>
  <c r="C85" i="3"/>
  <c r="F85" i="3"/>
  <c r="A86" i="3"/>
  <c r="C86" i="3"/>
  <c r="F86" i="3"/>
  <c r="A87" i="3"/>
  <c r="C87" i="3"/>
  <c r="F87" i="3"/>
  <c r="A88" i="3"/>
  <c r="C88" i="3"/>
  <c r="F88" i="3"/>
  <c r="A89" i="3"/>
  <c r="C89" i="3"/>
  <c r="F89" i="3"/>
  <c r="A90" i="3"/>
  <c r="C90" i="3"/>
  <c r="F90" i="3"/>
  <c r="A91" i="3"/>
  <c r="C91" i="3"/>
  <c r="F91" i="3"/>
  <c r="A92" i="3"/>
  <c r="C92" i="3"/>
  <c r="F92" i="3"/>
  <c r="A93" i="3"/>
  <c r="C93" i="3"/>
  <c r="F93" i="3"/>
  <c r="A94" i="3"/>
  <c r="C94" i="3"/>
  <c r="F94" i="3"/>
  <c r="A95" i="3"/>
  <c r="C95" i="3"/>
  <c r="F95" i="3"/>
  <c r="A96" i="3"/>
  <c r="C96" i="3"/>
  <c r="F96" i="3"/>
  <c r="A97" i="3"/>
  <c r="C97" i="3"/>
  <c r="F97" i="3"/>
  <c r="A98" i="3"/>
  <c r="C98" i="3"/>
  <c r="F98" i="3"/>
  <c r="A99" i="3"/>
  <c r="C99" i="3"/>
  <c r="F99" i="3"/>
  <c r="A100" i="3"/>
  <c r="C100" i="3"/>
  <c r="F100" i="3"/>
  <c r="A101" i="3"/>
  <c r="C101" i="3"/>
  <c r="F101" i="3"/>
  <c r="A102" i="3"/>
  <c r="C102" i="3"/>
  <c r="F102" i="3"/>
  <c r="A103" i="3"/>
  <c r="C103" i="3"/>
  <c r="F103" i="3"/>
  <c r="A104" i="3"/>
  <c r="C104" i="3"/>
  <c r="F104" i="3"/>
  <c r="A105" i="3"/>
  <c r="C105" i="3"/>
  <c r="F105" i="3"/>
  <c r="A106" i="3"/>
  <c r="C106" i="3"/>
  <c r="F106" i="3"/>
  <c r="A107" i="3"/>
  <c r="C107" i="3"/>
  <c r="F107" i="3"/>
  <c r="A108" i="3"/>
  <c r="C108" i="3"/>
  <c r="F108" i="3"/>
  <c r="A109" i="3"/>
  <c r="C109" i="3"/>
  <c r="A110" i="3"/>
  <c r="C110" i="3"/>
  <c r="F110" i="3"/>
  <c r="A111" i="3"/>
  <c r="C111" i="3"/>
  <c r="F111" i="3"/>
  <c r="A112" i="3"/>
  <c r="C112" i="3"/>
  <c r="F112" i="3"/>
  <c r="A113" i="3"/>
  <c r="C113" i="3"/>
  <c r="F113" i="3"/>
  <c r="A114" i="3"/>
  <c r="C114" i="3"/>
  <c r="F114" i="3"/>
  <c r="A115" i="3"/>
  <c r="C115" i="3"/>
  <c r="F115" i="3"/>
  <c r="A116" i="3"/>
  <c r="C116" i="3"/>
  <c r="F116" i="3"/>
  <c r="A117" i="3"/>
  <c r="C117" i="3"/>
  <c r="F117" i="3"/>
  <c r="A118" i="3"/>
  <c r="C118" i="3"/>
  <c r="F118" i="3"/>
  <c r="A119" i="3"/>
  <c r="C119" i="3"/>
  <c r="F119" i="3"/>
  <c r="A120" i="3"/>
  <c r="C120" i="3"/>
  <c r="F120" i="3"/>
  <c r="A121" i="3"/>
  <c r="C121" i="3"/>
  <c r="F121" i="3"/>
  <c r="A122" i="3"/>
  <c r="C122" i="3"/>
  <c r="F122" i="3"/>
  <c r="A123" i="3"/>
  <c r="C123" i="3"/>
  <c r="F123" i="3"/>
  <c r="A124" i="3"/>
  <c r="C124" i="3"/>
  <c r="F124" i="3"/>
  <c r="A125" i="3"/>
  <c r="C125" i="3"/>
  <c r="F125" i="3"/>
  <c r="A126" i="3"/>
  <c r="C126" i="3"/>
  <c r="F126" i="3"/>
  <c r="A127" i="3"/>
  <c r="C127" i="3"/>
  <c r="F127" i="3"/>
  <c r="A128" i="3"/>
  <c r="C128" i="3"/>
  <c r="F128" i="3"/>
  <c r="A129" i="3"/>
  <c r="C129" i="3"/>
  <c r="F129" i="3"/>
  <c r="A130" i="3"/>
  <c r="C130" i="3"/>
  <c r="F130" i="3"/>
  <c r="A131" i="3"/>
  <c r="C131" i="3"/>
  <c r="F131" i="3"/>
  <c r="A132" i="3"/>
  <c r="C132" i="3"/>
  <c r="F132" i="3"/>
  <c r="A133" i="3"/>
  <c r="C133" i="3"/>
  <c r="F133" i="3"/>
  <c r="A134" i="3"/>
  <c r="C134" i="3"/>
  <c r="F134" i="3"/>
  <c r="A135" i="3"/>
  <c r="C135" i="3"/>
  <c r="F135" i="3"/>
  <c r="A136" i="3"/>
  <c r="C136" i="3"/>
  <c r="F136" i="3"/>
  <c r="A137" i="3"/>
  <c r="C137" i="3"/>
  <c r="F137" i="3"/>
  <c r="A138" i="3"/>
  <c r="C138" i="3"/>
  <c r="F138" i="3"/>
  <c r="A139" i="3"/>
  <c r="C139" i="3"/>
  <c r="F139" i="3"/>
  <c r="A140" i="3"/>
  <c r="C140" i="3"/>
  <c r="F140" i="3"/>
  <c r="A141" i="3"/>
  <c r="C141" i="3"/>
  <c r="F141" i="3"/>
  <c r="A142" i="3"/>
  <c r="C142" i="3"/>
  <c r="F142" i="3"/>
  <c r="A143" i="3"/>
  <c r="C143" i="3"/>
  <c r="F143" i="3"/>
  <c r="A144" i="3"/>
  <c r="C144" i="3"/>
  <c r="F144" i="3"/>
  <c r="A145" i="3"/>
  <c r="C145" i="3"/>
  <c r="F145" i="3"/>
  <c r="A146" i="3"/>
  <c r="C146" i="3"/>
  <c r="F146" i="3"/>
  <c r="A147" i="3"/>
  <c r="C147" i="3"/>
  <c r="F147" i="3"/>
  <c r="A148" i="3"/>
  <c r="C148" i="3"/>
  <c r="F148" i="3"/>
  <c r="A149" i="3"/>
  <c r="C149" i="3"/>
  <c r="F149" i="3"/>
  <c r="A150" i="3"/>
  <c r="C150" i="3"/>
  <c r="F150" i="3"/>
  <c r="A151" i="3"/>
  <c r="C151" i="3"/>
  <c r="F151" i="3"/>
  <c r="A152" i="3"/>
  <c r="C152" i="3"/>
  <c r="F152" i="3"/>
  <c r="A153" i="3"/>
  <c r="C153" i="3"/>
  <c r="F153" i="3"/>
  <c r="A154" i="3"/>
  <c r="C154" i="3"/>
  <c r="F154" i="3"/>
  <c r="A155" i="3"/>
  <c r="C155" i="3"/>
  <c r="F155" i="3"/>
  <c r="A156" i="3"/>
  <c r="C156" i="3"/>
  <c r="F156" i="3"/>
  <c r="A157" i="3"/>
  <c r="C157" i="3"/>
  <c r="F157" i="3"/>
  <c r="A158" i="3"/>
  <c r="C158" i="3"/>
  <c r="F158" i="3"/>
  <c r="A159" i="3"/>
  <c r="C159" i="3"/>
  <c r="F159" i="3"/>
  <c r="A160" i="3"/>
  <c r="C160" i="3"/>
  <c r="F160" i="3"/>
  <c r="A161" i="3"/>
  <c r="C161" i="3"/>
  <c r="F161" i="3"/>
  <c r="A162" i="3"/>
  <c r="C162" i="3"/>
  <c r="F162" i="3"/>
  <c r="A163" i="3"/>
  <c r="C163" i="3"/>
  <c r="F163" i="3"/>
  <c r="A164" i="3"/>
  <c r="C164" i="3"/>
  <c r="F164" i="3"/>
  <c r="A165" i="3"/>
  <c r="C165" i="3"/>
  <c r="F165" i="3"/>
  <c r="A166" i="3"/>
  <c r="C166" i="3"/>
  <c r="F166" i="3"/>
  <c r="A167" i="3"/>
  <c r="C167" i="3"/>
  <c r="F167" i="3"/>
  <c r="A168" i="3"/>
  <c r="C168" i="3"/>
  <c r="F168" i="3"/>
  <c r="A169" i="3"/>
  <c r="C169" i="3"/>
  <c r="F169" i="3"/>
  <c r="A170" i="3"/>
  <c r="C170" i="3"/>
  <c r="F170" i="3"/>
  <c r="A171" i="3"/>
  <c r="C171" i="3"/>
  <c r="F171" i="3"/>
  <c r="A172" i="3"/>
  <c r="C172" i="3"/>
  <c r="F172" i="3"/>
  <c r="A173" i="3"/>
  <c r="C173" i="3"/>
  <c r="F173" i="3"/>
  <c r="A174" i="3"/>
  <c r="C174" i="3"/>
  <c r="F174" i="3"/>
  <c r="A175" i="3"/>
  <c r="C175" i="3"/>
  <c r="F175" i="3"/>
  <c r="A176" i="3"/>
  <c r="C176" i="3"/>
  <c r="F176" i="3"/>
  <c r="A177" i="3"/>
  <c r="C177" i="3"/>
  <c r="F177" i="3"/>
  <c r="A178" i="3"/>
  <c r="C178" i="3"/>
  <c r="F178" i="3"/>
  <c r="A179" i="3"/>
  <c r="C179" i="3"/>
  <c r="F179" i="3"/>
  <c r="A180" i="3"/>
  <c r="C180" i="3"/>
  <c r="F180" i="3"/>
  <c r="A181" i="3"/>
  <c r="C181" i="3"/>
  <c r="F181" i="3"/>
  <c r="A182" i="3"/>
  <c r="C182" i="3"/>
  <c r="F182" i="3"/>
  <c r="A183" i="3"/>
  <c r="C183" i="3"/>
  <c r="F183" i="3"/>
  <c r="A184" i="3"/>
  <c r="C184" i="3"/>
  <c r="F184" i="3"/>
  <c r="A185" i="3"/>
  <c r="C185" i="3"/>
  <c r="F185" i="3"/>
  <c r="A186" i="3"/>
  <c r="C186" i="3"/>
  <c r="F186" i="3"/>
  <c r="A187" i="3"/>
  <c r="C187" i="3"/>
  <c r="F187" i="3"/>
  <c r="A188" i="3"/>
  <c r="C188" i="3"/>
  <c r="F188" i="3"/>
  <c r="A189" i="3"/>
  <c r="C189" i="3"/>
  <c r="F189" i="3"/>
  <c r="A190" i="3"/>
  <c r="C190" i="3"/>
  <c r="F190" i="3"/>
  <c r="A191" i="3"/>
  <c r="C191" i="3"/>
  <c r="F191" i="3"/>
  <c r="A192" i="3"/>
  <c r="C192" i="3"/>
  <c r="F192" i="3"/>
  <c r="A193" i="3"/>
  <c r="C193" i="3"/>
  <c r="F193" i="3"/>
  <c r="A194" i="3"/>
  <c r="C194" i="3"/>
  <c r="F194" i="3"/>
  <c r="A195" i="3"/>
  <c r="C195" i="3"/>
  <c r="F195" i="3"/>
  <c r="A196" i="3"/>
  <c r="C196" i="3"/>
  <c r="F196" i="3"/>
  <c r="A197" i="3"/>
  <c r="C197" i="3"/>
  <c r="F197" i="3"/>
  <c r="A198" i="3"/>
  <c r="C198" i="3"/>
  <c r="F198" i="3"/>
  <c r="A199" i="3"/>
  <c r="C199" i="3"/>
  <c r="F199" i="3"/>
  <c r="A200" i="3"/>
  <c r="C200" i="3"/>
  <c r="F200" i="3"/>
  <c r="A201" i="3"/>
  <c r="C201" i="3"/>
  <c r="F201" i="3"/>
  <c r="A202" i="3"/>
  <c r="C202" i="3"/>
  <c r="F202" i="3"/>
  <c r="A203" i="3"/>
  <c r="C203" i="3"/>
  <c r="F203" i="3"/>
  <c r="A204" i="3"/>
  <c r="C204" i="3"/>
  <c r="F204" i="3"/>
  <c r="A205" i="3"/>
  <c r="C205" i="3"/>
  <c r="F205" i="3"/>
  <c r="A206" i="3"/>
  <c r="C206" i="3"/>
  <c r="F206" i="3"/>
  <c r="A207" i="3"/>
  <c r="C207" i="3"/>
  <c r="F207" i="3"/>
  <c r="A208" i="3"/>
  <c r="C208" i="3"/>
  <c r="F208" i="3"/>
  <c r="A209" i="3"/>
  <c r="C209" i="3"/>
  <c r="F209" i="3"/>
  <c r="A210" i="3"/>
  <c r="C210" i="3"/>
  <c r="F210" i="3"/>
  <c r="A211" i="3"/>
  <c r="C211" i="3"/>
  <c r="F211" i="3"/>
  <c r="A212" i="3"/>
  <c r="C212" i="3"/>
  <c r="F212" i="3"/>
  <c r="A213" i="3"/>
  <c r="C213" i="3"/>
  <c r="F213" i="3"/>
  <c r="A214" i="3"/>
  <c r="C214" i="3"/>
  <c r="F214" i="3"/>
  <c r="A215" i="3"/>
  <c r="C215" i="3"/>
  <c r="F215" i="3"/>
  <c r="A216" i="3"/>
  <c r="C216" i="3"/>
  <c r="F216" i="3"/>
  <c r="A217" i="3"/>
  <c r="C217" i="3"/>
  <c r="F217" i="3"/>
  <c r="A218" i="3"/>
  <c r="C218" i="3"/>
  <c r="F218" i="3"/>
  <c r="A219" i="3"/>
  <c r="C219" i="3"/>
  <c r="F219" i="3"/>
  <c r="A220" i="3"/>
  <c r="C220" i="3"/>
  <c r="F220" i="3"/>
  <c r="A221" i="3"/>
  <c r="C221" i="3"/>
  <c r="F221" i="3"/>
  <c r="A222" i="3"/>
  <c r="C222" i="3"/>
  <c r="F222" i="3"/>
  <c r="A223" i="3"/>
  <c r="C223" i="3"/>
  <c r="F223" i="3"/>
  <c r="A224" i="3"/>
  <c r="C224" i="3"/>
  <c r="F224" i="3"/>
  <c r="A225" i="3"/>
  <c r="C225" i="3"/>
  <c r="F225" i="3"/>
  <c r="A226" i="3"/>
  <c r="C226" i="3"/>
  <c r="F226" i="3"/>
  <c r="A227" i="3"/>
  <c r="C227" i="3"/>
  <c r="F227" i="3"/>
  <c r="A228" i="3"/>
  <c r="C228" i="3"/>
  <c r="F228" i="3"/>
  <c r="A229" i="3"/>
  <c r="C229" i="3"/>
  <c r="F229" i="3"/>
  <c r="A230" i="3"/>
  <c r="C230" i="3"/>
  <c r="F230" i="3"/>
  <c r="A231" i="3"/>
  <c r="C231" i="3"/>
  <c r="F231" i="3"/>
  <c r="A232" i="3"/>
  <c r="C232" i="3"/>
  <c r="F232" i="3"/>
  <c r="A233" i="3"/>
  <c r="C233" i="3"/>
  <c r="F233" i="3"/>
  <c r="A234" i="3"/>
  <c r="C234" i="3"/>
  <c r="F234" i="3"/>
  <c r="A235" i="3"/>
  <c r="C235" i="3"/>
  <c r="F235" i="3"/>
  <c r="A236" i="3"/>
  <c r="C236" i="3"/>
  <c r="F236" i="3"/>
  <c r="A237" i="3"/>
  <c r="C237" i="3"/>
  <c r="F237" i="3"/>
  <c r="A238" i="3"/>
  <c r="C238" i="3"/>
  <c r="F238" i="3"/>
  <c r="A239" i="3"/>
  <c r="C239" i="3"/>
  <c r="F239" i="3"/>
  <c r="A240" i="3"/>
  <c r="C240" i="3"/>
  <c r="F240" i="3"/>
  <c r="A241" i="3"/>
  <c r="C241" i="3"/>
  <c r="F241" i="3"/>
  <c r="A242" i="3"/>
  <c r="C242" i="3"/>
  <c r="F242" i="3"/>
  <c r="A243" i="3"/>
  <c r="C243" i="3"/>
  <c r="F243" i="3"/>
  <c r="A244" i="3"/>
  <c r="C244" i="3"/>
  <c r="F244" i="3"/>
  <c r="A245" i="3"/>
  <c r="C245" i="3"/>
  <c r="F245" i="3"/>
  <c r="A246" i="3"/>
  <c r="C246" i="3"/>
  <c r="F246" i="3"/>
  <c r="A247" i="3"/>
  <c r="C247" i="3"/>
  <c r="F247" i="3"/>
  <c r="A248" i="3"/>
  <c r="C248" i="3"/>
  <c r="F248" i="3"/>
  <c r="A249" i="3"/>
  <c r="C249" i="3"/>
  <c r="F249" i="3"/>
  <c r="A250" i="3"/>
  <c r="C250" i="3"/>
  <c r="F250" i="3"/>
  <c r="A251" i="3"/>
  <c r="C251" i="3"/>
  <c r="F251" i="3"/>
  <c r="A252" i="3"/>
  <c r="C252" i="3"/>
  <c r="F252" i="3"/>
  <c r="A253" i="3"/>
  <c r="C253" i="3"/>
  <c r="F253" i="3"/>
  <c r="A254" i="3"/>
  <c r="C254" i="3"/>
  <c r="F254" i="3"/>
  <c r="A255" i="3"/>
  <c r="C255" i="3"/>
  <c r="F255" i="3"/>
  <c r="A256" i="3"/>
  <c r="C256" i="3"/>
  <c r="F256" i="3"/>
  <c r="A257" i="3"/>
  <c r="C257" i="3"/>
  <c r="F257" i="3"/>
  <c r="A258" i="3"/>
  <c r="C258" i="3"/>
  <c r="F258" i="3"/>
  <c r="A259" i="3"/>
  <c r="C259" i="3"/>
  <c r="F259" i="3"/>
  <c r="A260" i="3"/>
  <c r="C260" i="3"/>
  <c r="F260" i="3"/>
  <c r="A261" i="3"/>
  <c r="C261" i="3"/>
  <c r="F261" i="3"/>
  <c r="A262" i="3"/>
  <c r="C262" i="3"/>
  <c r="F262" i="3"/>
  <c r="A263" i="3"/>
  <c r="C263" i="3"/>
  <c r="F263" i="3"/>
  <c r="A264" i="3"/>
  <c r="C264" i="3"/>
  <c r="F264" i="3"/>
  <c r="A265" i="3"/>
  <c r="C265" i="3"/>
  <c r="F265" i="3"/>
  <c r="A266" i="3"/>
  <c r="C266" i="3"/>
  <c r="F266" i="3"/>
  <c r="A267" i="3"/>
  <c r="C267" i="3"/>
  <c r="F267" i="3"/>
  <c r="A268" i="3"/>
  <c r="C268" i="3"/>
  <c r="F268" i="3"/>
  <c r="A269" i="3"/>
  <c r="C269" i="3"/>
  <c r="F269" i="3"/>
  <c r="A270" i="3"/>
  <c r="C270" i="3"/>
  <c r="F270" i="3"/>
  <c r="A271" i="3"/>
  <c r="C271" i="3"/>
  <c r="F271" i="3"/>
  <c r="A272" i="3"/>
  <c r="C272" i="3"/>
  <c r="F272" i="3"/>
  <c r="A273" i="3"/>
  <c r="C273" i="3"/>
  <c r="F273" i="3"/>
  <c r="A274" i="3"/>
  <c r="C274" i="3"/>
  <c r="F274" i="3"/>
  <c r="A275" i="3"/>
  <c r="C275" i="3"/>
  <c r="F275" i="3"/>
  <c r="A276" i="3"/>
  <c r="C276" i="3"/>
  <c r="F276" i="3"/>
  <c r="A277" i="3"/>
  <c r="C277" i="3"/>
  <c r="F277" i="3"/>
  <c r="A278" i="3"/>
  <c r="C278" i="3"/>
  <c r="F278" i="3"/>
  <c r="A279" i="3"/>
  <c r="C279" i="3"/>
  <c r="F279" i="3"/>
  <c r="A280" i="3"/>
  <c r="C280" i="3"/>
  <c r="F280" i="3"/>
  <c r="A281" i="3"/>
  <c r="C281" i="3"/>
  <c r="F281" i="3"/>
  <c r="A282" i="3"/>
  <c r="C282" i="3"/>
  <c r="F282" i="3"/>
  <c r="A283" i="3"/>
  <c r="C283" i="3"/>
  <c r="F283" i="3"/>
  <c r="A284" i="3"/>
  <c r="C284" i="3"/>
  <c r="F284" i="3"/>
  <c r="A285" i="3"/>
  <c r="C285" i="3"/>
  <c r="F285" i="3"/>
  <c r="A286" i="3"/>
  <c r="C286" i="3"/>
  <c r="F286" i="3"/>
  <c r="A287" i="3"/>
  <c r="C287" i="3"/>
  <c r="F287" i="3"/>
  <c r="A288" i="3"/>
  <c r="C288" i="3"/>
  <c r="F288" i="3"/>
  <c r="A289" i="3"/>
  <c r="C289" i="3"/>
  <c r="F289" i="3"/>
  <c r="A290" i="3"/>
  <c r="C290" i="3"/>
  <c r="F290" i="3"/>
  <c r="A291" i="3"/>
  <c r="C291" i="3"/>
  <c r="F291" i="3"/>
  <c r="A292" i="3"/>
  <c r="C292" i="3"/>
  <c r="F292" i="3"/>
  <c r="A293" i="3"/>
  <c r="C293" i="3"/>
  <c r="F293" i="3"/>
  <c r="A294" i="3"/>
  <c r="C294" i="3"/>
  <c r="F294" i="3"/>
  <c r="A295" i="3"/>
  <c r="C295" i="3"/>
  <c r="F295" i="3"/>
  <c r="A296" i="3"/>
  <c r="C296" i="3"/>
  <c r="F296" i="3"/>
  <c r="A297" i="3"/>
  <c r="C297" i="3"/>
  <c r="F297" i="3"/>
  <c r="A298" i="3"/>
  <c r="C298" i="3"/>
  <c r="F298" i="3"/>
  <c r="A299" i="3"/>
  <c r="C299" i="3"/>
  <c r="F299" i="3"/>
  <c r="A300" i="3"/>
  <c r="C300" i="3"/>
  <c r="F300" i="3"/>
  <c r="A301" i="3"/>
  <c r="C301" i="3"/>
  <c r="F301" i="3"/>
  <c r="A302" i="3"/>
  <c r="C302" i="3"/>
  <c r="F302" i="3"/>
  <c r="A303" i="3"/>
  <c r="C303" i="3"/>
  <c r="F303" i="3"/>
  <c r="A304" i="3"/>
  <c r="C304" i="3"/>
  <c r="F304" i="3"/>
  <c r="A305" i="3"/>
  <c r="C305" i="3"/>
  <c r="F305" i="3"/>
  <c r="A306" i="3"/>
  <c r="C306" i="3"/>
  <c r="F306" i="3"/>
  <c r="A307" i="3"/>
  <c r="C307" i="3"/>
  <c r="F307" i="3"/>
  <c r="A308" i="3"/>
  <c r="C308" i="3"/>
  <c r="F308" i="3"/>
  <c r="A309" i="3"/>
  <c r="C309" i="3"/>
  <c r="F309" i="3"/>
  <c r="A310" i="3"/>
  <c r="C310" i="3"/>
  <c r="F310" i="3"/>
  <c r="A311" i="3"/>
  <c r="C311" i="3"/>
  <c r="F311" i="3"/>
  <c r="A312" i="3"/>
  <c r="C312" i="3"/>
  <c r="F312" i="3"/>
  <c r="A313" i="3"/>
  <c r="C313" i="3"/>
  <c r="F313" i="3"/>
  <c r="A314" i="3"/>
  <c r="C314" i="3"/>
  <c r="F314" i="3"/>
  <c r="A315" i="3"/>
  <c r="C315" i="3"/>
  <c r="F315" i="3"/>
  <c r="A316" i="3"/>
  <c r="C316" i="3"/>
  <c r="F316" i="3"/>
  <c r="A317" i="3"/>
  <c r="C317" i="3"/>
  <c r="F317" i="3"/>
  <c r="A318" i="3"/>
  <c r="C318" i="3"/>
  <c r="F318" i="3"/>
  <c r="A319" i="3"/>
  <c r="C319" i="3"/>
  <c r="F319" i="3"/>
  <c r="A320" i="3"/>
  <c r="C320" i="3"/>
  <c r="F320" i="3"/>
  <c r="A321" i="3"/>
  <c r="C321" i="3"/>
  <c r="F321" i="3"/>
  <c r="A322" i="3"/>
  <c r="C322" i="3"/>
  <c r="F322" i="3"/>
  <c r="A323" i="3"/>
  <c r="C323" i="3"/>
  <c r="F323" i="3"/>
  <c r="A324" i="3"/>
  <c r="C324" i="3"/>
  <c r="F324" i="3"/>
  <c r="A325" i="3"/>
  <c r="C325" i="3"/>
  <c r="F325" i="3"/>
  <c r="A326" i="3"/>
  <c r="C326" i="3"/>
  <c r="F326" i="3"/>
  <c r="A327" i="3"/>
  <c r="C327" i="3"/>
  <c r="F327" i="3"/>
  <c r="A328" i="3"/>
  <c r="C328" i="3"/>
  <c r="F328" i="3"/>
  <c r="A329" i="3"/>
  <c r="C329" i="3"/>
  <c r="F329" i="3"/>
  <c r="A330" i="3"/>
  <c r="C330" i="3"/>
  <c r="F330" i="3"/>
  <c r="A331" i="3"/>
  <c r="C331" i="3"/>
  <c r="F331" i="3"/>
  <c r="A332" i="3"/>
  <c r="C332" i="3"/>
  <c r="F332" i="3"/>
  <c r="A333" i="3"/>
  <c r="C333" i="3"/>
  <c r="F333" i="3"/>
  <c r="A334" i="3"/>
  <c r="C334" i="3"/>
  <c r="F334" i="3"/>
  <c r="A335" i="3"/>
  <c r="C335" i="3"/>
  <c r="F335" i="3"/>
  <c r="A336" i="3"/>
  <c r="C336" i="3"/>
  <c r="F336" i="3"/>
  <c r="A337" i="3"/>
  <c r="C337" i="3"/>
  <c r="F337" i="3"/>
  <c r="A338" i="3"/>
  <c r="C338" i="3"/>
  <c r="F338" i="3"/>
  <c r="A339" i="3"/>
  <c r="C339" i="3"/>
  <c r="F339" i="3"/>
  <c r="A340" i="3"/>
  <c r="C340" i="3"/>
  <c r="F340" i="3"/>
  <c r="A341" i="3"/>
  <c r="C341" i="3"/>
  <c r="F341" i="3"/>
  <c r="A342" i="3"/>
  <c r="C342" i="3"/>
  <c r="F342" i="3"/>
  <c r="A343" i="3"/>
  <c r="C343" i="3"/>
  <c r="F343" i="3"/>
  <c r="A344" i="3"/>
  <c r="C344" i="3"/>
  <c r="F344" i="3"/>
  <c r="A345" i="3"/>
  <c r="C345" i="3"/>
  <c r="F345" i="3"/>
  <c r="A346" i="3"/>
  <c r="C346" i="3"/>
  <c r="F346" i="3"/>
  <c r="A347" i="3"/>
  <c r="C347" i="3"/>
  <c r="F347" i="3"/>
  <c r="A348" i="3"/>
  <c r="C348" i="3"/>
  <c r="F348" i="3"/>
  <c r="A349" i="3"/>
  <c r="C349" i="3"/>
  <c r="F349" i="3"/>
  <c r="A350" i="3"/>
  <c r="C350" i="3"/>
  <c r="F350" i="3"/>
  <c r="A351" i="3"/>
  <c r="C351" i="3"/>
  <c r="F351" i="3"/>
  <c r="A352" i="3"/>
  <c r="C352" i="3"/>
  <c r="F352" i="3"/>
  <c r="A353" i="3"/>
  <c r="C353" i="3"/>
  <c r="F353" i="3"/>
  <c r="A354" i="3"/>
  <c r="C354" i="3"/>
  <c r="F354" i="3"/>
  <c r="A355" i="3"/>
  <c r="C355" i="3"/>
  <c r="F355" i="3"/>
  <c r="A356" i="3"/>
  <c r="C356" i="3"/>
  <c r="F356" i="3"/>
  <c r="A357" i="3"/>
  <c r="C357" i="3"/>
  <c r="F357" i="3"/>
  <c r="A358" i="3"/>
  <c r="C358" i="3"/>
  <c r="F358" i="3"/>
  <c r="A359" i="3"/>
  <c r="C359" i="3"/>
  <c r="F359" i="3"/>
  <c r="A360" i="3"/>
  <c r="C360" i="3"/>
  <c r="F360" i="3"/>
  <c r="A361" i="3"/>
  <c r="C361" i="3"/>
  <c r="F361" i="3"/>
  <c r="A362" i="3"/>
  <c r="C362" i="3"/>
  <c r="F362" i="3"/>
  <c r="A363" i="3"/>
  <c r="C363" i="3"/>
  <c r="F363" i="3"/>
  <c r="A364" i="3"/>
  <c r="C364" i="3"/>
  <c r="F364" i="3"/>
  <c r="A365" i="3"/>
  <c r="C365" i="3"/>
  <c r="F365" i="3"/>
  <c r="A366" i="3"/>
  <c r="C366" i="3"/>
  <c r="F366" i="3"/>
  <c r="A367" i="3"/>
  <c r="C367" i="3"/>
  <c r="F367" i="3"/>
  <c r="A368" i="3"/>
  <c r="C368" i="3"/>
  <c r="F368" i="3"/>
  <c r="A369" i="3"/>
  <c r="C369" i="3"/>
  <c r="F369" i="3"/>
  <c r="A370" i="3"/>
  <c r="C370" i="3"/>
  <c r="F370" i="3"/>
  <c r="A371" i="3"/>
  <c r="C371" i="3"/>
  <c r="F371" i="3"/>
  <c r="A372" i="3"/>
  <c r="C372" i="3"/>
  <c r="F372" i="3"/>
  <c r="A373" i="3"/>
  <c r="C373" i="3"/>
  <c r="F373" i="3"/>
  <c r="A374" i="3"/>
  <c r="C374" i="3"/>
  <c r="F374" i="3"/>
  <c r="A375" i="3"/>
  <c r="C375" i="3"/>
  <c r="F375" i="3"/>
  <c r="A376" i="3"/>
  <c r="C376" i="3"/>
  <c r="F376" i="3"/>
  <c r="A377" i="3"/>
  <c r="C377" i="3"/>
  <c r="F377" i="3"/>
  <c r="A378" i="3"/>
  <c r="C378" i="3"/>
  <c r="F378" i="3"/>
  <c r="A379" i="3"/>
  <c r="C379" i="3"/>
  <c r="F379" i="3"/>
  <c r="A380" i="3"/>
  <c r="C380" i="3"/>
  <c r="F380" i="3"/>
  <c r="A381" i="3"/>
  <c r="C381" i="3"/>
  <c r="F381" i="3"/>
  <c r="A382" i="3"/>
  <c r="C382" i="3"/>
  <c r="F382" i="3"/>
  <c r="A383" i="3"/>
  <c r="C383" i="3"/>
  <c r="F383" i="3"/>
  <c r="A384" i="3"/>
  <c r="C384" i="3"/>
  <c r="F384" i="3"/>
  <c r="A385" i="3"/>
  <c r="C385" i="3"/>
  <c r="F385" i="3"/>
  <c r="A386" i="3"/>
  <c r="C386" i="3"/>
  <c r="F386" i="3"/>
  <c r="A387" i="3"/>
  <c r="C387" i="3"/>
  <c r="F387" i="3"/>
  <c r="A388" i="3"/>
  <c r="C388" i="3"/>
  <c r="F388" i="3"/>
  <c r="A389" i="3"/>
  <c r="C389" i="3"/>
  <c r="F389" i="3"/>
  <c r="A390" i="3"/>
  <c r="C390" i="3"/>
  <c r="F390" i="3"/>
  <c r="A391" i="3"/>
  <c r="C391" i="3"/>
  <c r="F391" i="3"/>
  <c r="A392" i="3"/>
  <c r="C392" i="3"/>
  <c r="F392" i="3"/>
  <c r="A393" i="3"/>
  <c r="C393" i="3"/>
  <c r="F393" i="3"/>
  <c r="A394" i="3"/>
  <c r="C394" i="3"/>
  <c r="F394" i="3"/>
  <c r="A395" i="3"/>
  <c r="C395" i="3"/>
  <c r="F395" i="3"/>
  <c r="A396" i="3"/>
  <c r="C396" i="3"/>
  <c r="F396" i="3"/>
  <c r="A397" i="3"/>
  <c r="C397" i="3"/>
  <c r="F397" i="3"/>
  <c r="A398" i="3"/>
  <c r="C398" i="3"/>
  <c r="F398" i="3"/>
  <c r="A399" i="3"/>
  <c r="C399" i="3"/>
  <c r="F399" i="3"/>
  <c r="A400" i="3"/>
  <c r="C400" i="3"/>
  <c r="F400" i="3"/>
  <c r="A401" i="3"/>
  <c r="C401" i="3"/>
  <c r="F401" i="3"/>
  <c r="A402" i="3"/>
  <c r="C402" i="3"/>
  <c r="F402" i="3"/>
  <c r="A403" i="3"/>
  <c r="C403" i="3"/>
  <c r="F403" i="3"/>
  <c r="A404" i="3"/>
  <c r="C404" i="3"/>
  <c r="F404" i="3"/>
  <c r="A405" i="3"/>
  <c r="C405" i="3"/>
  <c r="F405" i="3"/>
  <c r="A406" i="3"/>
  <c r="C406" i="3"/>
  <c r="F406" i="3"/>
  <c r="A407" i="3"/>
  <c r="C407" i="3"/>
  <c r="F407" i="3"/>
  <c r="A408" i="3"/>
  <c r="C408" i="3"/>
  <c r="F408" i="3"/>
  <c r="A409" i="3"/>
  <c r="C409" i="3"/>
  <c r="F409" i="3"/>
  <c r="A410" i="3"/>
  <c r="C410" i="3"/>
  <c r="F410" i="3"/>
  <c r="A411" i="3"/>
  <c r="C411" i="3"/>
  <c r="F411" i="3"/>
  <c r="A412" i="3"/>
  <c r="C412" i="3"/>
  <c r="F412" i="3"/>
  <c r="X412" i="2"/>
  <c r="W412" i="2"/>
  <c r="V412" i="2"/>
  <c r="U412" i="2"/>
  <c r="Y412" i="6" s="1"/>
  <c r="F412" i="2"/>
  <c r="J412" i="6" s="1"/>
  <c r="G412" i="2"/>
  <c r="K412" i="6" s="1"/>
  <c r="H412" i="2"/>
  <c r="L412" i="6" s="1"/>
  <c r="I412" i="2"/>
  <c r="M412" i="6" s="1"/>
  <c r="J412" i="2"/>
  <c r="N412" i="6" s="1"/>
  <c r="K412" i="2"/>
  <c r="O412" i="6" s="1"/>
  <c r="L412" i="2"/>
  <c r="P412" i="6" s="1"/>
  <c r="M412" i="2"/>
  <c r="N412" i="2"/>
  <c r="R412" i="6" s="1"/>
  <c r="O412" i="2"/>
  <c r="S412" i="6" s="1"/>
  <c r="Q412" i="2"/>
  <c r="U412" i="6" s="1"/>
  <c r="V412" i="6"/>
  <c r="W412" i="6"/>
  <c r="E412" i="2"/>
  <c r="I412" i="6" s="1"/>
  <c r="X411" i="2"/>
  <c r="W411" i="2"/>
  <c r="V411" i="2"/>
  <c r="U411" i="2"/>
  <c r="Y411" i="6" s="1"/>
  <c r="F411" i="2"/>
  <c r="J411" i="6" s="1"/>
  <c r="G411" i="2"/>
  <c r="K411" i="6" s="1"/>
  <c r="H411" i="2"/>
  <c r="L411" i="6" s="1"/>
  <c r="I411" i="2"/>
  <c r="M411" i="6" s="1"/>
  <c r="J411" i="2"/>
  <c r="K411" i="2"/>
  <c r="O411" i="6" s="1"/>
  <c r="L411" i="2"/>
  <c r="P411" i="6" s="1"/>
  <c r="M411" i="2"/>
  <c r="Q411" i="6" s="1"/>
  <c r="N411" i="2"/>
  <c r="R411" i="6" s="1"/>
  <c r="O411" i="2"/>
  <c r="S411" i="6" s="1"/>
  <c r="Q411" i="2"/>
  <c r="U411" i="6" s="1"/>
  <c r="V411" i="6"/>
  <c r="E411" i="2"/>
  <c r="I411" i="6" s="1"/>
  <c r="X410" i="2"/>
  <c r="W410" i="2"/>
  <c r="V410" i="2"/>
  <c r="U410" i="2"/>
  <c r="Y410" i="6" s="1"/>
  <c r="F410" i="2"/>
  <c r="J410" i="6" s="1"/>
  <c r="G410" i="2"/>
  <c r="H410" i="2"/>
  <c r="L410" i="6" s="1"/>
  <c r="I410" i="2"/>
  <c r="M410" i="6" s="1"/>
  <c r="J410" i="2"/>
  <c r="N410" i="6" s="1"/>
  <c r="K410" i="2"/>
  <c r="O410" i="6" s="1"/>
  <c r="L410" i="2"/>
  <c r="P410" i="6" s="1"/>
  <c r="M410" i="2"/>
  <c r="Q410" i="6" s="1"/>
  <c r="N410" i="2"/>
  <c r="R410" i="6" s="1"/>
  <c r="O410" i="2"/>
  <c r="Q410" i="2"/>
  <c r="U410" i="6" s="1"/>
  <c r="V410" i="6"/>
  <c r="W410" i="6"/>
  <c r="E410" i="2"/>
  <c r="I410" i="6" s="1"/>
  <c r="X409" i="2"/>
  <c r="W409" i="2"/>
  <c r="V409" i="2"/>
  <c r="Z409" i="6" s="1"/>
  <c r="U409" i="2"/>
  <c r="F409" i="2"/>
  <c r="J409" i="6" s="1"/>
  <c r="G409" i="2"/>
  <c r="K409" i="6" s="1"/>
  <c r="H409" i="2"/>
  <c r="L409" i="6" s="1"/>
  <c r="I409" i="2"/>
  <c r="M409" i="6" s="1"/>
  <c r="J409" i="2"/>
  <c r="N409" i="6" s="1"/>
  <c r="K409" i="2"/>
  <c r="O409" i="6" s="1"/>
  <c r="L409" i="2"/>
  <c r="M409" i="2"/>
  <c r="Q409" i="6" s="1"/>
  <c r="N409" i="2"/>
  <c r="R409" i="6" s="1"/>
  <c r="O409" i="2"/>
  <c r="S409" i="6" s="1"/>
  <c r="Q409" i="2"/>
  <c r="U409" i="6" s="1"/>
  <c r="V409" i="6"/>
  <c r="W409" i="6"/>
  <c r="E409" i="2"/>
  <c r="I409" i="6" s="1"/>
  <c r="X408" i="2"/>
  <c r="W408" i="2"/>
  <c r="V408" i="2"/>
  <c r="U408" i="2"/>
  <c r="Y408" i="6" s="1"/>
  <c r="F408" i="2"/>
  <c r="J408" i="6" s="1"/>
  <c r="G408" i="2"/>
  <c r="K408" i="6" s="1"/>
  <c r="H408" i="2"/>
  <c r="L408" i="6" s="1"/>
  <c r="I408" i="2"/>
  <c r="M408" i="6" s="1"/>
  <c r="J408" i="2"/>
  <c r="N408" i="6" s="1"/>
  <c r="K408" i="2"/>
  <c r="L408" i="2"/>
  <c r="P408" i="6" s="1"/>
  <c r="M408" i="2"/>
  <c r="Q408" i="6" s="1"/>
  <c r="N408" i="2"/>
  <c r="R408" i="6" s="1"/>
  <c r="O408" i="2"/>
  <c r="S408" i="6" s="1"/>
  <c r="Q408" i="2"/>
  <c r="V408" i="6"/>
  <c r="W408" i="6"/>
  <c r="E408" i="2"/>
  <c r="I408" i="6" s="1"/>
  <c r="X407" i="2"/>
  <c r="W407" i="2"/>
  <c r="V407" i="2"/>
  <c r="U407" i="2"/>
  <c r="Y407" i="6" s="1"/>
  <c r="F407" i="2"/>
  <c r="J407" i="6" s="1"/>
  <c r="G407" i="2"/>
  <c r="K407" i="6" s="1"/>
  <c r="H407" i="2"/>
  <c r="L407" i="6" s="1"/>
  <c r="I407" i="2"/>
  <c r="M407" i="6" s="1"/>
  <c r="J407" i="2"/>
  <c r="N407" i="6" s="1"/>
  <c r="K407" i="2"/>
  <c r="O407" i="6" s="1"/>
  <c r="L407" i="2"/>
  <c r="P407" i="6" s="1"/>
  <c r="M407" i="2"/>
  <c r="Q407" i="6" s="1"/>
  <c r="N407" i="2"/>
  <c r="R407" i="6" s="1"/>
  <c r="O407" i="2"/>
  <c r="S407" i="6" s="1"/>
  <c r="Q407" i="2"/>
  <c r="U407" i="6" s="1"/>
  <c r="V407" i="6"/>
  <c r="W407" i="6"/>
  <c r="E407" i="2"/>
  <c r="I407" i="6" s="1"/>
  <c r="X406" i="2"/>
  <c r="W406" i="2"/>
  <c r="V406" i="2"/>
  <c r="U406" i="2"/>
  <c r="Y406" i="6" s="1"/>
  <c r="F406" i="2"/>
  <c r="J406" i="6" s="1"/>
  <c r="G406" i="2"/>
  <c r="K406" i="6" s="1"/>
  <c r="H406" i="2"/>
  <c r="L406" i="6" s="1"/>
  <c r="I406" i="2"/>
  <c r="M406" i="6" s="1"/>
  <c r="J406" i="2"/>
  <c r="N406" i="6" s="1"/>
  <c r="K406" i="2"/>
  <c r="L406" i="2"/>
  <c r="P406" i="6" s="1"/>
  <c r="M406" i="2"/>
  <c r="Q406" i="6" s="1"/>
  <c r="N406" i="2"/>
  <c r="R406" i="6" s="1"/>
  <c r="O406" i="2"/>
  <c r="S406" i="6" s="1"/>
  <c r="Q406" i="2"/>
  <c r="U406" i="6" s="1"/>
  <c r="V406" i="6"/>
  <c r="W406" i="6"/>
  <c r="E406" i="2"/>
  <c r="I406" i="6" s="1"/>
  <c r="X405" i="2"/>
  <c r="AB405" i="6" s="1"/>
  <c r="W405" i="2"/>
  <c r="AA405" i="6" s="1"/>
  <c r="V405" i="2"/>
  <c r="Z405" i="6" s="1"/>
  <c r="U405" i="2"/>
  <c r="Y405" i="6" s="1"/>
  <c r="F405" i="2"/>
  <c r="J405" i="6" s="1"/>
  <c r="G405" i="2"/>
  <c r="K405" i="6" s="1"/>
  <c r="H405" i="2"/>
  <c r="L405" i="6" s="1"/>
  <c r="I405" i="2"/>
  <c r="M405" i="6" s="1"/>
  <c r="J405" i="2"/>
  <c r="N405" i="6" s="1"/>
  <c r="K405" i="2"/>
  <c r="O405" i="6" s="1"/>
  <c r="L405" i="2"/>
  <c r="P405" i="6" s="1"/>
  <c r="M405" i="2"/>
  <c r="Q405" i="6" s="1"/>
  <c r="N405" i="2"/>
  <c r="R405" i="6" s="1"/>
  <c r="O405" i="2"/>
  <c r="S405" i="6" s="1"/>
  <c r="Q405" i="2"/>
  <c r="U405" i="6" s="1"/>
  <c r="V405" i="6"/>
  <c r="W405" i="6"/>
  <c r="E405" i="2"/>
  <c r="I405" i="6" s="1"/>
  <c r="X404" i="2"/>
  <c r="AB404" i="6" s="1"/>
  <c r="W404" i="2"/>
  <c r="AA404" i="6" s="1"/>
  <c r="V404" i="2"/>
  <c r="Z404" i="6" s="1"/>
  <c r="U404" i="2"/>
  <c r="Y404" i="6" s="1"/>
  <c r="F404" i="2"/>
  <c r="J404" i="6" s="1"/>
  <c r="G404" i="2"/>
  <c r="K404" i="6" s="1"/>
  <c r="H404" i="2"/>
  <c r="L404" i="6" s="1"/>
  <c r="I404" i="2"/>
  <c r="M404" i="6" s="1"/>
  <c r="J404" i="2"/>
  <c r="N404" i="6" s="1"/>
  <c r="K404" i="2"/>
  <c r="O404" i="6" s="1"/>
  <c r="L404" i="2"/>
  <c r="P404" i="6" s="1"/>
  <c r="M404" i="2"/>
  <c r="N404" i="2"/>
  <c r="R404" i="6" s="1"/>
  <c r="O404" i="2"/>
  <c r="S404" i="6" s="1"/>
  <c r="Q404" i="2"/>
  <c r="U404" i="6" s="1"/>
  <c r="V404" i="6"/>
  <c r="W404" i="6"/>
  <c r="E404" i="2"/>
  <c r="I404" i="6" s="1"/>
  <c r="X403" i="2"/>
  <c r="AB403" i="6" s="1"/>
  <c r="W403" i="2"/>
  <c r="AA403" i="6" s="1"/>
  <c r="V403" i="2"/>
  <c r="U403" i="2"/>
  <c r="Y403" i="6" s="1"/>
  <c r="F403" i="2"/>
  <c r="J403" i="6" s="1"/>
  <c r="G403" i="2"/>
  <c r="K403" i="6" s="1"/>
  <c r="H403" i="2"/>
  <c r="L403" i="6" s="1"/>
  <c r="I403" i="2"/>
  <c r="J403" i="2"/>
  <c r="K403" i="2"/>
  <c r="O403" i="6" s="1"/>
  <c r="L403" i="2"/>
  <c r="P403" i="6" s="1"/>
  <c r="M403" i="2"/>
  <c r="Q403" i="6" s="1"/>
  <c r="N403" i="2"/>
  <c r="R403" i="6" s="1"/>
  <c r="O403" i="2"/>
  <c r="S403" i="6" s="1"/>
  <c r="Q403" i="2"/>
  <c r="U403" i="6" s="1"/>
  <c r="E403" i="2"/>
  <c r="I403" i="6" s="1"/>
  <c r="X402" i="2"/>
  <c r="AB402" i="6" s="1"/>
  <c r="W402" i="2"/>
  <c r="AA402" i="6" s="1"/>
  <c r="V402" i="2"/>
  <c r="Z402" i="6" s="1"/>
  <c r="U402" i="2"/>
  <c r="Y402" i="6" s="1"/>
  <c r="F402" i="2"/>
  <c r="J402" i="6" s="1"/>
  <c r="G402" i="2"/>
  <c r="H402" i="2"/>
  <c r="L402" i="6" s="1"/>
  <c r="I402" i="2"/>
  <c r="M402" i="6" s="1"/>
  <c r="J402" i="2"/>
  <c r="N402" i="6" s="1"/>
  <c r="K402" i="2"/>
  <c r="O402" i="6" s="1"/>
  <c r="L402" i="2"/>
  <c r="P402" i="6" s="1"/>
  <c r="M402" i="2"/>
  <c r="Q402" i="6" s="1"/>
  <c r="N402" i="2"/>
  <c r="R402" i="6" s="1"/>
  <c r="O402" i="2"/>
  <c r="Q402" i="2"/>
  <c r="U402" i="6" s="1"/>
  <c r="V402" i="6"/>
  <c r="W402" i="6"/>
  <c r="E402" i="2"/>
  <c r="I402" i="6" s="1"/>
  <c r="X401" i="2"/>
  <c r="AB401" i="6" s="1"/>
  <c r="W401" i="2"/>
  <c r="AA401" i="6" s="1"/>
  <c r="V401" i="2"/>
  <c r="Z401" i="6" s="1"/>
  <c r="U401" i="2"/>
  <c r="Y401" i="6" s="1"/>
  <c r="F401" i="2"/>
  <c r="J401" i="6" s="1"/>
  <c r="G401" i="2"/>
  <c r="K401" i="6" s="1"/>
  <c r="H401" i="2"/>
  <c r="L401" i="6" s="1"/>
  <c r="I401" i="2"/>
  <c r="M401" i="6" s="1"/>
  <c r="J401" i="2"/>
  <c r="N401" i="6" s="1"/>
  <c r="K401" i="2"/>
  <c r="O401" i="6" s="1"/>
  <c r="L401" i="2"/>
  <c r="P401" i="6" s="1"/>
  <c r="M401" i="2"/>
  <c r="Q401" i="6" s="1"/>
  <c r="N401" i="2"/>
  <c r="R401" i="6" s="1"/>
  <c r="O401" i="2"/>
  <c r="S401" i="6" s="1"/>
  <c r="Q401" i="2"/>
  <c r="U401" i="6" s="1"/>
  <c r="V401" i="6"/>
  <c r="W401" i="6"/>
  <c r="E401" i="2"/>
  <c r="I401" i="6" s="1"/>
  <c r="X400" i="2"/>
  <c r="AB400" i="6" s="1"/>
  <c r="W400" i="2"/>
  <c r="AA400" i="6" s="1"/>
  <c r="V400" i="2"/>
  <c r="Z400" i="6" s="1"/>
  <c r="U400" i="2"/>
  <c r="F400" i="2"/>
  <c r="J400" i="6" s="1"/>
  <c r="G400" i="2"/>
  <c r="K400" i="6" s="1"/>
  <c r="H400" i="2"/>
  <c r="L400" i="6" s="1"/>
  <c r="I400" i="2"/>
  <c r="J400" i="2"/>
  <c r="N400" i="6" s="1"/>
  <c r="K400" i="2"/>
  <c r="O400" i="6" s="1"/>
  <c r="L400" i="2"/>
  <c r="P400" i="6" s="1"/>
  <c r="M400" i="2"/>
  <c r="Q400" i="6" s="1"/>
  <c r="N400" i="2"/>
  <c r="R400" i="6" s="1"/>
  <c r="O400" i="2"/>
  <c r="S400" i="6" s="1"/>
  <c r="Q400" i="2"/>
  <c r="U400" i="6" s="1"/>
  <c r="W400" i="6"/>
  <c r="E400" i="2"/>
  <c r="I400" i="6" s="1"/>
  <c r="X399" i="2"/>
  <c r="AB399" i="6" s="1"/>
  <c r="W399" i="2"/>
  <c r="AA399" i="6" s="1"/>
  <c r="V399" i="2"/>
  <c r="Z399" i="6" s="1"/>
  <c r="U399" i="2"/>
  <c r="Y399" i="6" s="1"/>
  <c r="F399" i="2"/>
  <c r="G399" i="2"/>
  <c r="K399" i="6" s="1"/>
  <c r="H399" i="2"/>
  <c r="L399" i="6" s="1"/>
  <c r="I399" i="2"/>
  <c r="M399" i="6" s="1"/>
  <c r="J399" i="2"/>
  <c r="N399" i="6" s="1"/>
  <c r="K399" i="2"/>
  <c r="O399" i="6" s="1"/>
  <c r="L399" i="2"/>
  <c r="P399" i="6" s="1"/>
  <c r="M399" i="2"/>
  <c r="Q399" i="6" s="1"/>
  <c r="N399" i="2"/>
  <c r="R399" i="6" s="1"/>
  <c r="O399" i="2"/>
  <c r="S399" i="6" s="1"/>
  <c r="Q399" i="2"/>
  <c r="U399" i="6" s="1"/>
  <c r="V399" i="6"/>
  <c r="W399" i="6"/>
  <c r="E399" i="2"/>
  <c r="I399" i="6" s="1"/>
  <c r="X398" i="2"/>
  <c r="AB398" i="6" s="1"/>
  <c r="W398" i="2"/>
  <c r="AA398" i="6" s="1"/>
  <c r="V398" i="2"/>
  <c r="Z398" i="6" s="1"/>
  <c r="U398" i="2"/>
  <c r="F398" i="2"/>
  <c r="J398" i="6" s="1"/>
  <c r="G398" i="2"/>
  <c r="K398" i="6" s="1"/>
  <c r="H398" i="2"/>
  <c r="L398" i="6" s="1"/>
  <c r="I398" i="2"/>
  <c r="M398" i="6" s="1"/>
  <c r="J398" i="2"/>
  <c r="K398" i="2"/>
  <c r="O398" i="6" s="1"/>
  <c r="L398" i="2"/>
  <c r="P398" i="6" s="1"/>
  <c r="M398" i="2"/>
  <c r="Q398" i="6" s="1"/>
  <c r="N398" i="2"/>
  <c r="R398" i="6" s="1"/>
  <c r="O398" i="2"/>
  <c r="S398" i="6" s="1"/>
  <c r="Q398" i="2"/>
  <c r="U398" i="6" s="1"/>
  <c r="V398" i="6"/>
  <c r="W398" i="6"/>
  <c r="E398" i="2"/>
  <c r="I398" i="6" s="1"/>
  <c r="X397" i="2"/>
  <c r="AB397" i="6" s="1"/>
  <c r="W397" i="2"/>
  <c r="V397" i="2"/>
  <c r="U397" i="2"/>
  <c r="Y397" i="6" s="1"/>
  <c r="F397" i="2"/>
  <c r="G397" i="2"/>
  <c r="H397" i="2"/>
  <c r="I397" i="2"/>
  <c r="M397" i="6" s="1"/>
  <c r="J397" i="2"/>
  <c r="K397" i="2"/>
  <c r="O397" i="6" s="1"/>
  <c r="L397" i="2"/>
  <c r="P397" i="6" s="1"/>
  <c r="M397" i="2"/>
  <c r="Q397" i="6" s="1"/>
  <c r="N397" i="2"/>
  <c r="O397" i="2"/>
  <c r="Q397" i="2"/>
  <c r="U397" i="6" s="1"/>
  <c r="V397" i="6"/>
  <c r="E397" i="2"/>
  <c r="X396" i="2"/>
  <c r="AB396" i="6" s="1"/>
  <c r="W396" i="2"/>
  <c r="AA396" i="6" s="1"/>
  <c r="V396" i="2"/>
  <c r="Z396" i="6" s="1"/>
  <c r="U396" i="2"/>
  <c r="Y396" i="6" s="1"/>
  <c r="F396" i="2"/>
  <c r="J396" i="6" s="1"/>
  <c r="G396" i="2"/>
  <c r="K396" i="6" s="1"/>
  <c r="H396" i="2"/>
  <c r="L396" i="6" s="1"/>
  <c r="I396" i="2"/>
  <c r="M396" i="6" s="1"/>
  <c r="J396" i="2"/>
  <c r="N396" i="6" s="1"/>
  <c r="K396" i="2"/>
  <c r="O396" i="6" s="1"/>
  <c r="L396" i="2"/>
  <c r="P396" i="6" s="1"/>
  <c r="M396" i="2"/>
  <c r="Q396" i="6" s="1"/>
  <c r="N396" i="2"/>
  <c r="R396" i="6" s="1"/>
  <c r="O396" i="2"/>
  <c r="S396" i="6" s="1"/>
  <c r="Q396" i="2"/>
  <c r="U396" i="6" s="1"/>
  <c r="V396" i="6"/>
  <c r="W396" i="6"/>
  <c r="E396" i="2"/>
  <c r="I396" i="6" s="1"/>
  <c r="X395" i="2"/>
  <c r="AB395" i="6" s="1"/>
  <c r="W395" i="2"/>
  <c r="AA395" i="6" s="1"/>
  <c r="V395" i="2"/>
  <c r="Z395" i="6" s="1"/>
  <c r="U395" i="2"/>
  <c r="Y395" i="6" s="1"/>
  <c r="F395" i="2"/>
  <c r="J395" i="6" s="1"/>
  <c r="G395" i="2"/>
  <c r="K395" i="6" s="1"/>
  <c r="H395" i="2"/>
  <c r="L395" i="6" s="1"/>
  <c r="I395" i="2"/>
  <c r="M395" i="6" s="1"/>
  <c r="J395" i="2"/>
  <c r="K395" i="2"/>
  <c r="O395" i="6" s="1"/>
  <c r="L395" i="2"/>
  <c r="P395" i="6" s="1"/>
  <c r="M395" i="2"/>
  <c r="Q395" i="6" s="1"/>
  <c r="N395" i="2"/>
  <c r="R395" i="6" s="1"/>
  <c r="O395" i="2"/>
  <c r="S395" i="6" s="1"/>
  <c r="Q395" i="2"/>
  <c r="U395" i="6" s="1"/>
  <c r="V395" i="6"/>
  <c r="E395" i="2"/>
  <c r="I395" i="6" s="1"/>
  <c r="X394" i="2"/>
  <c r="AB394" i="6" s="1"/>
  <c r="W394" i="2"/>
  <c r="AA394" i="6" s="1"/>
  <c r="V394" i="2"/>
  <c r="Z394" i="6" s="1"/>
  <c r="U394" i="2"/>
  <c r="Y394" i="6" s="1"/>
  <c r="F394" i="2"/>
  <c r="J394" i="6" s="1"/>
  <c r="G394" i="2"/>
  <c r="H394" i="2"/>
  <c r="L394" i="6" s="1"/>
  <c r="I394" i="2"/>
  <c r="M394" i="6" s="1"/>
  <c r="J394" i="2"/>
  <c r="N394" i="6" s="1"/>
  <c r="K394" i="2"/>
  <c r="O394" i="6" s="1"/>
  <c r="L394" i="2"/>
  <c r="P394" i="6" s="1"/>
  <c r="M394" i="2"/>
  <c r="Q394" i="6" s="1"/>
  <c r="N394" i="2"/>
  <c r="R394" i="6" s="1"/>
  <c r="O394" i="2"/>
  <c r="Q394" i="2"/>
  <c r="U394" i="6" s="1"/>
  <c r="V394" i="6"/>
  <c r="W394" i="6"/>
  <c r="E394" i="2"/>
  <c r="I394" i="6" s="1"/>
  <c r="X393" i="2"/>
  <c r="AB393" i="6" s="1"/>
  <c r="W393" i="2"/>
  <c r="AA393" i="6" s="1"/>
  <c r="V393" i="2"/>
  <c r="Z393" i="6" s="1"/>
  <c r="U393" i="2"/>
  <c r="F393" i="2"/>
  <c r="J393" i="6" s="1"/>
  <c r="G393" i="2"/>
  <c r="K393" i="6" s="1"/>
  <c r="H393" i="2"/>
  <c r="L393" i="6" s="1"/>
  <c r="I393" i="2"/>
  <c r="M393" i="6" s="1"/>
  <c r="J393" i="2"/>
  <c r="N393" i="6" s="1"/>
  <c r="K393" i="2"/>
  <c r="L393" i="2"/>
  <c r="M393" i="2"/>
  <c r="Q393" i="6" s="1"/>
  <c r="N393" i="2"/>
  <c r="R393" i="6" s="1"/>
  <c r="O393" i="2"/>
  <c r="S393" i="6" s="1"/>
  <c r="Q393" i="2"/>
  <c r="U393" i="6" s="1"/>
  <c r="V393" i="6"/>
  <c r="W393" i="6"/>
  <c r="E393" i="2"/>
  <c r="I393" i="6" s="1"/>
  <c r="X392" i="2"/>
  <c r="AB392" i="6" s="1"/>
  <c r="W392" i="2"/>
  <c r="AA392" i="6" s="1"/>
  <c r="V392" i="2"/>
  <c r="Z392" i="6" s="1"/>
  <c r="U392" i="2"/>
  <c r="Y392" i="6" s="1"/>
  <c r="F392" i="2"/>
  <c r="J392" i="6" s="1"/>
  <c r="G392" i="2"/>
  <c r="K392" i="6" s="1"/>
  <c r="H392" i="2"/>
  <c r="L392" i="6" s="1"/>
  <c r="I392" i="2"/>
  <c r="J392" i="2"/>
  <c r="N392" i="6" s="1"/>
  <c r="K392" i="2"/>
  <c r="O392" i="6" s="1"/>
  <c r="L392" i="2"/>
  <c r="P392" i="6" s="1"/>
  <c r="M392" i="2"/>
  <c r="Q392" i="6" s="1"/>
  <c r="N392" i="2"/>
  <c r="R392" i="6" s="1"/>
  <c r="O392" i="2"/>
  <c r="S392" i="6" s="1"/>
  <c r="Q392" i="2"/>
  <c r="U392" i="6" s="1"/>
  <c r="V392" i="6"/>
  <c r="W392" i="6"/>
  <c r="E392" i="2"/>
  <c r="I392" i="6" s="1"/>
  <c r="X391" i="2"/>
  <c r="AB391" i="6" s="1"/>
  <c r="W391" i="2"/>
  <c r="V391" i="2"/>
  <c r="U391" i="2"/>
  <c r="Y391" i="6" s="1"/>
  <c r="F391" i="2"/>
  <c r="J391" i="6" s="1"/>
  <c r="G391" i="2"/>
  <c r="K391" i="6" s="1"/>
  <c r="H391" i="2"/>
  <c r="I391" i="2"/>
  <c r="M391" i="6" s="1"/>
  <c r="J391" i="2"/>
  <c r="N391" i="6" s="1"/>
  <c r="K391" i="2"/>
  <c r="O391" i="6" s="1"/>
  <c r="L391" i="2"/>
  <c r="M391" i="2"/>
  <c r="N391" i="2"/>
  <c r="O391" i="2"/>
  <c r="S391" i="6" s="1"/>
  <c r="Q391" i="2"/>
  <c r="V391" i="6"/>
  <c r="W391" i="6"/>
  <c r="E391" i="2"/>
  <c r="X390" i="2"/>
  <c r="AB390" i="6" s="1"/>
  <c r="W390" i="2"/>
  <c r="AA390" i="6" s="1"/>
  <c r="V390" i="2"/>
  <c r="Z390" i="6" s="1"/>
  <c r="U390" i="2"/>
  <c r="Y390" i="6" s="1"/>
  <c r="F390" i="2"/>
  <c r="J390" i="6" s="1"/>
  <c r="G390" i="2"/>
  <c r="K390" i="6" s="1"/>
  <c r="H390" i="2"/>
  <c r="L390" i="6" s="1"/>
  <c r="I390" i="2"/>
  <c r="M390" i="6" s="1"/>
  <c r="J390" i="2"/>
  <c r="N390" i="6" s="1"/>
  <c r="K390" i="2"/>
  <c r="O390" i="6" s="1"/>
  <c r="L390" i="2"/>
  <c r="P390" i="6" s="1"/>
  <c r="M390" i="2"/>
  <c r="Q390" i="6" s="1"/>
  <c r="N390" i="2"/>
  <c r="R390" i="6" s="1"/>
  <c r="O390" i="2"/>
  <c r="S390" i="6" s="1"/>
  <c r="Q390" i="2"/>
  <c r="U390" i="6" s="1"/>
  <c r="V390" i="6"/>
  <c r="W390" i="6"/>
  <c r="E390" i="2"/>
  <c r="I390" i="6" s="1"/>
  <c r="X389" i="2"/>
  <c r="AB389" i="6" s="1"/>
  <c r="W389" i="2"/>
  <c r="AA389" i="6" s="1"/>
  <c r="V389" i="2"/>
  <c r="Z389" i="6" s="1"/>
  <c r="U389" i="2"/>
  <c r="Y389" i="6" s="1"/>
  <c r="F389" i="2"/>
  <c r="J389" i="6" s="1"/>
  <c r="G389" i="2"/>
  <c r="K389" i="6" s="1"/>
  <c r="H389" i="2"/>
  <c r="I389" i="2"/>
  <c r="M389" i="6" s="1"/>
  <c r="J389" i="2"/>
  <c r="N389" i="6" s="1"/>
  <c r="K389" i="2"/>
  <c r="O389" i="6" s="1"/>
  <c r="L389" i="2"/>
  <c r="P389" i="6" s="1"/>
  <c r="M389" i="2"/>
  <c r="Q389" i="6" s="1"/>
  <c r="N389" i="2"/>
  <c r="R389" i="6" s="1"/>
  <c r="O389" i="2"/>
  <c r="S389" i="6" s="1"/>
  <c r="Q389" i="2"/>
  <c r="V389" i="6"/>
  <c r="W389" i="6"/>
  <c r="E389" i="2"/>
  <c r="I389" i="6" s="1"/>
  <c r="X388" i="2"/>
  <c r="AB388" i="6" s="1"/>
  <c r="W388" i="2"/>
  <c r="AA388" i="6" s="1"/>
  <c r="V388" i="2"/>
  <c r="U388" i="2"/>
  <c r="Y388" i="6" s="1"/>
  <c r="F388" i="2"/>
  <c r="J388" i="6" s="1"/>
  <c r="G388" i="2"/>
  <c r="K388" i="6" s="1"/>
  <c r="H388" i="2"/>
  <c r="L388" i="6" s="1"/>
  <c r="I388" i="2"/>
  <c r="M388" i="6" s="1"/>
  <c r="J388" i="2"/>
  <c r="N388" i="6" s="1"/>
  <c r="K388" i="2"/>
  <c r="O388" i="6" s="1"/>
  <c r="L388" i="2"/>
  <c r="M388" i="2"/>
  <c r="Q388" i="6" s="1"/>
  <c r="N388" i="2"/>
  <c r="R388" i="6" s="1"/>
  <c r="O388" i="2"/>
  <c r="S388" i="6" s="1"/>
  <c r="Q388" i="2"/>
  <c r="U388" i="6" s="1"/>
  <c r="V388" i="6"/>
  <c r="W388" i="6"/>
  <c r="E388" i="2"/>
  <c r="I388" i="6" s="1"/>
  <c r="X387" i="2"/>
  <c r="AB387" i="6" s="1"/>
  <c r="W387" i="2"/>
  <c r="AA387" i="6" s="1"/>
  <c r="V387" i="2"/>
  <c r="Z387" i="6" s="1"/>
  <c r="U387" i="2"/>
  <c r="Y387" i="6" s="1"/>
  <c r="F387" i="2"/>
  <c r="J387" i="6" s="1"/>
  <c r="G387" i="2"/>
  <c r="K387" i="6" s="1"/>
  <c r="H387" i="2"/>
  <c r="L387" i="6" s="1"/>
  <c r="I387" i="2"/>
  <c r="J387" i="2"/>
  <c r="K387" i="2"/>
  <c r="O387" i="6" s="1"/>
  <c r="L387" i="2"/>
  <c r="M387" i="2"/>
  <c r="Q387" i="6" s="1"/>
  <c r="N387" i="2"/>
  <c r="R387" i="6" s="1"/>
  <c r="O387" i="2"/>
  <c r="S387" i="6" s="1"/>
  <c r="Q387" i="2"/>
  <c r="U387" i="6" s="1"/>
  <c r="W387" i="6"/>
  <c r="E387" i="2"/>
  <c r="I387" i="6" s="1"/>
  <c r="X386" i="2"/>
  <c r="AB386" i="6" s="1"/>
  <c r="W386" i="2"/>
  <c r="AA386" i="6" s="1"/>
  <c r="V386" i="2"/>
  <c r="Z386" i="6" s="1"/>
  <c r="U386" i="2"/>
  <c r="Y386" i="6" s="1"/>
  <c r="F386" i="2"/>
  <c r="J386" i="6" s="1"/>
  <c r="G386" i="2"/>
  <c r="H386" i="2"/>
  <c r="L386" i="6" s="1"/>
  <c r="I386" i="2"/>
  <c r="M386" i="6" s="1"/>
  <c r="J386" i="2"/>
  <c r="N386" i="6" s="1"/>
  <c r="K386" i="2"/>
  <c r="O386" i="6" s="1"/>
  <c r="L386" i="2"/>
  <c r="P386" i="6" s="1"/>
  <c r="M386" i="2"/>
  <c r="Q386" i="6" s="1"/>
  <c r="N386" i="2"/>
  <c r="R386" i="6" s="1"/>
  <c r="O386" i="2"/>
  <c r="Q386" i="2"/>
  <c r="U386" i="6" s="1"/>
  <c r="V386" i="6"/>
  <c r="W386" i="6"/>
  <c r="E386" i="2"/>
  <c r="I386" i="6" s="1"/>
  <c r="X385" i="2"/>
  <c r="AB385" i="6" s="1"/>
  <c r="W385" i="2"/>
  <c r="AA385" i="6" s="1"/>
  <c r="V385" i="2"/>
  <c r="Z385" i="6" s="1"/>
  <c r="U385" i="2"/>
  <c r="F385" i="2"/>
  <c r="J385" i="6" s="1"/>
  <c r="G385" i="2"/>
  <c r="K385" i="6" s="1"/>
  <c r="H385" i="2"/>
  <c r="L385" i="6" s="1"/>
  <c r="I385" i="2"/>
  <c r="M385" i="6" s="1"/>
  <c r="J385" i="2"/>
  <c r="N385" i="6" s="1"/>
  <c r="K385" i="2"/>
  <c r="O385" i="6" s="1"/>
  <c r="L385" i="2"/>
  <c r="P385" i="6" s="1"/>
  <c r="M385" i="2"/>
  <c r="Q385" i="6" s="1"/>
  <c r="N385" i="2"/>
  <c r="R385" i="6" s="1"/>
  <c r="O385" i="2"/>
  <c r="S385" i="6" s="1"/>
  <c r="Q385" i="2"/>
  <c r="U385" i="6" s="1"/>
  <c r="V385" i="6"/>
  <c r="W385" i="6"/>
  <c r="E385" i="2"/>
  <c r="I385" i="6" s="1"/>
  <c r="X384" i="2"/>
  <c r="AB384" i="6" s="1"/>
  <c r="W384" i="2"/>
  <c r="AA384" i="6" s="1"/>
  <c r="V384" i="2"/>
  <c r="Z384" i="6" s="1"/>
  <c r="U384" i="2"/>
  <c r="Y384" i="6" s="1"/>
  <c r="F384" i="2"/>
  <c r="J384" i="6" s="1"/>
  <c r="G384" i="2"/>
  <c r="K384" i="6" s="1"/>
  <c r="H384" i="2"/>
  <c r="L384" i="6" s="1"/>
  <c r="I384" i="2"/>
  <c r="M384" i="6" s="1"/>
  <c r="J384" i="2"/>
  <c r="N384" i="6" s="1"/>
  <c r="K384" i="2"/>
  <c r="O384" i="6" s="1"/>
  <c r="L384" i="2"/>
  <c r="P384" i="6" s="1"/>
  <c r="M384" i="2"/>
  <c r="Q384" i="6" s="1"/>
  <c r="N384" i="2"/>
  <c r="R384" i="6" s="1"/>
  <c r="O384" i="2"/>
  <c r="S384" i="6" s="1"/>
  <c r="Q384" i="2"/>
  <c r="U384" i="6" s="1"/>
  <c r="W384" i="6"/>
  <c r="E384" i="2"/>
  <c r="I384" i="6" s="1"/>
  <c r="X383" i="2"/>
  <c r="AB383" i="6" s="1"/>
  <c r="W383" i="2"/>
  <c r="V383" i="2"/>
  <c r="U383" i="2"/>
  <c r="Y383" i="6" s="1"/>
  <c r="F383" i="2"/>
  <c r="J383" i="6" s="1"/>
  <c r="G383" i="2"/>
  <c r="K383" i="6" s="1"/>
  <c r="H383" i="2"/>
  <c r="L383" i="6" s="1"/>
  <c r="I383" i="2"/>
  <c r="M383" i="6" s="1"/>
  <c r="J383" i="2"/>
  <c r="N383" i="6" s="1"/>
  <c r="K383" i="2"/>
  <c r="O383" i="6" s="1"/>
  <c r="L383" i="2"/>
  <c r="P383" i="6" s="1"/>
  <c r="M383" i="2"/>
  <c r="Q383" i="6" s="1"/>
  <c r="N383" i="2"/>
  <c r="R383" i="6" s="1"/>
  <c r="O383" i="2"/>
  <c r="S383" i="6" s="1"/>
  <c r="Q383" i="2"/>
  <c r="V383" i="6"/>
  <c r="W383" i="6"/>
  <c r="E383" i="2"/>
  <c r="I383" i="6" s="1"/>
  <c r="X382" i="2"/>
  <c r="AB382" i="6" s="1"/>
  <c r="W382" i="2"/>
  <c r="AA382" i="6" s="1"/>
  <c r="V382" i="2"/>
  <c r="Z382" i="6" s="1"/>
  <c r="U382" i="2"/>
  <c r="Y382" i="6" s="1"/>
  <c r="F382" i="2"/>
  <c r="J382" i="6" s="1"/>
  <c r="G382" i="2"/>
  <c r="K382" i="6" s="1"/>
  <c r="H382" i="2"/>
  <c r="L382" i="6" s="1"/>
  <c r="I382" i="2"/>
  <c r="M382" i="6" s="1"/>
  <c r="J382" i="2"/>
  <c r="N382" i="6" s="1"/>
  <c r="K382" i="2"/>
  <c r="O382" i="6" s="1"/>
  <c r="L382" i="2"/>
  <c r="P382" i="6" s="1"/>
  <c r="M382" i="2"/>
  <c r="Q382" i="6" s="1"/>
  <c r="N382" i="2"/>
  <c r="R382" i="6" s="1"/>
  <c r="O382" i="2"/>
  <c r="S382" i="6" s="1"/>
  <c r="Q382" i="2"/>
  <c r="U382" i="6" s="1"/>
  <c r="V382" i="6"/>
  <c r="W382" i="6"/>
  <c r="E382" i="2"/>
  <c r="X381" i="2"/>
  <c r="AB381" i="6" s="1"/>
  <c r="W381" i="2"/>
  <c r="AA381" i="6" s="1"/>
  <c r="V381" i="2"/>
  <c r="Z381" i="6" s="1"/>
  <c r="U381" i="2"/>
  <c r="Y381" i="6" s="1"/>
  <c r="F381" i="2"/>
  <c r="J381" i="6" s="1"/>
  <c r="G381" i="2"/>
  <c r="K381" i="6" s="1"/>
  <c r="H381" i="2"/>
  <c r="I381" i="2"/>
  <c r="M381" i="6" s="1"/>
  <c r="J381" i="2"/>
  <c r="N381" i="6" s="1"/>
  <c r="K381" i="2"/>
  <c r="O381" i="6" s="1"/>
  <c r="L381" i="2"/>
  <c r="P381" i="6" s="1"/>
  <c r="M381" i="2"/>
  <c r="Q381" i="6" s="1"/>
  <c r="N381" i="2"/>
  <c r="R381" i="6" s="1"/>
  <c r="O381" i="2"/>
  <c r="S381" i="6" s="1"/>
  <c r="Q381" i="2"/>
  <c r="V381" i="6"/>
  <c r="W381" i="6"/>
  <c r="E381" i="2"/>
  <c r="I381" i="6" s="1"/>
  <c r="X380" i="2"/>
  <c r="AB380" i="6" s="1"/>
  <c r="W380" i="2"/>
  <c r="V380" i="2"/>
  <c r="Z380" i="6" s="1"/>
  <c r="U380" i="2"/>
  <c r="Y380" i="6" s="1"/>
  <c r="F380" i="2"/>
  <c r="J380" i="6" s="1"/>
  <c r="G380" i="2"/>
  <c r="K380" i="6" s="1"/>
  <c r="H380" i="2"/>
  <c r="L380" i="6" s="1"/>
  <c r="I380" i="2"/>
  <c r="J380" i="2"/>
  <c r="N380" i="6" s="1"/>
  <c r="K380" i="2"/>
  <c r="L380" i="2"/>
  <c r="P380" i="6" s="1"/>
  <c r="M380" i="2"/>
  <c r="N380" i="2"/>
  <c r="R380" i="6" s="1"/>
  <c r="O380" i="2"/>
  <c r="S380" i="6" s="1"/>
  <c r="Q380" i="2"/>
  <c r="U380" i="6" s="1"/>
  <c r="V380" i="6"/>
  <c r="W380" i="6"/>
  <c r="E380" i="2"/>
  <c r="I380" i="6" s="1"/>
  <c r="X379" i="2"/>
  <c r="W379" i="2"/>
  <c r="AA379" i="6" s="1"/>
  <c r="V379" i="2"/>
  <c r="U379" i="2"/>
  <c r="Y379" i="6" s="1"/>
  <c r="F379" i="2"/>
  <c r="J379" i="6" s="1"/>
  <c r="G379" i="2"/>
  <c r="K379" i="6" s="1"/>
  <c r="H379" i="2"/>
  <c r="L379" i="6" s="1"/>
  <c r="I379" i="2"/>
  <c r="M379" i="6" s="1"/>
  <c r="J379" i="2"/>
  <c r="K379" i="2"/>
  <c r="L379" i="2"/>
  <c r="P379" i="6" s="1"/>
  <c r="M379" i="2"/>
  <c r="Q379" i="6" s="1"/>
  <c r="N379" i="2"/>
  <c r="O379" i="2"/>
  <c r="S379" i="6" s="1"/>
  <c r="Q379" i="2"/>
  <c r="U379" i="6" s="1"/>
  <c r="V379" i="6"/>
  <c r="W379" i="6"/>
  <c r="E379" i="2"/>
  <c r="I379" i="6" s="1"/>
  <c r="X378" i="2"/>
  <c r="AB378" i="6" s="1"/>
  <c r="W378" i="2"/>
  <c r="AA378" i="6" s="1"/>
  <c r="V378" i="2"/>
  <c r="Z378" i="6" s="1"/>
  <c r="U378" i="2"/>
  <c r="Y378" i="6" s="1"/>
  <c r="F378" i="2"/>
  <c r="J378" i="6" s="1"/>
  <c r="G378" i="2"/>
  <c r="K378" i="6" s="1"/>
  <c r="H378" i="2"/>
  <c r="L378" i="6" s="1"/>
  <c r="I378" i="2"/>
  <c r="M378" i="6" s="1"/>
  <c r="J378" i="2"/>
  <c r="N378" i="6" s="1"/>
  <c r="K378" i="2"/>
  <c r="O378" i="6" s="1"/>
  <c r="L378" i="2"/>
  <c r="P378" i="6" s="1"/>
  <c r="M378" i="2"/>
  <c r="Q378" i="6" s="1"/>
  <c r="N378" i="2"/>
  <c r="R378" i="6" s="1"/>
  <c r="O378" i="2"/>
  <c r="Q378" i="2"/>
  <c r="U378" i="6" s="1"/>
  <c r="V378" i="6"/>
  <c r="W378" i="6"/>
  <c r="E378" i="2"/>
  <c r="I378" i="6" s="1"/>
  <c r="X377" i="2"/>
  <c r="AB377" i="6" s="1"/>
  <c r="W377" i="2"/>
  <c r="AA377" i="6" s="1"/>
  <c r="V377" i="2"/>
  <c r="Z377" i="6" s="1"/>
  <c r="U377" i="2"/>
  <c r="Y377" i="6" s="1"/>
  <c r="F377" i="2"/>
  <c r="J377" i="6" s="1"/>
  <c r="G377" i="2"/>
  <c r="K377" i="6" s="1"/>
  <c r="H377" i="2"/>
  <c r="L377" i="6" s="1"/>
  <c r="I377" i="2"/>
  <c r="M377" i="6" s="1"/>
  <c r="J377" i="2"/>
  <c r="N377" i="6" s="1"/>
  <c r="K377" i="2"/>
  <c r="O377" i="6" s="1"/>
  <c r="L377" i="2"/>
  <c r="P377" i="6" s="1"/>
  <c r="M377" i="2"/>
  <c r="Q377" i="6" s="1"/>
  <c r="N377" i="2"/>
  <c r="R377" i="6" s="1"/>
  <c r="O377" i="2"/>
  <c r="S377" i="6" s="1"/>
  <c r="Q377" i="2"/>
  <c r="U377" i="6" s="1"/>
  <c r="V377" i="6"/>
  <c r="W377" i="6"/>
  <c r="E377" i="2"/>
  <c r="I377" i="6" s="1"/>
  <c r="X376" i="2"/>
  <c r="AB376" i="6" s="1"/>
  <c r="W376" i="2"/>
  <c r="AA376" i="6" s="1"/>
  <c r="V376" i="2"/>
  <c r="Z376" i="6" s="1"/>
  <c r="U376" i="2"/>
  <c r="Y376" i="6" s="1"/>
  <c r="F376" i="2"/>
  <c r="J376" i="6" s="1"/>
  <c r="G376" i="2"/>
  <c r="K376" i="6" s="1"/>
  <c r="H376" i="2"/>
  <c r="L376" i="6" s="1"/>
  <c r="I376" i="2"/>
  <c r="M376" i="6" s="1"/>
  <c r="J376" i="2"/>
  <c r="N376" i="6" s="1"/>
  <c r="K376" i="2"/>
  <c r="O376" i="6" s="1"/>
  <c r="L376" i="2"/>
  <c r="P376" i="6" s="1"/>
  <c r="M376" i="2"/>
  <c r="Q376" i="6" s="1"/>
  <c r="N376" i="2"/>
  <c r="R376" i="6" s="1"/>
  <c r="O376" i="2"/>
  <c r="S376" i="6" s="1"/>
  <c r="Q376" i="2"/>
  <c r="U376" i="6" s="1"/>
  <c r="V376" i="6"/>
  <c r="W376" i="6"/>
  <c r="E376" i="2"/>
  <c r="I376" i="6" s="1"/>
  <c r="X375" i="2"/>
  <c r="AB375" i="6" s="1"/>
  <c r="W375" i="2"/>
  <c r="AA375" i="6" s="1"/>
  <c r="V375" i="2"/>
  <c r="Z375" i="6" s="1"/>
  <c r="U375" i="2"/>
  <c r="Y375" i="6" s="1"/>
  <c r="F375" i="2"/>
  <c r="J375" i="6" s="1"/>
  <c r="G375" i="2"/>
  <c r="K375" i="6" s="1"/>
  <c r="H375" i="2"/>
  <c r="L375" i="6" s="1"/>
  <c r="I375" i="2"/>
  <c r="M375" i="6" s="1"/>
  <c r="J375" i="2"/>
  <c r="N375" i="6" s="1"/>
  <c r="K375" i="2"/>
  <c r="O375" i="6" s="1"/>
  <c r="L375" i="2"/>
  <c r="P375" i="6" s="1"/>
  <c r="M375" i="2"/>
  <c r="Q375" i="6" s="1"/>
  <c r="N375" i="2"/>
  <c r="R375" i="6" s="1"/>
  <c r="O375" i="2"/>
  <c r="S375" i="6" s="1"/>
  <c r="Q375" i="2"/>
  <c r="U375" i="6" s="1"/>
  <c r="V375" i="6"/>
  <c r="W375" i="6"/>
  <c r="E375" i="2"/>
  <c r="I375" i="6" s="1"/>
  <c r="X374" i="2"/>
  <c r="AB374" i="6" s="1"/>
  <c r="W374" i="2"/>
  <c r="AA374" i="6" s="1"/>
  <c r="V374" i="2"/>
  <c r="Z374" i="6" s="1"/>
  <c r="U374" i="2"/>
  <c r="Y374" i="6" s="1"/>
  <c r="F374" i="2"/>
  <c r="J374" i="6" s="1"/>
  <c r="G374" i="2"/>
  <c r="K374" i="6" s="1"/>
  <c r="H374" i="2"/>
  <c r="L374" i="6" s="1"/>
  <c r="I374" i="2"/>
  <c r="M374" i="6" s="1"/>
  <c r="J374" i="2"/>
  <c r="N374" i="6" s="1"/>
  <c r="K374" i="2"/>
  <c r="O374" i="6" s="1"/>
  <c r="L374" i="2"/>
  <c r="P374" i="6" s="1"/>
  <c r="M374" i="2"/>
  <c r="Q374" i="6" s="1"/>
  <c r="N374" i="2"/>
  <c r="R374" i="6" s="1"/>
  <c r="O374" i="2"/>
  <c r="S374" i="6" s="1"/>
  <c r="Q374" i="2"/>
  <c r="U374" i="6" s="1"/>
  <c r="V374" i="6"/>
  <c r="W374" i="6"/>
  <c r="E374" i="2"/>
  <c r="I374" i="6" s="1"/>
  <c r="X373" i="2"/>
  <c r="AB373" i="6" s="1"/>
  <c r="W373" i="2"/>
  <c r="AA373" i="6" s="1"/>
  <c r="V373" i="2"/>
  <c r="Z373" i="6" s="1"/>
  <c r="U373" i="2"/>
  <c r="Y373" i="6" s="1"/>
  <c r="F373" i="2"/>
  <c r="J373" i="6" s="1"/>
  <c r="G373" i="2"/>
  <c r="K373" i="6" s="1"/>
  <c r="H373" i="2"/>
  <c r="L373" i="6" s="1"/>
  <c r="I373" i="2"/>
  <c r="M373" i="6" s="1"/>
  <c r="J373" i="2"/>
  <c r="N373" i="6" s="1"/>
  <c r="K373" i="2"/>
  <c r="O373" i="6" s="1"/>
  <c r="L373" i="2"/>
  <c r="P373" i="6" s="1"/>
  <c r="M373" i="2"/>
  <c r="Q373" i="6" s="1"/>
  <c r="N373" i="2"/>
  <c r="R373" i="6" s="1"/>
  <c r="O373" i="2"/>
  <c r="S373" i="6" s="1"/>
  <c r="Q373" i="2"/>
  <c r="U373" i="6" s="1"/>
  <c r="V373" i="6"/>
  <c r="W373" i="6"/>
  <c r="E373" i="2"/>
  <c r="I373" i="6" s="1"/>
  <c r="X372" i="2"/>
  <c r="AB372" i="6" s="1"/>
  <c r="W372" i="2"/>
  <c r="AA372" i="6" s="1"/>
  <c r="V372" i="2"/>
  <c r="Z372" i="6" s="1"/>
  <c r="U372" i="2"/>
  <c r="Y372" i="6" s="1"/>
  <c r="F372" i="2"/>
  <c r="J372" i="6" s="1"/>
  <c r="G372" i="2"/>
  <c r="K372" i="6" s="1"/>
  <c r="H372" i="2"/>
  <c r="L372" i="6" s="1"/>
  <c r="I372" i="2"/>
  <c r="M372" i="6" s="1"/>
  <c r="J372" i="2"/>
  <c r="N372" i="6" s="1"/>
  <c r="K372" i="2"/>
  <c r="O372" i="6" s="1"/>
  <c r="L372" i="2"/>
  <c r="P372" i="6" s="1"/>
  <c r="M372" i="2"/>
  <c r="Q372" i="6" s="1"/>
  <c r="N372" i="2"/>
  <c r="R372" i="6" s="1"/>
  <c r="O372" i="2"/>
  <c r="S372" i="6" s="1"/>
  <c r="Q372" i="2"/>
  <c r="U372" i="6" s="1"/>
  <c r="V372" i="6"/>
  <c r="W372" i="6"/>
  <c r="E372" i="2"/>
  <c r="I372" i="6" s="1"/>
  <c r="X371" i="2"/>
  <c r="AB371" i="6" s="1"/>
  <c r="W371" i="2"/>
  <c r="AA371" i="6" s="1"/>
  <c r="V371" i="2"/>
  <c r="Z371" i="6" s="1"/>
  <c r="U371" i="2"/>
  <c r="Y371" i="6" s="1"/>
  <c r="F371" i="2"/>
  <c r="J371" i="6" s="1"/>
  <c r="G371" i="2"/>
  <c r="K371" i="6" s="1"/>
  <c r="H371" i="2"/>
  <c r="L371" i="6" s="1"/>
  <c r="I371" i="2"/>
  <c r="M371" i="6" s="1"/>
  <c r="J371" i="2"/>
  <c r="N371" i="6" s="1"/>
  <c r="K371" i="2"/>
  <c r="O371" i="6" s="1"/>
  <c r="L371" i="2"/>
  <c r="P371" i="6" s="1"/>
  <c r="M371" i="2"/>
  <c r="Q371" i="6" s="1"/>
  <c r="N371" i="2"/>
  <c r="R371" i="6" s="1"/>
  <c r="O371" i="2"/>
  <c r="S371" i="6" s="1"/>
  <c r="Q371" i="2"/>
  <c r="U371" i="6" s="1"/>
  <c r="V371" i="6"/>
  <c r="W371" i="6"/>
  <c r="E371" i="2"/>
  <c r="I371" i="6" s="1"/>
  <c r="X370" i="2"/>
  <c r="AB370" i="6" s="1"/>
  <c r="W370" i="2"/>
  <c r="V370" i="2"/>
  <c r="Z370" i="6" s="1"/>
  <c r="U370" i="2"/>
  <c r="F370" i="2"/>
  <c r="G370" i="2"/>
  <c r="K370" i="6" s="1"/>
  <c r="H370" i="2"/>
  <c r="L370" i="6" s="1"/>
  <c r="I370" i="2"/>
  <c r="M370" i="6" s="1"/>
  <c r="J370" i="2"/>
  <c r="N370" i="6" s="1"/>
  <c r="K370" i="2"/>
  <c r="O370" i="3" s="1"/>
  <c r="L370" i="2"/>
  <c r="P370" i="6" s="1"/>
  <c r="M370" i="2"/>
  <c r="Q370" i="6" s="1"/>
  <c r="N370" i="2"/>
  <c r="O370" i="2"/>
  <c r="S370" i="6" s="1"/>
  <c r="Q370" i="2"/>
  <c r="V370" i="6"/>
  <c r="E370" i="2"/>
  <c r="X369" i="2"/>
  <c r="AB369" i="6" s="1"/>
  <c r="W369" i="2"/>
  <c r="AA369" i="6" s="1"/>
  <c r="V369" i="2"/>
  <c r="Z369" i="6" s="1"/>
  <c r="U369" i="2"/>
  <c r="Y369" i="6" s="1"/>
  <c r="F369" i="2"/>
  <c r="J369" i="6" s="1"/>
  <c r="G369" i="2"/>
  <c r="K369" i="6" s="1"/>
  <c r="H369" i="2"/>
  <c r="L369" i="6" s="1"/>
  <c r="I369" i="2"/>
  <c r="M369" i="6" s="1"/>
  <c r="J369" i="2"/>
  <c r="N369" i="6" s="1"/>
  <c r="K369" i="2"/>
  <c r="O369" i="6" s="1"/>
  <c r="L369" i="2"/>
  <c r="P369" i="6" s="1"/>
  <c r="M369" i="2"/>
  <c r="Q369" i="6" s="1"/>
  <c r="N369" i="2"/>
  <c r="R369" i="6" s="1"/>
  <c r="O369" i="2"/>
  <c r="S369" i="6" s="1"/>
  <c r="Q369" i="2"/>
  <c r="U369" i="6" s="1"/>
  <c r="E369" i="2"/>
  <c r="X368" i="2"/>
  <c r="W368" i="2"/>
  <c r="AA368" i="6" s="1"/>
  <c r="V368" i="2"/>
  <c r="U368" i="2"/>
  <c r="Y368" i="6" s="1"/>
  <c r="F368" i="2"/>
  <c r="G368" i="2"/>
  <c r="H368" i="2"/>
  <c r="I368" i="2"/>
  <c r="M368" i="6" s="1"/>
  <c r="J368" i="2"/>
  <c r="N368" i="6" s="1"/>
  <c r="K368" i="2"/>
  <c r="O368" i="6" s="1"/>
  <c r="L368" i="2"/>
  <c r="M368" i="2"/>
  <c r="Q368" i="6" s="1"/>
  <c r="N368" i="2"/>
  <c r="O368" i="2"/>
  <c r="Q368" i="2"/>
  <c r="V368" i="6"/>
  <c r="E368" i="2"/>
  <c r="X367" i="2"/>
  <c r="AB367" i="6" s="1"/>
  <c r="W367" i="2"/>
  <c r="AA367" i="6" s="1"/>
  <c r="V367" i="2"/>
  <c r="Z367" i="6" s="1"/>
  <c r="U367" i="2"/>
  <c r="Y367" i="6" s="1"/>
  <c r="F367" i="2"/>
  <c r="J367" i="6" s="1"/>
  <c r="G367" i="2"/>
  <c r="K367" i="6" s="1"/>
  <c r="H367" i="2"/>
  <c r="L367" i="6" s="1"/>
  <c r="I367" i="2"/>
  <c r="M367" i="6" s="1"/>
  <c r="J367" i="2"/>
  <c r="N367" i="6" s="1"/>
  <c r="K367" i="2"/>
  <c r="O367" i="6" s="1"/>
  <c r="L367" i="2"/>
  <c r="P367" i="6" s="1"/>
  <c r="M367" i="2"/>
  <c r="Q367" i="6" s="1"/>
  <c r="N367" i="2"/>
  <c r="R367" i="6" s="1"/>
  <c r="O367" i="2"/>
  <c r="S367" i="6" s="1"/>
  <c r="Q367" i="2"/>
  <c r="U367" i="6" s="1"/>
  <c r="V367" i="6"/>
  <c r="W367" i="6"/>
  <c r="E367" i="2"/>
  <c r="I367" i="6" s="1"/>
  <c r="X366" i="2"/>
  <c r="AB366" i="6" s="1"/>
  <c r="W366" i="2"/>
  <c r="AA366" i="6" s="1"/>
  <c r="V366" i="2"/>
  <c r="U366" i="2"/>
  <c r="Y366" i="6" s="1"/>
  <c r="F366" i="2"/>
  <c r="J366" i="6" s="1"/>
  <c r="G366" i="2"/>
  <c r="H366" i="2"/>
  <c r="I366" i="2"/>
  <c r="J366" i="2"/>
  <c r="N366" i="6" s="1"/>
  <c r="K366" i="2"/>
  <c r="O366" i="6" s="1"/>
  <c r="L366" i="2"/>
  <c r="M366" i="2"/>
  <c r="Q366" i="6" s="1"/>
  <c r="N366" i="2"/>
  <c r="R366" i="6" s="1"/>
  <c r="O366" i="2"/>
  <c r="Q366" i="2"/>
  <c r="W366" i="6"/>
  <c r="E366" i="2"/>
  <c r="I366" i="6" s="1"/>
  <c r="X365" i="2"/>
  <c r="AB365" i="6" s="1"/>
  <c r="W365" i="2"/>
  <c r="AA365" i="6" s="1"/>
  <c r="V365" i="2"/>
  <c r="Z365" i="6" s="1"/>
  <c r="U365" i="2"/>
  <c r="Y365" i="6" s="1"/>
  <c r="F365" i="2"/>
  <c r="J365" i="6" s="1"/>
  <c r="G365" i="2"/>
  <c r="K365" i="6" s="1"/>
  <c r="H365" i="2"/>
  <c r="L365" i="6" s="1"/>
  <c r="I365" i="2"/>
  <c r="M365" i="6" s="1"/>
  <c r="J365" i="2"/>
  <c r="N365" i="6" s="1"/>
  <c r="K365" i="2"/>
  <c r="O365" i="6" s="1"/>
  <c r="L365" i="2"/>
  <c r="P365" i="6" s="1"/>
  <c r="M365" i="2"/>
  <c r="Q365" i="3" s="1"/>
  <c r="N365" i="2"/>
  <c r="R365" i="6" s="1"/>
  <c r="O365" i="2"/>
  <c r="S365" i="6" s="1"/>
  <c r="Q365" i="2"/>
  <c r="U365" i="6" s="1"/>
  <c r="V365" i="6"/>
  <c r="W365" i="6"/>
  <c r="E365" i="2"/>
  <c r="I365" i="6" s="1"/>
  <c r="X364" i="2"/>
  <c r="W364" i="2"/>
  <c r="AA364" i="6" s="1"/>
  <c r="V364" i="2"/>
  <c r="U364" i="2"/>
  <c r="Y364" i="6" s="1"/>
  <c r="F364" i="2"/>
  <c r="J364" i="6" s="1"/>
  <c r="G364" i="2"/>
  <c r="K364" i="6" s="1"/>
  <c r="H364" i="2"/>
  <c r="L364" i="6" s="1"/>
  <c r="I364" i="2"/>
  <c r="M364" i="6" s="1"/>
  <c r="J364" i="2"/>
  <c r="N364" i="6" s="1"/>
  <c r="K364" i="2"/>
  <c r="L364" i="2"/>
  <c r="P364" i="6" s="1"/>
  <c r="M364" i="2"/>
  <c r="Q364" i="6" s="1"/>
  <c r="N364" i="2"/>
  <c r="O364" i="2"/>
  <c r="S364" i="6" s="1"/>
  <c r="Q364" i="2"/>
  <c r="U364" i="6" s="1"/>
  <c r="V364" i="6"/>
  <c r="W364" i="6"/>
  <c r="E364" i="2"/>
  <c r="I364" i="6" s="1"/>
  <c r="X363" i="2"/>
  <c r="W363" i="2"/>
  <c r="V363" i="2"/>
  <c r="Z363" i="6" s="1"/>
  <c r="U363" i="2"/>
  <c r="F363" i="2"/>
  <c r="J363" i="6" s="1"/>
  <c r="G363" i="2"/>
  <c r="H363" i="2"/>
  <c r="I363" i="2"/>
  <c r="J363" i="2"/>
  <c r="N363" i="6" s="1"/>
  <c r="K363" i="2"/>
  <c r="L363" i="2"/>
  <c r="P363" i="6" s="1"/>
  <c r="M363" i="2"/>
  <c r="N363" i="2"/>
  <c r="O363" i="2"/>
  <c r="Q363" i="2"/>
  <c r="W363" i="6"/>
  <c r="E363" i="2"/>
  <c r="X362" i="2"/>
  <c r="AB362" i="6" s="1"/>
  <c r="W362" i="2"/>
  <c r="AA362" i="6" s="1"/>
  <c r="V362" i="2"/>
  <c r="Z362" i="6" s="1"/>
  <c r="U362" i="2"/>
  <c r="Y362" i="6" s="1"/>
  <c r="F362" i="2"/>
  <c r="J362" i="6" s="1"/>
  <c r="G362" i="2"/>
  <c r="K362" i="6" s="1"/>
  <c r="H362" i="2"/>
  <c r="L362" i="6" s="1"/>
  <c r="I362" i="2"/>
  <c r="M362" i="6" s="1"/>
  <c r="J362" i="2"/>
  <c r="N362" i="6" s="1"/>
  <c r="K362" i="2"/>
  <c r="O362" i="6" s="1"/>
  <c r="L362" i="2"/>
  <c r="P362" i="3" s="1"/>
  <c r="M362" i="2"/>
  <c r="Q362" i="6" s="1"/>
  <c r="N362" i="2"/>
  <c r="R362" i="6" s="1"/>
  <c r="O362" i="2"/>
  <c r="S362" i="6" s="1"/>
  <c r="Q362" i="2"/>
  <c r="U362" i="6" s="1"/>
  <c r="V362" i="6"/>
  <c r="W362" i="6"/>
  <c r="E362" i="2"/>
  <c r="I362" i="6" s="1"/>
  <c r="X361" i="2"/>
  <c r="AB361" i="6" s="1"/>
  <c r="W361" i="2"/>
  <c r="AA361" i="6" s="1"/>
  <c r="V361" i="2"/>
  <c r="Z361" i="6" s="1"/>
  <c r="U361" i="2"/>
  <c r="Y361" i="6" s="1"/>
  <c r="F361" i="2"/>
  <c r="J361" i="6" s="1"/>
  <c r="G361" i="2"/>
  <c r="K361" i="6" s="1"/>
  <c r="H361" i="2"/>
  <c r="L361" i="6" s="1"/>
  <c r="I361" i="2"/>
  <c r="M361" i="6" s="1"/>
  <c r="J361" i="2"/>
  <c r="N361" i="6" s="1"/>
  <c r="K361" i="2"/>
  <c r="L361" i="2"/>
  <c r="P361" i="6" s="1"/>
  <c r="M361" i="2"/>
  <c r="Q361" i="6" s="1"/>
  <c r="N361" i="2"/>
  <c r="R361" i="6" s="1"/>
  <c r="O361" i="2"/>
  <c r="S361" i="6" s="1"/>
  <c r="Q361" i="2"/>
  <c r="U361" i="6" s="1"/>
  <c r="V361" i="6"/>
  <c r="W361" i="6"/>
  <c r="E361" i="2"/>
  <c r="I361" i="6" s="1"/>
  <c r="X360" i="2"/>
  <c r="AB360" i="6" s="1"/>
  <c r="W360" i="2"/>
  <c r="AA360" i="6" s="1"/>
  <c r="V360" i="2"/>
  <c r="Z360" i="6" s="1"/>
  <c r="U360" i="2"/>
  <c r="Y360" i="6" s="1"/>
  <c r="F360" i="2"/>
  <c r="J360" i="6" s="1"/>
  <c r="G360" i="2"/>
  <c r="K360" i="6" s="1"/>
  <c r="H360" i="2"/>
  <c r="L360" i="6" s="1"/>
  <c r="I360" i="2"/>
  <c r="M360" i="6" s="1"/>
  <c r="J360" i="2"/>
  <c r="N360" i="6" s="1"/>
  <c r="K360" i="2"/>
  <c r="O360" i="6" s="1"/>
  <c r="L360" i="2"/>
  <c r="P360" i="6" s="1"/>
  <c r="M360" i="2"/>
  <c r="Q360" i="6" s="1"/>
  <c r="N360" i="2"/>
  <c r="R360" i="6" s="1"/>
  <c r="O360" i="2"/>
  <c r="S360" i="6" s="1"/>
  <c r="Q360" i="2"/>
  <c r="U360" i="6" s="1"/>
  <c r="V360" i="6"/>
  <c r="W360" i="6"/>
  <c r="E360" i="2"/>
  <c r="I360" i="6" s="1"/>
  <c r="X359" i="2"/>
  <c r="AB359" i="6" s="1"/>
  <c r="W359" i="2"/>
  <c r="AA359" i="6" s="1"/>
  <c r="V359" i="2"/>
  <c r="Z359" i="6" s="1"/>
  <c r="U359" i="2"/>
  <c r="Y359" i="6" s="1"/>
  <c r="F359" i="2"/>
  <c r="J359" i="6" s="1"/>
  <c r="G359" i="2"/>
  <c r="K359" i="6" s="1"/>
  <c r="H359" i="2"/>
  <c r="L359" i="6" s="1"/>
  <c r="I359" i="2"/>
  <c r="M359" i="6" s="1"/>
  <c r="J359" i="2"/>
  <c r="N359" i="6" s="1"/>
  <c r="K359" i="2"/>
  <c r="O359" i="6" s="1"/>
  <c r="L359" i="2"/>
  <c r="P359" i="6" s="1"/>
  <c r="M359" i="2"/>
  <c r="N359" i="2"/>
  <c r="R359" i="6" s="1"/>
  <c r="O359" i="2"/>
  <c r="Q359" i="2"/>
  <c r="U359" i="6" s="1"/>
  <c r="V359" i="6"/>
  <c r="W359" i="6"/>
  <c r="E359" i="2"/>
  <c r="I359" i="6" s="1"/>
  <c r="X358" i="2"/>
  <c r="AB358" i="6" s="1"/>
  <c r="W358" i="2"/>
  <c r="AA358" i="6" s="1"/>
  <c r="V358" i="2"/>
  <c r="Z358" i="6" s="1"/>
  <c r="U358" i="2"/>
  <c r="Y358" i="6" s="1"/>
  <c r="F358" i="2"/>
  <c r="J358" i="6" s="1"/>
  <c r="G358" i="2"/>
  <c r="K358" i="6" s="1"/>
  <c r="H358" i="2"/>
  <c r="I358" i="2"/>
  <c r="M358" i="6" s="1"/>
  <c r="J358" i="2"/>
  <c r="N358" i="6" s="1"/>
  <c r="K358" i="2"/>
  <c r="O358" i="6" s="1"/>
  <c r="L358" i="2"/>
  <c r="P358" i="6" s="1"/>
  <c r="M358" i="2"/>
  <c r="Q358" i="6" s="1"/>
  <c r="N358" i="2"/>
  <c r="R358" i="6" s="1"/>
  <c r="O358" i="2"/>
  <c r="S358" i="6" s="1"/>
  <c r="Q358" i="2"/>
  <c r="V358" i="6"/>
  <c r="W358" i="6"/>
  <c r="E358" i="2"/>
  <c r="I358" i="6" s="1"/>
  <c r="X357" i="2"/>
  <c r="W357" i="2"/>
  <c r="V357" i="2"/>
  <c r="Z357" i="6" s="1"/>
  <c r="U357" i="2"/>
  <c r="F357" i="2"/>
  <c r="G357" i="2"/>
  <c r="H357" i="2"/>
  <c r="L357" i="6" s="1"/>
  <c r="I357" i="2"/>
  <c r="J357" i="2"/>
  <c r="N357" i="6" s="1"/>
  <c r="K357" i="2"/>
  <c r="O357" i="6" s="1"/>
  <c r="L357" i="2"/>
  <c r="P357" i="6" s="1"/>
  <c r="M357" i="2"/>
  <c r="Q357" i="3" s="1"/>
  <c r="N357" i="2"/>
  <c r="O357" i="2"/>
  <c r="S357" i="6" s="1"/>
  <c r="Q357" i="2"/>
  <c r="U357" i="6" s="1"/>
  <c r="W357" i="6"/>
  <c r="E357" i="2"/>
  <c r="X356" i="2"/>
  <c r="AB356" i="6" s="1"/>
  <c r="W356" i="2"/>
  <c r="AA356" i="6" s="1"/>
  <c r="V356" i="2"/>
  <c r="U356" i="2"/>
  <c r="Y356" i="6" s="1"/>
  <c r="F356" i="2"/>
  <c r="J356" i="6" s="1"/>
  <c r="G356" i="2"/>
  <c r="K356" i="6" s="1"/>
  <c r="H356" i="2"/>
  <c r="L356" i="6" s="1"/>
  <c r="I356" i="2"/>
  <c r="M356" i="6" s="1"/>
  <c r="J356" i="2"/>
  <c r="N356" i="6" s="1"/>
  <c r="K356" i="2"/>
  <c r="O356" i="6" s="1"/>
  <c r="L356" i="2"/>
  <c r="P356" i="6" s="1"/>
  <c r="M356" i="2"/>
  <c r="Q356" i="6" s="1"/>
  <c r="N356" i="2"/>
  <c r="R356" i="6" s="1"/>
  <c r="O356" i="2"/>
  <c r="S356" i="6" s="1"/>
  <c r="Q356" i="2"/>
  <c r="V356" i="6"/>
  <c r="E356" i="2"/>
  <c r="I356" i="6" s="1"/>
  <c r="X355" i="2"/>
  <c r="AB355" i="6" s="1"/>
  <c r="W355" i="2"/>
  <c r="AA355" i="6" s="1"/>
  <c r="V355" i="2"/>
  <c r="Z355" i="6" s="1"/>
  <c r="U355" i="2"/>
  <c r="Y355" i="6" s="1"/>
  <c r="F355" i="2"/>
  <c r="J355" i="6" s="1"/>
  <c r="G355" i="2"/>
  <c r="K355" i="6" s="1"/>
  <c r="H355" i="2"/>
  <c r="L355" i="6" s="1"/>
  <c r="I355" i="2"/>
  <c r="M355" i="6" s="1"/>
  <c r="J355" i="2"/>
  <c r="N355" i="6" s="1"/>
  <c r="K355" i="2"/>
  <c r="O355" i="6" s="1"/>
  <c r="L355" i="2"/>
  <c r="P355" i="6" s="1"/>
  <c r="M355" i="2"/>
  <c r="Q355" i="6" s="1"/>
  <c r="N355" i="2"/>
  <c r="R355" i="6" s="1"/>
  <c r="O355" i="2"/>
  <c r="S355" i="6" s="1"/>
  <c r="Q355" i="2"/>
  <c r="U355" i="6" s="1"/>
  <c r="V355" i="6"/>
  <c r="W355" i="6"/>
  <c r="E355" i="2"/>
  <c r="I355" i="6" s="1"/>
  <c r="X354" i="2"/>
  <c r="W354" i="2"/>
  <c r="V354" i="2"/>
  <c r="U354" i="2"/>
  <c r="Y354" i="6" s="1"/>
  <c r="F354" i="2"/>
  <c r="G354" i="2"/>
  <c r="K354" i="6" s="1"/>
  <c r="H354" i="2"/>
  <c r="I354" i="2"/>
  <c r="M354" i="6" s="1"/>
  <c r="J354" i="2"/>
  <c r="K354" i="2"/>
  <c r="O354" i="6" s="1"/>
  <c r="L354" i="2"/>
  <c r="M354" i="2"/>
  <c r="N354" i="2"/>
  <c r="R354" i="6" s="1"/>
  <c r="O354" i="2"/>
  <c r="S354" i="6" s="1"/>
  <c r="Q354" i="2"/>
  <c r="V354" i="6"/>
  <c r="E354" i="2"/>
  <c r="X353" i="2"/>
  <c r="AB353" i="6" s="1"/>
  <c r="W353" i="2"/>
  <c r="AA353" i="6" s="1"/>
  <c r="V353" i="2"/>
  <c r="Z353" i="6" s="1"/>
  <c r="U353" i="2"/>
  <c r="Y353" i="6" s="1"/>
  <c r="F353" i="2"/>
  <c r="J353" i="6" s="1"/>
  <c r="G353" i="2"/>
  <c r="K353" i="6" s="1"/>
  <c r="H353" i="2"/>
  <c r="L353" i="6" s="1"/>
  <c r="I353" i="2"/>
  <c r="M353" i="6" s="1"/>
  <c r="J353" i="2"/>
  <c r="N353" i="6" s="1"/>
  <c r="K353" i="2"/>
  <c r="O353" i="6" s="1"/>
  <c r="L353" i="2"/>
  <c r="P353" i="6" s="1"/>
  <c r="M353" i="2"/>
  <c r="Q353" i="6" s="1"/>
  <c r="N353" i="2"/>
  <c r="R353" i="6" s="1"/>
  <c r="O353" i="2"/>
  <c r="S353" i="6" s="1"/>
  <c r="Q353" i="2"/>
  <c r="U353" i="6" s="1"/>
  <c r="V353" i="6"/>
  <c r="W353" i="6"/>
  <c r="E353" i="2"/>
  <c r="I353" i="6" s="1"/>
  <c r="X352" i="2"/>
  <c r="AB352" i="6" s="1"/>
  <c r="W352" i="2"/>
  <c r="AA352" i="6" s="1"/>
  <c r="V352" i="2"/>
  <c r="U352" i="2"/>
  <c r="Y352" i="6" s="1"/>
  <c r="F352" i="2"/>
  <c r="J352" i="6" s="1"/>
  <c r="G352" i="2"/>
  <c r="H352" i="2"/>
  <c r="I352" i="2"/>
  <c r="M352" i="6" s="1"/>
  <c r="J352" i="2"/>
  <c r="N352" i="6" s="1"/>
  <c r="K352" i="2"/>
  <c r="O352" i="6" s="1"/>
  <c r="L352" i="2"/>
  <c r="M352" i="2"/>
  <c r="Q352" i="6" s="1"/>
  <c r="N352" i="2"/>
  <c r="R352" i="6" s="1"/>
  <c r="O352" i="2"/>
  <c r="S352" i="6" s="1"/>
  <c r="Q352" i="2"/>
  <c r="V352" i="6"/>
  <c r="E352" i="2"/>
  <c r="I352" i="6" s="1"/>
  <c r="X351" i="2"/>
  <c r="AB351" i="6" s="1"/>
  <c r="W351" i="2"/>
  <c r="AA351" i="6" s="1"/>
  <c r="V351" i="2"/>
  <c r="Z351" i="6" s="1"/>
  <c r="U351" i="2"/>
  <c r="F351" i="2"/>
  <c r="J351" i="6" s="1"/>
  <c r="G351" i="2"/>
  <c r="K351" i="6" s="1"/>
  <c r="H351" i="2"/>
  <c r="L351" i="6" s="1"/>
  <c r="I351" i="2"/>
  <c r="M351" i="6" s="1"/>
  <c r="J351" i="2"/>
  <c r="N351" i="6" s="1"/>
  <c r="K351" i="2"/>
  <c r="O351" i="6" s="1"/>
  <c r="L351" i="2"/>
  <c r="P351" i="6" s="1"/>
  <c r="M351" i="2"/>
  <c r="Q351" i="6" s="1"/>
  <c r="N351" i="2"/>
  <c r="R351" i="6" s="1"/>
  <c r="O351" i="2"/>
  <c r="S351" i="6" s="1"/>
  <c r="Q351" i="2"/>
  <c r="U351" i="6" s="1"/>
  <c r="W351" i="6"/>
  <c r="E351" i="2"/>
  <c r="I351" i="6" s="1"/>
  <c r="X350" i="2"/>
  <c r="AB350" i="6" s="1"/>
  <c r="W350" i="2"/>
  <c r="AA350" i="6" s="1"/>
  <c r="V350" i="2"/>
  <c r="Z350" i="6" s="1"/>
  <c r="U350" i="2"/>
  <c r="Y350" i="6" s="1"/>
  <c r="F350" i="2"/>
  <c r="J350" i="6" s="1"/>
  <c r="G350" i="2"/>
  <c r="K350" i="6" s="1"/>
  <c r="H350" i="2"/>
  <c r="L350" i="6" s="1"/>
  <c r="I350" i="2"/>
  <c r="M350" i="6" s="1"/>
  <c r="J350" i="2"/>
  <c r="N350" i="6" s="1"/>
  <c r="K350" i="2"/>
  <c r="O350" i="6" s="1"/>
  <c r="L350" i="2"/>
  <c r="P350" i="6" s="1"/>
  <c r="M350" i="2"/>
  <c r="Q350" i="6" s="1"/>
  <c r="N350" i="2"/>
  <c r="R350" i="6" s="1"/>
  <c r="O350" i="2"/>
  <c r="S350" i="6" s="1"/>
  <c r="Q350" i="2"/>
  <c r="U350" i="6" s="1"/>
  <c r="V350" i="6"/>
  <c r="W350" i="6"/>
  <c r="E350" i="2"/>
  <c r="I350" i="6" s="1"/>
  <c r="X349" i="2"/>
  <c r="AB349" i="6" s="1"/>
  <c r="W349" i="2"/>
  <c r="AA349" i="6" s="1"/>
  <c r="V349" i="2"/>
  <c r="Z349" i="6" s="1"/>
  <c r="U349" i="2"/>
  <c r="Y349" i="6" s="1"/>
  <c r="F349" i="2"/>
  <c r="J349" i="6" s="1"/>
  <c r="G349" i="2"/>
  <c r="K349" i="6" s="1"/>
  <c r="H349" i="2"/>
  <c r="L349" i="6" s="1"/>
  <c r="I349" i="2"/>
  <c r="M349" i="6" s="1"/>
  <c r="J349" i="2"/>
  <c r="N349" i="6" s="1"/>
  <c r="K349" i="2"/>
  <c r="O349" i="6" s="1"/>
  <c r="L349" i="2"/>
  <c r="P349" i="6" s="1"/>
  <c r="M349" i="2"/>
  <c r="Q349" i="6" s="1"/>
  <c r="N349" i="2"/>
  <c r="R349" i="6" s="1"/>
  <c r="O349" i="2"/>
  <c r="Q349" i="2"/>
  <c r="U349" i="6" s="1"/>
  <c r="V349" i="6"/>
  <c r="W349" i="6"/>
  <c r="E349" i="2"/>
  <c r="I349" i="6" s="1"/>
  <c r="X348" i="2"/>
  <c r="AB348" i="6" s="1"/>
  <c r="W348" i="2"/>
  <c r="AA348" i="6" s="1"/>
  <c r="V348" i="2"/>
  <c r="Z348" i="6" s="1"/>
  <c r="U348" i="2"/>
  <c r="Y348" i="6" s="1"/>
  <c r="F348" i="2"/>
  <c r="J348" i="6" s="1"/>
  <c r="G348" i="2"/>
  <c r="K348" i="6" s="1"/>
  <c r="H348" i="2"/>
  <c r="L348" i="6" s="1"/>
  <c r="I348" i="2"/>
  <c r="M348" i="6" s="1"/>
  <c r="J348" i="2"/>
  <c r="K348" i="2"/>
  <c r="O348" i="6" s="1"/>
  <c r="L348" i="2"/>
  <c r="P348" i="6" s="1"/>
  <c r="M348" i="2"/>
  <c r="Q348" i="6" s="1"/>
  <c r="N348" i="2"/>
  <c r="R348" i="6" s="1"/>
  <c r="O348" i="2"/>
  <c r="S348" i="6" s="1"/>
  <c r="Q348" i="2"/>
  <c r="U348" i="6" s="1"/>
  <c r="V348" i="6"/>
  <c r="E348" i="2"/>
  <c r="I348" i="6" s="1"/>
  <c r="X347" i="2"/>
  <c r="AB347" i="6" s="1"/>
  <c r="W347" i="2"/>
  <c r="AA347" i="6" s="1"/>
  <c r="V347" i="2"/>
  <c r="Z347" i="6" s="1"/>
  <c r="U347" i="2"/>
  <c r="F347" i="2"/>
  <c r="J347" i="6" s="1"/>
  <c r="G347" i="2"/>
  <c r="H347" i="2"/>
  <c r="L347" i="6" s="1"/>
  <c r="I347" i="2"/>
  <c r="J347" i="2"/>
  <c r="N347" i="6" s="1"/>
  <c r="K347" i="2"/>
  <c r="O347" i="6" s="1"/>
  <c r="L347" i="2"/>
  <c r="P347" i="6" s="1"/>
  <c r="M347" i="2"/>
  <c r="Q347" i="6" s="1"/>
  <c r="N347" i="2"/>
  <c r="R347" i="6" s="1"/>
  <c r="O347" i="2"/>
  <c r="Q347" i="2"/>
  <c r="V347" i="6"/>
  <c r="W347" i="6"/>
  <c r="E347" i="2"/>
  <c r="I347" i="6" s="1"/>
  <c r="X346" i="2"/>
  <c r="AB346" i="6" s="1"/>
  <c r="W346" i="2"/>
  <c r="AA346" i="6" s="1"/>
  <c r="V346" i="2"/>
  <c r="Z346" i="6" s="1"/>
  <c r="U346" i="2"/>
  <c r="Y346" i="6" s="1"/>
  <c r="F346" i="2"/>
  <c r="J346" i="6" s="1"/>
  <c r="G346" i="2"/>
  <c r="K346" i="6" s="1"/>
  <c r="H346" i="2"/>
  <c r="L346" i="6" s="1"/>
  <c r="I346" i="2"/>
  <c r="M346" i="6" s="1"/>
  <c r="J346" i="2"/>
  <c r="N346" i="6" s="1"/>
  <c r="K346" i="2"/>
  <c r="O346" i="6" s="1"/>
  <c r="L346" i="2"/>
  <c r="P346" i="6" s="1"/>
  <c r="M346" i="2"/>
  <c r="Q346" i="6" s="1"/>
  <c r="N346" i="2"/>
  <c r="R346" i="6" s="1"/>
  <c r="O346" i="2"/>
  <c r="S346" i="6" s="1"/>
  <c r="Q346" i="2"/>
  <c r="U346" i="6" s="1"/>
  <c r="V346" i="6"/>
  <c r="W346" i="6"/>
  <c r="E346" i="2"/>
  <c r="I346" i="6" s="1"/>
  <c r="X345" i="2"/>
  <c r="AB345" i="6" s="1"/>
  <c r="W345" i="2"/>
  <c r="V345" i="2"/>
  <c r="Z345" i="6" s="1"/>
  <c r="U345" i="2"/>
  <c r="Y345" i="6" s="1"/>
  <c r="F345" i="2"/>
  <c r="J345" i="6" s="1"/>
  <c r="G345" i="2"/>
  <c r="K345" i="6" s="1"/>
  <c r="H345" i="2"/>
  <c r="L345" i="6" s="1"/>
  <c r="I345" i="2"/>
  <c r="J345" i="2"/>
  <c r="N345" i="6" s="1"/>
  <c r="K345" i="2"/>
  <c r="L345" i="2"/>
  <c r="P345" i="6" s="1"/>
  <c r="M345" i="2"/>
  <c r="Q345" i="6" s="1"/>
  <c r="N345" i="2"/>
  <c r="R345" i="6" s="1"/>
  <c r="O345" i="2"/>
  <c r="S345" i="6" s="1"/>
  <c r="Q345" i="2"/>
  <c r="U345" i="6" s="1"/>
  <c r="V345" i="6"/>
  <c r="E345" i="2"/>
  <c r="X344" i="2"/>
  <c r="AB344" i="6" s="1"/>
  <c r="W344" i="2"/>
  <c r="AA344" i="6" s="1"/>
  <c r="V344" i="2"/>
  <c r="Z344" i="6" s="1"/>
  <c r="U344" i="2"/>
  <c r="Y344" i="6" s="1"/>
  <c r="F344" i="2"/>
  <c r="J344" i="6" s="1"/>
  <c r="G344" i="2"/>
  <c r="K344" i="6" s="1"/>
  <c r="H344" i="2"/>
  <c r="L344" i="6" s="1"/>
  <c r="I344" i="2"/>
  <c r="M344" i="6" s="1"/>
  <c r="J344" i="2"/>
  <c r="N344" i="6" s="1"/>
  <c r="K344" i="2"/>
  <c r="O344" i="6" s="1"/>
  <c r="L344" i="2"/>
  <c r="P344" i="6" s="1"/>
  <c r="M344" i="2"/>
  <c r="Q344" i="6" s="1"/>
  <c r="N344" i="2"/>
  <c r="R344" i="6" s="1"/>
  <c r="O344" i="2"/>
  <c r="S344" i="6" s="1"/>
  <c r="Q344" i="2"/>
  <c r="U344" i="6" s="1"/>
  <c r="V344" i="6"/>
  <c r="W344" i="6"/>
  <c r="E344" i="2"/>
  <c r="I344" i="6" s="1"/>
  <c r="X343" i="2"/>
  <c r="AB343" i="6" s="1"/>
  <c r="W343" i="2"/>
  <c r="AA343" i="6" s="1"/>
  <c r="V343" i="2"/>
  <c r="Z343" i="6" s="1"/>
  <c r="U343" i="2"/>
  <c r="Y343" i="6" s="1"/>
  <c r="F343" i="2"/>
  <c r="J343" i="6" s="1"/>
  <c r="G343" i="2"/>
  <c r="K343" i="6" s="1"/>
  <c r="H343" i="2"/>
  <c r="L343" i="6" s="1"/>
  <c r="I343" i="2"/>
  <c r="M343" i="6" s="1"/>
  <c r="J343" i="2"/>
  <c r="N343" i="6" s="1"/>
  <c r="K343" i="2"/>
  <c r="O343" i="6" s="1"/>
  <c r="L343" i="2"/>
  <c r="P343" i="6" s="1"/>
  <c r="M343" i="2"/>
  <c r="Q343" i="6" s="1"/>
  <c r="N343" i="2"/>
  <c r="R343" i="6" s="1"/>
  <c r="O343" i="2"/>
  <c r="S343" i="6" s="1"/>
  <c r="Q343" i="2"/>
  <c r="U343" i="6" s="1"/>
  <c r="V343" i="6"/>
  <c r="W343" i="6"/>
  <c r="E343" i="2"/>
  <c r="I343" i="6" s="1"/>
  <c r="X342" i="2"/>
  <c r="AB342" i="6" s="1"/>
  <c r="W342" i="2"/>
  <c r="AA342" i="6" s="1"/>
  <c r="V342" i="2"/>
  <c r="U342" i="2"/>
  <c r="Y342" i="6" s="1"/>
  <c r="F342" i="2"/>
  <c r="J342" i="6" s="1"/>
  <c r="G342" i="2"/>
  <c r="K342" i="6" s="1"/>
  <c r="H342" i="2"/>
  <c r="I342" i="2"/>
  <c r="J342" i="2"/>
  <c r="K342" i="2"/>
  <c r="O342" i="6" s="1"/>
  <c r="L342" i="2"/>
  <c r="M342" i="2"/>
  <c r="Q342" i="6" s="1"/>
  <c r="N342" i="2"/>
  <c r="R342" i="6" s="1"/>
  <c r="O342" i="2"/>
  <c r="S342" i="6" s="1"/>
  <c r="Q342" i="2"/>
  <c r="E342" i="2"/>
  <c r="I342" i="6" s="1"/>
  <c r="X341" i="2"/>
  <c r="W341" i="2"/>
  <c r="V341" i="2"/>
  <c r="Z341" i="6" s="1"/>
  <c r="U341" i="2"/>
  <c r="F341" i="2"/>
  <c r="G341" i="2"/>
  <c r="H341" i="2"/>
  <c r="L341" i="6" s="1"/>
  <c r="I341" i="2"/>
  <c r="J341" i="2"/>
  <c r="N341" i="6" s="1"/>
  <c r="K341" i="2"/>
  <c r="L341" i="2"/>
  <c r="P341" i="6" s="1"/>
  <c r="M341" i="2"/>
  <c r="Q341" i="3" s="1"/>
  <c r="N341" i="2"/>
  <c r="O341" i="2"/>
  <c r="Q341" i="2"/>
  <c r="U341" i="6" s="1"/>
  <c r="V341" i="6"/>
  <c r="W341" i="6"/>
  <c r="E341" i="2"/>
  <c r="I341" i="6" s="1"/>
  <c r="X340" i="2"/>
  <c r="AB340" i="6" s="1"/>
  <c r="W340" i="2"/>
  <c r="AA340" i="6" s="1"/>
  <c r="V340" i="2"/>
  <c r="Z340" i="6" s="1"/>
  <c r="U340" i="2"/>
  <c r="Y340" i="6" s="1"/>
  <c r="F340" i="2"/>
  <c r="J340" i="6" s="1"/>
  <c r="G340" i="2"/>
  <c r="K340" i="6" s="1"/>
  <c r="H340" i="2"/>
  <c r="L340" i="6" s="1"/>
  <c r="I340" i="2"/>
  <c r="M340" i="6" s="1"/>
  <c r="J340" i="2"/>
  <c r="K340" i="2"/>
  <c r="O340" i="6" s="1"/>
  <c r="L340" i="2"/>
  <c r="P340" i="6" s="1"/>
  <c r="M340" i="2"/>
  <c r="Q340" i="6" s="1"/>
  <c r="N340" i="2"/>
  <c r="R340" i="6" s="1"/>
  <c r="O340" i="2"/>
  <c r="S340" i="6" s="1"/>
  <c r="Q340" i="2"/>
  <c r="U340" i="6" s="1"/>
  <c r="V340" i="6"/>
  <c r="W340" i="6"/>
  <c r="E340" i="2"/>
  <c r="I340" i="6" s="1"/>
  <c r="X339" i="2"/>
  <c r="AB339" i="6" s="1"/>
  <c r="W339" i="2"/>
  <c r="AA339" i="6" s="1"/>
  <c r="V339" i="2"/>
  <c r="Z339" i="6" s="1"/>
  <c r="U339" i="2"/>
  <c r="Y339" i="6" s="1"/>
  <c r="F339" i="2"/>
  <c r="J339" i="6" s="1"/>
  <c r="G339" i="2"/>
  <c r="K339" i="6" s="1"/>
  <c r="H339" i="2"/>
  <c r="L339" i="6" s="1"/>
  <c r="I339" i="2"/>
  <c r="M339" i="6" s="1"/>
  <c r="J339" i="2"/>
  <c r="N339" i="6" s="1"/>
  <c r="K339" i="2"/>
  <c r="L339" i="2"/>
  <c r="P339" i="6" s="1"/>
  <c r="M339" i="2"/>
  <c r="Q339" i="6" s="1"/>
  <c r="N339" i="2"/>
  <c r="R339" i="6" s="1"/>
  <c r="O339" i="2"/>
  <c r="S339" i="6" s="1"/>
  <c r="Q339" i="2"/>
  <c r="U339" i="6" s="1"/>
  <c r="W339" i="6"/>
  <c r="E339" i="2"/>
  <c r="I339" i="6" s="1"/>
  <c r="X338" i="2"/>
  <c r="W338" i="2"/>
  <c r="V338" i="2"/>
  <c r="U338" i="2"/>
  <c r="Y338" i="6" s="1"/>
  <c r="F338" i="2"/>
  <c r="G338" i="2"/>
  <c r="K338" i="6" s="1"/>
  <c r="H338" i="2"/>
  <c r="L338" i="6" s="1"/>
  <c r="I338" i="2"/>
  <c r="M338" i="6" s="1"/>
  <c r="J338" i="2"/>
  <c r="N338" i="6" s="1"/>
  <c r="K338" i="2"/>
  <c r="O338" i="6" s="1"/>
  <c r="L338" i="2"/>
  <c r="M338" i="2"/>
  <c r="Q338" i="6" s="1"/>
  <c r="N338" i="2"/>
  <c r="R338" i="6" s="1"/>
  <c r="O338" i="2"/>
  <c r="S338" i="6" s="1"/>
  <c r="Q338" i="2"/>
  <c r="V338" i="6"/>
  <c r="W338" i="6"/>
  <c r="E338" i="2"/>
  <c r="I338" i="6" s="1"/>
  <c r="X337" i="2"/>
  <c r="AB337" i="6" s="1"/>
  <c r="W337" i="2"/>
  <c r="AA337" i="6" s="1"/>
  <c r="V337" i="2"/>
  <c r="Z337" i="6" s="1"/>
  <c r="U337" i="2"/>
  <c r="Y337" i="6" s="1"/>
  <c r="F337" i="2"/>
  <c r="J337" i="6" s="1"/>
  <c r="G337" i="2"/>
  <c r="K337" i="6" s="1"/>
  <c r="H337" i="2"/>
  <c r="L337" i="6" s="1"/>
  <c r="I337" i="2"/>
  <c r="J337" i="2"/>
  <c r="N337" i="6" s="1"/>
  <c r="K337" i="2"/>
  <c r="O337" i="6" s="1"/>
  <c r="L337" i="2"/>
  <c r="P337" i="6" s="1"/>
  <c r="M337" i="2"/>
  <c r="Q337" i="6" s="1"/>
  <c r="N337" i="2"/>
  <c r="R337" i="6" s="1"/>
  <c r="O337" i="2"/>
  <c r="S337" i="6" s="1"/>
  <c r="Q337" i="2"/>
  <c r="U337" i="6" s="1"/>
  <c r="W337" i="6"/>
  <c r="E337" i="2"/>
  <c r="I337" i="6" s="1"/>
  <c r="X336" i="2"/>
  <c r="AB336" i="6" s="1"/>
  <c r="W336" i="2"/>
  <c r="AA336" i="6" s="1"/>
  <c r="V336" i="2"/>
  <c r="Z336" i="6" s="1"/>
  <c r="U336" i="2"/>
  <c r="Y336" i="6" s="1"/>
  <c r="F336" i="2"/>
  <c r="J336" i="6" s="1"/>
  <c r="G336" i="2"/>
  <c r="K336" i="6" s="1"/>
  <c r="H336" i="2"/>
  <c r="L336" i="6" s="1"/>
  <c r="I336" i="2"/>
  <c r="M336" i="6" s="1"/>
  <c r="J336" i="2"/>
  <c r="N336" i="6" s="1"/>
  <c r="K336" i="2"/>
  <c r="O336" i="6" s="1"/>
  <c r="L336" i="2"/>
  <c r="P336" i="6" s="1"/>
  <c r="M336" i="2"/>
  <c r="Q336" i="6" s="1"/>
  <c r="N336" i="2"/>
  <c r="R336" i="6" s="1"/>
  <c r="O336" i="2"/>
  <c r="S336" i="6" s="1"/>
  <c r="Q336" i="2"/>
  <c r="V336" i="6"/>
  <c r="E336" i="2"/>
  <c r="I336" i="6" s="1"/>
  <c r="X335" i="2"/>
  <c r="AB335" i="6" s="1"/>
  <c r="W335" i="2"/>
  <c r="AA335" i="6" s="1"/>
  <c r="V335" i="2"/>
  <c r="U335" i="2"/>
  <c r="Y335" i="6" s="1"/>
  <c r="F335" i="2"/>
  <c r="J335" i="6" s="1"/>
  <c r="G335" i="2"/>
  <c r="K335" i="6" s="1"/>
  <c r="H335" i="2"/>
  <c r="L335" i="6" s="1"/>
  <c r="I335" i="2"/>
  <c r="M335" i="6" s="1"/>
  <c r="J335" i="2"/>
  <c r="N335" i="6" s="1"/>
  <c r="K335" i="2"/>
  <c r="O335" i="6" s="1"/>
  <c r="L335" i="2"/>
  <c r="P335" i="6" s="1"/>
  <c r="M335" i="2"/>
  <c r="Q335" i="6" s="1"/>
  <c r="N335" i="2"/>
  <c r="R335" i="6" s="1"/>
  <c r="O335" i="2"/>
  <c r="S335" i="6" s="1"/>
  <c r="Q335" i="2"/>
  <c r="U335" i="6" s="1"/>
  <c r="V335" i="6"/>
  <c r="W335" i="6"/>
  <c r="E335" i="2"/>
  <c r="I335" i="6" s="1"/>
  <c r="X334" i="2"/>
  <c r="AB334" i="6" s="1"/>
  <c r="W334" i="2"/>
  <c r="AA334" i="6" s="1"/>
  <c r="V334" i="2"/>
  <c r="Z334" i="6" s="1"/>
  <c r="U334" i="2"/>
  <c r="Y334" i="6" s="1"/>
  <c r="F334" i="2"/>
  <c r="J334" i="6" s="1"/>
  <c r="G334" i="2"/>
  <c r="K334" i="6" s="1"/>
  <c r="H334" i="2"/>
  <c r="I334" i="2"/>
  <c r="J334" i="2"/>
  <c r="K334" i="2"/>
  <c r="O334" i="6" s="1"/>
  <c r="L334" i="2"/>
  <c r="P334" i="6" s="1"/>
  <c r="M334" i="2"/>
  <c r="Q334" i="6" s="1"/>
  <c r="N334" i="2"/>
  <c r="R334" i="6" s="1"/>
  <c r="O334" i="2"/>
  <c r="S334" i="6" s="1"/>
  <c r="Q334" i="2"/>
  <c r="V334" i="6"/>
  <c r="W334" i="6"/>
  <c r="E334" i="2"/>
  <c r="I334" i="6" s="1"/>
  <c r="X333" i="2"/>
  <c r="AB333" i="6" s="1"/>
  <c r="W333" i="2"/>
  <c r="AA333" i="6" s="1"/>
  <c r="V333" i="2"/>
  <c r="Z333" i="6" s="1"/>
  <c r="U333" i="2"/>
  <c r="Y333" i="6" s="1"/>
  <c r="F333" i="2"/>
  <c r="J333" i="6" s="1"/>
  <c r="G333" i="2"/>
  <c r="K333" i="6" s="1"/>
  <c r="H333" i="2"/>
  <c r="L333" i="6" s="1"/>
  <c r="I333" i="2"/>
  <c r="M333" i="6" s="1"/>
  <c r="J333" i="2"/>
  <c r="N333" i="6" s="1"/>
  <c r="K333" i="2"/>
  <c r="O333" i="6" s="1"/>
  <c r="L333" i="2"/>
  <c r="P333" i="6" s="1"/>
  <c r="M333" i="2"/>
  <c r="N333" i="2"/>
  <c r="R333" i="6" s="1"/>
  <c r="O333" i="2"/>
  <c r="S333" i="6" s="1"/>
  <c r="Q333" i="2"/>
  <c r="U333" i="6" s="1"/>
  <c r="V333" i="6"/>
  <c r="W333" i="6"/>
  <c r="E333" i="2"/>
  <c r="I333" i="6" s="1"/>
  <c r="X332" i="2"/>
  <c r="AB332" i="6" s="1"/>
  <c r="W332" i="2"/>
  <c r="AA332" i="6" s="1"/>
  <c r="V332" i="2"/>
  <c r="Z332" i="6" s="1"/>
  <c r="U332" i="2"/>
  <c r="Y332" i="6" s="1"/>
  <c r="F332" i="2"/>
  <c r="G332" i="2"/>
  <c r="K332" i="6" s="1"/>
  <c r="H332" i="2"/>
  <c r="L332" i="6" s="1"/>
  <c r="I332" i="2"/>
  <c r="M332" i="6" s="1"/>
  <c r="J332" i="2"/>
  <c r="N332" i="6" s="1"/>
  <c r="K332" i="2"/>
  <c r="L332" i="2"/>
  <c r="P332" i="6" s="1"/>
  <c r="M332" i="2"/>
  <c r="Q332" i="6" s="1"/>
  <c r="N332" i="2"/>
  <c r="O332" i="2"/>
  <c r="S332" i="6" s="1"/>
  <c r="Q332" i="2"/>
  <c r="U332" i="6" s="1"/>
  <c r="V332" i="6"/>
  <c r="W332" i="6"/>
  <c r="E332" i="2"/>
  <c r="I332" i="6" s="1"/>
  <c r="X331" i="2"/>
  <c r="AB331" i="6" s="1"/>
  <c r="W331" i="2"/>
  <c r="AA331" i="6" s="1"/>
  <c r="V331" i="2"/>
  <c r="Z331" i="6" s="1"/>
  <c r="U331" i="2"/>
  <c r="Y331" i="6" s="1"/>
  <c r="F331" i="2"/>
  <c r="J331" i="6" s="1"/>
  <c r="G331" i="2"/>
  <c r="K331" i="6" s="1"/>
  <c r="H331" i="2"/>
  <c r="L331" i="6" s="1"/>
  <c r="I331" i="2"/>
  <c r="M331" i="6" s="1"/>
  <c r="J331" i="2"/>
  <c r="N331" i="6" s="1"/>
  <c r="K331" i="2"/>
  <c r="O331" i="6" s="1"/>
  <c r="L331" i="2"/>
  <c r="P331" i="6" s="1"/>
  <c r="M331" i="2"/>
  <c r="Q331" i="6" s="1"/>
  <c r="N331" i="2"/>
  <c r="R331" i="6" s="1"/>
  <c r="O331" i="2"/>
  <c r="S331" i="6" s="1"/>
  <c r="Q331" i="2"/>
  <c r="U331" i="6" s="1"/>
  <c r="V331" i="6"/>
  <c r="W331" i="6"/>
  <c r="E331" i="2"/>
  <c r="I331" i="6" s="1"/>
  <c r="X330" i="2"/>
  <c r="AB330" i="6" s="1"/>
  <c r="W330" i="2"/>
  <c r="AA330" i="6" s="1"/>
  <c r="V330" i="2"/>
  <c r="Z330" i="6" s="1"/>
  <c r="U330" i="2"/>
  <c r="Y330" i="6" s="1"/>
  <c r="F330" i="2"/>
  <c r="J330" i="6" s="1"/>
  <c r="G330" i="2"/>
  <c r="K330" i="6" s="1"/>
  <c r="H330" i="2"/>
  <c r="L330" i="6" s="1"/>
  <c r="I330" i="2"/>
  <c r="M330" i="6" s="1"/>
  <c r="J330" i="2"/>
  <c r="N330" i="6" s="1"/>
  <c r="K330" i="2"/>
  <c r="O330" i="6" s="1"/>
  <c r="L330" i="2"/>
  <c r="M330" i="2"/>
  <c r="Q330" i="6" s="1"/>
  <c r="N330" i="2"/>
  <c r="R330" i="6" s="1"/>
  <c r="O330" i="2"/>
  <c r="S330" i="6" s="1"/>
  <c r="Q330" i="2"/>
  <c r="U330" i="6" s="1"/>
  <c r="V330" i="6"/>
  <c r="W330" i="6"/>
  <c r="E330" i="2"/>
  <c r="I330" i="6" s="1"/>
  <c r="X329" i="2"/>
  <c r="AB329" i="6" s="1"/>
  <c r="W329" i="2"/>
  <c r="V329" i="2"/>
  <c r="Z329" i="6" s="1"/>
  <c r="U329" i="2"/>
  <c r="F329" i="2"/>
  <c r="J329" i="6" s="1"/>
  <c r="G329" i="2"/>
  <c r="K329" i="6" s="1"/>
  <c r="H329" i="2"/>
  <c r="L329" i="6" s="1"/>
  <c r="I329" i="2"/>
  <c r="M329" i="6" s="1"/>
  <c r="J329" i="2"/>
  <c r="K329" i="2"/>
  <c r="L329" i="2"/>
  <c r="P329" i="6" s="1"/>
  <c r="M329" i="2"/>
  <c r="N329" i="2"/>
  <c r="R329" i="6" s="1"/>
  <c r="O329" i="2"/>
  <c r="S329" i="6" s="1"/>
  <c r="Q329" i="2"/>
  <c r="U329" i="6" s="1"/>
  <c r="V329" i="6"/>
  <c r="W329" i="6"/>
  <c r="E329" i="2"/>
  <c r="X328" i="2"/>
  <c r="W328" i="2"/>
  <c r="AA328" i="6" s="1"/>
  <c r="V328" i="2"/>
  <c r="U328" i="2"/>
  <c r="Y328" i="6" s="1"/>
  <c r="F328" i="2"/>
  <c r="G328" i="2"/>
  <c r="H328" i="2"/>
  <c r="I328" i="2"/>
  <c r="M328" i="6" s="1"/>
  <c r="J328" i="2"/>
  <c r="K328" i="2"/>
  <c r="O328" i="6" s="1"/>
  <c r="L328" i="2"/>
  <c r="P328" i="6" s="1"/>
  <c r="M328" i="2"/>
  <c r="Q328" i="6" s="1"/>
  <c r="N328" i="2"/>
  <c r="O328" i="2"/>
  <c r="Q328" i="2"/>
  <c r="V328" i="6"/>
  <c r="E328" i="2"/>
  <c r="I328" i="6" s="1"/>
  <c r="X327" i="2"/>
  <c r="AB327" i="6" s="1"/>
  <c r="W327" i="2"/>
  <c r="AA327" i="6" s="1"/>
  <c r="V327" i="2"/>
  <c r="Z327" i="6" s="1"/>
  <c r="U327" i="2"/>
  <c r="Y327" i="6" s="1"/>
  <c r="F327" i="2"/>
  <c r="J327" i="6" s="1"/>
  <c r="G327" i="2"/>
  <c r="H327" i="2"/>
  <c r="L327" i="6" s="1"/>
  <c r="I327" i="2"/>
  <c r="M327" i="6" s="1"/>
  <c r="J327" i="2"/>
  <c r="N327" i="6" s="1"/>
  <c r="K327" i="2"/>
  <c r="O327" i="6" s="1"/>
  <c r="L327" i="2"/>
  <c r="M327" i="2"/>
  <c r="N327" i="2"/>
  <c r="R327" i="6" s="1"/>
  <c r="O327" i="2"/>
  <c r="S327" i="6" s="1"/>
  <c r="Q327" i="2"/>
  <c r="U327" i="6" s="1"/>
  <c r="V327" i="6"/>
  <c r="W327" i="6"/>
  <c r="E327" i="2"/>
  <c r="X326" i="2"/>
  <c r="AB326" i="6" s="1"/>
  <c r="W326" i="2"/>
  <c r="AA326" i="6" s="1"/>
  <c r="V326" i="2"/>
  <c r="Z326" i="6" s="1"/>
  <c r="U326" i="2"/>
  <c r="Y326" i="6" s="1"/>
  <c r="F326" i="2"/>
  <c r="J326" i="6" s="1"/>
  <c r="G326" i="2"/>
  <c r="K326" i="6" s="1"/>
  <c r="H326" i="2"/>
  <c r="L326" i="6" s="1"/>
  <c r="I326" i="2"/>
  <c r="J326" i="2"/>
  <c r="N326" i="6" s="1"/>
  <c r="K326" i="2"/>
  <c r="O326" i="6" s="1"/>
  <c r="L326" i="2"/>
  <c r="M326" i="2"/>
  <c r="Q326" i="6" s="1"/>
  <c r="N326" i="2"/>
  <c r="R326" i="6" s="1"/>
  <c r="O326" i="2"/>
  <c r="S326" i="6" s="1"/>
  <c r="Q326" i="2"/>
  <c r="U326" i="6" s="1"/>
  <c r="W326" i="6"/>
  <c r="E326" i="2"/>
  <c r="I326" i="6" s="1"/>
  <c r="X325" i="2"/>
  <c r="W325" i="2"/>
  <c r="AA325" i="6" s="1"/>
  <c r="V325" i="2"/>
  <c r="Z325" i="6" s="1"/>
  <c r="U325" i="2"/>
  <c r="Y325" i="6" s="1"/>
  <c r="F325" i="2"/>
  <c r="G325" i="2"/>
  <c r="K325" i="6" s="1"/>
  <c r="H325" i="2"/>
  <c r="L325" i="6" s="1"/>
  <c r="I325" i="2"/>
  <c r="J325" i="2"/>
  <c r="N325" i="6" s="1"/>
  <c r="K325" i="2"/>
  <c r="O325" i="6" s="1"/>
  <c r="L325" i="2"/>
  <c r="P325" i="6" s="1"/>
  <c r="M325" i="2"/>
  <c r="Q325" i="6" s="1"/>
  <c r="N325" i="2"/>
  <c r="R325" i="6" s="1"/>
  <c r="O325" i="2"/>
  <c r="Q325" i="2"/>
  <c r="U325" i="6" s="1"/>
  <c r="V325" i="6"/>
  <c r="W325" i="6"/>
  <c r="E325" i="2"/>
  <c r="I325" i="6" s="1"/>
  <c r="X324" i="2"/>
  <c r="AB324" i="6" s="1"/>
  <c r="W324" i="2"/>
  <c r="AA324" i="6" s="1"/>
  <c r="V324" i="2"/>
  <c r="U324" i="2"/>
  <c r="Y324" i="6" s="1"/>
  <c r="F324" i="2"/>
  <c r="J324" i="6" s="1"/>
  <c r="G324" i="2"/>
  <c r="K324" i="6" s="1"/>
  <c r="H324" i="2"/>
  <c r="L324" i="6" s="1"/>
  <c r="I324" i="2"/>
  <c r="M324" i="6" s="1"/>
  <c r="J324" i="2"/>
  <c r="N324" i="6" s="1"/>
  <c r="K324" i="2"/>
  <c r="O324" i="6" s="1"/>
  <c r="L324" i="2"/>
  <c r="P324" i="6" s="1"/>
  <c r="M324" i="2"/>
  <c r="Q324" i="6" s="1"/>
  <c r="N324" i="2"/>
  <c r="R324" i="6" s="1"/>
  <c r="O324" i="2"/>
  <c r="S324" i="6" s="1"/>
  <c r="Q324" i="2"/>
  <c r="U324" i="6" s="1"/>
  <c r="V324" i="6"/>
  <c r="W324" i="6"/>
  <c r="E324" i="2"/>
  <c r="I324" i="6" s="1"/>
  <c r="X323" i="2"/>
  <c r="AB323" i="6" s="1"/>
  <c r="W323" i="2"/>
  <c r="AA323" i="6" s="1"/>
  <c r="V323" i="2"/>
  <c r="Z323" i="6" s="1"/>
  <c r="U323" i="2"/>
  <c r="Y323" i="6" s="1"/>
  <c r="F323" i="2"/>
  <c r="J323" i="6" s="1"/>
  <c r="G323" i="2"/>
  <c r="K323" i="6" s="1"/>
  <c r="H323" i="2"/>
  <c r="L323" i="6" s="1"/>
  <c r="I323" i="2"/>
  <c r="M323" i="6" s="1"/>
  <c r="J323" i="2"/>
  <c r="N323" i="6" s="1"/>
  <c r="K323" i="2"/>
  <c r="O323" i="6" s="1"/>
  <c r="L323" i="2"/>
  <c r="P323" i="6" s="1"/>
  <c r="M323" i="2"/>
  <c r="Q323" i="6" s="1"/>
  <c r="N323" i="2"/>
  <c r="R323" i="6" s="1"/>
  <c r="O323" i="2"/>
  <c r="S323" i="6" s="1"/>
  <c r="Q323" i="2"/>
  <c r="U323" i="6" s="1"/>
  <c r="V323" i="6"/>
  <c r="W323" i="6"/>
  <c r="E323" i="2"/>
  <c r="I323" i="6" s="1"/>
  <c r="X322" i="2"/>
  <c r="W322" i="2"/>
  <c r="AA322" i="6" s="1"/>
  <c r="V322" i="2"/>
  <c r="U322" i="2"/>
  <c r="Y322" i="6" s="1"/>
  <c r="F322" i="2"/>
  <c r="G322" i="2"/>
  <c r="K322" i="6" s="1"/>
  <c r="H322" i="2"/>
  <c r="I322" i="2"/>
  <c r="M322" i="6" s="1"/>
  <c r="J322" i="2"/>
  <c r="N322" i="6" s="1"/>
  <c r="K322" i="2"/>
  <c r="O322" i="6" s="1"/>
  <c r="L322" i="2"/>
  <c r="M322" i="2"/>
  <c r="N322" i="2"/>
  <c r="O322" i="2"/>
  <c r="S322" i="6" s="1"/>
  <c r="Q322" i="2"/>
  <c r="V322" i="6"/>
  <c r="W322" i="6"/>
  <c r="E322" i="2"/>
  <c r="I322" i="6" s="1"/>
  <c r="X321" i="2"/>
  <c r="AB321" i="6" s="1"/>
  <c r="W321" i="2"/>
  <c r="AA321" i="6" s="1"/>
  <c r="V321" i="2"/>
  <c r="Z321" i="6" s="1"/>
  <c r="U321" i="2"/>
  <c r="Y321" i="6" s="1"/>
  <c r="F321" i="2"/>
  <c r="J321" i="6" s="1"/>
  <c r="G321" i="2"/>
  <c r="K321" i="6" s="1"/>
  <c r="H321" i="2"/>
  <c r="L321" i="6" s="1"/>
  <c r="I321" i="2"/>
  <c r="M321" i="6" s="1"/>
  <c r="J321" i="2"/>
  <c r="N321" i="6" s="1"/>
  <c r="K321" i="2"/>
  <c r="O321" i="6" s="1"/>
  <c r="L321" i="2"/>
  <c r="P321" i="6" s="1"/>
  <c r="M321" i="2"/>
  <c r="Q321" i="6" s="1"/>
  <c r="N321" i="2"/>
  <c r="R321" i="6" s="1"/>
  <c r="O321" i="2"/>
  <c r="S321" i="6" s="1"/>
  <c r="Q321" i="2"/>
  <c r="U321" i="6" s="1"/>
  <c r="V321" i="6"/>
  <c r="W321" i="6"/>
  <c r="E321" i="2"/>
  <c r="I321" i="6" s="1"/>
  <c r="X320" i="2"/>
  <c r="W320" i="2"/>
  <c r="AA320" i="6" s="1"/>
  <c r="V320" i="2"/>
  <c r="Z320" i="6" s="1"/>
  <c r="U320" i="2"/>
  <c r="Y320" i="6" s="1"/>
  <c r="F320" i="2"/>
  <c r="J320" i="6" s="1"/>
  <c r="G320" i="2"/>
  <c r="H320" i="2"/>
  <c r="I320" i="2"/>
  <c r="M320" i="6" s="1"/>
  <c r="J320" i="2"/>
  <c r="K320" i="2"/>
  <c r="O320" i="6" s="1"/>
  <c r="L320" i="2"/>
  <c r="M320" i="2"/>
  <c r="Q320" i="6" s="1"/>
  <c r="N320" i="2"/>
  <c r="O320" i="2"/>
  <c r="Q320" i="2"/>
  <c r="V320" i="6"/>
  <c r="E320" i="2"/>
  <c r="I320" i="6" s="1"/>
  <c r="X319" i="2"/>
  <c r="AB319" i="6" s="1"/>
  <c r="W319" i="2"/>
  <c r="AA319" i="6" s="1"/>
  <c r="V319" i="2"/>
  <c r="U319" i="2"/>
  <c r="Y319" i="6" s="1"/>
  <c r="F319" i="2"/>
  <c r="J319" i="6" s="1"/>
  <c r="G319" i="2"/>
  <c r="K319" i="6" s="1"/>
  <c r="H319" i="2"/>
  <c r="L319" i="6" s="1"/>
  <c r="I319" i="2"/>
  <c r="M319" i="6" s="1"/>
  <c r="J319" i="2"/>
  <c r="N319" i="6" s="1"/>
  <c r="K319" i="2"/>
  <c r="O319" i="6" s="1"/>
  <c r="L319" i="2"/>
  <c r="P319" i="6" s="1"/>
  <c r="M319" i="2"/>
  <c r="Q319" i="6" s="1"/>
  <c r="N319" i="2"/>
  <c r="R319" i="6" s="1"/>
  <c r="O319" i="2"/>
  <c r="Q319" i="2"/>
  <c r="U319" i="6" s="1"/>
  <c r="V319" i="6"/>
  <c r="W319" i="6"/>
  <c r="E319" i="2"/>
  <c r="I319" i="6" s="1"/>
  <c r="X318" i="2"/>
  <c r="AB318" i="6" s="1"/>
  <c r="W318" i="2"/>
  <c r="AA318" i="6" s="1"/>
  <c r="V318" i="2"/>
  <c r="Z318" i="6" s="1"/>
  <c r="U318" i="2"/>
  <c r="Y318" i="6" s="1"/>
  <c r="F318" i="2"/>
  <c r="J318" i="6" s="1"/>
  <c r="G318" i="2"/>
  <c r="K318" i="6" s="1"/>
  <c r="H318" i="2"/>
  <c r="L318" i="6" s="1"/>
  <c r="I318" i="2"/>
  <c r="M318" i="6" s="1"/>
  <c r="J318" i="2"/>
  <c r="N318" i="6" s="1"/>
  <c r="K318" i="2"/>
  <c r="O318" i="6" s="1"/>
  <c r="L318" i="2"/>
  <c r="P318" i="6" s="1"/>
  <c r="M318" i="2"/>
  <c r="Q318" i="6" s="1"/>
  <c r="N318" i="2"/>
  <c r="R318" i="6" s="1"/>
  <c r="O318" i="2"/>
  <c r="S318" i="6" s="1"/>
  <c r="Q318" i="2"/>
  <c r="U318" i="6" s="1"/>
  <c r="V318" i="6"/>
  <c r="W318" i="6"/>
  <c r="E318" i="2"/>
  <c r="I318" i="6" s="1"/>
  <c r="X317" i="2"/>
  <c r="W317" i="2"/>
  <c r="AA317" i="6" s="1"/>
  <c r="V317" i="2"/>
  <c r="Z317" i="6" s="1"/>
  <c r="U317" i="2"/>
  <c r="F317" i="2"/>
  <c r="G317" i="2"/>
  <c r="K317" i="6" s="1"/>
  <c r="H317" i="2"/>
  <c r="L317" i="6" s="1"/>
  <c r="I317" i="2"/>
  <c r="J317" i="2"/>
  <c r="N317" i="6" s="1"/>
  <c r="K317" i="2"/>
  <c r="L317" i="2"/>
  <c r="P317" i="6" s="1"/>
  <c r="M317" i="2"/>
  <c r="N317" i="2"/>
  <c r="O317" i="2"/>
  <c r="Q317" i="2"/>
  <c r="U317" i="6" s="1"/>
  <c r="W317" i="6"/>
  <c r="E317" i="2"/>
  <c r="X316" i="2"/>
  <c r="AB316" i="6" s="1"/>
  <c r="W316" i="2"/>
  <c r="AA316" i="6" s="1"/>
  <c r="V316" i="2"/>
  <c r="Z316" i="6" s="1"/>
  <c r="U316" i="2"/>
  <c r="Y316" i="6" s="1"/>
  <c r="F316" i="2"/>
  <c r="J316" i="6" s="1"/>
  <c r="G316" i="2"/>
  <c r="K316" i="6" s="1"/>
  <c r="H316" i="2"/>
  <c r="L316" i="6" s="1"/>
  <c r="I316" i="2"/>
  <c r="M316" i="6" s="1"/>
  <c r="J316" i="2"/>
  <c r="N316" i="6" s="1"/>
  <c r="K316" i="2"/>
  <c r="O316" i="6" s="1"/>
  <c r="L316" i="2"/>
  <c r="P316" i="6" s="1"/>
  <c r="M316" i="2"/>
  <c r="Q316" i="6" s="1"/>
  <c r="N316" i="2"/>
  <c r="R316" i="6" s="1"/>
  <c r="O316" i="2"/>
  <c r="S316" i="6" s="1"/>
  <c r="Q316" i="2"/>
  <c r="U316" i="6" s="1"/>
  <c r="V316" i="6"/>
  <c r="W316" i="6"/>
  <c r="E316" i="2"/>
  <c r="I316" i="6" s="1"/>
  <c r="X315" i="2"/>
  <c r="AB315" i="6" s="1"/>
  <c r="W315" i="2"/>
  <c r="AA315" i="6" s="1"/>
  <c r="V315" i="2"/>
  <c r="Z315" i="6" s="1"/>
  <c r="U315" i="2"/>
  <c r="Y315" i="6" s="1"/>
  <c r="F315" i="2"/>
  <c r="J315" i="6" s="1"/>
  <c r="G315" i="2"/>
  <c r="K315" i="6" s="1"/>
  <c r="H315" i="2"/>
  <c r="L315" i="6" s="1"/>
  <c r="I315" i="2"/>
  <c r="M315" i="6" s="1"/>
  <c r="J315" i="2"/>
  <c r="N315" i="6" s="1"/>
  <c r="K315" i="2"/>
  <c r="O315" i="6" s="1"/>
  <c r="L315" i="2"/>
  <c r="P315" i="6" s="1"/>
  <c r="M315" i="2"/>
  <c r="Q315" i="6" s="1"/>
  <c r="N315" i="2"/>
  <c r="R315" i="6" s="1"/>
  <c r="O315" i="2"/>
  <c r="S315" i="6" s="1"/>
  <c r="Q315" i="2"/>
  <c r="U315" i="6" s="1"/>
  <c r="V315" i="6"/>
  <c r="W315" i="6"/>
  <c r="E315" i="2"/>
  <c r="I315" i="6" s="1"/>
  <c r="X314" i="2"/>
  <c r="W314" i="2"/>
  <c r="V314" i="2"/>
  <c r="U314" i="2"/>
  <c r="Y314" i="6" s="1"/>
  <c r="F314" i="2"/>
  <c r="G314" i="2"/>
  <c r="K314" i="6" s="1"/>
  <c r="H314" i="2"/>
  <c r="I314" i="2"/>
  <c r="M314" i="6" s="1"/>
  <c r="J314" i="2"/>
  <c r="N314" i="6" s="1"/>
  <c r="K314" i="2"/>
  <c r="O314" i="6" s="1"/>
  <c r="L314" i="2"/>
  <c r="M314" i="2"/>
  <c r="N314" i="2"/>
  <c r="R314" i="6" s="1"/>
  <c r="O314" i="2"/>
  <c r="S314" i="6" s="1"/>
  <c r="Q314" i="2"/>
  <c r="V314" i="6"/>
  <c r="W314" i="6"/>
  <c r="E314" i="2"/>
  <c r="X313" i="2"/>
  <c r="AB313" i="6" s="1"/>
  <c r="W313" i="2"/>
  <c r="AA313" i="6" s="1"/>
  <c r="V313" i="2"/>
  <c r="Z313" i="6" s="1"/>
  <c r="U313" i="2"/>
  <c r="Y313" i="6" s="1"/>
  <c r="F313" i="2"/>
  <c r="J313" i="6" s="1"/>
  <c r="G313" i="2"/>
  <c r="K313" i="6" s="1"/>
  <c r="H313" i="2"/>
  <c r="L313" i="6" s="1"/>
  <c r="I313" i="2"/>
  <c r="M313" i="6" s="1"/>
  <c r="J313" i="2"/>
  <c r="N313" i="6" s="1"/>
  <c r="K313" i="2"/>
  <c r="O313" i="6" s="1"/>
  <c r="L313" i="2"/>
  <c r="P313" i="6" s="1"/>
  <c r="M313" i="2"/>
  <c r="Q313" i="6" s="1"/>
  <c r="N313" i="2"/>
  <c r="R313" i="6" s="1"/>
  <c r="O313" i="2"/>
  <c r="S313" i="6" s="1"/>
  <c r="Q313" i="2"/>
  <c r="U313" i="6" s="1"/>
  <c r="V313" i="6"/>
  <c r="W313" i="6"/>
  <c r="E313" i="2"/>
  <c r="I313" i="6" s="1"/>
  <c r="X312" i="2"/>
  <c r="W312" i="2"/>
  <c r="AA312" i="6" s="1"/>
  <c r="V312" i="2"/>
  <c r="U312" i="2"/>
  <c r="Y312" i="6" s="1"/>
  <c r="F312" i="2"/>
  <c r="G312" i="2"/>
  <c r="H312" i="2"/>
  <c r="I312" i="2"/>
  <c r="M312" i="6" s="1"/>
  <c r="J312" i="2"/>
  <c r="K312" i="2"/>
  <c r="O312" i="6" s="1"/>
  <c r="L312" i="2"/>
  <c r="M312" i="2"/>
  <c r="Q312" i="6" s="1"/>
  <c r="N312" i="2"/>
  <c r="O312" i="2"/>
  <c r="Q312" i="2"/>
  <c r="V312" i="6"/>
  <c r="E312" i="2"/>
  <c r="I312" i="6" s="1"/>
  <c r="X311" i="2"/>
  <c r="AB311" i="6" s="1"/>
  <c r="W311" i="2"/>
  <c r="AA311" i="6" s="1"/>
  <c r="V311" i="2"/>
  <c r="Z311" i="6" s="1"/>
  <c r="U311" i="2"/>
  <c r="Y311" i="6" s="1"/>
  <c r="F311" i="2"/>
  <c r="J311" i="6" s="1"/>
  <c r="G311" i="2"/>
  <c r="K311" i="6" s="1"/>
  <c r="H311" i="2"/>
  <c r="L311" i="6" s="1"/>
  <c r="I311" i="2"/>
  <c r="M311" i="6" s="1"/>
  <c r="J311" i="2"/>
  <c r="N311" i="6" s="1"/>
  <c r="K311" i="2"/>
  <c r="O311" i="6" s="1"/>
  <c r="L311" i="2"/>
  <c r="P311" i="6" s="1"/>
  <c r="M311" i="2"/>
  <c r="Q311" i="6" s="1"/>
  <c r="N311" i="2"/>
  <c r="R311" i="6" s="1"/>
  <c r="O311" i="2"/>
  <c r="S311" i="6" s="1"/>
  <c r="Q311" i="2"/>
  <c r="U311" i="6" s="1"/>
  <c r="V311" i="6"/>
  <c r="W311" i="6"/>
  <c r="E311" i="2"/>
  <c r="I311" i="6" s="1"/>
  <c r="X310" i="2"/>
  <c r="AB310" i="6" s="1"/>
  <c r="W310" i="2"/>
  <c r="AA310" i="6" s="1"/>
  <c r="V310" i="2"/>
  <c r="Z310" i="6" s="1"/>
  <c r="U310" i="2"/>
  <c r="Y310" i="6" s="1"/>
  <c r="F310" i="2"/>
  <c r="J310" i="6" s="1"/>
  <c r="G310" i="2"/>
  <c r="K310" i="6" s="1"/>
  <c r="H310" i="2"/>
  <c r="L310" i="6" s="1"/>
  <c r="I310" i="2"/>
  <c r="J310" i="2"/>
  <c r="N310" i="6" s="1"/>
  <c r="K310" i="2"/>
  <c r="O310" i="6" s="1"/>
  <c r="L310" i="2"/>
  <c r="P310" i="6" s="1"/>
  <c r="M310" i="2"/>
  <c r="Q310" i="6" s="1"/>
  <c r="N310" i="2"/>
  <c r="R310" i="6" s="1"/>
  <c r="O310" i="2"/>
  <c r="S310" i="6" s="1"/>
  <c r="Q310" i="2"/>
  <c r="U310" i="6" s="1"/>
  <c r="V310" i="6"/>
  <c r="W310" i="6"/>
  <c r="E310" i="2"/>
  <c r="I310" i="6" s="1"/>
  <c r="X309" i="2"/>
  <c r="AB309" i="6" s="1"/>
  <c r="W309" i="2"/>
  <c r="AA309" i="6" s="1"/>
  <c r="V309" i="2"/>
  <c r="Z309" i="6" s="1"/>
  <c r="U309" i="2"/>
  <c r="Y309" i="6" s="1"/>
  <c r="F309" i="2"/>
  <c r="J309" i="6" s="1"/>
  <c r="G309" i="2"/>
  <c r="K309" i="6" s="1"/>
  <c r="H309" i="2"/>
  <c r="L309" i="6" s="1"/>
  <c r="I309" i="2"/>
  <c r="M309" i="6" s="1"/>
  <c r="J309" i="2"/>
  <c r="N309" i="6" s="1"/>
  <c r="K309" i="2"/>
  <c r="O309" i="6" s="1"/>
  <c r="L309" i="2"/>
  <c r="P309" i="6" s="1"/>
  <c r="M309" i="2"/>
  <c r="Q309" i="6" s="1"/>
  <c r="N309" i="2"/>
  <c r="R309" i="6" s="1"/>
  <c r="O309" i="2"/>
  <c r="Q309" i="2"/>
  <c r="U309" i="6" s="1"/>
  <c r="V309" i="6"/>
  <c r="W309" i="6"/>
  <c r="E309" i="2"/>
  <c r="I309" i="6" s="1"/>
  <c r="X308" i="2"/>
  <c r="W308" i="2"/>
  <c r="AA308" i="6" s="1"/>
  <c r="V308" i="2"/>
  <c r="Z308" i="6" s="1"/>
  <c r="U308" i="2"/>
  <c r="Y308" i="6" s="1"/>
  <c r="F308" i="2"/>
  <c r="J308" i="6" s="1"/>
  <c r="G308" i="2"/>
  <c r="K308" i="6" s="1"/>
  <c r="H308" i="2"/>
  <c r="L308" i="6" s="1"/>
  <c r="I308" i="2"/>
  <c r="M308" i="6" s="1"/>
  <c r="J308" i="2"/>
  <c r="N308" i="6" s="1"/>
  <c r="K308" i="2"/>
  <c r="L308" i="2"/>
  <c r="P308" i="6" s="1"/>
  <c r="M308" i="2"/>
  <c r="Q308" i="6" s="1"/>
  <c r="N308" i="2"/>
  <c r="O308" i="2"/>
  <c r="S308" i="6" s="1"/>
  <c r="Q308" i="2"/>
  <c r="U308" i="6" s="1"/>
  <c r="V308" i="6"/>
  <c r="W308" i="6"/>
  <c r="E308" i="2"/>
  <c r="I308" i="6" s="1"/>
  <c r="X307" i="2"/>
  <c r="AB307" i="6" s="1"/>
  <c r="W307" i="2"/>
  <c r="AA307" i="6" s="1"/>
  <c r="V307" i="2"/>
  <c r="Z307" i="6" s="1"/>
  <c r="U307" i="2"/>
  <c r="Y307" i="6" s="1"/>
  <c r="F307" i="2"/>
  <c r="J307" i="6" s="1"/>
  <c r="G307" i="2"/>
  <c r="K307" i="6" s="1"/>
  <c r="H307" i="2"/>
  <c r="I307" i="2"/>
  <c r="J307" i="2"/>
  <c r="N307" i="6" s="1"/>
  <c r="K307" i="2"/>
  <c r="L307" i="2"/>
  <c r="P307" i="6" s="1"/>
  <c r="M307" i="2"/>
  <c r="Q307" i="6" s="1"/>
  <c r="N307" i="2"/>
  <c r="R307" i="6" s="1"/>
  <c r="O307" i="2"/>
  <c r="S307" i="6" s="1"/>
  <c r="Q307" i="2"/>
  <c r="U307" i="6" s="1"/>
  <c r="W307" i="6"/>
  <c r="E307" i="2"/>
  <c r="I307" i="6" s="1"/>
  <c r="X306" i="2"/>
  <c r="AB306" i="6" s="1"/>
  <c r="W306" i="2"/>
  <c r="AA306" i="6" s="1"/>
  <c r="V306" i="2"/>
  <c r="Z306" i="6" s="1"/>
  <c r="U306" i="2"/>
  <c r="Y306" i="6" s="1"/>
  <c r="F306" i="2"/>
  <c r="J306" i="6" s="1"/>
  <c r="G306" i="2"/>
  <c r="K306" i="6" s="1"/>
  <c r="H306" i="2"/>
  <c r="L306" i="6" s="1"/>
  <c r="I306" i="2"/>
  <c r="M306" i="6" s="1"/>
  <c r="J306" i="2"/>
  <c r="N306" i="6" s="1"/>
  <c r="K306" i="2"/>
  <c r="O306" i="6" s="1"/>
  <c r="L306" i="2"/>
  <c r="M306" i="2"/>
  <c r="Q306" i="6" s="1"/>
  <c r="N306" i="2"/>
  <c r="R306" i="6" s="1"/>
  <c r="O306" i="2"/>
  <c r="S306" i="6" s="1"/>
  <c r="Q306" i="2"/>
  <c r="U306" i="6" s="1"/>
  <c r="V306" i="6"/>
  <c r="W306" i="6"/>
  <c r="E306" i="2"/>
  <c r="I306" i="6" s="1"/>
  <c r="X305" i="2"/>
  <c r="AB305" i="6" s="1"/>
  <c r="W305" i="2"/>
  <c r="AA305" i="6" s="1"/>
  <c r="V305" i="2"/>
  <c r="Z305" i="6" s="1"/>
  <c r="U305" i="2"/>
  <c r="Y305" i="6" s="1"/>
  <c r="F305" i="2"/>
  <c r="J305" i="6" s="1"/>
  <c r="G305" i="2"/>
  <c r="K305" i="6" s="1"/>
  <c r="H305" i="2"/>
  <c r="L305" i="6" s="1"/>
  <c r="I305" i="2"/>
  <c r="M305" i="6" s="1"/>
  <c r="J305" i="2"/>
  <c r="N305" i="6" s="1"/>
  <c r="K305" i="2"/>
  <c r="O305" i="6" s="1"/>
  <c r="L305" i="2"/>
  <c r="P305" i="6" s="1"/>
  <c r="M305" i="2"/>
  <c r="Q305" i="6" s="1"/>
  <c r="N305" i="2"/>
  <c r="R305" i="6" s="1"/>
  <c r="O305" i="2"/>
  <c r="S305" i="6" s="1"/>
  <c r="Q305" i="2"/>
  <c r="U305" i="6" s="1"/>
  <c r="V305" i="6"/>
  <c r="W305" i="6"/>
  <c r="E305" i="2"/>
  <c r="I305" i="6" s="1"/>
  <c r="X304" i="2"/>
  <c r="AB304" i="6" s="1"/>
  <c r="W304" i="2"/>
  <c r="AA304" i="6" s="1"/>
  <c r="V304" i="2"/>
  <c r="Z304" i="6" s="1"/>
  <c r="U304" i="2"/>
  <c r="Y304" i="6" s="1"/>
  <c r="F304" i="2"/>
  <c r="J304" i="6" s="1"/>
  <c r="G304" i="2"/>
  <c r="K304" i="6" s="1"/>
  <c r="H304" i="2"/>
  <c r="L304" i="6" s="1"/>
  <c r="I304" i="2"/>
  <c r="M304" i="6" s="1"/>
  <c r="J304" i="2"/>
  <c r="N304" i="6" s="1"/>
  <c r="K304" i="2"/>
  <c r="O304" i="6" s="1"/>
  <c r="L304" i="2"/>
  <c r="P304" i="6" s="1"/>
  <c r="M304" i="2"/>
  <c r="N304" i="2"/>
  <c r="R304" i="6" s="1"/>
  <c r="O304" i="2"/>
  <c r="Q304" i="2"/>
  <c r="U304" i="6" s="1"/>
  <c r="V304" i="6"/>
  <c r="W304" i="6"/>
  <c r="E304" i="2"/>
  <c r="X303" i="2"/>
  <c r="AB303" i="6" s="1"/>
  <c r="W303" i="2"/>
  <c r="AA303" i="6" s="1"/>
  <c r="V303" i="2"/>
  <c r="U303" i="2"/>
  <c r="Y303" i="6" s="1"/>
  <c r="F303" i="2"/>
  <c r="J303" i="6" s="1"/>
  <c r="G303" i="2"/>
  <c r="K303" i="6" s="1"/>
  <c r="H303" i="2"/>
  <c r="L303" i="6" s="1"/>
  <c r="I303" i="2"/>
  <c r="M303" i="6" s="1"/>
  <c r="J303" i="2"/>
  <c r="N303" i="6" s="1"/>
  <c r="K303" i="2"/>
  <c r="O303" i="6" s="1"/>
  <c r="L303" i="2"/>
  <c r="P303" i="6" s="1"/>
  <c r="M303" i="2"/>
  <c r="Q303" i="6" s="1"/>
  <c r="N303" i="2"/>
  <c r="R303" i="6" s="1"/>
  <c r="O303" i="2"/>
  <c r="S303" i="6" s="1"/>
  <c r="Q303" i="2"/>
  <c r="U303" i="6" s="1"/>
  <c r="V303" i="6"/>
  <c r="W303" i="6"/>
  <c r="E303" i="2"/>
  <c r="I303" i="6" s="1"/>
  <c r="X302" i="2"/>
  <c r="AB302" i="6" s="1"/>
  <c r="W302" i="2"/>
  <c r="AA302" i="6" s="1"/>
  <c r="V302" i="2"/>
  <c r="U302" i="2"/>
  <c r="Y302" i="6" s="1"/>
  <c r="F302" i="2"/>
  <c r="J302" i="6" s="1"/>
  <c r="G302" i="2"/>
  <c r="H302" i="2"/>
  <c r="L302" i="6" s="1"/>
  <c r="I302" i="2"/>
  <c r="M302" i="6" s="1"/>
  <c r="J302" i="2"/>
  <c r="K302" i="2"/>
  <c r="O302" i="6" s="1"/>
  <c r="L302" i="2"/>
  <c r="P302" i="6" s="1"/>
  <c r="M302" i="2"/>
  <c r="Q302" i="6" s="1"/>
  <c r="N302" i="2"/>
  <c r="R302" i="6" s="1"/>
  <c r="O302" i="2"/>
  <c r="Q302" i="2"/>
  <c r="U302" i="6" s="1"/>
  <c r="E302" i="2"/>
  <c r="X301" i="2"/>
  <c r="AB301" i="6" s="1"/>
  <c r="W301" i="2"/>
  <c r="AA301" i="6" s="1"/>
  <c r="V301" i="2"/>
  <c r="Z301" i="6" s="1"/>
  <c r="U301" i="2"/>
  <c r="Y301" i="6" s="1"/>
  <c r="F301" i="2"/>
  <c r="J301" i="6" s="1"/>
  <c r="G301" i="2"/>
  <c r="K301" i="6" s="1"/>
  <c r="H301" i="2"/>
  <c r="L301" i="6" s="1"/>
  <c r="I301" i="2"/>
  <c r="M301" i="6" s="1"/>
  <c r="J301" i="2"/>
  <c r="N301" i="6" s="1"/>
  <c r="K301" i="2"/>
  <c r="O301" i="6" s="1"/>
  <c r="L301" i="2"/>
  <c r="P301" i="6" s="1"/>
  <c r="M301" i="2"/>
  <c r="Q301" i="6" s="1"/>
  <c r="N301" i="2"/>
  <c r="R301" i="6" s="1"/>
  <c r="O301" i="2"/>
  <c r="S301" i="6" s="1"/>
  <c r="Q301" i="2"/>
  <c r="U301" i="6" s="1"/>
  <c r="V301" i="6"/>
  <c r="W301" i="6"/>
  <c r="E301" i="2"/>
  <c r="I301" i="6" s="1"/>
  <c r="X300" i="2"/>
  <c r="AB300" i="6" s="1"/>
  <c r="W300" i="2"/>
  <c r="AA300" i="6" s="1"/>
  <c r="V300" i="2"/>
  <c r="Z300" i="6" s="1"/>
  <c r="U300" i="2"/>
  <c r="Y300" i="6" s="1"/>
  <c r="F300" i="2"/>
  <c r="J300" i="6" s="1"/>
  <c r="G300" i="2"/>
  <c r="K300" i="6" s="1"/>
  <c r="H300" i="2"/>
  <c r="L300" i="6" s="1"/>
  <c r="I300" i="2"/>
  <c r="M300" i="6" s="1"/>
  <c r="J300" i="2"/>
  <c r="N300" i="6" s="1"/>
  <c r="K300" i="2"/>
  <c r="O300" i="6" s="1"/>
  <c r="L300" i="2"/>
  <c r="P300" i="6" s="1"/>
  <c r="M300" i="2"/>
  <c r="N300" i="2"/>
  <c r="O300" i="2"/>
  <c r="S300" i="6" s="1"/>
  <c r="Q300" i="2"/>
  <c r="U300" i="6" s="1"/>
  <c r="V300" i="6"/>
  <c r="W300" i="6"/>
  <c r="E300" i="2"/>
  <c r="I300" i="6" s="1"/>
  <c r="X299" i="2"/>
  <c r="AB299" i="6" s="1"/>
  <c r="W299" i="2"/>
  <c r="AA299" i="6" s="1"/>
  <c r="V299" i="2"/>
  <c r="Z299" i="6" s="1"/>
  <c r="U299" i="2"/>
  <c r="Y299" i="6" s="1"/>
  <c r="F299" i="2"/>
  <c r="J299" i="6" s="1"/>
  <c r="G299" i="2"/>
  <c r="K299" i="6" s="1"/>
  <c r="H299" i="2"/>
  <c r="L299" i="6" s="1"/>
  <c r="I299" i="2"/>
  <c r="M299" i="6" s="1"/>
  <c r="J299" i="2"/>
  <c r="N299" i="6" s="1"/>
  <c r="K299" i="2"/>
  <c r="L299" i="2"/>
  <c r="M299" i="2"/>
  <c r="Q299" i="6" s="1"/>
  <c r="N299" i="2"/>
  <c r="R299" i="6" s="1"/>
  <c r="O299" i="2"/>
  <c r="S299" i="6" s="1"/>
  <c r="Q299" i="2"/>
  <c r="V299" i="6"/>
  <c r="W299" i="6"/>
  <c r="E299" i="2"/>
  <c r="I299" i="6" s="1"/>
  <c r="X298" i="2"/>
  <c r="AB298" i="6" s="1"/>
  <c r="W298" i="2"/>
  <c r="AA298" i="6" s="1"/>
  <c r="V298" i="2"/>
  <c r="Z298" i="6" s="1"/>
  <c r="U298" i="2"/>
  <c r="F298" i="2"/>
  <c r="J298" i="6" s="1"/>
  <c r="G298" i="2"/>
  <c r="K298" i="6" s="1"/>
  <c r="H298" i="2"/>
  <c r="L298" i="6" s="1"/>
  <c r="I298" i="2"/>
  <c r="M298" i="6" s="1"/>
  <c r="J298" i="2"/>
  <c r="N298" i="6" s="1"/>
  <c r="K298" i="2"/>
  <c r="O298" i="6" s="1"/>
  <c r="L298" i="2"/>
  <c r="P298" i="6" s="1"/>
  <c r="M298" i="2"/>
  <c r="Q298" i="6" s="1"/>
  <c r="N298" i="2"/>
  <c r="R298" i="6" s="1"/>
  <c r="O298" i="2"/>
  <c r="S298" i="6" s="1"/>
  <c r="Q298" i="2"/>
  <c r="U298" i="6" s="1"/>
  <c r="V298" i="6"/>
  <c r="W298" i="6"/>
  <c r="E298" i="2"/>
  <c r="I298" i="6" s="1"/>
  <c r="X297" i="2"/>
  <c r="W297" i="2"/>
  <c r="AA297" i="6" s="1"/>
  <c r="V297" i="2"/>
  <c r="Z297" i="6" s="1"/>
  <c r="U297" i="2"/>
  <c r="Y297" i="6" s="1"/>
  <c r="F297" i="2"/>
  <c r="G297" i="2"/>
  <c r="K297" i="6" s="1"/>
  <c r="H297" i="2"/>
  <c r="L297" i="6" s="1"/>
  <c r="I297" i="2"/>
  <c r="M297" i="6" s="1"/>
  <c r="J297" i="2"/>
  <c r="K297" i="2"/>
  <c r="O297" i="6" s="1"/>
  <c r="L297" i="2"/>
  <c r="P297" i="6" s="1"/>
  <c r="M297" i="2"/>
  <c r="Q297" i="6" s="1"/>
  <c r="N297" i="2"/>
  <c r="R297" i="6" s="1"/>
  <c r="O297" i="2"/>
  <c r="S297" i="6" s="1"/>
  <c r="Q297" i="2"/>
  <c r="V297" i="6"/>
  <c r="E297" i="2"/>
  <c r="X296" i="2"/>
  <c r="AB296" i="6" s="1"/>
  <c r="W296" i="2"/>
  <c r="AA296" i="6" s="1"/>
  <c r="V296" i="2"/>
  <c r="Z296" i="6" s="1"/>
  <c r="U296" i="2"/>
  <c r="Y296" i="6" s="1"/>
  <c r="F296" i="2"/>
  <c r="J296" i="6" s="1"/>
  <c r="G296" i="2"/>
  <c r="K296" i="6" s="1"/>
  <c r="H296" i="2"/>
  <c r="L296" i="6" s="1"/>
  <c r="I296" i="2"/>
  <c r="M296" i="6" s="1"/>
  <c r="J296" i="2"/>
  <c r="N296" i="6" s="1"/>
  <c r="K296" i="2"/>
  <c r="O296" i="6" s="1"/>
  <c r="L296" i="2"/>
  <c r="P296" i="6" s="1"/>
  <c r="M296" i="2"/>
  <c r="Q296" i="6" s="1"/>
  <c r="N296" i="2"/>
  <c r="R296" i="6" s="1"/>
  <c r="O296" i="2"/>
  <c r="S296" i="6" s="1"/>
  <c r="Q296" i="2"/>
  <c r="U296" i="6" s="1"/>
  <c r="V296" i="6"/>
  <c r="W296" i="6"/>
  <c r="E296" i="2"/>
  <c r="I296" i="6" s="1"/>
  <c r="X295" i="2"/>
  <c r="AB295" i="6" s="1"/>
  <c r="W295" i="2"/>
  <c r="AA295" i="6" s="1"/>
  <c r="V295" i="2"/>
  <c r="Z295" i="6" s="1"/>
  <c r="U295" i="2"/>
  <c r="Y295" i="6" s="1"/>
  <c r="F295" i="2"/>
  <c r="J295" i="6" s="1"/>
  <c r="G295" i="2"/>
  <c r="K295" i="6" s="1"/>
  <c r="H295" i="2"/>
  <c r="L295" i="6" s="1"/>
  <c r="I295" i="2"/>
  <c r="M295" i="6" s="1"/>
  <c r="J295" i="2"/>
  <c r="N295" i="6" s="1"/>
  <c r="K295" i="2"/>
  <c r="O295" i="6" s="1"/>
  <c r="L295" i="2"/>
  <c r="M295" i="2"/>
  <c r="Q295" i="6" s="1"/>
  <c r="N295" i="2"/>
  <c r="O295" i="2"/>
  <c r="S295" i="6" s="1"/>
  <c r="Q295" i="2"/>
  <c r="V295" i="6"/>
  <c r="W295" i="6"/>
  <c r="E295" i="2"/>
  <c r="I295" i="6" s="1"/>
  <c r="X294" i="2"/>
  <c r="AB294" i="6" s="1"/>
  <c r="W294" i="2"/>
  <c r="AA294" i="6" s="1"/>
  <c r="V294" i="2"/>
  <c r="U294" i="2"/>
  <c r="Y294" i="6" s="1"/>
  <c r="F294" i="2"/>
  <c r="J294" i="6" s="1"/>
  <c r="G294" i="2"/>
  <c r="K294" i="6" s="1"/>
  <c r="H294" i="2"/>
  <c r="L294" i="6" s="1"/>
  <c r="I294" i="2"/>
  <c r="J294" i="2"/>
  <c r="N294" i="6" s="1"/>
  <c r="K294" i="2"/>
  <c r="L294" i="2"/>
  <c r="P294" i="6" s="1"/>
  <c r="M294" i="2"/>
  <c r="N294" i="2"/>
  <c r="R294" i="6" s="1"/>
  <c r="O294" i="2"/>
  <c r="S294" i="6" s="1"/>
  <c r="Q294" i="2"/>
  <c r="U294" i="6" s="1"/>
  <c r="W294" i="6"/>
  <c r="E294" i="2"/>
  <c r="I294" i="6" s="1"/>
  <c r="X293" i="2"/>
  <c r="AB293" i="6" s="1"/>
  <c r="W293" i="2"/>
  <c r="AA293" i="6" s="1"/>
  <c r="V293" i="2"/>
  <c r="Z293" i="6" s="1"/>
  <c r="U293" i="2"/>
  <c r="Y293" i="6" s="1"/>
  <c r="F293" i="2"/>
  <c r="J293" i="6" s="1"/>
  <c r="G293" i="2"/>
  <c r="K293" i="6" s="1"/>
  <c r="H293" i="2"/>
  <c r="L293" i="6" s="1"/>
  <c r="I293" i="2"/>
  <c r="M293" i="6" s="1"/>
  <c r="J293" i="2"/>
  <c r="N293" i="6" s="1"/>
  <c r="K293" i="2"/>
  <c r="O293" i="6" s="1"/>
  <c r="L293" i="2"/>
  <c r="P293" i="6" s="1"/>
  <c r="M293" i="2"/>
  <c r="Q293" i="6" s="1"/>
  <c r="N293" i="2"/>
  <c r="R293" i="6" s="1"/>
  <c r="O293" i="2"/>
  <c r="S293" i="6" s="1"/>
  <c r="Q293" i="2"/>
  <c r="U293" i="6" s="1"/>
  <c r="V293" i="6"/>
  <c r="W293" i="6"/>
  <c r="E293" i="2"/>
  <c r="I293" i="6" s="1"/>
  <c r="X292" i="2"/>
  <c r="AB292" i="6" s="1"/>
  <c r="W292" i="2"/>
  <c r="V292" i="2"/>
  <c r="Z292" i="6" s="1"/>
  <c r="U292" i="2"/>
  <c r="Y292" i="6" s="1"/>
  <c r="F292" i="2"/>
  <c r="J292" i="6" s="1"/>
  <c r="G292" i="2"/>
  <c r="K292" i="6" s="1"/>
  <c r="H292" i="2"/>
  <c r="L292" i="6" s="1"/>
  <c r="I292" i="2"/>
  <c r="M292" i="6" s="1"/>
  <c r="J292" i="2"/>
  <c r="N292" i="6" s="1"/>
  <c r="K292" i="2"/>
  <c r="O292" i="6" s="1"/>
  <c r="L292" i="2"/>
  <c r="P292" i="6" s="1"/>
  <c r="M292" i="2"/>
  <c r="Q292" i="6" s="1"/>
  <c r="N292" i="2"/>
  <c r="R292" i="6" s="1"/>
  <c r="O292" i="2"/>
  <c r="Q292" i="2"/>
  <c r="U292" i="6" s="1"/>
  <c r="V292" i="6"/>
  <c r="W292" i="6"/>
  <c r="E292" i="2"/>
  <c r="I292" i="6" s="1"/>
  <c r="X291" i="2"/>
  <c r="AB291" i="6" s="1"/>
  <c r="W291" i="2"/>
  <c r="AA291" i="6" s="1"/>
  <c r="V291" i="2"/>
  <c r="Z291" i="6" s="1"/>
  <c r="U291" i="2"/>
  <c r="Y291" i="6" s="1"/>
  <c r="F291" i="2"/>
  <c r="J291" i="6" s="1"/>
  <c r="G291" i="2"/>
  <c r="K291" i="6" s="1"/>
  <c r="H291" i="2"/>
  <c r="L291" i="6" s="1"/>
  <c r="I291" i="2"/>
  <c r="M291" i="6" s="1"/>
  <c r="J291" i="2"/>
  <c r="N291" i="6" s="1"/>
  <c r="K291" i="2"/>
  <c r="O291" i="6" s="1"/>
  <c r="L291" i="2"/>
  <c r="P291" i="6" s="1"/>
  <c r="M291" i="2"/>
  <c r="Q291" i="6" s="1"/>
  <c r="N291" i="2"/>
  <c r="R291" i="6" s="1"/>
  <c r="O291" i="2"/>
  <c r="S291" i="6" s="1"/>
  <c r="Q291" i="2"/>
  <c r="U291" i="6" s="1"/>
  <c r="V291" i="6"/>
  <c r="W291" i="6"/>
  <c r="E291" i="2"/>
  <c r="I291" i="6" s="1"/>
  <c r="X290" i="2"/>
  <c r="AB290" i="6" s="1"/>
  <c r="W290" i="2"/>
  <c r="AA290" i="6" s="1"/>
  <c r="V290" i="2"/>
  <c r="Z290" i="6" s="1"/>
  <c r="U290" i="2"/>
  <c r="Y290" i="6" s="1"/>
  <c r="F290" i="2"/>
  <c r="J290" i="6" s="1"/>
  <c r="G290" i="2"/>
  <c r="K290" i="6" s="1"/>
  <c r="H290" i="2"/>
  <c r="L290" i="6" s="1"/>
  <c r="I290" i="2"/>
  <c r="J290" i="2"/>
  <c r="N290" i="6" s="1"/>
  <c r="K290" i="2"/>
  <c r="O290" i="6" s="1"/>
  <c r="L290" i="2"/>
  <c r="P290" i="6" s="1"/>
  <c r="M290" i="2"/>
  <c r="Q290" i="6" s="1"/>
  <c r="N290" i="2"/>
  <c r="R290" i="6" s="1"/>
  <c r="O290" i="2"/>
  <c r="Q290" i="2"/>
  <c r="U290" i="6" s="1"/>
  <c r="V290" i="6"/>
  <c r="W290" i="6"/>
  <c r="E290" i="2"/>
  <c r="I290" i="6" s="1"/>
  <c r="X289" i="2"/>
  <c r="W289" i="2"/>
  <c r="AA289" i="6" s="1"/>
  <c r="V289" i="2"/>
  <c r="Z289" i="6" s="1"/>
  <c r="U289" i="2"/>
  <c r="Y289" i="6" s="1"/>
  <c r="F289" i="2"/>
  <c r="J289" i="6" s="1"/>
  <c r="G289" i="2"/>
  <c r="K289" i="6" s="1"/>
  <c r="H289" i="2"/>
  <c r="L289" i="6" s="1"/>
  <c r="I289" i="2"/>
  <c r="M289" i="6" s="1"/>
  <c r="J289" i="2"/>
  <c r="N289" i="6" s="1"/>
  <c r="K289" i="2"/>
  <c r="O289" i="6" s="1"/>
  <c r="L289" i="2"/>
  <c r="P289" i="6" s="1"/>
  <c r="M289" i="2"/>
  <c r="Q289" i="6" s="1"/>
  <c r="N289" i="2"/>
  <c r="R289" i="6" s="1"/>
  <c r="O289" i="2"/>
  <c r="S289" i="6" s="1"/>
  <c r="Q289" i="2"/>
  <c r="U289" i="6" s="1"/>
  <c r="V289" i="6"/>
  <c r="W289" i="6"/>
  <c r="E289" i="2"/>
  <c r="I289" i="6" s="1"/>
  <c r="X288" i="2"/>
  <c r="AB288" i="6" s="1"/>
  <c r="W288" i="2"/>
  <c r="AA288" i="6" s="1"/>
  <c r="V288" i="2"/>
  <c r="Z288" i="6" s="1"/>
  <c r="U288" i="2"/>
  <c r="Y288" i="6" s="1"/>
  <c r="F288" i="2"/>
  <c r="J288" i="6" s="1"/>
  <c r="G288" i="2"/>
  <c r="K288" i="6" s="1"/>
  <c r="H288" i="2"/>
  <c r="L288" i="6" s="1"/>
  <c r="I288" i="2"/>
  <c r="M288" i="6" s="1"/>
  <c r="J288" i="2"/>
  <c r="N288" i="6" s="1"/>
  <c r="K288" i="2"/>
  <c r="O288" i="6" s="1"/>
  <c r="L288" i="2"/>
  <c r="P288" i="6" s="1"/>
  <c r="M288" i="2"/>
  <c r="Q288" i="6" s="1"/>
  <c r="N288" i="2"/>
  <c r="R288" i="6" s="1"/>
  <c r="O288" i="2"/>
  <c r="S288" i="6" s="1"/>
  <c r="Q288" i="2"/>
  <c r="U288" i="6" s="1"/>
  <c r="V288" i="6"/>
  <c r="W288" i="6"/>
  <c r="E288" i="2"/>
  <c r="I288" i="6" s="1"/>
  <c r="X287" i="2"/>
  <c r="AB287" i="6" s="1"/>
  <c r="W287" i="2"/>
  <c r="AA287" i="6" s="1"/>
  <c r="V287" i="2"/>
  <c r="Z287" i="6" s="1"/>
  <c r="U287" i="2"/>
  <c r="Y287" i="6" s="1"/>
  <c r="F287" i="2"/>
  <c r="J287" i="6" s="1"/>
  <c r="G287" i="2"/>
  <c r="K287" i="6" s="1"/>
  <c r="H287" i="2"/>
  <c r="L287" i="6" s="1"/>
  <c r="I287" i="2"/>
  <c r="M287" i="6" s="1"/>
  <c r="J287" i="2"/>
  <c r="N287" i="6" s="1"/>
  <c r="K287" i="2"/>
  <c r="O287" i="6" s="1"/>
  <c r="L287" i="2"/>
  <c r="P287" i="6" s="1"/>
  <c r="M287" i="2"/>
  <c r="Q287" i="6" s="1"/>
  <c r="N287" i="2"/>
  <c r="R287" i="6" s="1"/>
  <c r="O287" i="2"/>
  <c r="S287" i="6" s="1"/>
  <c r="Q287" i="2"/>
  <c r="V287" i="6"/>
  <c r="W287" i="6"/>
  <c r="E287" i="2"/>
  <c r="I287" i="6" s="1"/>
  <c r="X286" i="2"/>
  <c r="AB286" i="6" s="1"/>
  <c r="W286" i="2"/>
  <c r="AA286" i="6" s="1"/>
  <c r="V286" i="2"/>
  <c r="Z286" i="6" s="1"/>
  <c r="U286" i="2"/>
  <c r="Y286" i="6" s="1"/>
  <c r="F286" i="2"/>
  <c r="J286" i="6" s="1"/>
  <c r="G286" i="2"/>
  <c r="K286" i="6" s="1"/>
  <c r="H286" i="2"/>
  <c r="L286" i="6" s="1"/>
  <c r="I286" i="2"/>
  <c r="M286" i="6" s="1"/>
  <c r="J286" i="2"/>
  <c r="N286" i="6" s="1"/>
  <c r="K286" i="2"/>
  <c r="O286" i="6" s="1"/>
  <c r="L286" i="2"/>
  <c r="M286" i="2"/>
  <c r="N286" i="2"/>
  <c r="R286" i="6" s="1"/>
  <c r="O286" i="2"/>
  <c r="S286" i="6" s="1"/>
  <c r="Q286" i="2"/>
  <c r="U286" i="6" s="1"/>
  <c r="W286" i="6"/>
  <c r="E286" i="2"/>
  <c r="I286" i="6" s="1"/>
  <c r="X285" i="2"/>
  <c r="W285" i="2"/>
  <c r="AA285" i="6" s="1"/>
  <c r="V285" i="2"/>
  <c r="U285" i="2"/>
  <c r="Y285" i="6" s="1"/>
  <c r="F285" i="2"/>
  <c r="G285" i="2"/>
  <c r="K285" i="6" s="1"/>
  <c r="H285" i="2"/>
  <c r="I285" i="2"/>
  <c r="M285" i="6" s="1"/>
  <c r="J285" i="2"/>
  <c r="K285" i="2"/>
  <c r="O285" i="6" s="1"/>
  <c r="L285" i="2"/>
  <c r="P285" i="6" s="1"/>
  <c r="M285" i="2"/>
  <c r="Q285" i="6" s="1"/>
  <c r="N285" i="2"/>
  <c r="O285" i="2"/>
  <c r="S285" i="6" s="1"/>
  <c r="Q285" i="2"/>
  <c r="U285" i="6" s="1"/>
  <c r="E285" i="2"/>
  <c r="I285" i="6" s="1"/>
  <c r="X284" i="2"/>
  <c r="AB284" i="6" s="1"/>
  <c r="W284" i="2"/>
  <c r="V284" i="2"/>
  <c r="Z284" i="6" s="1"/>
  <c r="U284" i="2"/>
  <c r="F284" i="2"/>
  <c r="G284" i="2"/>
  <c r="H284" i="2"/>
  <c r="L284" i="6" s="1"/>
  <c r="I284" i="2"/>
  <c r="M284" i="6" s="1"/>
  <c r="J284" i="2"/>
  <c r="N284" i="6" s="1"/>
  <c r="K284" i="2"/>
  <c r="L284" i="2"/>
  <c r="P284" i="6" s="1"/>
  <c r="M284" i="2"/>
  <c r="Q284" i="6" s="1"/>
  <c r="N284" i="2"/>
  <c r="O284" i="2"/>
  <c r="Q284" i="2"/>
  <c r="U284" i="6" s="1"/>
  <c r="V284" i="6"/>
  <c r="W284" i="6"/>
  <c r="E284" i="2"/>
  <c r="X283" i="2"/>
  <c r="AB283" i="6" s="1"/>
  <c r="W283" i="2"/>
  <c r="AA283" i="6" s="1"/>
  <c r="V283" i="2"/>
  <c r="Z283" i="6" s="1"/>
  <c r="U283" i="2"/>
  <c r="Y283" i="6" s="1"/>
  <c r="F283" i="2"/>
  <c r="J283" i="6" s="1"/>
  <c r="G283" i="2"/>
  <c r="K283" i="6" s="1"/>
  <c r="H283" i="2"/>
  <c r="L283" i="6" s="1"/>
  <c r="I283" i="2"/>
  <c r="M283" i="6" s="1"/>
  <c r="J283" i="2"/>
  <c r="N283" i="6" s="1"/>
  <c r="K283" i="2"/>
  <c r="O283" i="6" s="1"/>
  <c r="L283" i="2"/>
  <c r="P283" i="6" s="1"/>
  <c r="M283" i="2"/>
  <c r="Q283" i="6" s="1"/>
  <c r="N283" i="2"/>
  <c r="R283" i="6" s="1"/>
  <c r="O283" i="2"/>
  <c r="S283" i="6" s="1"/>
  <c r="Q283" i="2"/>
  <c r="U283" i="6" s="1"/>
  <c r="V283" i="6"/>
  <c r="W283" i="6"/>
  <c r="E283" i="2"/>
  <c r="I283" i="6" s="1"/>
  <c r="X282" i="2"/>
  <c r="AB282" i="6" s="1"/>
  <c r="W282" i="2"/>
  <c r="AA282" i="6" s="1"/>
  <c r="V282" i="2"/>
  <c r="Z282" i="6" s="1"/>
  <c r="U282" i="2"/>
  <c r="Y282" i="6" s="1"/>
  <c r="F282" i="2"/>
  <c r="J282" i="6" s="1"/>
  <c r="G282" i="2"/>
  <c r="K282" i="6" s="1"/>
  <c r="H282" i="2"/>
  <c r="L282" i="6" s="1"/>
  <c r="I282" i="2"/>
  <c r="M282" i="6" s="1"/>
  <c r="J282" i="2"/>
  <c r="N282" i="6" s="1"/>
  <c r="K282" i="2"/>
  <c r="O282" i="6" s="1"/>
  <c r="L282" i="2"/>
  <c r="P282" i="6" s="1"/>
  <c r="M282" i="2"/>
  <c r="Q282" i="6" s="1"/>
  <c r="N282" i="2"/>
  <c r="R282" i="6" s="1"/>
  <c r="O282" i="2"/>
  <c r="S282" i="6" s="1"/>
  <c r="Q282" i="2"/>
  <c r="U282" i="6" s="1"/>
  <c r="V282" i="6"/>
  <c r="W282" i="6"/>
  <c r="E282" i="2"/>
  <c r="I282" i="6" s="1"/>
  <c r="X281" i="2"/>
  <c r="AB281" i="6" s="1"/>
  <c r="W281" i="2"/>
  <c r="AA281" i="6" s="1"/>
  <c r="V281" i="2"/>
  <c r="Z281" i="6" s="1"/>
  <c r="U281" i="2"/>
  <c r="Y281" i="6" s="1"/>
  <c r="F281" i="2"/>
  <c r="J281" i="6" s="1"/>
  <c r="G281" i="2"/>
  <c r="K281" i="6" s="1"/>
  <c r="H281" i="2"/>
  <c r="L281" i="6" s="1"/>
  <c r="I281" i="2"/>
  <c r="M281" i="6" s="1"/>
  <c r="J281" i="2"/>
  <c r="N281" i="6" s="1"/>
  <c r="K281" i="2"/>
  <c r="O281" i="6" s="1"/>
  <c r="L281" i="2"/>
  <c r="M281" i="2"/>
  <c r="N281" i="2"/>
  <c r="R281" i="6" s="1"/>
  <c r="O281" i="2"/>
  <c r="S281" i="6" s="1"/>
  <c r="Q281" i="2"/>
  <c r="U281" i="6" s="1"/>
  <c r="V281" i="6"/>
  <c r="W281" i="6"/>
  <c r="E281" i="2"/>
  <c r="I281" i="6" s="1"/>
  <c r="X280" i="2"/>
  <c r="AB280" i="6" s="1"/>
  <c r="W280" i="2"/>
  <c r="AA280" i="6" s="1"/>
  <c r="V280" i="2"/>
  <c r="Z280" i="6" s="1"/>
  <c r="U280" i="2"/>
  <c r="Y280" i="6" s="1"/>
  <c r="F280" i="2"/>
  <c r="J280" i="6" s="1"/>
  <c r="G280" i="2"/>
  <c r="K280" i="6" s="1"/>
  <c r="H280" i="2"/>
  <c r="L280" i="6" s="1"/>
  <c r="I280" i="2"/>
  <c r="M280" i="6" s="1"/>
  <c r="J280" i="2"/>
  <c r="N280" i="6" s="1"/>
  <c r="K280" i="2"/>
  <c r="O280" i="6" s="1"/>
  <c r="L280" i="2"/>
  <c r="P280" i="6" s="1"/>
  <c r="M280" i="2"/>
  <c r="Q280" i="6" s="1"/>
  <c r="N280" i="2"/>
  <c r="R280" i="6" s="1"/>
  <c r="O280" i="2"/>
  <c r="S280" i="6" s="1"/>
  <c r="Q280" i="2"/>
  <c r="U280" i="6" s="1"/>
  <c r="V280" i="6"/>
  <c r="W280" i="6"/>
  <c r="E280" i="2"/>
  <c r="I280" i="6" s="1"/>
  <c r="X279" i="2"/>
  <c r="AB279" i="6" s="1"/>
  <c r="W279" i="2"/>
  <c r="AA279" i="6" s="1"/>
  <c r="V279" i="2"/>
  <c r="Z279" i="3" s="1"/>
  <c r="U279" i="2"/>
  <c r="Y279" i="6" s="1"/>
  <c r="F279" i="2"/>
  <c r="G279" i="2"/>
  <c r="K279" i="6" s="1"/>
  <c r="H279" i="2"/>
  <c r="L279" i="6" s="1"/>
  <c r="I279" i="2"/>
  <c r="M279" i="6" s="1"/>
  <c r="J279" i="2"/>
  <c r="K279" i="2"/>
  <c r="O279" i="6" s="1"/>
  <c r="L279" i="2"/>
  <c r="P279" i="6" s="1"/>
  <c r="M279" i="2"/>
  <c r="Q279" i="6" s="1"/>
  <c r="N279" i="2"/>
  <c r="R279" i="6" s="1"/>
  <c r="O279" i="2"/>
  <c r="S279" i="6" s="1"/>
  <c r="Q279" i="2"/>
  <c r="V279" i="6"/>
  <c r="E279" i="2"/>
  <c r="I279" i="6" s="1"/>
  <c r="X278" i="2"/>
  <c r="AB278" i="6" s="1"/>
  <c r="W278" i="2"/>
  <c r="AA278" i="6" s="1"/>
  <c r="V278" i="2"/>
  <c r="Z278" i="6" s="1"/>
  <c r="U278" i="2"/>
  <c r="Y278" i="6" s="1"/>
  <c r="F278" i="2"/>
  <c r="J278" i="6" s="1"/>
  <c r="G278" i="2"/>
  <c r="K278" i="6" s="1"/>
  <c r="H278" i="2"/>
  <c r="L278" i="6" s="1"/>
  <c r="I278" i="2"/>
  <c r="M278" i="6" s="1"/>
  <c r="J278" i="2"/>
  <c r="N278" i="6" s="1"/>
  <c r="K278" i="2"/>
  <c r="O278" i="6" s="1"/>
  <c r="L278" i="2"/>
  <c r="P278" i="6" s="1"/>
  <c r="M278" i="2"/>
  <c r="Q278" i="6" s="1"/>
  <c r="N278" i="2"/>
  <c r="R278" i="6" s="1"/>
  <c r="O278" i="2"/>
  <c r="S278" i="6" s="1"/>
  <c r="Q278" i="2"/>
  <c r="U278" i="6" s="1"/>
  <c r="V278" i="6"/>
  <c r="W278" i="6"/>
  <c r="E278" i="2"/>
  <c r="I278" i="6" s="1"/>
  <c r="X277" i="2"/>
  <c r="AB277" i="6" s="1"/>
  <c r="W277" i="2"/>
  <c r="AA277" i="6" s="1"/>
  <c r="V277" i="2"/>
  <c r="Z277" i="6" s="1"/>
  <c r="U277" i="2"/>
  <c r="Y277" i="6" s="1"/>
  <c r="F277" i="2"/>
  <c r="J277" i="6" s="1"/>
  <c r="G277" i="2"/>
  <c r="K277" i="6" s="1"/>
  <c r="H277" i="2"/>
  <c r="L277" i="6" s="1"/>
  <c r="I277" i="2"/>
  <c r="M277" i="6" s="1"/>
  <c r="J277" i="2"/>
  <c r="N277" i="6" s="1"/>
  <c r="K277" i="2"/>
  <c r="O277" i="6" s="1"/>
  <c r="L277" i="2"/>
  <c r="M277" i="2"/>
  <c r="Q277" i="6" s="1"/>
  <c r="N277" i="2"/>
  <c r="O277" i="2"/>
  <c r="S277" i="6" s="1"/>
  <c r="Q277" i="2"/>
  <c r="U277" i="6" s="1"/>
  <c r="V277" i="6"/>
  <c r="W277" i="6"/>
  <c r="E277" i="2"/>
  <c r="I277" i="6" s="1"/>
  <c r="X276" i="2"/>
  <c r="AB276" i="6" s="1"/>
  <c r="W276" i="2"/>
  <c r="AA276" i="6" s="1"/>
  <c r="V276" i="2"/>
  <c r="Z276" i="6" s="1"/>
  <c r="U276" i="2"/>
  <c r="Y276" i="6" s="1"/>
  <c r="F276" i="2"/>
  <c r="J276" i="6" s="1"/>
  <c r="G276" i="2"/>
  <c r="K276" i="6" s="1"/>
  <c r="H276" i="2"/>
  <c r="L276" i="6" s="1"/>
  <c r="I276" i="2"/>
  <c r="M276" i="6" s="1"/>
  <c r="J276" i="2"/>
  <c r="N276" i="6" s="1"/>
  <c r="K276" i="2"/>
  <c r="O276" i="6" s="1"/>
  <c r="L276" i="2"/>
  <c r="P276" i="6" s="1"/>
  <c r="M276" i="2"/>
  <c r="Q276" i="6" s="1"/>
  <c r="N276" i="2"/>
  <c r="R276" i="6" s="1"/>
  <c r="O276" i="2"/>
  <c r="S276" i="6" s="1"/>
  <c r="Q276" i="2"/>
  <c r="U276" i="6" s="1"/>
  <c r="V276" i="6"/>
  <c r="W276" i="6"/>
  <c r="E276" i="2"/>
  <c r="I276" i="6" s="1"/>
  <c r="X275" i="2"/>
  <c r="AB275" i="6" s="1"/>
  <c r="W275" i="2"/>
  <c r="AA275" i="6" s="1"/>
  <c r="Z275" i="6"/>
  <c r="Y275" i="6"/>
  <c r="F275" i="2"/>
  <c r="J275" i="6" s="1"/>
  <c r="G275" i="2"/>
  <c r="K275" i="6" s="1"/>
  <c r="H275" i="2"/>
  <c r="L275" i="6" s="1"/>
  <c r="I275" i="2"/>
  <c r="M275" i="6" s="1"/>
  <c r="J275" i="2"/>
  <c r="N275" i="6" s="1"/>
  <c r="K275" i="2"/>
  <c r="O275" i="6" s="1"/>
  <c r="L275" i="2"/>
  <c r="P275" i="6" s="1"/>
  <c r="M275" i="2"/>
  <c r="Q275" i="6" s="1"/>
  <c r="N275" i="2"/>
  <c r="R275" i="6" s="1"/>
  <c r="O275" i="2"/>
  <c r="S275" i="6" s="1"/>
  <c r="Q275" i="2"/>
  <c r="U275" i="6" s="1"/>
  <c r="V275" i="6"/>
  <c r="W275" i="6"/>
  <c r="E275" i="2"/>
  <c r="I275" i="6" s="1"/>
  <c r="X274" i="2"/>
  <c r="AB274" i="6" s="1"/>
  <c r="W274" i="2"/>
  <c r="V274" i="2"/>
  <c r="Z274" i="6" s="1"/>
  <c r="U274" i="2"/>
  <c r="F274" i="2"/>
  <c r="J274" i="6" s="1"/>
  <c r="G274" i="2"/>
  <c r="H274" i="2"/>
  <c r="L274" i="6" s="1"/>
  <c r="I274" i="2"/>
  <c r="J274" i="2"/>
  <c r="N274" i="6" s="1"/>
  <c r="K274" i="2"/>
  <c r="L274" i="2"/>
  <c r="P274" i="6" s="1"/>
  <c r="M274" i="2"/>
  <c r="N274" i="2"/>
  <c r="R274" i="6" s="1"/>
  <c r="O274" i="2"/>
  <c r="Q274" i="2"/>
  <c r="U274" i="6" s="1"/>
  <c r="W274" i="6"/>
  <c r="E274" i="2"/>
  <c r="X273" i="2"/>
  <c r="W273" i="2"/>
  <c r="AA273" i="6" s="1"/>
  <c r="V273" i="2"/>
  <c r="Z273" i="6" s="1"/>
  <c r="U273" i="2"/>
  <c r="Y273" i="6" s="1"/>
  <c r="F273" i="2"/>
  <c r="J273" i="6" s="1"/>
  <c r="G273" i="2"/>
  <c r="K273" i="6" s="1"/>
  <c r="H273" i="2"/>
  <c r="L273" i="6" s="1"/>
  <c r="I273" i="2"/>
  <c r="M273" i="6" s="1"/>
  <c r="J273" i="2"/>
  <c r="N273" i="6" s="1"/>
  <c r="K273" i="2"/>
  <c r="O273" i="6" s="1"/>
  <c r="L273" i="2"/>
  <c r="P273" i="6" s="1"/>
  <c r="M273" i="2"/>
  <c r="Q273" i="6" s="1"/>
  <c r="N273" i="2"/>
  <c r="R273" i="6" s="1"/>
  <c r="O273" i="2"/>
  <c r="S273" i="6" s="1"/>
  <c r="Q273" i="2"/>
  <c r="U273" i="6" s="1"/>
  <c r="V273" i="6"/>
  <c r="W273" i="6"/>
  <c r="E273" i="2"/>
  <c r="I273" i="6" s="1"/>
  <c r="X272" i="2"/>
  <c r="AB272" i="6" s="1"/>
  <c r="W272" i="2"/>
  <c r="AA272" i="6" s="1"/>
  <c r="V272" i="2"/>
  <c r="Z272" i="6" s="1"/>
  <c r="U272" i="2"/>
  <c r="Y272" i="6" s="1"/>
  <c r="F272" i="2"/>
  <c r="J272" i="6" s="1"/>
  <c r="G272" i="2"/>
  <c r="K272" i="6" s="1"/>
  <c r="H272" i="2"/>
  <c r="L272" i="6" s="1"/>
  <c r="I272" i="2"/>
  <c r="M272" i="6" s="1"/>
  <c r="J272" i="2"/>
  <c r="N272" i="6" s="1"/>
  <c r="K272" i="2"/>
  <c r="O272" i="6" s="1"/>
  <c r="L272" i="2"/>
  <c r="P272" i="6" s="1"/>
  <c r="M272" i="2"/>
  <c r="Q272" i="6" s="1"/>
  <c r="N272" i="2"/>
  <c r="R272" i="6" s="1"/>
  <c r="O272" i="2"/>
  <c r="S272" i="6" s="1"/>
  <c r="Q272" i="2"/>
  <c r="U272" i="6" s="1"/>
  <c r="V272" i="6"/>
  <c r="W272" i="6"/>
  <c r="E272" i="2"/>
  <c r="I272" i="6" s="1"/>
  <c r="X271" i="2"/>
  <c r="AB271" i="6" s="1"/>
  <c r="W271" i="2"/>
  <c r="AA271" i="6" s="1"/>
  <c r="V271" i="2"/>
  <c r="Z271" i="6" s="1"/>
  <c r="U271" i="2"/>
  <c r="Y271" i="6" s="1"/>
  <c r="F271" i="2"/>
  <c r="J271" i="6" s="1"/>
  <c r="G271" i="2"/>
  <c r="K271" i="6" s="1"/>
  <c r="H271" i="2"/>
  <c r="L271" i="6" s="1"/>
  <c r="I271" i="2"/>
  <c r="M271" i="6" s="1"/>
  <c r="J271" i="2"/>
  <c r="N271" i="6" s="1"/>
  <c r="K271" i="2"/>
  <c r="O271" i="6" s="1"/>
  <c r="L271" i="2"/>
  <c r="P271" i="6" s="1"/>
  <c r="M271" i="2"/>
  <c r="Q271" i="6" s="1"/>
  <c r="N271" i="2"/>
  <c r="R271" i="6" s="1"/>
  <c r="O271" i="2"/>
  <c r="S271" i="6" s="1"/>
  <c r="Q271" i="2"/>
  <c r="U271" i="6" s="1"/>
  <c r="V271" i="6"/>
  <c r="W271" i="6"/>
  <c r="E271" i="2"/>
  <c r="I271" i="6" s="1"/>
  <c r="X270" i="2"/>
  <c r="AB270" i="6" s="1"/>
  <c r="W270" i="2"/>
  <c r="AA270" i="6" s="1"/>
  <c r="V270" i="2"/>
  <c r="Z270" i="6" s="1"/>
  <c r="U270" i="2"/>
  <c r="Y270" i="6" s="1"/>
  <c r="F270" i="2"/>
  <c r="J270" i="6" s="1"/>
  <c r="G270" i="2"/>
  <c r="K270" i="6" s="1"/>
  <c r="H270" i="2"/>
  <c r="L270" i="6" s="1"/>
  <c r="I270" i="2"/>
  <c r="M270" i="6" s="1"/>
  <c r="J270" i="2"/>
  <c r="N270" i="6" s="1"/>
  <c r="K270" i="2"/>
  <c r="O270" i="6" s="1"/>
  <c r="L270" i="2"/>
  <c r="P270" i="6" s="1"/>
  <c r="M270" i="2"/>
  <c r="Q270" i="6" s="1"/>
  <c r="N270" i="2"/>
  <c r="R270" i="6" s="1"/>
  <c r="O270" i="2"/>
  <c r="S270" i="6" s="1"/>
  <c r="Q270" i="2"/>
  <c r="U270" i="6" s="1"/>
  <c r="V270" i="6"/>
  <c r="W270" i="6"/>
  <c r="E270" i="2"/>
  <c r="I270" i="6" s="1"/>
  <c r="X269" i="2"/>
  <c r="AB269" i="6" s="1"/>
  <c r="W269" i="2"/>
  <c r="AA269" i="6" s="1"/>
  <c r="V269" i="2"/>
  <c r="U269" i="2"/>
  <c r="Y269" i="6" s="1"/>
  <c r="F269" i="2"/>
  <c r="G269" i="2"/>
  <c r="K269" i="6" s="1"/>
  <c r="H269" i="2"/>
  <c r="L269" i="6" s="1"/>
  <c r="I269" i="2"/>
  <c r="J269" i="2"/>
  <c r="K269" i="2"/>
  <c r="O269" i="6" s="1"/>
  <c r="L269" i="2"/>
  <c r="M269" i="2"/>
  <c r="Q269" i="6" s="1"/>
  <c r="N269" i="2"/>
  <c r="O269" i="2"/>
  <c r="S269" i="6" s="1"/>
  <c r="Q269" i="2"/>
  <c r="E269" i="2"/>
  <c r="I269" i="6" s="1"/>
  <c r="X268" i="2"/>
  <c r="W268" i="2"/>
  <c r="AA268" i="6" s="1"/>
  <c r="V268" i="2"/>
  <c r="Z268" i="6" s="1"/>
  <c r="U268" i="2"/>
  <c r="Y268" i="6" s="1"/>
  <c r="F268" i="2"/>
  <c r="J268" i="6" s="1"/>
  <c r="G268" i="2"/>
  <c r="K268" i="6" s="1"/>
  <c r="H268" i="2"/>
  <c r="L268" i="6" s="1"/>
  <c r="I268" i="2"/>
  <c r="M268" i="6" s="1"/>
  <c r="J268" i="2"/>
  <c r="N268" i="6" s="1"/>
  <c r="K268" i="2"/>
  <c r="O268" i="6" s="1"/>
  <c r="L268" i="2"/>
  <c r="P268" i="6" s="1"/>
  <c r="M268" i="2"/>
  <c r="Q268" i="6" s="1"/>
  <c r="N268" i="2"/>
  <c r="R268" i="6" s="1"/>
  <c r="O268" i="2"/>
  <c r="S268" i="6" s="1"/>
  <c r="Q268" i="2"/>
  <c r="U268" i="6" s="1"/>
  <c r="V268" i="6"/>
  <c r="W268" i="6"/>
  <c r="E268" i="2"/>
  <c r="I268" i="6" s="1"/>
  <c r="X267" i="2"/>
  <c r="AB267" i="6" s="1"/>
  <c r="W267" i="2"/>
  <c r="AA267" i="6" s="1"/>
  <c r="V267" i="2"/>
  <c r="Z267" i="6" s="1"/>
  <c r="U267" i="2"/>
  <c r="Y267" i="6" s="1"/>
  <c r="F267" i="2"/>
  <c r="J267" i="6" s="1"/>
  <c r="G267" i="2"/>
  <c r="K267" i="6" s="1"/>
  <c r="H267" i="2"/>
  <c r="I267" i="2"/>
  <c r="M267" i="6" s="1"/>
  <c r="J267" i="2"/>
  <c r="N267" i="6" s="1"/>
  <c r="K267" i="2"/>
  <c r="O267" i="6" s="1"/>
  <c r="L267" i="2"/>
  <c r="P267" i="6" s="1"/>
  <c r="M267" i="2"/>
  <c r="Q267" i="6" s="1"/>
  <c r="N267" i="2"/>
  <c r="R267" i="6" s="1"/>
  <c r="O267" i="2"/>
  <c r="S267" i="6" s="1"/>
  <c r="Q267" i="2"/>
  <c r="U267" i="6" s="1"/>
  <c r="V267" i="6"/>
  <c r="W267" i="6"/>
  <c r="E267" i="2"/>
  <c r="I267" i="6" s="1"/>
  <c r="X266" i="2"/>
  <c r="AB266" i="6" s="1"/>
  <c r="W266" i="2"/>
  <c r="AA266" i="6" s="1"/>
  <c r="V266" i="2"/>
  <c r="Z266" i="6" s="1"/>
  <c r="U266" i="2"/>
  <c r="F266" i="2"/>
  <c r="J266" i="6" s="1"/>
  <c r="G266" i="2"/>
  <c r="K266" i="6" s="1"/>
  <c r="H266" i="2"/>
  <c r="L266" i="6" s="1"/>
  <c r="I266" i="2"/>
  <c r="M266" i="6" s="1"/>
  <c r="J266" i="2"/>
  <c r="N266" i="6" s="1"/>
  <c r="K266" i="2"/>
  <c r="O266" i="6" s="1"/>
  <c r="L266" i="2"/>
  <c r="P266" i="6" s="1"/>
  <c r="M266" i="2"/>
  <c r="Q266" i="6" s="1"/>
  <c r="N266" i="2"/>
  <c r="R266" i="6" s="1"/>
  <c r="O266" i="2"/>
  <c r="S266" i="6" s="1"/>
  <c r="Q266" i="2"/>
  <c r="U266" i="6" s="1"/>
  <c r="V266" i="6"/>
  <c r="W266" i="6"/>
  <c r="E266" i="2"/>
  <c r="I266" i="6" s="1"/>
  <c r="X265" i="2"/>
  <c r="AB265" i="6" s="1"/>
  <c r="W265" i="2"/>
  <c r="AA265" i="6" s="1"/>
  <c r="V265" i="2"/>
  <c r="Z265" i="6" s="1"/>
  <c r="U265" i="2"/>
  <c r="Y265" i="6" s="1"/>
  <c r="F265" i="2"/>
  <c r="J265" i="6" s="1"/>
  <c r="G265" i="2"/>
  <c r="K265" i="6" s="1"/>
  <c r="H265" i="2"/>
  <c r="L265" i="6" s="1"/>
  <c r="I265" i="2"/>
  <c r="M265" i="6" s="1"/>
  <c r="J265" i="2"/>
  <c r="N265" i="6" s="1"/>
  <c r="K265" i="2"/>
  <c r="O265" i="6" s="1"/>
  <c r="L265" i="2"/>
  <c r="P265" i="6" s="1"/>
  <c r="M265" i="2"/>
  <c r="Q265" i="6" s="1"/>
  <c r="N265" i="2"/>
  <c r="R265" i="6" s="1"/>
  <c r="O265" i="2"/>
  <c r="S265" i="6" s="1"/>
  <c r="Q265" i="2"/>
  <c r="U265" i="6" s="1"/>
  <c r="V265" i="6"/>
  <c r="W265" i="6"/>
  <c r="E265" i="2"/>
  <c r="I265" i="6" s="1"/>
  <c r="X264" i="2"/>
  <c r="AB264" i="6" s="1"/>
  <c r="W264" i="2"/>
  <c r="AA264" i="6" s="1"/>
  <c r="V264" i="2"/>
  <c r="Z264" i="6" s="1"/>
  <c r="U264" i="2"/>
  <c r="Y264" i="6" s="1"/>
  <c r="F264" i="2"/>
  <c r="J264" i="6" s="1"/>
  <c r="G264" i="2"/>
  <c r="K264" i="6" s="1"/>
  <c r="H264" i="2"/>
  <c r="L264" i="6" s="1"/>
  <c r="I264" i="2"/>
  <c r="M264" i="6" s="1"/>
  <c r="J264" i="2"/>
  <c r="N264" i="6" s="1"/>
  <c r="K264" i="2"/>
  <c r="O264" i="6" s="1"/>
  <c r="L264" i="2"/>
  <c r="P264" i="6" s="1"/>
  <c r="M264" i="2"/>
  <c r="Q264" i="6" s="1"/>
  <c r="N264" i="2"/>
  <c r="R264" i="6" s="1"/>
  <c r="O264" i="2"/>
  <c r="Q264" i="2"/>
  <c r="U264" i="6" s="1"/>
  <c r="V264" i="6"/>
  <c r="E264" i="2"/>
  <c r="I264" i="6" s="1"/>
  <c r="X263" i="2"/>
  <c r="AB263" i="6" s="1"/>
  <c r="W263" i="2"/>
  <c r="AA263" i="6" s="1"/>
  <c r="V263" i="2"/>
  <c r="Z263" i="6" s="1"/>
  <c r="U263" i="2"/>
  <c r="Y263" i="6" s="1"/>
  <c r="F263" i="2"/>
  <c r="J263" i="6" s="1"/>
  <c r="G263" i="2"/>
  <c r="K263" i="6" s="1"/>
  <c r="H263" i="2"/>
  <c r="L263" i="6" s="1"/>
  <c r="I263" i="2"/>
  <c r="M263" i="6" s="1"/>
  <c r="J263" i="2"/>
  <c r="N263" i="6" s="1"/>
  <c r="K263" i="2"/>
  <c r="O263" i="6" s="1"/>
  <c r="L263" i="2"/>
  <c r="P263" i="6" s="1"/>
  <c r="M263" i="2"/>
  <c r="Q263" i="6" s="1"/>
  <c r="N263" i="2"/>
  <c r="R263" i="6" s="1"/>
  <c r="O263" i="2"/>
  <c r="S263" i="6" s="1"/>
  <c r="Q263" i="2"/>
  <c r="U263" i="6" s="1"/>
  <c r="V263" i="6"/>
  <c r="W263" i="6"/>
  <c r="E263" i="2"/>
  <c r="I263" i="6" s="1"/>
  <c r="X262" i="2"/>
  <c r="AB262" i="6" s="1"/>
  <c r="W262" i="2"/>
  <c r="AA262" i="6" s="1"/>
  <c r="V262" i="2"/>
  <c r="Z262" i="6" s="1"/>
  <c r="U262" i="2"/>
  <c r="Y262" i="6" s="1"/>
  <c r="F262" i="2"/>
  <c r="J262" i="6" s="1"/>
  <c r="G262" i="2"/>
  <c r="K262" i="6" s="1"/>
  <c r="H262" i="2"/>
  <c r="L262" i="6" s="1"/>
  <c r="I262" i="2"/>
  <c r="M262" i="6" s="1"/>
  <c r="J262" i="2"/>
  <c r="N262" i="6" s="1"/>
  <c r="K262" i="2"/>
  <c r="O262" i="6" s="1"/>
  <c r="L262" i="2"/>
  <c r="P262" i="6" s="1"/>
  <c r="M262" i="2"/>
  <c r="Q262" i="6" s="1"/>
  <c r="N262" i="2"/>
  <c r="R262" i="6" s="1"/>
  <c r="O262" i="2"/>
  <c r="S262" i="6" s="1"/>
  <c r="Q262" i="2"/>
  <c r="U262" i="6" s="1"/>
  <c r="V262" i="6"/>
  <c r="W262" i="6"/>
  <c r="E262" i="2"/>
  <c r="I262" i="6" s="1"/>
  <c r="X261" i="2"/>
  <c r="AB261" i="6" s="1"/>
  <c r="W261" i="2"/>
  <c r="AA261" i="6" s="1"/>
  <c r="V261" i="2"/>
  <c r="Z261" i="6" s="1"/>
  <c r="U261" i="2"/>
  <c r="Y261" i="6" s="1"/>
  <c r="F261" i="2"/>
  <c r="J261" i="6" s="1"/>
  <c r="G261" i="2"/>
  <c r="K261" i="6" s="1"/>
  <c r="H261" i="2"/>
  <c r="L261" i="6" s="1"/>
  <c r="I261" i="2"/>
  <c r="M261" i="6" s="1"/>
  <c r="J261" i="2"/>
  <c r="N261" i="6" s="1"/>
  <c r="K261" i="2"/>
  <c r="O261" i="6" s="1"/>
  <c r="L261" i="2"/>
  <c r="P261" i="6" s="1"/>
  <c r="M261" i="2"/>
  <c r="Q261" i="6" s="1"/>
  <c r="N261" i="2"/>
  <c r="R261" i="6" s="1"/>
  <c r="O261" i="2"/>
  <c r="S261" i="6" s="1"/>
  <c r="Q261" i="2"/>
  <c r="U261" i="6" s="1"/>
  <c r="V261" i="6"/>
  <c r="W261" i="6"/>
  <c r="E261" i="2"/>
  <c r="I261" i="6" s="1"/>
  <c r="X260" i="2"/>
  <c r="AB260" i="6" s="1"/>
  <c r="W260" i="2"/>
  <c r="AA260" i="6" s="1"/>
  <c r="V260" i="2"/>
  <c r="Z260" i="6" s="1"/>
  <c r="U260" i="2"/>
  <c r="Y260" i="6" s="1"/>
  <c r="F260" i="2"/>
  <c r="J260" i="6" s="1"/>
  <c r="G260" i="2"/>
  <c r="K260" i="6" s="1"/>
  <c r="H260" i="2"/>
  <c r="L260" i="6" s="1"/>
  <c r="I260" i="2"/>
  <c r="M260" i="6" s="1"/>
  <c r="J260" i="2"/>
  <c r="N260" i="6" s="1"/>
  <c r="K260" i="2"/>
  <c r="O260" i="6" s="1"/>
  <c r="L260" i="2"/>
  <c r="P260" i="6" s="1"/>
  <c r="M260" i="2"/>
  <c r="Q260" i="6" s="1"/>
  <c r="N260" i="2"/>
  <c r="R260" i="6" s="1"/>
  <c r="O260" i="2"/>
  <c r="S260" i="6" s="1"/>
  <c r="Q260" i="2"/>
  <c r="U260" i="6" s="1"/>
  <c r="V260" i="6"/>
  <c r="W260" i="6"/>
  <c r="E260" i="2"/>
  <c r="I260" i="6" s="1"/>
  <c r="X259" i="2"/>
  <c r="AB259" i="6" s="1"/>
  <c r="W259" i="2"/>
  <c r="AA259" i="6" s="1"/>
  <c r="V259" i="2"/>
  <c r="Z259" i="6" s="1"/>
  <c r="U259" i="2"/>
  <c r="Y259" i="6" s="1"/>
  <c r="F259" i="2"/>
  <c r="J259" i="6" s="1"/>
  <c r="G259" i="2"/>
  <c r="K259" i="6" s="1"/>
  <c r="H259" i="2"/>
  <c r="I259" i="2"/>
  <c r="M259" i="6" s="1"/>
  <c r="J259" i="2"/>
  <c r="N259" i="6" s="1"/>
  <c r="K259" i="2"/>
  <c r="O259" i="6" s="1"/>
  <c r="L259" i="2"/>
  <c r="P259" i="6" s="1"/>
  <c r="M259" i="2"/>
  <c r="Q259" i="6" s="1"/>
  <c r="N259" i="2"/>
  <c r="R259" i="6" s="1"/>
  <c r="O259" i="2"/>
  <c r="S259" i="6" s="1"/>
  <c r="Q259" i="2"/>
  <c r="U259" i="6" s="1"/>
  <c r="V259" i="6"/>
  <c r="W259" i="6"/>
  <c r="E259" i="2"/>
  <c r="I259" i="6" s="1"/>
  <c r="X258" i="2"/>
  <c r="AB258" i="6" s="1"/>
  <c r="W258" i="2"/>
  <c r="AA258" i="6" s="1"/>
  <c r="V258" i="2"/>
  <c r="Z258" i="6" s="1"/>
  <c r="U258" i="2"/>
  <c r="F258" i="2"/>
  <c r="J258" i="6" s="1"/>
  <c r="G258" i="2"/>
  <c r="K258" i="6" s="1"/>
  <c r="H258" i="2"/>
  <c r="L258" i="6" s="1"/>
  <c r="I258" i="2"/>
  <c r="M258" i="6" s="1"/>
  <c r="J258" i="2"/>
  <c r="N258" i="6" s="1"/>
  <c r="K258" i="2"/>
  <c r="O258" i="6" s="1"/>
  <c r="L258" i="2"/>
  <c r="P258" i="6" s="1"/>
  <c r="M258" i="2"/>
  <c r="Q258" i="6" s="1"/>
  <c r="N258" i="2"/>
  <c r="R258" i="6" s="1"/>
  <c r="O258" i="2"/>
  <c r="S258" i="6" s="1"/>
  <c r="Q258" i="2"/>
  <c r="U258" i="6" s="1"/>
  <c r="V258" i="6"/>
  <c r="W258" i="6"/>
  <c r="E258" i="2"/>
  <c r="I258" i="6" s="1"/>
  <c r="X257" i="2"/>
  <c r="W257" i="2"/>
  <c r="AA257" i="6" s="1"/>
  <c r="V257" i="2"/>
  <c r="Z257" i="6" s="1"/>
  <c r="U257" i="2"/>
  <c r="Y257" i="6" s="1"/>
  <c r="F257" i="2"/>
  <c r="J257" i="6" s="1"/>
  <c r="G257" i="2"/>
  <c r="K257" i="6" s="1"/>
  <c r="H257" i="2"/>
  <c r="L257" i="6" s="1"/>
  <c r="I257" i="2"/>
  <c r="M257" i="6" s="1"/>
  <c r="J257" i="2"/>
  <c r="N257" i="6" s="1"/>
  <c r="K257" i="2"/>
  <c r="O257" i="6" s="1"/>
  <c r="L257" i="2"/>
  <c r="P257" i="6" s="1"/>
  <c r="M257" i="2"/>
  <c r="Q257" i="6" s="1"/>
  <c r="N257" i="2"/>
  <c r="R257" i="6" s="1"/>
  <c r="O257" i="2"/>
  <c r="S257" i="6" s="1"/>
  <c r="Q257" i="2"/>
  <c r="U257" i="6" s="1"/>
  <c r="V257" i="6"/>
  <c r="W257" i="6"/>
  <c r="E257" i="2"/>
  <c r="I257" i="6" s="1"/>
  <c r="X256" i="2"/>
  <c r="AB256" i="6" s="1"/>
  <c r="W256" i="2"/>
  <c r="AA256" i="6" s="1"/>
  <c r="V256" i="2"/>
  <c r="Z256" i="6" s="1"/>
  <c r="U256" i="2"/>
  <c r="Y256" i="6" s="1"/>
  <c r="F256" i="2"/>
  <c r="J256" i="6" s="1"/>
  <c r="G256" i="2"/>
  <c r="K256" i="6" s="1"/>
  <c r="H256" i="2"/>
  <c r="L256" i="6" s="1"/>
  <c r="I256" i="2"/>
  <c r="M256" i="6" s="1"/>
  <c r="J256" i="2"/>
  <c r="N256" i="6" s="1"/>
  <c r="K256" i="2"/>
  <c r="O256" i="6" s="1"/>
  <c r="L256" i="2"/>
  <c r="P256" i="6" s="1"/>
  <c r="M256" i="2"/>
  <c r="Q256" i="6" s="1"/>
  <c r="N256" i="2"/>
  <c r="R256" i="6" s="1"/>
  <c r="O256" i="2"/>
  <c r="Q256" i="2"/>
  <c r="U256" i="6" s="1"/>
  <c r="V256" i="6"/>
  <c r="E256" i="2"/>
  <c r="I256" i="6" s="1"/>
  <c r="X255" i="2"/>
  <c r="W255" i="2"/>
  <c r="V255" i="2"/>
  <c r="U255" i="2"/>
  <c r="F255" i="2"/>
  <c r="G255" i="2"/>
  <c r="H255" i="2"/>
  <c r="I255" i="2"/>
  <c r="J255" i="2"/>
  <c r="K255" i="2"/>
  <c r="L255" i="2"/>
  <c r="M255" i="2"/>
  <c r="N255" i="2"/>
  <c r="O255" i="2"/>
  <c r="Q255" i="2"/>
  <c r="E255" i="2"/>
  <c r="X254" i="2"/>
  <c r="AB254" i="6" s="1"/>
  <c r="W254" i="2"/>
  <c r="AA254" i="6" s="1"/>
  <c r="V254" i="2"/>
  <c r="Z254" i="6" s="1"/>
  <c r="U254" i="2"/>
  <c r="Y254" i="6" s="1"/>
  <c r="F254" i="2"/>
  <c r="J254" i="6" s="1"/>
  <c r="G254" i="2"/>
  <c r="K254" i="6" s="1"/>
  <c r="H254" i="2"/>
  <c r="L254" i="6" s="1"/>
  <c r="I254" i="2"/>
  <c r="M254" i="6" s="1"/>
  <c r="J254" i="2"/>
  <c r="N254" i="6" s="1"/>
  <c r="K254" i="2"/>
  <c r="O254" i="6" s="1"/>
  <c r="L254" i="2"/>
  <c r="P254" i="6" s="1"/>
  <c r="M254" i="2"/>
  <c r="Q254" i="6" s="1"/>
  <c r="N254" i="2"/>
  <c r="R254" i="6" s="1"/>
  <c r="O254" i="2"/>
  <c r="S254" i="6" s="1"/>
  <c r="Q254" i="2"/>
  <c r="U254" i="6" s="1"/>
  <c r="V254" i="6"/>
  <c r="W254" i="6"/>
  <c r="E254" i="2"/>
  <c r="I254" i="6" s="1"/>
  <c r="X253" i="2"/>
  <c r="AB253" i="6" s="1"/>
  <c r="W253" i="2"/>
  <c r="AA253" i="6" s="1"/>
  <c r="V253" i="2"/>
  <c r="Z253" i="6" s="1"/>
  <c r="U253" i="2"/>
  <c r="Y253" i="6" s="1"/>
  <c r="F253" i="2"/>
  <c r="J253" i="6" s="1"/>
  <c r="G253" i="2"/>
  <c r="K253" i="6" s="1"/>
  <c r="H253" i="2"/>
  <c r="L253" i="6" s="1"/>
  <c r="I253" i="2"/>
  <c r="M253" i="6" s="1"/>
  <c r="J253" i="2"/>
  <c r="N253" i="6" s="1"/>
  <c r="K253" i="2"/>
  <c r="O253" i="6" s="1"/>
  <c r="L253" i="2"/>
  <c r="P253" i="6" s="1"/>
  <c r="M253" i="2"/>
  <c r="Q253" i="6" s="1"/>
  <c r="N253" i="2"/>
  <c r="R253" i="6" s="1"/>
  <c r="O253" i="2"/>
  <c r="S253" i="6" s="1"/>
  <c r="Q253" i="2"/>
  <c r="U253" i="6" s="1"/>
  <c r="V253" i="6"/>
  <c r="W253" i="6"/>
  <c r="E253" i="2"/>
  <c r="I253" i="6" s="1"/>
  <c r="X252" i="2"/>
  <c r="AB252" i="6" s="1"/>
  <c r="W252" i="2"/>
  <c r="AA252" i="6" s="1"/>
  <c r="V252" i="2"/>
  <c r="Z252" i="6" s="1"/>
  <c r="U252" i="2"/>
  <c r="Y252" i="6" s="1"/>
  <c r="F252" i="2"/>
  <c r="J252" i="6" s="1"/>
  <c r="G252" i="2"/>
  <c r="K252" i="6" s="1"/>
  <c r="H252" i="2"/>
  <c r="L252" i="6" s="1"/>
  <c r="I252" i="2"/>
  <c r="M252" i="6" s="1"/>
  <c r="J252" i="2"/>
  <c r="N252" i="6" s="1"/>
  <c r="K252" i="2"/>
  <c r="O252" i="6" s="1"/>
  <c r="L252" i="2"/>
  <c r="P252" i="6" s="1"/>
  <c r="M252" i="2"/>
  <c r="Q252" i="6" s="1"/>
  <c r="N252" i="2"/>
  <c r="R252" i="6" s="1"/>
  <c r="O252" i="2"/>
  <c r="Q252" i="2"/>
  <c r="U252" i="6" s="1"/>
  <c r="V252" i="6"/>
  <c r="W252" i="6"/>
  <c r="E252" i="2"/>
  <c r="I252" i="6" s="1"/>
  <c r="X251" i="2"/>
  <c r="AB251" i="6" s="1"/>
  <c r="W251" i="2"/>
  <c r="AA251" i="6" s="1"/>
  <c r="V251" i="2"/>
  <c r="Z251" i="6" s="1"/>
  <c r="U251" i="2"/>
  <c r="Y251" i="6" s="1"/>
  <c r="F251" i="2"/>
  <c r="J251" i="6" s="1"/>
  <c r="G251" i="2"/>
  <c r="K251" i="6" s="1"/>
  <c r="H251" i="2"/>
  <c r="L251" i="6" s="1"/>
  <c r="I251" i="2"/>
  <c r="M251" i="6" s="1"/>
  <c r="J251" i="2"/>
  <c r="N251" i="6" s="1"/>
  <c r="K251" i="2"/>
  <c r="O251" i="6" s="1"/>
  <c r="L251" i="2"/>
  <c r="P251" i="6" s="1"/>
  <c r="M251" i="2"/>
  <c r="Q251" i="6" s="1"/>
  <c r="N251" i="2"/>
  <c r="O251" i="2"/>
  <c r="S251" i="6" s="1"/>
  <c r="Q251" i="2"/>
  <c r="U251" i="6" s="1"/>
  <c r="V251" i="6"/>
  <c r="W251" i="6"/>
  <c r="E251" i="2"/>
  <c r="I251" i="6" s="1"/>
  <c r="X250" i="2"/>
  <c r="AB250" i="6" s="1"/>
  <c r="W250" i="2"/>
  <c r="AA250" i="6" s="1"/>
  <c r="V250" i="2"/>
  <c r="Z250" i="6" s="1"/>
  <c r="U250" i="2"/>
  <c r="Y250" i="6" s="1"/>
  <c r="F250" i="2"/>
  <c r="G250" i="2"/>
  <c r="K250" i="6" s="1"/>
  <c r="H250" i="2"/>
  <c r="I250" i="2"/>
  <c r="M250" i="6" s="1"/>
  <c r="J250" i="2"/>
  <c r="N250" i="6" s="1"/>
  <c r="K250" i="2"/>
  <c r="O250" i="6" s="1"/>
  <c r="L250" i="2"/>
  <c r="M250" i="2"/>
  <c r="Q250" i="6" s="1"/>
  <c r="N250" i="2"/>
  <c r="R250" i="6" s="1"/>
  <c r="O250" i="2"/>
  <c r="S250" i="6" s="1"/>
  <c r="Q250" i="2"/>
  <c r="W250" i="6"/>
  <c r="E250" i="2"/>
  <c r="I250" i="6" s="1"/>
  <c r="X249" i="2"/>
  <c r="AB249" i="6" s="1"/>
  <c r="W249" i="2"/>
  <c r="AA249" i="6" s="1"/>
  <c r="V249" i="2"/>
  <c r="Z249" i="6" s="1"/>
  <c r="U249" i="2"/>
  <c r="Y249" i="6" s="1"/>
  <c r="F249" i="2"/>
  <c r="J249" i="6" s="1"/>
  <c r="G249" i="2"/>
  <c r="K249" i="6" s="1"/>
  <c r="H249" i="2"/>
  <c r="L249" i="6" s="1"/>
  <c r="I249" i="2"/>
  <c r="M249" i="6" s="1"/>
  <c r="J249" i="2"/>
  <c r="N249" i="6" s="1"/>
  <c r="K249" i="2"/>
  <c r="O249" i="6" s="1"/>
  <c r="L249" i="2"/>
  <c r="P249" i="6" s="1"/>
  <c r="M249" i="2"/>
  <c r="Q249" i="6" s="1"/>
  <c r="N249" i="2"/>
  <c r="R249" i="6" s="1"/>
  <c r="O249" i="2"/>
  <c r="S249" i="6" s="1"/>
  <c r="Q249" i="2"/>
  <c r="U249" i="6" s="1"/>
  <c r="W249" i="6"/>
  <c r="E249" i="2"/>
  <c r="I249" i="6" s="1"/>
  <c r="X248" i="2"/>
  <c r="AB248" i="6" s="1"/>
  <c r="W248" i="2"/>
  <c r="AA248" i="6" s="1"/>
  <c r="V248" i="2"/>
  <c r="Z248" i="6" s="1"/>
  <c r="U248" i="2"/>
  <c r="Y248" i="6" s="1"/>
  <c r="F248" i="2"/>
  <c r="J248" i="6" s="1"/>
  <c r="G248" i="2"/>
  <c r="K248" i="6" s="1"/>
  <c r="H248" i="2"/>
  <c r="L248" i="6" s="1"/>
  <c r="I248" i="2"/>
  <c r="M248" i="6" s="1"/>
  <c r="J248" i="2"/>
  <c r="N248" i="6" s="1"/>
  <c r="K248" i="2"/>
  <c r="O248" i="6" s="1"/>
  <c r="L248" i="2"/>
  <c r="P248" i="6" s="1"/>
  <c r="M248" i="2"/>
  <c r="Q248" i="6" s="1"/>
  <c r="N248" i="2"/>
  <c r="O248" i="2"/>
  <c r="S248" i="6" s="1"/>
  <c r="Q248" i="2"/>
  <c r="U248" i="6" s="1"/>
  <c r="V248" i="6"/>
  <c r="W248" i="6"/>
  <c r="E248" i="2"/>
  <c r="I248" i="6" s="1"/>
  <c r="X247" i="2"/>
  <c r="AB247" i="6" s="1"/>
  <c r="W247" i="2"/>
  <c r="V247" i="2"/>
  <c r="Z247" i="6" s="1"/>
  <c r="U247" i="2"/>
  <c r="F247" i="2"/>
  <c r="J247" i="6" s="1"/>
  <c r="G247" i="2"/>
  <c r="H247" i="2"/>
  <c r="I247" i="2"/>
  <c r="J247" i="2"/>
  <c r="K247" i="2"/>
  <c r="L247" i="2"/>
  <c r="P247" i="6" s="1"/>
  <c r="M247" i="2"/>
  <c r="N247" i="2"/>
  <c r="R247" i="6" s="1"/>
  <c r="O247" i="2"/>
  <c r="Q247" i="2"/>
  <c r="E247" i="2"/>
  <c r="X246" i="2"/>
  <c r="W246" i="2"/>
  <c r="V246" i="2"/>
  <c r="U246" i="2"/>
  <c r="F246" i="2"/>
  <c r="G246" i="2"/>
  <c r="H246" i="2"/>
  <c r="I246" i="2"/>
  <c r="J246" i="2"/>
  <c r="K246" i="2"/>
  <c r="L246" i="2"/>
  <c r="M246" i="2"/>
  <c r="N246" i="2"/>
  <c r="O246" i="2"/>
  <c r="Q246" i="2"/>
  <c r="E246" i="2"/>
  <c r="X245" i="2"/>
  <c r="AB245" i="6" s="1"/>
  <c r="W245" i="2"/>
  <c r="AA245" i="6" s="1"/>
  <c r="V245" i="2"/>
  <c r="Z245" i="6" s="1"/>
  <c r="U245" i="2"/>
  <c r="Y245" i="6" s="1"/>
  <c r="F245" i="2"/>
  <c r="J245" i="6" s="1"/>
  <c r="G245" i="2"/>
  <c r="K245" i="6" s="1"/>
  <c r="H245" i="2"/>
  <c r="L245" i="6" s="1"/>
  <c r="I245" i="2"/>
  <c r="M245" i="6" s="1"/>
  <c r="J245" i="2"/>
  <c r="N245" i="6" s="1"/>
  <c r="K245" i="2"/>
  <c r="O245" i="6" s="1"/>
  <c r="L245" i="2"/>
  <c r="P245" i="6" s="1"/>
  <c r="M245" i="2"/>
  <c r="N245" i="2"/>
  <c r="R245" i="6" s="1"/>
  <c r="O245" i="2"/>
  <c r="S245" i="6" s="1"/>
  <c r="Q245" i="2"/>
  <c r="U245" i="6" s="1"/>
  <c r="V245" i="6"/>
  <c r="W245" i="6"/>
  <c r="E245" i="2"/>
  <c r="I245" i="6" s="1"/>
  <c r="X244" i="2"/>
  <c r="AB244" i="6" s="1"/>
  <c r="W244" i="2"/>
  <c r="AA244" i="6" s="1"/>
  <c r="V244" i="2"/>
  <c r="Z244" i="6" s="1"/>
  <c r="U244" i="2"/>
  <c r="Y244" i="6" s="1"/>
  <c r="F244" i="2"/>
  <c r="J244" i="6" s="1"/>
  <c r="G244" i="2"/>
  <c r="K244" i="6" s="1"/>
  <c r="H244" i="2"/>
  <c r="L244" i="6" s="1"/>
  <c r="I244" i="2"/>
  <c r="M244" i="6" s="1"/>
  <c r="J244" i="2"/>
  <c r="N244" i="6" s="1"/>
  <c r="K244" i="2"/>
  <c r="O244" i="6" s="1"/>
  <c r="L244" i="2"/>
  <c r="P244" i="6" s="1"/>
  <c r="M244" i="2"/>
  <c r="Q244" i="6" s="1"/>
  <c r="N244" i="2"/>
  <c r="R244" i="6" s="1"/>
  <c r="O244" i="2"/>
  <c r="S244" i="6" s="1"/>
  <c r="Q244" i="2"/>
  <c r="U244" i="6" s="1"/>
  <c r="V244" i="6"/>
  <c r="W244" i="6"/>
  <c r="E244" i="2"/>
  <c r="I244" i="6" s="1"/>
  <c r="X243" i="2"/>
  <c r="W243" i="2"/>
  <c r="V243" i="2"/>
  <c r="U243" i="2"/>
  <c r="Y243" i="6" s="1"/>
  <c r="F243" i="2"/>
  <c r="G243" i="2"/>
  <c r="K243" i="6" s="1"/>
  <c r="H243" i="2"/>
  <c r="L243" i="6" s="1"/>
  <c r="I243" i="2"/>
  <c r="J243" i="2"/>
  <c r="N243" i="6" s="1"/>
  <c r="K243" i="2"/>
  <c r="L243" i="2"/>
  <c r="M243" i="2"/>
  <c r="Q243" i="6" s="1"/>
  <c r="N243" i="2"/>
  <c r="O243" i="2"/>
  <c r="S243" i="6" s="1"/>
  <c r="Q243" i="2"/>
  <c r="U243" i="6" s="1"/>
  <c r="W243" i="6"/>
  <c r="E243" i="2"/>
  <c r="I243" i="6" s="1"/>
  <c r="X242" i="2"/>
  <c r="W242" i="2"/>
  <c r="AA242" i="6" s="1"/>
  <c r="V242" i="2"/>
  <c r="U242" i="2"/>
  <c r="Y242" i="6" s="1"/>
  <c r="F242" i="2"/>
  <c r="J242" i="6" s="1"/>
  <c r="G242" i="2"/>
  <c r="K242" i="6" s="1"/>
  <c r="H242" i="2"/>
  <c r="I242" i="2"/>
  <c r="M242" i="6" s="1"/>
  <c r="J242" i="2"/>
  <c r="K242" i="2"/>
  <c r="L242" i="2"/>
  <c r="M242" i="2"/>
  <c r="Q242" i="6" s="1"/>
  <c r="N242" i="2"/>
  <c r="R242" i="6" s="1"/>
  <c r="O242" i="2"/>
  <c r="S242" i="6" s="1"/>
  <c r="Q242" i="2"/>
  <c r="V242" i="6"/>
  <c r="E242" i="2"/>
  <c r="I242" i="6" s="1"/>
  <c r="X241" i="2"/>
  <c r="AB241" i="6" s="1"/>
  <c r="W241" i="2"/>
  <c r="AA241" i="6" s="1"/>
  <c r="V241" i="2"/>
  <c r="Z241" i="6" s="1"/>
  <c r="U241" i="2"/>
  <c r="Y241" i="6" s="1"/>
  <c r="F241" i="2"/>
  <c r="J241" i="6" s="1"/>
  <c r="G241" i="2"/>
  <c r="K241" i="6" s="1"/>
  <c r="H241" i="2"/>
  <c r="L241" i="6" s="1"/>
  <c r="I241" i="2"/>
  <c r="M241" i="6" s="1"/>
  <c r="J241" i="2"/>
  <c r="N241" i="6" s="1"/>
  <c r="K241" i="2"/>
  <c r="O241" i="6" s="1"/>
  <c r="L241" i="2"/>
  <c r="P241" i="6" s="1"/>
  <c r="M241" i="2"/>
  <c r="Q241" i="6" s="1"/>
  <c r="N241" i="2"/>
  <c r="R241" i="6" s="1"/>
  <c r="O241" i="2"/>
  <c r="S241" i="6" s="1"/>
  <c r="Q241" i="2"/>
  <c r="U241" i="6" s="1"/>
  <c r="V241" i="6"/>
  <c r="W241" i="6"/>
  <c r="E241" i="2"/>
  <c r="I241" i="6" s="1"/>
  <c r="X240" i="2"/>
  <c r="AB240" i="6" s="1"/>
  <c r="W240" i="2"/>
  <c r="AA240" i="6" s="1"/>
  <c r="V240" i="2"/>
  <c r="Z240" i="6" s="1"/>
  <c r="U240" i="2"/>
  <c r="Y240" i="6" s="1"/>
  <c r="F240" i="2"/>
  <c r="J240" i="6" s="1"/>
  <c r="G240" i="2"/>
  <c r="K240" i="6" s="1"/>
  <c r="H240" i="2"/>
  <c r="L240" i="6" s="1"/>
  <c r="I240" i="2"/>
  <c r="M240" i="6" s="1"/>
  <c r="J240" i="2"/>
  <c r="N240" i="6" s="1"/>
  <c r="K240" i="2"/>
  <c r="O240" i="6" s="1"/>
  <c r="L240" i="2"/>
  <c r="P240" i="6" s="1"/>
  <c r="M240" i="2"/>
  <c r="Q240" i="6" s="1"/>
  <c r="N240" i="2"/>
  <c r="R240" i="6" s="1"/>
  <c r="O240" i="2"/>
  <c r="S240" i="6" s="1"/>
  <c r="Q240" i="2"/>
  <c r="U240" i="6" s="1"/>
  <c r="V240" i="6"/>
  <c r="W240" i="6"/>
  <c r="E240" i="2"/>
  <c r="I240" i="6" s="1"/>
  <c r="X239" i="2"/>
  <c r="AB239" i="6" s="1"/>
  <c r="W239" i="2"/>
  <c r="AA239" i="6" s="1"/>
  <c r="V239" i="2"/>
  <c r="Z239" i="6" s="1"/>
  <c r="U239" i="2"/>
  <c r="Y239" i="6" s="1"/>
  <c r="F239" i="2"/>
  <c r="J239" i="6" s="1"/>
  <c r="G239" i="2"/>
  <c r="K239" i="6" s="1"/>
  <c r="H239" i="2"/>
  <c r="L239" i="6" s="1"/>
  <c r="I239" i="2"/>
  <c r="M239" i="6" s="1"/>
  <c r="J239" i="2"/>
  <c r="N239" i="6" s="1"/>
  <c r="K239" i="2"/>
  <c r="O239" i="6" s="1"/>
  <c r="L239" i="2"/>
  <c r="P239" i="6" s="1"/>
  <c r="M239" i="2"/>
  <c r="N239" i="2"/>
  <c r="R239" i="6" s="1"/>
  <c r="O239" i="2"/>
  <c r="Q239" i="2"/>
  <c r="U239" i="6" s="1"/>
  <c r="V239" i="6"/>
  <c r="W239" i="6"/>
  <c r="E239" i="2"/>
  <c r="I239" i="6" s="1"/>
  <c r="X238" i="2"/>
  <c r="AB238" i="6" s="1"/>
  <c r="W238" i="2"/>
  <c r="AA238" i="6" s="1"/>
  <c r="V238" i="2"/>
  <c r="Z238" i="6" s="1"/>
  <c r="U238" i="2"/>
  <c r="Y238" i="6" s="1"/>
  <c r="F238" i="2"/>
  <c r="J238" i="6" s="1"/>
  <c r="G238" i="2"/>
  <c r="K238" i="6" s="1"/>
  <c r="H238" i="2"/>
  <c r="L238" i="6" s="1"/>
  <c r="I238" i="2"/>
  <c r="M238" i="6" s="1"/>
  <c r="J238" i="2"/>
  <c r="N238" i="6" s="1"/>
  <c r="K238" i="2"/>
  <c r="O238" i="6" s="1"/>
  <c r="L238" i="2"/>
  <c r="P238" i="6" s="1"/>
  <c r="M238" i="2"/>
  <c r="Q238" i="6" s="1"/>
  <c r="N238" i="2"/>
  <c r="O238" i="2"/>
  <c r="S238" i="6" s="1"/>
  <c r="Q238" i="2"/>
  <c r="U238" i="6" s="1"/>
  <c r="V238" i="6"/>
  <c r="W238" i="6"/>
  <c r="E238" i="2"/>
  <c r="X237" i="2"/>
  <c r="AB237" i="6" s="1"/>
  <c r="W237" i="2"/>
  <c r="AA237" i="6" s="1"/>
  <c r="V237" i="2"/>
  <c r="Z237" i="6" s="1"/>
  <c r="U237" i="2"/>
  <c r="Y237" i="6" s="1"/>
  <c r="F237" i="2"/>
  <c r="J237" i="6" s="1"/>
  <c r="G237" i="2"/>
  <c r="K237" i="6" s="1"/>
  <c r="H237" i="2"/>
  <c r="L237" i="6" s="1"/>
  <c r="I237" i="2"/>
  <c r="M237" i="6" s="1"/>
  <c r="J237" i="2"/>
  <c r="N237" i="6" s="1"/>
  <c r="K237" i="2"/>
  <c r="O237" i="6" s="1"/>
  <c r="L237" i="2"/>
  <c r="P237" i="6" s="1"/>
  <c r="M237" i="2"/>
  <c r="Q237" i="6" s="1"/>
  <c r="N237" i="2"/>
  <c r="R237" i="6" s="1"/>
  <c r="O237" i="2"/>
  <c r="S237" i="6" s="1"/>
  <c r="Q237" i="2"/>
  <c r="U237" i="6" s="1"/>
  <c r="V237" i="6"/>
  <c r="W237" i="6"/>
  <c r="E237" i="2"/>
  <c r="I237" i="6" s="1"/>
  <c r="X236" i="2"/>
  <c r="AB236" i="6" s="1"/>
  <c r="W236" i="2"/>
  <c r="AA236" i="6" s="1"/>
  <c r="V236" i="2"/>
  <c r="Z236" i="6" s="1"/>
  <c r="U236" i="2"/>
  <c r="Y236" i="6" s="1"/>
  <c r="F236" i="2"/>
  <c r="J236" i="6" s="1"/>
  <c r="G236" i="2"/>
  <c r="K236" i="6" s="1"/>
  <c r="H236" i="2"/>
  <c r="L236" i="6" s="1"/>
  <c r="I236" i="2"/>
  <c r="M236" i="6" s="1"/>
  <c r="J236" i="2"/>
  <c r="N236" i="6" s="1"/>
  <c r="K236" i="2"/>
  <c r="O236" i="6" s="1"/>
  <c r="L236" i="2"/>
  <c r="P236" i="6" s="1"/>
  <c r="M236" i="2"/>
  <c r="Q236" i="6" s="1"/>
  <c r="N236" i="2"/>
  <c r="R236" i="6" s="1"/>
  <c r="O236" i="2"/>
  <c r="S236" i="6" s="1"/>
  <c r="Q236" i="2"/>
  <c r="U236" i="6" s="1"/>
  <c r="V236" i="6"/>
  <c r="W236" i="6"/>
  <c r="E236" i="2"/>
  <c r="I236" i="6" s="1"/>
  <c r="X235" i="2"/>
  <c r="W235" i="2"/>
  <c r="AA235" i="6" s="1"/>
  <c r="V235" i="2"/>
  <c r="Z235" i="6" s="1"/>
  <c r="U235" i="2"/>
  <c r="Y235" i="6" s="1"/>
  <c r="F235" i="2"/>
  <c r="G235" i="2"/>
  <c r="K235" i="6" s="1"/>
  <c r="H235" i="2"/>
  <c r="L235" i="6" s="1"/>
  <c r="I235" i="2"/>
  <c r="M235" i="6" s="1"/>
  <c r="J235" i="2"/>
  <c r="N235" i="6" s="1"/>
  <c r="K235" i="2"/>
  <c r="O235" i="6" s="1"/>
  <c r="L235" i="2"/>
  <c r="M235" i="2"/>
  <c r="Q235" i="6" s="1"/>
  <c r="N235" i="2"/>
  <c r="O235" i="2"/>
  <c r="Q235" i="2"/>
  <c r="U235" i="6" s="1"/>
  <c r="W235" i="6"/>
  <c r="E235" i="2"/>
  <c r="X234" i="2"/>
  <c r="AB234" i="6" s="1"/>
  <c r="W234" i="2"/>
  <c r="AA234" i="6" s="1"/>
  <c r="V234" i="2"/>
  <c r="Z234" i="6" s="1"/>
  <c r="U234" i="2"/>
  <c r="Y234" i="6" s="1"/>
  <c r="F234" i="2"/>
  <c r="J234" i="6" s="1"/>
  <c r="G234" i="2"/>
  <c r="K234" i="6" s="1"/>
  <c r="H234" i="2"/>
  <c r="L234" i="6" s="1"/>
  <c r="I234" i="2"/>
  <c r="M234" i="6" s="1"/>
  <c r="J234" i="2"/>
  <c r="N234" i="6" s="1"/>
  <c r="K234" i="2"/>
  <c r="O234" i="6" s="1"/>
  <c r="L234" i="2"/>
  <c r="P234" i="6" s="1"/>
  <c r="M234" i="2"/>
  <c r="Q234" i="6" s="1"/>
  <c r="N234" i="2"/>
  <c r="R234" i="6" s="1"/>
  <c r="O234" i="2"/>
  <c r="S234" i="6" s="1"/>
  <c r="Q234" i="2"/>
  <c r="U234" i="6" s="1"/>
  <c r="V234" i="6"/>
  <c r="W234" i="6"/>
  <c r="E234" i="2"/>
  <c r="I234" i="6" s="1"/>
  <c r="X233" i="2"/>
  <c r="AB233" i="6" s="1"/>
  <c r="W233" i="2"/>
  <c r="AA233" i="6" s="1"/>
  <c r="V233" i="2"/>
  <c r="Z233" i="6" s="1"/>
  <c r="U233" i="2"/>
  <c r="Y233" i="6" s="1"/>
  <c r="F233" i="2"/>
  <c r="J233" i="6" s="1"/>
  <c r="G233" i="2"/>
  <c r="K233" i="6" s="1"/>
  <c r="H233" i="2"/>
  <c r="L233" i="6" s="1"/>
  <c r="I233" i="2"/>
  <c r="J233" i="2"/>
  <c r="N233" i="6" s="1"/>
  <c r="K233" i="2"/>
  <c r="O233" i="6" s="1"/>
  <c r="L233" i="2"/>
  <c r="P233" i="6" s="1"/>
  <c r="M233" i="2"/>
  <c r="Q233" i="6" s="1"/>
  <c r="N233" i="2"/>
  <c r="R233" i="6" s="1"/>
  <c r="O233" i="2"/>
  <c r="S233" i="6" s="1"/>
  <c r="Q233" i="2"/>
  <c r="U233" i="6" s="1"/>
  <c r="V233" i="6"/>
  <c r="W233" i="6"/>
  <c r="E233" i="2"/>
  <c r="I233" i="6" s="1"/>
  <c r="X232" i="2"/>
  <c r="AB232" i="6" s="1"/>
  <c r="W232" i="2"/>
  <c r="AA232" i="6" s="1"/>
  <c r="V232" i="2"/>
  <c r="Z232" i="6" s="1"/>
  <c r="U232" i="2"/>
  <c r="Y232" i="6" s="1"/>
  <c r="F232" i="2"/>
  <c r="J232" i="6" s="1"/>
  <c r="G232" i="2"/>
  <c r="K232" i="6" s="1"/>
  <c r="H232" i="2"/>
  <c r="L232" i="6" s="1"/>
  <c r="I232" i="2"/>
  <c r="M232" i="6" s="1"/>
  <c r="J232" i="2"/>
  <c r="N232" i="6" s="1"/>
  <c r="K232" i="2"/>
  <c r="O232" i="6" s="1"/>
  <c r="L232" i="2"/>
  <c r="P232" i="6" s="1"/>
  <c r="M232" i="2"/>
  <c r="Q232" i="6" s="1"/>
  <c r="N232" i="2"/>
  <c r="O232" i="2"/>
  <c r="S232" i="6" s="1"/>
  <c r="Q232" i="2"/>
  <c r="U232" i="6" s="1"/>
  <c r="V232" i="6"/>
  <c r="W232" i="6"/>
  <c r="E232" i="2"/>
  <c r="I232" i="6" s="1"/>
  <c r="X231" i="2"/>
  <c r="AB231" i="6" s="1"/>
  <c r="W231" i="2"/>
  <c r="AA231" i="6" s="1"/>
  <c r="V231" i="2"/>
  <c r="Z231" i="6" s="1"/>
  <c r="U231" i="2"/>
  <c r="Y231" i="6" s="1"/>
  <c r="F231" i="2"/>
  <c r="J231" i="6" s="1"/>
  <c r="G231" i="2"/>
  <c r="K231" i="6" s="1"/>
  <c r="H231" i="2"/>
  <c r="L231" i="6" s="1"/>
  <c r="I231" i="2"/>
  <c r="M231" i="6" s="1"/>
  <c r="J231" i="2"/>
  <c r="N231" i="6" s="1"/>
  <c r="K231" i="2"/>
  <c r="O231" i="6" s="1"/>
  <c r="L231" i="2"/>
  <c r="P231" i="6" s="1"/>
  <c r="M231" i="2"/>
  <c r="Q231" i="6" s="1"/>
  <c r="N231" i="2"/>
  <c r="R231" i="6" s="1"/>
  <c r="O231" i="2"/>
  <c r="S231" i="6" s="1"/>
  <c r="Q231" i="2"/>
  <c r="U231" i="6" s="1"/>
  <c r="V231" i="6"/>
  <c r="W231" i="6"/>
  <c r="E231" i="2"/>
  <c r="I231" i="6" s="1"/>
  <c r="X230" i="2"/>
  <c r="W230" i="2"/>
  <c r="V230" i="2"/>
  <c r="U230" i="2"/>
  <c r="Y230" i="6" s="1"/>
  <c r="F230" i="2"/>
  <c r="J230" i="6" s="1"/>
  <c r="G230" i="2"/>
  <c r="K230" i="6" s="1"/>
  <c r="H230" i="2"/>
  <c r="I230" i="2"/>
  <c r="M230" i="6" s="1"/>
  <c r="J230" i="2"/>
  <c r="K230" i="2"/>
  <c r="O230" i="6" s="1"/>
  <c r="L230" i="2"/>
  <c r="P230" i="6" s="1"/>
  <c r="M230" i="2"/>
  <c r="N230" i="2"/>
  <c r="O230" i="2"/>
  <c r="Q230" i="2"/>
  <c r="V230" i="6"/>
  <c r="W230" i="6"/>
  <c r="E230" i="2"/>
  <c r="X229" i="2"/>
  <c r="AB229" i="6" s="1"/>
  <c r="W229" i="2"/>
  <c r="AA229" i="6" s="1"/>
  <c r="V229" i="2"/>
  <c r="Z229" i="6" s="1"/>
  <c r="U229" i="2"/>
  <c r="Y229" i="6" s="1"/>
  <c r="F229" i="2"/>
  <c r="J229" i="6" s="1"/>
  <c r="G229" i="2"/>
  <c r="K229" i="6" s="1"/>
  <c r="H229" i="2"/>
  <c r="L229" i="6" s="1"/>
  <c r="I229" i="2"/>
  <c r="M229" i="6" s="1"/>
  <c r="J229" i="2"/>
  <c r="N229" i="6" s="1"/>
  <c r="K229" i="2"/>
  <c r="O229" i="6" s="1"/>
  <c r="L229" i="2"/>
  <c r="P229" i="6" s="1"/>
  <c r="M229" i="2"/>
  <c r="Q229" i="6" s="1"/>
  <c r="N229" i="2"/>
  <c r="R229" i="6" s="1"/>
  <c r="O229" i="2"/>
  <c r="S229" i="6" s="1"/>
  <c r="Q229" i="2"/>
  <c r="U229" i="6" s="1"/>
  <c r="V229" i="6"/>
  <c r="W229" i="6"/>
  <c r="E229" i="2"/>
  <c r="I229" i="6" s="1"/>
  <c r="X228" i="2"/>
  <c r="AB228" i="6" s="1"/>
  <c r="W228" i="2"/>
  <c r="AA228" i="6" s="1"/>
  <c r="V228" i="2"/>
  <c r="Z228" i="6" s="1"/>
  <c r="U228" i="2"/>
  <c r="Y228" i="6" s="1"/>
  <c r="F228" i="2"/>
  <c r="J228" i="6" s="1"/>
  <c r="G228" i="2"/>
  <c r="K228" i="6" s="1"/>
  <c r="H228" i="2"/>
  <c r="L228" i="6" s="1"/>
  <c r="I228" i="2"/>
  <c r="M228" i="6" s="1"/>
  <c r="J228" i="2"/>
  <c r="K228" i="2"/>
  <c r="O228" i="6" s="1"/>
  <c r="L228" i="2"/>
  <c r="P228" i="6" s="1"/>
  <c r="M228" i="2"/>
  <c r="Q228" i="6" s="1"/>
  <c r="N228" i="2"/>
  <c r="R228" i="6" s="1"/>
  <c r="O228" i="2"/>
  <c r="S228" i="6" s="1"/>
  <c r="Q228" i="2"/>
  <c r="U228" i="6" s="1"/>
  <c r="V228" i="6"/>
  <c r="E228" i="2"/>
  <c r="I228" i="6" s="1"/>
  <c r="X227" i="2"/>
  <c r="W227" i="2"/>
  <c r="V227" i="2"/>
  <c r="U227" i="2"/>
  <c r="Y227" i="6" s="1"/>
  <c r="F227" i="2"/>
  <c r="G227" i="2"/>
  <c r="H227" i="2"/>
  <c r="L227" i="6" s="1"/>
  <c r="I227" i="2"/>
  <c r="J227" i="2"/>
  <c r="N227" i="6" s="1"/>
  <c r="K227" i="2"/>
  <c r="O227" i="6" s="1"/>
  <c r="L227" i="2"/>
  <c r="M227" i="2"/>
  <c r="N227" i="2"/>
  <c r="O227" i="2"/>
  <c r="Q227" i="2"/>
  <c r="U227" i="6" s="1"/>
  <c r="W227" i="6"/>
  <c r="E227" i="2"/>
  <c r="X226" i="2"/>
  <c r="AB226" i="6" s="1"/>
  <c r="W226" i="2"/>
  <c r="AA226" i="6" s="1"/>
  <c r="V226" i="2"/>
  <c r="U226" i="2"/>
  <c r="Y226" i="6" s="1"/>
  <c r="F226" i="2"/>
  <c r="J226" i="6" s="1"/>
  <c r="G226" i="2"/>
  <c r="K226" i="6" s="1"/>
  <c r="H226" i="2"/>
  <c r="L226" i="6" s="1"/>
  <c r="I226" i="2"/>
  <c r="M226" i="6" s="1"/>
  <c r="J226" i="2"/>
  <c r="K226" i="2"/>
  <c r="O226" i="6" s="1"/>
  <c r="L226" i="2"/>
  <c r="M226" i="2"/>
  <c r="Q226" i="6" s="1"/>
  <c r="N226" i="2"/>
  <c r="O226" i="2"/>
  <c r="S226" i="6" s="1"/>
  <c r="Q226" i="2"/>
  <c r="U226" i="6" s="1"/>
  <c r="V226" i="6"/>
  <c r="E226" i="2"/>
  <c r="I226" i="6" s="1"/>
  <c r="X225" i="2"/>
  <c r="AB225" i="6" s="1"/>
  <c r="W225" i="2"/>
  <c r="AA225" i="6" s="1"/>
  <c r="V225" i="2"/>
  <c r="Z225" i="6" s="1"/>
  <c r="U225" i="2"/>
  <c r="Y225" i="6" s="1"/>
  <c r="F225" i="2"/>
  <c r="J225" i="6" s="1"/>
  <c r="G225" i="2"/>
  <c r="K225" i="6" s="1"/>
  <c r="H225" i="2"/>
  <c r="L225" i="6" s="1"/>
  <c r="I225" i="2"/>
  <c r="M225" i="6" s="1"/>
  <c r="J225" i="2"/>
  <c r="N225" i="6" s="1"/>
  <c r="K225" i="2"/>
  <c r="O225" i="6" s="1"/>
  <c r="L225" i="2"/>
  <c r="P225" i="6" s="1"/>
  <c r="M225" i="2"/>
  <c r="Q225" i="6" s="1"/>
  <c r="N225" i="2"/>
  <c r="R225" i="6" s="1"/>
  <c r="O225" i="2"/>
  <c r="S225" i="6" s="1"/>
  <c r="Q225" i="2"/>
  <c r="U225" i="6" s="1"/>
  <c r="W225" i="6"/>
  <c r="E225" i="2"/>
  <c r="I225" i="6" s="1"/>
  <c r="X224" i="2"/>
  <c r="AB224" i="6" s="1"/>
  <c r="W224" i="2"/>
  <c r="AA224" i="6" s="1"/>
  <c r="V224" i="2"/>
  <c r="Z224" i="6" s="1"/>
  <c r="U224" i="2"/>
  <c r="Y224" i="6" s="1"/>
  <c r="F224" i="2"/>
  <c r="G224" i="2"/>
  <c r="K224" i="6" s="1"/>
  <c r="H224" i="2"/>
  <c r="L224" i="6" s="1"/>
  <c r="I224" i="2"/>
  <c r="M224" i="6" s="1"/>
  <c r="J224" i="2"/>
  <c r="N224" i="6" s="1"/>
  <c r="K224" i="2"/>
  <c r="O224" i="6" s="1"/>
  <c r="L224" i="2"/>
  <c r="P224" i="6" s="1"/>
  <c r="M224" i="2"/>
  <c r="Q224" i="6" s="1"/>
  <c r="N224" i="2"/>
  <c r="O224" i="2"/>
  <c r="S224" i="6" s="1"/>
  <c r="Q224" i="2"/>
  <c r="U224" i="6" s="1"/>
  <c r="V224" i="6"/>
  <c r="W224" i="6"/>
  <c r="E224" i="2"/>
  <c r="I224" i="6" s="1"/>
  <c r="X223" i="2"/>
  <c r="AB223" i="6" s="1"/>
  <c r="W223" i="2"/>
  <c r="V223" i="2"/>
  <c r="Z223" i="6" s="1"/>
  <c r="U223" i="2"/>
  <c r="Y223" i="6" s="1"/>
  <c r="F223" i="2"/>
  <c r="J223" i="6" s="1"/>
  <c r="G223" i="2"/>
  <c r="K223" i="6" s="1"/>
  <c r="H223" i="2"/>
  <c r="L223" i="6" s="1"/>
  <c r="I223" i="2"/>
  <c r="J223" i="2"/>
  <c r="K223" i="2"/>
  <c r="O223" i="6" s="1"/>
  <c r="L223" i="2"/>
  <c r="P223" i="6" s="1"/>
  <c r="M223" i="2"/>
  <c r="Q223" i="6" s="1"/>
  <c r="N223" i="2"/>
  <c r="R223" i="6" s="1"/>
  <c r="O223" i="2"/>
  <c r="S223" i="6" s="1"/>
  <c r="Q223" i="2"/>
  <c r="U223" i="6" s="1"/>
  <c r="V223" i="6"/>
  <c r="W223" i="6"/>
  <c r="E223" i="2"/>
  <c r="I223" i="6" s="1"/>
  <c r="X222" i="2"/>
  <c r="W222" i="2"/>
  <c r="V222" i="2"/>
  <c r="U222" i="2"/>
  <c r="Y222" i="6" s="1"/>
  <c r="F222" i="2"/>
  <c r="G222" i="2"/>
  <c r="H222" i="2"/>
  <c r="I222" i="2"/>
  <c r="M222" i="6" s="1"/>
  <c r="J222" i="2"/>
  <c r="K222" i="2"/>
  <c r="O222" i="6" s="1"/>
  <c r="L222" i="2"/>
  <c r="M222" i="2"/>
  <c r="N222" i="2"/>
  <c r="O222" i="2"/>
  <c r="Q222" i="2"/>
  <c r="V222" i="6"/>
  <c r="E222" i="2"/>
  <c r="X221" i="2"/>
  <c r="AB221" i="6" s="1"/>
  <c r="W221" i="2"/>
  <c r="AA221" i="6" s="1"/>
  <c r="V221" i="2"/>
  <c r="Z221" i="6" s="1"/>
  <c r="U221" i="2"/>
  <c r="Y221" i="6" s="1"/>
  <c r="F221" i="2"/>
  <c r="J221" i="6" s="1"/>
  <c r="G221" i="2"/>
  <c r="K221" i="6" s="1"/>
  <c r="H221" i="2"/>
  <c r="L221" i="6" s="1"/>
  <c r="I221" i="2"/>
  <c r="M221" i="6" s="1"/>
  <c r="J221" i="2"/>
  <c r="N221" i="6" s="1"/>
  <c r="K221" i="2"/>
  <c r="O221" i="6" s="1"/>
  <c r="L221" i="2"/>
  <c r="P221" i="6" s="1"/>
  <c r="M221" i="2"/>
  <c r="Q221" i="6" s="1"/>
  <c r="N221" i="2"/>
  <c r="R221" i="6" s="1"/>
  <c r="O221" i="2"/>
  <c r="Q221" i="2"/>
  <c r="U221" i="6" s="1"/>
  <c r="V221" i="6"/>
  <c r="W221" i="6"/>
  <c r="E221" i="2"/>
  <c r="I221" i="6" s="1"/>
  <c r="X220" i="2"/>
  <c r="AB220" i="6" s="1"/>
  <c r="W220" i="2"/>
  <c r="AA220" i="6" s="1"/>
  <c r="V220" i="2"/>
  <c r="Z220" i="6" s="1"/>
  <c r="U220" i="2"/>
  <c r="Y220" i="6" s="1"/>
  <c r="F220" i="2"/>
  <c r="J220" i="6" s="1"/>
  <c r="G220" i="2"/>
  <c r="K220" i="6" s="1"/>
  <c r="H220" i="2"/>
  <c r="L220" i="6" s="1"/>
  <c r="I220" i="2"/>
  <c r="M220" i="6" s="1"/>
  <c r="J220" i="2"/>
  <c r="N220" i="6" s="1"/>
  <c r="K220" i="2"/>
  <c r="O220" i="6" s="1"/>
  <c r="L220" i="2"/>
  <c r="P220" i="6" s="1"/>
  <c r="M220" i="2"/>
  <c r="Q220" i="6" s="1"/>
  <c r="N220" i="2"/>
  <c r="R220" i="6" s="1"/>
  <c r="O220" i="2"/>
  <c r="S220" i="6" s="1"/>
  <c r="Q220" i="2"/>
  <c r="U220" i="6" s="1"/>
  <c r="V220" i="6"/>
  <c r="W220" i="6"/>
  <c r="E220" i="2"/>
  <c r="I220" i="6" s="1"/>
  <c r="X219" i="2"/>
  <c r="AB219" i="6" s="1"/>
  <c r="W219" i="2"/>
  <c r="AA219" i="6" s="1"/>
  <c r="V219" i="2"/>
  <c r="Z219" i="6" s="1"/>
  <c r="U219" i="2"/>
  <c r="Y219" i="6" s="1"/>
  <c r="F219" i="2"/>
  <c r="J219" i="6" s="1"/>
  <c r="G219" i="2"/>
  <c r="K219" i="6" s="1"/>
  <c r="H219" i="2"/>
  <c r="L219" i="6" s="1"/>
  <c r="I219" i="2"/>
  <c r="M219" i="6" s="1"/>
  <c r="J219" i="2"/>
  <c r="N219" i="6" s="1"/>
  <c r="K219" i="2"/>
  <c r="O219" i="6" s="1"/>
  <c r="L219" i="2"/>
  <c r="P219" i="6" s="1"/>
  <c r="M219" i="2"/>
  <c r="Q219" i="6" s="1"/>
  <c r="N219" i="2"/>
  <c r="R219" i="6" s="1"/>
  <c r="O219" i="2"/>
  <c r="Q219" i="2"/>
  <c r="U219" i="6" s="1"/>
  <c r="V219" i="6"/>
  <c r="W219" i="6"/>
  <c r="E219" i="2"/>
  <c r="I219" i="6" s="1"/>
  <c r="X218" i="2"/>
  <c r="AB218" i="6" s="1"/>
  <c r="W218" i="2"/>
  <c r="AA218" i="6" s="1"/>
  <c r="V218" i="2"/>
  <c r="Z218" i="6" s="1"/>
  <c r="U218" i="2"/>
  <c r="Y218" i="6" s="1"/>
  <c r="F218" i="2"/>
  <c r="J218" i="6" s="1"/>
  <c r="G218" i="2"/>
  <c r="K218" i="6" s="1"/>
  <c r="H218" i="2"/>
  <c r="L218" i="6" s="1"/>
  <c r="I218" i="2"/>
  <c r="M218" i="6" s="1"/>
  <c r="J218" i="2"/>
  <c r="N218" i="6" s="1"/>
  <c r="K218" i="2"/>
  <c r="O218" i="6" s="1"/>
  <c r="L218" i="2"/>
  <c r="P218" i="6" s="1"/>
  <c r="M218" i="2"/>
  <c r="Q218" i="6" s="1"/>
  <c r="N218" i="2"/>
  <c r="R218" i="6" s="1"/>
  <c r="O218" i="2"/>
  <c r="S218" i="6" s="1"/>
  <c r="Q218" i="2"/>
  <c r="U218" i="6" s="1"/>
  <c r="V218" i="6"/>
  <c r="W218" i="6"/>
  <c r="E218" i="2"/>
  <c r="I218" i="6" s="1"/>
  <c r="X217" i="2"/>
  <c r="W217" i="2"/>
  <c r="AA217" i="6" s="1"/>
  <c r="V217" i="2"/>
  <c r="Z217" i="6" s="1"/>
  <c r="U217" i="2"/>
  <c r="F217" i="2"/>
  <c r="G217" i="2"/>
  <c r="K217" i="6" s="1"/>
  <c r="H217" i="2"/>
  <c r="L217" i="6" s="1"/>
  <c r="I217" i="2"/>
  <c r="M217" i="6" s="1"/>
  <c r="J217" i="2"/>
  <c r="N217" i="6" s="1"/>
  <c r="K217" i="2"/>
  <c r="O217" i="6" s="1"/>
  <c r="L217" i="2"/>
  <c r="P217" i="6" s="1"/>
  <c r="M217" i="2"/>
  <c r="N217" i="2"/>
  <c r="R217" i="6" s="1"/>
  <c r="O217" i="2"/>
  <c r="S217" i="6" s="1"/>
  <c r="Q217" i="2"/>
  <c r="V217" i="6"/>
  <c r="W217" i="6"/>
  <c r="E217" i="2"/>
  <c r="I217" i="6" s="1"/>
  <c r="X216" i="2"/>
  <c r="AB216" i="6" s="1"/>
  <c r="W216" i="2"/>
  <c r="AA216" i="6" s="1"/>
  <c r="V216" i="2"/>
  <c r="Z216" i="6" s="1"/>
  <c r="U216" i="2"/>
  <c r="Y216" i="6" s="1"/>
  <c r="F216" i="2"/>
  <c r="G216" i="2"/>
  <c r="K216" i="6" s="1"/>
  <c r="H216" i="2"/>
  <c r="L216" i="6" s="1"/>
  <c r="I216" i="2"/>
  <c r="M216" i="6" s="1"/>
  <c r="J216" i="2"/>
  <c r="N216" i="6" s="1"/>
  <c r="K216" i="2"/>
  <c r="O216" i="6" s="1"/>
  <c r="L216" i="2"/>
  <c r="P216" i="6" s="1"/>
  <c r="M216" i="2"/>
  <c r="Q216" i="6" s="1"/>
  <c r="N216" i="2"/>
  <c r="R216" i="6" s="1"/>
  <c r="O216" i="2"/>
  <c r="S216" i="6" s="1"/>
  <c r="Q216" i="2"/>
  <c r="U216" i="6" s="1"/>
  <c r="V216" i="6"/>
  <c r="W216" i="6"/>
  <c r="E216" i="2"/>
  <c r="I216" i="6" s="1"/>
  <c r="X215" i="2"/>
  <c r="AB215" i="6" s="1"/>
  <c r="W215" i="2"/>
  <c r="AA215" i="6" s="1"/>
  <c r="V215" i="2"/>
  <c r="Z215" i="6" s="1"/>
  <c r="U215" i="2"/>
  <c r="Y215" i="6" s="1"/>
  <c r="F215" i="2"/>
  <c r="J215" i="6" s="1"/>
  <c r="G215" i="2"/>
  <c r="K215" i="6" s="1"/>
  <c r="H215" i="2"/>
  <c r="L215" i="6" s="1"/>
  <c r="I215" i="2"/>
  <c r="M215" i="6" s="1"/>
  <c r="J215" i="2"/>
  <c r="N215" i="6" s="1"/>
  <c r="K215" i="2"/>
  <c r="L215" i="2"/>
  <c r="P215" i="6" s="1"/>
  <c r="M215" i="2"/>
  <c r="Q215" i="6" s="1"/>
  <c r="N215" i="2"/>
  <c r="R215" i="6" s="1"/>
  <c r="O215" i="2"/>
  <c r="S215" i="6" s="1"/>
  <c r="Q215" i="2"/>
  <c r="U215" i="6" s="1"/>
  <c r="V215" i="6"/>
  <c r="W215" i="6"/>
  <c r="E215" i="2"/>
  <c r="X214" i="2"/>
  <c r="AB214" i="6" s="1"/>
  <c r="W214" i="2"/>
  <c r="V214" i="2"/>
  <c r="Z214" i="6" s="1"/>
  <c r="U214" i="2"/>
  <c r="Y214" i="6" s="1"/>
  <c r="F214" i="2"/>
  <c r="J214" i="6" s="1"/>
  <c r="G214" i="2"/>
  <c r="K214" i="6" s="1"/>
  <c r="H214" i="2"/>
  <c r="L214" i="6" s="1"/>
  <c r="I214" i="2"/>
  <c r="M214" i="6" s="1"/>
  <c r="J214" i="2"/>
  <c r="K214" i="2"/>
  <c r="O214" i="6" s="1"/>
  <c r="L214" i="2"/>
  <c r="P214" i="6" s="1"/>
  <c r="M214" i="2"/>
  <c r="Q214" i="6" s="1"/>
  <c r="N214" i="2"/>
  <c r="R214" i="6" s="1"/>
  <c r="O214" i="2"/>
  <c r="S214" i="6" s="1"/>
  <c r="Q214" i="2"/>
  <c r="U214" i="6" s="1"/>
  <c r="V214" i="6"/>
  <c r="W214" i="6"/>
  <c r="E214" i="2"/>
  <c r="I214" i="6" s="1"/>
  <c r="X213" i="2"/>
  <c r="AB213" i="6" s="1"/>
  <c r="W213" i="2"/>
  <c r="V213" i="2"/>
  <c r="Z213" i="6" s="1"/>
  <c r="U213" i="2"/>
  <c r="Y213" i="6" s="1"/>
  <c r="F213" i="2"/>
  <c r="J213" i="6" s="1"/>
  <c r="G213" i="2"/>
  <c r="K213" i="6" s="1"/>
  <c r="H213" i="2"/>
  <c r="L213" i="6" s="1"/>
  <c r="I213" i="2"/>
  <c r="J213" i="2"/>
  <c r="N213" i="6" s="1"/>
  <c r="K213" i="2"/>
  <c r="O213" i="6" s="1"/>
  <c r="L213" i="2"/>
  <c r="P213" i="6" s="1"/>
  <c r="M213" i="2"/>
  <c r="Q213" i="6" s="1"/>
  <c r="N213" i="2"/>
  <c r="R213" i="6" s="1"/>
  <c r="O213" i="2"/>
  <c r="S213" i="6" s="1"/>
  <c r="Q213" i="2"/>
  <c r="U213" i="6" s="1"/>
  <c r="V213" i="6"/>
  <c r="W213" i="6"/>
  <c r="E213" i="2"/>
  <c r="I213" i="6" s="1"/>
  <c r="X212" i="2"/>
  <c r="AB212" i="6" s="1"/>
  <c r="W212" i="2"/>
  <c r="AA212" i="6" s="1"/>
  <c r="V212" i="2"/>
  <c r="Z212" i="6" s="1"/>
  <c r="U212" i="2"/>
  <c r="Y212" i="6" s="1"/>
  <c r="F212" i="2"/>
  <c r="J212" i="6" s="1"/>
  <c r="G212" i="2"/>
  <c r="K212" i="6" s="1"/>
  <c r="H212" i="2"/>
  <c r="L212" i="6" s="1"/>
  <c r="I212" i="2"/>
  <c r="M212" i="6" s="1"/>
  <c r="J212" i="2"/>
  <c r="N212" i="6" s="1"/>
  <c r="K212" i="2"/>
  <c r="O212" i="6" s="1"/>
  <c r="L212" i="2"/>
  <c r="P212" i="6" s="1"/>
  <c r="M212" i="2"/>
  <c r="Q212" i="6" s="1"/>
  <c r="N212" i="2"/>
  <c r="R212" i="6" s="1"/>
  <c r="O212" i="2"/>
  <c r="S212" i="6" s="1"/>
  <c r="Q212" i="2"/>
  <c r="U212" i="6" s="1"/>
  <c r="V212" i="6"/>
  <c r="W212" i="6"/>
  <c r="E212" i="2"/>
  <c r="I212" i="6" s="1"/>
  <c r="X211" i="2"/>
  <c r="AB211" i="6" s="1"/>
  <c r="W211" i="2"/>
  <c r="AA211" i="6" s="1"/>
  <c r="V211" i="2"/>
  <c r="Z211" i="6" s="1"/>
  <c r="U211" i="2"/>
  <c r="Y211" i="6" s="1"/>
  <c r="F211" i="2"/>
  <c r="J211" i="6" s="1"/>
  <c r="G211" i="2"/>
  <c r="K211" i="6" s="1"/>
  <c r="H211" i="2"/>
  <c r="L211" i="6" s="1"/>
  <c r="I211" i="2"/>
  <c r="M211" i="6" s="1"/>
  <c r="J211" i="2"/>
  <c r="N211" i="6" s="1"/>
  <c r="K211" i="2"/>
  <c r="O211" i="6" s="1"/>
  <c r="L211" i="2"/>
  <c r="P211" i="6" s="1"/>
  <c r="M211" i="2"/>
  <c r="Q211" i="6" s="1"/>
  <c r="N211" i="2"/>
  <c r="R211" i="6" s="1"/>
  <c r="O211" i="2"/>
  <c r="S211" i="6" s="1"/>
  <c r="Q211" i="2"/>
  <c r="U211" i="6" s="1"/>
  <c r="V211" i="6"/>
  <c r="W211" i="6"/>
  <c r="E211" i="2"/>
  <c r="I211" i="6" s="1"/>
  <c r="X210" i="2"/>
  <c r="AB210" i="6" s="1"/>
  <c r="W210" i="2"/>
  <c r="AA210" i="6" s="1"/>
  <c r="V210" i="2"/>
  <c r="Z210" i="6" s="1"/>
  <c r="U210" i="2"/>
  <c r="Y210" i="6" s="1"/>
  <c r="F210" i="2"/>
  <c r="J210" i="6" s="1"/>
  <c r="G210" i="2"/>
  <c r="K210" i="6" s="1"/>
  <c r="H210" i="2"/>
  <c r="L210" i="6" s="1"/>
  <c r="I210" i="2"/>
  <c r="M210" i="6" s="1"/>
  <c r="J210" i="2"/>
  <c r="K210" i="2"/>
  <c r="O210" i="6" s="1"/>
  <c r="L210" i="2"/>
  <c r="P210" i="6" s="1"/>
  <c r="M210" i="2"/>
  <c r="Q210" i="6" s="1"/>
  <c r="N210" i="2"/>
  <c r="R210" i="6" s="1"/>
  <c r="O210" i="2"/>
  <c r="Q210" i="2"/>
  <c r="U210" i="6" s="1"/>
  <c r="V210" i="6"/>
  <c r="W210" i="6"/>
  <c r="E210" i="2"/>
  <c r="I210" i="6" s="1"/>
  <c r="X209" i="2"/>
  <c r="AB209" i="6" s="1"/>
  <c r="W209" i="2"/>
  <c r="AA209" i="6" s="1"/>
  <c r="V209" i="2"/>
  <c r="Z209" i="6" s="1"/>
  <c r="U209" i="2"/>
  <c r="Y209" i="6" s="1"/>
  <c r="F209" i="2"/>
  <c r="J209" i="6" s="1"/>
  <c r="G209" i="2"/>
  <c r="K209" i="6" s="1"/>
  <c r="H209" i="2"/>
  <c r="L209" i="6" s="1"/>
  <c r="I209" i="2"/>
  <c r="M209" i="6" s="1"/>
  <c r="J209" i="2"/>
  <c r="N209" i="6" s="1"/>
  <c r="K209" i="2"/>
  <c r="O209" i="6" s="1"/>
  <c r="L209" i="2"/>
  <c r="P209" i="6" s="1"/>
  <c r="M209" i="2"/>
  <c r="Q209" i="6" s="1"/>
  <c r="N209" i="2"/>
  <c r="R209" i="6" s="1"/>
  <c r="O209" i="2"/>
  <c r="S209" i="6" s="1"/>
  <c r="Q209" i="2"/>
  <c r="U209" i="6" s="1"/>
  <c r="V209" i="6"/>
  <c r="W209" i="6"/>
  <c r="E209" i="2"/>
  <c r="I209" i="6" s="1"/>
  <c r="X208" i="2"/>
  <c r="AB208" i="6" s="1"/>
  <c r="W208" i="2"/>
  <c r="AA208" i="6" s="1"/>
  <c r="V208" i="2"/>
  <c r="Z208" i="6" s="1"/>
  <c r="U208" i="2"/>
  <c r="Y208" i="6" s="1"/>
  <c r="F208" i="2"/>
  <c r="J208" i="6" s="1"/>
  <c r="G208" i="2"/>
  <c r="K208" i="6" s="1"/>
  <c r="H208" i="2"/>
  <c r="L208" i="6" s="1"/>
  <c r="I208" i="2"/>
  <c r="M208" i="6" s="1"/>
  <c r="J208" i="2"/>
  <c r="N208" i="6" s="1"/>
  <c r="K208" i="2"/>
  <c r="O208" i="6" s="1"/>
  <c r="L208" i="2"/>
  <c r="P208" i="6" s="1"/>
  <c r="M208" i="2"/>
  <c r="Q208" i="6" s="1"/>
  <c r="N208" i="2"/>
  <c r="R208" i="6" s="1"/>
  <c r="O208" i="2"/>
  <c r="S208" i="6" s="1"/>
  <c r="Q208" i="2"/>
  <c r="U208" i="6" s="1"/>
  <c r="V208" i="6"/>
  <c r="W208" i="6"/>
  <c r="E208" i="2"/>
  <c r="I208" i="6" s="1"/>
  <c r="X207" i="2"/>
  <c r="AB207" i="6" s="1"/>
  <c r="W207" i="2"/>
  <c r="AA207" i="6" s="1"/>
  <c r="V207" i="2"/>
  <c r="Z207" i="6" s="1"/>
  <c r="U207" i="2"/>
  <c r="Y207" i="6" s="1"/>
  <c r="F207" i="2"/>
  <c r="J207" i="6" s="1"/>
  <c r="G207" i="2"/>
  <c r="K207" i="6" s="1"/>
  <c r="H207" i="2"/>
  <c r="L207" i="6" s="1"/>
  <c r="I207" i="2"/>
  <c r="M207" i="6" s="1"/>
  <c r="J207" i="2"/>
  <c r="N207" i="6" s="1"/>
  <c r="K207" i="2"/>
  <c r="O207" i="6" s="1"/>
  <c r="L207" i="2"/>
  <c r="P207" i="6" s="1"/>
  <c r="M207" i="2"/>
  <c r="Q207" i="6" s="1"/>
  <c r="N207" i="2"/>
  <c r="R207" i="6" s="1"/>
  <c r="O207" i="2"/>
  <c r="S207" i="6" s="1"/>
  <c r="Q207" i="2"/>
  <c r="U207" i="6" s="1"/>
  <c r="V207" i="6"/>
  <c r="W207" i="6"/>
  <c r="E207" i="2"/>
  <c r="I207" i="6" s="1"/>
  <c r="X206" i="2"/>
  <c r="AB206" i="6" s="1"/>
  <c r="W206" i="2"/>
  <c r="AA206" i="6" s="1"/>
  <c r="V206" i="2"/>
  <c r="Z206" i="6" s="1"/>
  <c r="U206" i="2"/>
  <c r="F206" i="2"/>
  <c r="J206" i="6" s="1"/>
  <c r="G206" i="2"/>
  <c r="K206" i="6" s="1"/>
  <c r="H206" i="2"/>
  <c r="I206" i="2"/>
  <c r="M206" i="6" s="1"/>
  <c r="J206" i="2"/>
  <c r="N206" i="6" s="1"/>
  <c r="K206" i="2"/>
  <c r="O206" i="6" s="1"/>
  <c r="L206" i="2"/>
  <c r="P206" i="6" s="1"/>
  <c r="M206" i="2"/>
  <c r="Q206" i="6" s="1"/>
  <c r="N206" i="2"/>
  <c r="O206" i="2"/>
  <c r="S206" i="6" s="1"/>
  <c r="Q206" i="2"/>
  <c r="U206" i="6" s="1"/>
  <c r="V206" i="6"/>
  <c r="W206" i="6"/>
  <c r="E206" i="2"/>
  <c r="I206" i="6" s="1"/>
  <c r="X205" i="2"/>
  <c r="AB205" i="6" s="1"/>
  <c r="W205" i="2"/>
  <c r="AA205" i="6" s="1"/>
  <c r="V205" i="2"/>
  <c r="Z205" i="6" s="1"/>
  <c r="U205" i="2"/>
  <c r="Y205" i="6" s="1"/>
  <c r="F205" i="2"/>
  <c r="J205" i="6" s="1"/>
  <c r="G205" i="2"/>
  <c r="K205" i="6" s="1"/>
  <c r="H205" i="2"/>
  <c r="L205" i="6" s="1"/>
  <c r="I205" i="2"/>
  <c r="M205" i="6" s="1"/>
  <c r="J205" i="2"/>
  <c r="N205" i="6" s="1"/>
  <c r="K205" i="2"/>
  <c r="O205" i="6" s="1"/>
  <c r="L205" i="2"/>
  <c r="P205" i="6" s="1"/>
  <c r="M205" i="2"/>
  <c r="N205" i="2"/>
  <c r="R205" i="6" s="1"/>
  <c r="O205" i="2"/>
  <c r="Q205" i="2"/>
  <c r="U205" i="6" s="1"/>
  <c r="V205" i="6"/>
  <c r="E205" i="2"/>
  <c r="I205" i="6" s="1"/>
  <c r="X204" i="2"/>
  <c r="AB204" i="6" s="1"/>
  <c r="W204" i="2"/>
  <c r="AA204" i="6" s="1"/>
  <c r="V204" i="2"/>
  <c r="Z204" i="6" s="1"/>
  <c r="U204" i="2"/>
  <c r="Y204" i="6" s="1"/>
  <c r="F204" i="2"/>
  <c r="J204" i="6" s="1"/>
  <c r="G204" i="2"/>
  <c r="K204" i="6" s="1"/>
  <c r="H204" i="2"/>
  <c r="L204" i="6" s="1"/>
  <c r="I204" i="2"/>
  <c r="M204" i="6" s="1"/>
  <c r="J204" i="2"/>
  <c r="N204" i="6" s="1"/>
  <c r="K204" i="2"/>
  <c r="O204" i="6" s="1"/>
  <c r="L204" i="2"/>
  <c r="P204" i="6" s="1"/>
  <c r="M204" i="2"/>
  <c r="Q204" i="6" s="1"/>
  <c r="N204" i="2"/>
  <c r="R204" i="6" s="1"/>
  <c r="O204" i="2"/>
  <c r="S204" i="6" s="1"/>
  <c r="Q204" i="2"/>
  <c r="U204" i="6" s="1"/>
  <c r="V204" i="6"/>
  <c r="W204" i="6"/>
  <c r="E204" i="2"/>
  <c r="I204" i="6" s="1"/>
  <c r="X203" i="2"/>
  <c r="AB203" i="6" s="1"/>
  <c r="W203" i="2"/>
  <c r="AA203" i="6" s="1"/>
  <c r="V203" i="2"/>
  <c r="Z203" i="6" s="1"/>
  <c r="U203" i="2"/>
  <c r="Y203" i="6" s="1"/>
  <c r="F203" i="2"/>
  <c r="J203" i="6" s="1"/>
  <c r="G203" i="2"/>
  <c r="K203" i="6" s="1"/>
  <c r="H203" i="2"/>
  <c r="L203" i="6" s="1"/>
  <c r="I203" i="2"/>
  <c r="M203" i="6" s="1"/>
  <c r="J203" i="2"/>
  <c r="N203" i="6" s="1"/>
  <c r="K203" i="2"/>
  <c r="O203" i="6" s="1"/>
  <c r="L203" i="2"/>
  <c r="P203" i="6" s="1"/>
  <c r="M203" i="2"/>
  <c r="Q203" i="6" s="1"/>
  <c r="N203" i="2"/>
  <c r="R203" i="6" s="1"/>
  <c r="O203" i="2"/>
  <c r="S203" i="6" s="1"/>
  <c r="Q203" i="2"/>
  <c r="U203" i="6" s="1"/>
  <c r="V203" i="6"/>
  <c r="W203" i="6"/>
  <c r="E203" i="2"/>
  <c r="I203" i="6" s="1"/>
  <c r="X202" i="2"/>
  <c r="AB202" i="6" s="1"/>
  <c r="W202" i="2"/>
  <c r="AA202" i="6" s="1"/>
  <c r="V202" i="2"/>
  <c r="U202" i="2"/>
  <c r="Y202" i="6" s="1"/>
  <c r="F202" i="2"/>
  <c r="G202" i="2"/>
  <c r="H202" i="2"/>
  <c r="L202" i="6" s="1"/>
  <c r="I202" i="2"/>
  <c r="J202" i="2"/>
  <c r="N202" i="6" s="1"/>
  <c r="K202" i="2"/>
  <c r="O202" i="6" s="1"/>
  <c r="L202" i="2"/>
  <c r="P202" i="6" s="1"/>
  <c r="M202" i="2"/>
  <c r="Q202" i="6" s="1"/>
  <c r="N202" i="2"/>
  <c r="R202" i="6" s="1"/>
  <c r="O202" i="2"/>
  <c r="Q202" i="2"/>
  <c r="W202" i="6"/>
  <c r="E202" i="2"/>
  <c r="I202" i="6" s="1"/>
  <c r="X201" i="2"/>
  <c r="AB201" i="6" s="1"/>
  <c r="W201" i="2"/>
  <c r="V201" i="2"/>
  <c r="Z201" i="6" s="1"/>
  <c r="U201" i="2"/>
  <c r="F201" i="2"/>
  <c r="J201" i="6" s="1"/>
  <c r="G201" i="2"/>
  <c r="K201" i="6" s="1"/>
  <c r="H201" i="2"/>
  <c r="L201" i="6" s="1"/>
  <c r="I201" i="2"/>
  <c r="M201" i="6" s="1"/>
  <c r="J201" i="2"/>
  <c r="N201" i="6" s="1"/>
  <c r="K201" i="2"/>
  <c r="L201" i="2"/>
  <c r="P201" i="6" s="1"/>
  <c r="M201" i="2"/>
  <c r="Q201" i="6" s="1"/>
  <c r="N201" i="2"/>
  <c r="R201" i="6" s="1"/>
  <c r="O201" i="2"/>
  <c r="S201" i="6" s="1"/>
  <c r="Q201" i="2"/>
  <c r="U201" i="6" s="1"/>
  <c r="W201" i="6"/>
  <c r="E201" i="2"/>
  <c r="X200" i="2"/>
  <c r="AB200" i="6" s="1"/>
  <c r="W200" i="2"/>
  <c r="AA200" i="6" s="1"/>
  <c r="F200" i="2"/>
  <c r="J200" i="6" s="1"/>
  <c r="G200" i="2"/>
  <c r="K200" i="6" s="1"/>
  <c r="H200" i="2"/>
  <c r="L200" i="6" s="1"/>
  <c r="I200" i="2"/>
  <c r="M200" i="6" s="1"/>
  <c r="J200" i="2"/>
  <c r="N200" i="6" s="1"/>
  <c r="K200" i="2"/>
  <c r="O200" i="6" s="1"/>
  <c r="L200" i="2"/>
  <c r="P200" i="6" s="1"/>
  <c r="M200" i="2"/>
  <c r="Q200" i="6" s="1"/>
  <c r="N200" i="2"/>
  <c r="R200" i="6" s="1"/>
  <c r="O200" i="2"/>
  <c r="S200" i="6" s="1"/>
  <c r="Q200" i="2"/>
  <c r="U200" i="6" s="1"/>
  <c r="V200" i="6"/>
  <c r="W200" i="6"/>
  <c r="E200" i="2"/>
  <c r="I200" i="6" s="1"/>
  <c r="X199" i="2"/>
  <c r="AB199" i="6" s="1"/>
  <c r="W199" i="2"/>
  <c r="AA199" i="6" s="1"/>
  <c r="V199" i="2"/>
  <c r="Z199" i="6" s="1"/>
  <c r="U199" i="2"/>
  <c r="Y199" i="6" s="1"/>
  <c r="F199" i="2"/>
  <c r="J199" i="6" s="1"/>
  <c r="G199" i="2"/>
  <c r="K199" i="6" s="1"/>
  <c r="H199" i="2"/>
  <c r="L199" i="6" s="1"/>
  <c r="I199" i="2"/>
  <c r="M199" i="6" s="1"/>
  <c r="J199" i="2"/>
  <c r="N199" i="6" s="1"/>
  <c r="K199" i="2"/>
  <c r="L199" i="2"/>
  <c r="P199" i="6" s="1"/>
  <c r="M199" i="2"/>
  <c r="Q199" i="6" s="1"/>
  <c r="N199" i="2"/>
  <c r="R199" i="6" s="1"/>
  <c r="O199" i="2"/>
  <c r="S199" i="6" s="1"/>
  <c r="Q199" i="2"/>
  <c r="U199" i="6" s="1"/>
  <c r="V199" i="6"/>
  <c r="W199" i="6"/>
  <c r="E199" i="2"/>
  <c r="X198" i="2"/>
  <c r="AB198" i="6" s="1"/>
  <c r="W198" i="2"/>
  <c r="V198" i="2"/>
  <c r="U198" i="2"/>
  <c r="Y198" i="6" s="1"/>
  <c r="F198" i="2"/>
  <c r="J198" i="6" s="1"/>
  <c r="G198" i="2"/>
  <c r="K198" i="6" s="1"/>
  <c r="H198" i="2"/>
  <c r="L198" i="6" s="1"/>
  <c r="I198" i="2"/>
  <c r="M198" i="6" s="1"/>
  <c r="J198" i="2"/>
  <c r="K198" i="2"/>
  <c r="L198" i="2"/>
  <c r="P198" i="6" s="1"/>
  <c r="M198" i="2"/>
  <c r="N198" i="2"/>
  <c r="R198" i="6" s="1"/>
  <c r="O198" i="2"/>
  <c r="S198" i="6" s="1"/>
  <c r="Q198" i="2"/>
  <c r="U198" i="6" s="1"/>
  <c r="V198" i="6"/>
  <c r="W198" i="6"/>
  <c r="E198" i="2"/>
  <c r="I198" i="6" s="1"/>
  <c r="X197" i="2"/>
  <c r="AB197" i="6" s="1"/>
  <c r="W197" i="2"/>
  <c r="V197" i="2"/>
  <c r="Z197" i="6" s="1"/>
  <c r="U197" i="2"/>
  <c r="F197" i="2"/>
  <c r="J197" i="6" s="1"/>
  <c r="G197" i="2"/>
  <c r="K197" i="6" s="1"/>
  <c r="H197" i="2"/>
  <c r="L197" i="6" s="1"/>
  <c r="I197" i="2"/>
  <c r="J197" i="2"/>
  <c r="K197" i="2"/>
  <c r="O197" i="6" s="1"/>
  <c r="L197" i="2"/>
  <c r="P197" i="6" s="1"/>
  <c r="M197" i="2"/>
  <c r="N197" i="2"/>
  <c r="R197" i="6" s="1"/>
  <c r="O197" i="2"/>
  <c r="S197" i="6" s="1"/>
  <c r="Q197" i="2"/>
  <c r="U197" i="6" s="1"/>
  <c r="V197" i="6"/>
  <c r="W197" i="6"/>
  <c r="E197" i="2"/>
  <c r="I197" i="6" s="1"/>
  <c r="X196" i="2"/>
  <c r="AB196" i="6" s="1"/>
  <c r="W196" i="2"/>
  <c r="V196" i="2"/>
  <c r="Z196" i="6" s="1"/>
  <c r="U196" i="2"/>
  <c r="Y196" i="6" s="1"/>
  <c r="F196" i="2"/>
  <c r="J196" i="6" s="1"/>
  <c r="G196" i="2"/>
  <c r="K196" i="6" s="1"/>
  <c r="H196" i="2"/>
  <c r="L196" i="6" s="1"/>
  <c r="I196" i="2"/>
  <c r="M196" i="6" s="1"/>
  <c r="J196" i="2"/>
  <c r="N196" i="6" s="1"/>
  <c r="K196" i="2"/>
  <c r="O196" i="6" s="1"/>
  <c r="L196" i="2"/>
  <c r="P196" i="6" s="1"/>
  <c r="M196" i="2"/>
  <c r="Q196" i="6" s="1"/>
  <c r="N196" i="2"/>
  <c r="R196" i="6" s="1"/>
  <c r="O196" i="2"/>
  <c r="S196" i="6" s="1"/>
  <c r="Q196" i="2"/>
  <c r="U196" i="6" s="1"/>
  <c r="V196" i="6"/>
  <c r="W196" i="6"/>
  <c r="E196" i="2"/>
  <c r="I196" i="6" s="1"/>
  <c r="X195" i="2"/>
  <c r="AB195" i="6" s="1"/>
  <c r="W195" i="2"/>
  <c r="AA195" i="6" s="1"/>
  <c r="V195" i="2"/>
  <c r="Z195" i="6" s="1"/>
  <c r="U195" i="2"/>
  <c r="Y195" i="6" s="1"/>
  <c r="F195" i="2"/>
  <c r="J195" i="6" s="1"/>
  <c r="G195" i="2"/>
  <c r="K195" i="6" s="1"/>
  <c r="H195" i="2"/>
  <c r="L195" i="6" s="1"/>
  <c r="I195" i="2"/>
  <c r="M195" i="6" s="1"/>
  <c r="J195" i="2"/>
  <c r="N195" i="6" s="1"/>
  <c r="K195" i="2"/>
  <c r="O195" i="6" s="1"/>
  <c r="L195" i="2"/>
  <c r="P195" i="6" s="1"/>
  <c r="M195" i="2"/>
  <c r="Q195" i="6" s="1"/>
  <c r="N195" i="2"/>
  <c r="R195" i="6" s="1"/>
  <c r="O195" i="2"/>
  <c r="S195" i="6" s="1"/>
  <c r="Q195" i="2"/>
  <c r="U195" i="6" s="1"/>
  <c r="V195" i="6"/>
  <c r="W195" i="6"/>
  <c r="E195" i="2"/>
  <c r="I195" i="6" s="1"/>
  <c r="X194" i="2"/>
  <c r="AB194" i="6" s="1"/>
  <c r="W194" i="2"/>
  <c r="AA194" i="6" s="1"/>
  <c r="V194" i="2"/>
  <c r="Z194" i="6" s="1"/>
  <c r="U194" i="2"/>
  <c r="Y194" i="6" s="1"/>
  <c r="F194" i="2"/>
  <c r="J194" i="6" s="1"/>
  <c r="G194" i="2"/>
  <c r="K194" i="6" s="1"/>
  <c r="H194" i="2"/>
  <c r="L194" i="6" s="1"/>
  <c r="I194" i="2"/>
  <c r="M194" i="6" s="1"/>
  <c r="J194" i="2"/>
  <c r="N194" i="6" s="1"/>
  <c r="K194" i="2"/>
  <c r="O194" i="6" s="1"/>
  <c r="L194" i="2"/>
  <c r="P194" i="6" s="1"/>
  <c r="M194" i="2"/>
  <c r="Q194" i="6" s="1"/>
  <c r="N194" i="2"/>
  <c r="R194" i="6" s="1"/>
  <c r="O194" i="2"/>
  <c r="Q194" i="2"/>
  <c r="U194" i="6" s="1"/>
  <c r="V194" i="6"/>
  <c r="W194" i="6"/>
  <c r="E194" i="2"/>
  <c r="I194" i="6" s="1"/>
  <c r="X193" i="2"/>
  <c r="AB193" i="6" s="1"/>
  <c r="W193" i="2"/>
  <c r="AA193" i="6" s="1"/>
  <c r="V193" i="2"/>
  <c r="Z193" i="6" s="1"/>
  <c r="U193" i="2"/>
  <c r="F193" i="2"/>
  <c r="J193" i="6" s="1"/>
  <c r="G193" i="2"/>
  <c r="K193" i="6" s="1"/>
  <c r="H193" i="2"/>
  <c r="L193" i="6" s="1"/>
  <c r="I193" i="2"/>
  <c r="M193" i="6" s="1"/>
  <c r="J193" i="2"/>
  <c r="N193" i="6" s="1"/>
  <c r="K193" i="2"/>
  <c r="O193" i="6" s="1"/>
  <c r="L193" i="2"/>
  <c r="P193" i="6" s="1"/>
  <c r="M193" i="2"/>
  <c r="Q193" i="6" s="1"/>
  <c r="N193" i="2"/>
  <c r="R193" i="6" s="1"/>
  <c r="O193" i="2"/>
  <c r="Q193" i="2"/>
  <c r="U193" i="6" s="1"/>
  <c r="V193" i="6"/>
  <c r="W193" i="6"/>
  <c r="E193" i="2"/>
  <c r="I193" i="6" s="1"/>
  <c r="X192" i="2"/>
  <c r="AB192" i="6" s="1"/>
  <c r="W192" i="2"/>
  <c r="AA192" i="6" s="1"/>
  <c r="V192" i="2"/>
  <c r="Z192" i="6" s="1"/>
  <c r="U192" i="2"/>
  <c r="Y192" i="6" s="1"/>
  <c r="F192" i="2"/>
  <c r="J192" i="6" s="1"/>
  <c r="G192" i="2"/>
  <c r="K192" i="6" s="1"/>
  <c r="H192" i="2"/>
  <c r="L192" i="6" s="1"/>
  <c r="I192" i="2"/>
  <c r="M192" i="6" s="1"/>
  <c r="J192" i="2"/>
  <c r="N192" i="6" s="1"/>
  <c r="K192" i="2"/>
  <c r="O192" i="6" s="1"/>
  <c r="L192" i="2"/>
  <c r="P192" i="6" s="1"/>
  <c r="M192" i="2"/>
  <c r="Q192" i="6" s="1"/>
  <c r="N192" i="2"/>
  <c r="R192" i="6" s="1"/>
  <c r="O192" i="2"/>
  <c r="S192" i="6" s="1"/>
  <c r="Q192" i="2"/>
  <c r="U192" i="6" s="1"/>
  <c r="V192" i="6"/>
  <c r="W192" i="6"/>
  <c r="E192" i="2"/>
  <c r="I192" i="6" s="1"/>
  <c r="X191" i="2"/>
  <c r="AB191" i="6" s="1"/>
  <c r="W191" i="2"/>
  <c r="AA191" i="6" s="1"/>
  <c r="V191" i="2"/>
  <c r="Z191" i="6" s="1"/>
  <c r="U191" i="2"/>
  <c r="Y191" i="6" s="1"/>
  <c r="F191" i="2"/>
  <c r="J191" i="6" s="1"/>
  <c r="G191" i="2"/>
  <c r="K191" i="6" s="1"/>
  <c r="H191" i="2"/>
  <c r="L191" i="6" s="1"/>
  <c r="I191" i="2"/>
  <c r="M191" i="6" s="1"/>
  <c r="J191" i="2"/>
  <c r="N191" i="6" s="1"/>
  <c r="K191" i="2"/>
  <c r="O191" i="6" s="1"/>
  <c r="L191" i="2"/>
  <c r="P191" i="6" s="1"/>
  <c r="M191" i="2"/>
  <c r="Q191" i="6" s="1"/>
  <c r="N191" i="2"/>
  <c r="R191" i="6" s="1"/>
  <c r="O191" i="2"/>
  <c r="S191" i="6" s="1"/>
  <c r="Q191" i="2"/>
  <c r="U191" i="6" s="1"/>
  <c r="V191" i="6"/>
  <c r="W191" i="6"/>
  <c r="E191" i="2"/>
  <c r="I191" i="6" s="1"/>
  <c r="X190" i="2"/>
  <c r="AB190" i="6" s="1"/>
  <c r="W190" i="2"/>
  <c r="AA190" i="6" s="1"/>
  <c r="V190" i="2"/>
  <c r="Z190" i="6" s="1"/>
  <c r="U190" i="2"/>
  <c r="Y190" i="6" s="1"/>
  <c r="F190" i="2"/>
  <c r="J190" i="6" s="1"/>
  <c r="G190" i="2"/>
  <c r="K190" i="6" s="1"/>
  <c r="H190" i="2"/>
  <c r="L190" i="6" s="1"/>
  <c r="I190" i="2"/>
  <c r="M190" i="6" s="1"/>
  <c r="J190" i="2"/>
  <c r="N190" i="6" s="1"/>
  <c r="K190" i="2"/>
  <c r="O190" i="6" s="1"/>
  <c r="L190" i="2"/>
  <c r="P190" i="6" s="1"/>
  <c r="M190" i="2"/>
  <c r="Q190" i="6" s="1"/>
  <c r="N190" i="2"/>
  <c r="R190" i="6" s="1"/>
  <c r="O190" i="2"/>
  <c r="S190" i="6" s="1"/>
  <c r="Q190" i="2"/>
  <c r="U190" i="6" s="1"/>
  <c r="V190" i="6"/>
  <c r="W190" i="6"/>
  <c r="E190" i="2"/>
  <c r="I190" i="6" s="1"/>
  <c r="X189" i="2"/>
  <c r="AB189" i="6" s="1"/>
  <c r="W189" i="2"/>
  <c r="AA189" i="6" s="1"/>
  <c r="V189" i="2"/>
  <c r="Z189" i="6" s="1"/>
  <c r="U189" i="2"/>
  <c r="Y189" i="6" s="1"/>
  <c r="F189" i="2"/>
  <c r="J189" i="6" s="1"/>
  <c r="G189" i="2"/>
  <c r="K189" i="6" s="1"/>
  <c r="H189" i="2"/>
  <c r="L189" i="6" s="1"/>
  <c r="I189" i="2"/>
  <c r="M189" i="6" s="1"/>
  <c r="J189" i="2"/>
  <c r="N189" i="6" s="1"/>
  <c r="K189" i="2"/>
  <c r="O189" i="6" s="1"/>
  <c r="L189" i="2"/>
  <c r="P189" i="6" s="1"/>
  <c r="M189" i="2"/>
  <c r="Q189" i="6" s="1"/>
  <c r="N189" i="2"/>
  <c r="R189" i="6" s="1"/>
  <c r="O189" i="2"/>
  <c r="S189" i="6" s="1"/>
  <c r="Q189" i="2"/>
  <c r="U189" i="6" s="1"/>
  <c r="V189" i="6"/>
  <c r="W189" i="6"/>
  <c r="E189" i="2"/>
  <c r="I189" i="6" s="1"/>
  <c r="X188" i="2"/>
  <c r="AB188" i="6" s="1"/>
  <c r="W188" i="2"/>
  <c r="AA188" i="6" s="1"/>
  <c r="V188" i="2"/>
  <c r="Z188" i="6" s="1"/>
  <c r="U188" i="2"/>
  <c r="Y188" i="6" s="1"/>
  <c r="F188" i="2"/>
  <c r="J188" i="6" s="1"/>
  <c r="G188" i="2"/>
  <c r="K188" i="6" s="1"/>
  <c r="H188" i="2"/>
  <c r="L188" i="6" s="1"/>
  <c r="I188" i="2"/>
  <c r="M188" i="6" s="1"/>
  <c r="J188" i="2"/>
  <c r="N188" i="6" s="1"/>
  <c r="K188" i="2"/>
  <c r="O188" i="6" s="1"/>
  <c r="L188" i="2"/>
  <c r="P188" i="6" s="1"/>
  <c r="M188" i="2"/>
  <c r="Q188" i="6" s="1"/>
  <c r="N188" i="2"/>
  <c r="R188" i="6" s="1"/>
  <c r="O188" i="2"/>
  <c r="S188" i="6" s="1"/>
  <c r="Q188" i="2"/>
  <c r="U188" i="6" s="1"/>
  <c r="V188" i="6"/>
  <c r="W188" i="6"/>
  <c r="E188" i="2"/>
  <c r="I188" i="6" s="1"/>
  <c r="X187" i="2"/>
  <c r="AB187" i="6" s="1"/>
  <c r="W187" i="2"/>
  <c r="AA187" i="6" s="1"/>
  <c r="V187" i="2"/>
  <c r="Z187" i="6" s="1"/>
  <c r="U187" i="2"/>
  <c r="Y187" i="6" s="1"/>
  <c r="F187" i="2"/>
  <c r="J187" i="6" s="1"/>
  <c r="G187" i="2"/>
  <c r="K187" i="6" s="1"/>
  <c r="H187" i="2"/>
  <c r="L187" i="6" s="1"/>
  <c r="I187" i="2"/>
  <c r="M187" i="6" s="1"/>
  <c r="J187" i="2"/>
  <c r="N187" i="6" s="1"/>
  <c r="K187" i="2"/>
  <c r="O187" i="6" s="1"/>
  <c r="L187" i="2"/>
  <c r="P187" i="6" s="1"/>
  <c r="M187" i="2"/>
  <c r="Q187" i="6" s="1"/>
  <c r="N187" i="2"/>
  <c r="R187" i="6" s="1"/>
  <c r="O187" i="2"/>
  <c r="S187" i="6" s="1"/>
  <c r="Q187" i="2"/>
  <c r="U187" i="6" s="1"/>
  <c r="V187" i="6"/>
  <c r="W187" i="6"/>
  <c r="E187" i="2"/>
  <c r="I187" i="6" s="1"/>
  <c r="X186" i="2"/>
  <c r="W186" i="2"/>
  <c r="AA186" i="6" s="1"/>
  <c r="V186" i="2"/>
  <c r="U186" i="2"/>
  <c r="Y186" i="6" s="1"/>
  <c r="F186" i="2"/>
  <c r="J186" i="6" s="1"/>
  <c r="G186" i="2"/>
  <c r="K186" i="6" s="1"/>
  <c r="H186" i="2"/>
  <c r="I186" i="2"/>
  <c r="M186" i="6" s="1"/>
  <c r="J186" i="2"/>
  <c r="N186" i="6" s="1"/>
  <c r="K186" i="2"/>
  <c r="O186" i="6" s="1"/>
  <c r="L186" i="2"/>
  <c r="P186" i="6" s="1"/>
  <c r="M186" i="2"/>
  <c r="Q186" i="6" s="1"/>
  <c r="N186" i="2"/>
  <c r="R186" i="6" s="1"/>
  <c r="O186" i="2"/>
  <c r="Q186" i="2"/>
  <c r="E186" i="2"/>
  <c r="I186" i="6" s="1"/>
  <c r="X185" i="2"/>
  <c r="W185" i="2"/>
  <c r="AA185" i="6" s="1"/>
  <c r="V185" i="2"/>
  <c r="Z185" i="6" s="1"/>
  <c r="U185" i="2"/>
  <c r="F185" i="2"/>
  <c r="G185" i="2"/>
  <c r="H185" i="2"/>
  <c r="L185" i="6" s="1"/>
  <c r="I185" i="2"/>
  <c r="M185" i="6" s="1"/>
  <c r="J185" i="2"/>
  <c r="N185" i="6" s="1"/>
  <c r="K185" i="2"/>
  <c r="L185" i="2"/>
  <c r="P185" i="6" s="1"/>
  <c r="M185" i="2"/>
  <c r="Q185" i="6" s="1"/>
  <c r="N185" i="2"/>
  <c r="O185" i="2"/>
  <c r="Q185" i="2"/>
  <c r="U185" i="6" s="1"/>
  <c r="V185" i="6"/>
  <c r="W185" i="6"/>
  <c r="E185" i="2"/>
  <c r="I185" i="6" s="1"/>
  <c r="X184" i="2"/>
  <c r="AB184" i="6" s="1"/>
  <c r="W184" i="2"/>
  <c r="AA184" i="6" s="1"/>
  <c r="V184" i="2"/>
  <c r="Z184" i="6" s="1"/>
  <c r="U184" i="2"/>
  <c r="Y184" i="6" s="1"/>
  <c r="F184" i="2"/>
  <c r="J184" i="6" s="1"/>
  <c r="G184" i="2"/>
  <c r="K184" i="6" s="1"/>
  <c r="H184" i="2"/>
  <c r="L184" i="6" s="1"/>
  <c r="I184" i="2"/>
  <c r="M184" i="6" s="1"/>
  <c r="J184" i="2"/>
  <c r="N184" i="6" s="1"/>
  <c r="K184" i="2"/>
  <c r="O184" i="6" s="1"/>
  <c r="L184" i="2"/>
  <c r="P184" i="6" s="1"/>
  <c r="M184" i="2"/>
  <c r="Q184" i="6" s="1"/>
  <c r="N184" i="2"/>
  <c r="R184" i="6" s="1"/>
  <c r="O184" i="2"/>
  <c r="S184" i="6" s="1"/>
  <c r="Q184" i="2"/>
  <c r="U184" i="6" s="1"/>
  <c r="V184" i="6"/>
  <c r="W184" i="6"/>
  <c r="E184" i="2"/>
  <c r="I184" i="6" s="1"/>
  <c r="X183" i="2"/>
  <c r="AB183" i="6" s="1"/>
  <c r="W183" i="2"/>
  <c r="AA183" i="6" s="1"/>
  <c r="V183" i="2"/>
  <c r="Z183" i="6" s="1"/>
  <c r="U183" i="2"/>
  <c r="Y183" i="6" s="1"/>
  <c r="F183" i="2"/>
  <c r="J183" i="6" s="1"/>
  <c r="G183" i="2"/>
  <c r="K183" i="6" s="1"/>
  <c r="H183" i="2"/>
  <c r="L183" i="6" s="1"/>
  <c r="I183" i="2"/>
  <c r="M183" i="6" s="1"/>
  <c r="J183" i="2"/>
  <c r="N183" i="6" s="1"/>
  <c r="K183" i="2"/>
  <c r="L183" i="2"/>
  <c r="P183" i="6" s="1"/>
  <c r="M183" i="2"/>
  <c r="Q183" i="6" s="1"/>
  <c r="N183" i="2"/>
  <c r="R183" i="6" s="1"/>
  <c r="O183" i="2"/>
  <c r="S183" i="6" s="1"/>
  <c r="Q183" i="2"/>
  <c r="U183" i="6" s="1"/>
  <c r="V183" i="6"/>
  <c r="W183" i="6"/>
  <c r="E183" i="2"/>
  <c r="X182" i="2"/>
  <c r="W182" i="2"/>
  <c r="AA182" i="6" s="1"/>
  <c r="V182" i="2"/>
  <c r="U182" i="2"/>
  <c r="Y182" i="6" s="1"/>
  <c r="F182" i="2"/>
  <c r="J182" i="6" s="1"/>
  <c r="G182" i="2"/>
  <c r="K182" i="6" s="1"/>
  <c r="H182" i="2"/>
  <c r="L182" i="6" s="1"/>
  <c r="I182" i="2"/>
  <c r="M182" i="6" s="1"/>
  <c r="J182" i="2"/>
  <c r="K182" i="2"/>
  <c r="O182" i="6" s="1"/>
  <c r="L182" i="2"/>
  <c r="P182" i="6" s="1"/>
  <c r="M182" i="2"/>
  <c r="N182" i="2"/>
  <c r="R182" i="6" s="1"/>
  <c r="O182" i="2"/>
  <c r="S182" i="6" s="1"/>
  <c r="Q182" i="2"/>
  <c r="U182" i="6" s="1"/>
  <c r="V182" i="6"/>
  <c r="W182" i="6"/>
  <c r="E182" i="2"/>
  <c r="I182" i="6" s="1"/>
  <c r="X181" i="2"/>
  <c r="AB181" i="6" s="1"/>
  <c r="W181" i="2"/>
  <c r="AA181" i="6" s="1"/>
  <c r="V181" i="2"/>
  <c r="Z181" i="6" s="1"/>
  <c r="U181" i="2"/>
  <c r="F181" i="2"/>
  <c r="J181" i="6" s="1"/>
  <c r="G181" i="2"/>
  <c r="H181" i="2"/>
  <c r="L181" i="6" s="1"/>
  <c r="I181" i="2"/>
  <c r="M181" i="6" s="1"/>
  <c r="J181" i="2"/>
  <c r="N181" i="6" s="1"/>
  <c r="K181" i="2"/>
  <c r="O181" i="6" s="1"/>
  <c r="L181" i="2"/>
  <c r="P181" i="6" s="1"/>
  <c r="M181" i="2"/>
  <c r="Q181" i="6" s="1"/>
  <c r="N181" i="2"/>
  <c r="R181" i="6" s="1"/>
  <c r="O181" i="2"/>
  <c r="Q181" i="2"/>
  <c r="U181" i="6" s="1"/>
  <c r="V181" i="6"/>
  <c r="W181" i="6"/>
  <c r="E181" i="2"/>
  <c r="I181" i="6" s="1"/>
  <c r="X180" i="2"/>
  <c r="AB180" i="6" s="1"/>
  <c r="W180" i="2"/>
  <c r="AA180" i="6" s="1"/>
  <c r="V180" i="2"/>
  <c r="Z180" i="6" s="1"/>
  <c r="U180" i="2"/>
  <c r="Y180" i="6" s="1"/>
  <c r="F180" i="2"/>
  <c r="J180" i="6" s="1"/>
  <c r="G180" i="2"/>
  <c r="K180" i="6" s="1"/>
  <c r="H180" i="2"/>
  <c r="L180" i="6" s="1"/>
  <c r="I180" i="2"/>
  <c r="M180" i="6" s="1"/>
  <c r="J180" i="2"/>
  <c r="N180" i="6" s="1"/>
  <c r="K180" i="2"/>
  <c r="O180" i="6" s="1"/>
  <c r="L180" i="2"/>
  <c r="P180" i="6" s="1"/>
  <c r="M180" i="2"/>
  <c r="Q180" i="6" s="1"/>
  <c r="N180" i="2"/>
  <c r="R180" i="6" s="1"/>
  <c r="O180" i="2"/>
  <c r="S180" i="6" s="1"/>
  <c r="Q180" i="2"/>
  <c r="U180" i="6" s="1"/>
  <c r="V180" i="6"/>
  <c r="W180" i="6"/>
  <c r="E180" i="2"/>
  <c r="I180" i="6" s="1"/>
  <c r="X179" i="2"/>
  <c r="AB179" i="6" s="1"/>
  <c r="W179" i="2"/>
  <c r="AA179" i="6" s="1"/>
  <c r="V179" i="2"/>
  <c r="Z179" i="6" s="1"/>
  <c r="U179" i="2"/>
  <c r="Y179" i="6" s="1"/>
  <c r="F179" i="2"/>
  <c r="J179" i="6" s="1"/>
  <c r="G179" i="2"/>
  <c r="K179" i="6" s="1"/>
  <c r="H179" i="2"/>
  <c r="L179" i="6" s="1"/>
  <c r="I179" i="2"/>
  <c r="M179" i="6" s="1"/>
  <c r="J179" i="2"/>
  <c r="N179" i="6" s="1"/>
  <c r="K179" i="2"/>
  <c r="O179" i="6" s="1"/>
  <c r="L179" i="2"/>
  <c r="P179" i="6" s="1"/>
  <c r="M179" i="2"/>
  <c r="Q179" i="6" s="1"/>
  <c r="N179" i="2"/>
  <c r="R179" i="6" s="1"/>
  <c r="O179" i="2"/>
  <c r="S179" i="6" s="1"/>
  <c r="Q179" i="2"/>
  <c r="U179" i="6" s="1"/>
  <c r="V179" i="6"/>
  <c r="W179" i="6"/>
  <c r="E179" i="2"/>
  <c r="I179" i="6" s="1"/>
  <c r="X178" i="2"/>
  <c r="AB178" i="6" s="1"/>
  <c r="W178" i="2"/>
  <c r="AA178" i="6" s="1"/>
  <c r="V178" i="2"/>
  <c r="Z178" i="6" s="1"/>
  <c r="U178" i="2"/>
  <c r="Y178" i="6" s="1"/>
  <c r="F178" i="2"/>
  <c r="J178" i="6" s="1"/>
  <c r="G178" i="2"/>
  <c r="K178" i="6" s="1"/>
  <c r="H178" i="2"/>
  <c r="L178" i="6" s="1"/>
  <c r="I178" i="2"/>
  <c r="M178" i="6" s="1"/>
  <c r="J178" i="2"/>
  <c r="N178" i="6" s="1"/>
  <c r="K178" i="2"/>
  <c r="O178" i="6" s="1"/>
  <c r="L178" i="2"/>
  <c r="M178" i="2"/>
  <c r="Q178" i="6" s="1"/>
  <c r="N178" i="2"/>
  <c r="O178" i="2"/>
  <c r="Q178" i="2"/>
  <c r="U178" i="6" s="1"/>
  <c r="V178" i="6"/>
  <c r="W178" i="6"/>
  <c r="E178" i="2"/>
  <c r="I178" i="6" s="1"/>
  <c r="X177" i="2"/>
  <c r="AB177" i="6" s="1"/>
  <c r="W177" i="2"/>
  <c r="AA177" i="6" s="1"/>
  <c r="V177" i="2"/>
  <c r="Z177" i="6" s="1"/>
  <c r="U177" i="2"/>
  <c r="Y177" i="6" s="1"/>
  <c r="F177" i="2"/>
  <c r="J177" i="6" s="1"/>
  <c r="G177" i="2"/>
  <c r="K177" i="6" s="1"/>
  <c r="H177" i="2"/>
  <c r="L177" i="6" s="1"/>
  <c r="I177" i="2"/>
  <c r="M177" i="6" s="1"/>
  <c r="J177" i="2"/>
  <c r="N177" i="6" s="1"/>
  <c r="K177" i="2"/>
  <c r="O177" i="6" s="1"/>
  <c r="L177" i="2"/>
  <c r="P177" i="6" s="1"/>
  <c r="M177" i="2"/>
  <c r="Q177" i="6" s="1"/>
  <c r="N177" i="2"/>
  <c r="R177" i="6" s="1"/>
  <c r="O177" i="2"/>
  <c r="S177" i="6" s="1"/>
  <c r="Q177" i="2"/>
  <c r="U177" i="6" s="1"/>
  <c r="V177" i="6"/>
  <c r="W177" i="6"/>
  <c r="E177" i="2"/>
  <c r="I177" i="6" s="1"/>
  <c r="X176" i="2"/>
  <c r="AB176" i="6" s="1"/>
  <c r="W176" i="2"/>
  <c r="AA176" i="6" s="1"/>
  <c r="V176" i="2"/>
  <c r="Z176" i="6" s="1"/>
  <c r="U176" i="2"/>
  <c r="Y176" i="6" s="1"/>
  <c r="F176" i="2"/>
  <c r="J176" i="6" s="1"/>
  <c r="G176" i="2"/>
  <c r="K176" i="6" s="1"/>
  <c r="H176" i="2"/>
  <c r="L176" i="6" s="1"/>
  <c r="I176" i="2"/>
  <c r="M176" i="6" s="1"/>
  <c r="J176" i="2"/>
  <c r="N176" i="6" s="1"/>
  <c r="K176" i="2"/>
  <c r="O176" i="6" s="1"/>
  <c r="L176" i="2"/>
  <c r="P176" i="6" s="1"/>
  <c r="M176" i="2"/>
  <c r="Q176" i="6" s="1"/>
  <c r="N176" i="2"/>
  <c r="R176" i="6" s="1"/>
  <c r="O176" i="2"/>
  <c r="S176" i="6" s="1"/>
  <c r="Q176" i="2"/>
  <c r="U176" i="6" s="1"/>
  <c r="V176" i="6"/>
  <c r="W176" i="6"/>
  <c r="E176" i="2"/>
  <c r="I176" i="6" s="1"/>
  <c r="X175" i="2"/>
  <c r="AB175" i="6" s="1"/>
  <c r="W175" i="2"/>
  <c r="AA175" i="6" s="1"/>
  <c r="V175" i="2"/>
  <c r="Z175" i="6" s="1"/>
  <c r="U175" i="2"/>
  <c r="Y175" i="6" s="1"/>
  <c r="F175" i="2"/>
  <c r="J175" i="6" s="1"/>
  <c r="G175" i="2"/>
  <c r="K175" i="6" s="1"/>
  <c r="H175" i="2"/>
  <c r="L175" i="6" s="1"/>
  <c r="I175" i="2"/>
  <c r="M175" i="6" s="1"/>
  <c r="J175" i="2"/>
  <c r="N175" i="6" s="1"/>
  <c r="K175" i="2"/>
  <c r="O175" i="6" s="1"/>
  <c r="L175" i="2"/>
  <c r="P175" i="6" s="1"/>
  <c r="M175" i="2"/>
  <c r="Q175" i="6" s="1"/>
  <c r="N175" i="2"/>
  <c r="R175" i="6" s="1"/>
  <c r="O175" i="2"/>
  <c r="S175" i="6" s="1"/>
  <c r="Q175" i="2"/>
  <c r="U175" i="6" s="1"/>
  <c r="V175" i="6"/>
  <c r="W175" i="6"/>
  <c r="E175" i="2"/>
  <c r="I175" i="6" s="1"/>
  <c r="X174" i="2"/>
  <c r="W174" i="2"/>
  <c r="V174" i="2"/>
  <c r="U174" i="2"/>
  <c r="Y174" i="6" s="1"/>
  <c r="F174" i="2"/>
  <c r="G174" i="2"/>
  <c r="K174" i="6" s="1"/>
  <c r="H174" i="2"/>
  <c r="L174" i="6" s="1"/>
  <c r="I174" i="2"/>
  <c r="M174" i="6" s="1"/>
  <c r="J174" i="2"/>
  <c r="K174" i="2"/>
  <c r="O174" i="6" s="1"/>
  <c r="L174" i="2"/>
  <c r="M174" i="2"/>
  <c r="N174" i="2"/>
  <c r="O174" i="2"/>
  <c r="S174" i="6" s="1"/>
  <c r="Q174" i="2"/>
  <c r="U174" i="6" s="1"/>
  <c r="V174" i="6"/>
  <c r="E174" i="2"/>
  <c r="X173" i="2"/>
  <c r="AB173" i="6" s="1"/>
  <c r="W173" i="2"/>
  <c r="AA173" i="6" s="1"/>
  <c r="V173" i="2"/>
  <c r="Z173" i="6" s="1"/>
  <c r="U173" i="2"/>
  <c r="Y173" i="6" s="1"/>
  <c r="F173" i="2"/>
  <c r="J173" i="6" s="1"/>
  <c r="G173" i="2"/>
  <c r="H173" i="2"/>
  <c r="L173" i="6" s="1"/>
  <c r="I173" i="2"/>
  <c r="M173" i="6" s="1"/>
  <c r="J173" i="2"/>
  <c r="K173" i="2"/>
  <c r="L173" i="2"/>
  <c r="P173" i="6" s="1"/>
  <c r="M173" i="2"/>
  <c r="Q173" i="6" s="1"/>
  <c r="N173" i="2"/>
  <c r="R173" i="6" s="1"/>
  <c r="O173" i="2"/>
  <c r="S173" i="6" s="1"/>
  <c r="Q173" i="2"/>
  <c r="U173" i="6" s="1"/>
  <c r="V173" i="6"/>
  <c r="E173" i="2"/>
  <c r="I173" i="6" s="1"/>
  <c r="X172" i="2"/>
  <c r="AB172" i="6" s="1"/>
  <c r="W172" i="2"/>
  <c r="AA172" i="6" s="1"/>
  <c r="V172" i="2"/>
  <c r="Z172" i="6" s="1"/>
  <c r="U172" i="2"/>
  <c r="Y172" i="6" s="1"/>
  <c r="F172" i="2"/>
  <c r="J172" i="6" s="1"/>
  <c r="G172" i="2"/>
  <c r="K172" i="6" s="1"/>
  <c r="H172" i="2"/>
  <c r="L172" i="6" s="1"/>
  <c r="I172" i="2"/>
  <c r="M172" i="6" s="1"/>
  <c r="J172" i="2"/>
  <c r="N172" i="6" s="1"/>
  <c r="K172" i="2"/>
  <c r="O172" i="6" s="1"/>
  <c r="L172" i="2"/>
  <c r="P172" i="6" s="1"/>
  <c r="M172" i="2"/>
  <c r="Q172" i="6" s="1"/>
  <c r="N172" i="2"/>
  <c r="R172" i="6" s="1"/>
  <c r="O172" i="2"/>
  <c r="S172" i="6" s="1"/>
  <c r="Q172" i="2"/>
  <c r="U172" i="6" s="1"/>
  <c r="V172" i="6"/>
  <c r="W172" i="6"/>
  <c r="E172" i="2"/>
  <c r="I172" i="6" s="1"/>
  <c r="X171" i="2"/>
  <c r="AB171" i="6" s="1"/>
  <c r="W171" i="2"/>
  <c r="AA171" i="6" s="1"/>
  <c r="V171" i="2"/>
  <c r="Z171" i="6" s="1"/>
  <c r="U171" i="2"/>
  <c r="Y171" i="6" s="1"/>
  <c r="F171" i="2"/>
  <c r="J171" i="6" s="1"/>
  <c r="G171" i="2"/>
  <c r="K171" i="6" s="1"/>
  <c r="H171" i="2"/>
  <c r="L171" i="6" s="1"/>
  <c r="I171" i="2"/>
  <c r="M171" i="6" s="1"/>
  <c r="J171" i="2"/>
  <c r="N171" i="6" s="1"/>
  <c r="K171" i="2"/>
  <c r="O171" i="6" s="1"/>
  <c r="L171" i="2"/>
  <c r="P171" i="6" s="1"/>
  <c r="M171" i="2"/>
  <c r="Q171" i="6" s="1"/>
  <c r="N171" i="2"/>
  <c r="R171" i="6" s="1"/>
  <c r="O171" i="2"/>
  <c r="S171" i="6" s="1"/>
  <c r="Q171" i="2"/>
  <c r="U171" i="6" s="1"/>
  <c r="V171" i="6"/>
  <c r="W171" i="6"/>
  <c r="E171" i="2"/>
  <c r="I171" i="6" s="1"/>
  <c r="X170" i="2"/>
  <c r="AB170" i="6" s="1"/>
  <c r="W170" i="2"/>
  <c r="AA170" i="6" s="1"/>
  <c r="V170" i="2"/>
  <c r="U170" i="2"/>
  <c r="Y170" i="6" s="1"/>
  <c r="F170" i="2"/>
  <c r="J170" i="6" s="1"/>
  <c r="G170" i="2"/>
  <c r="K170" i="6" s="1"/>
  <c r="H170" i="2"/>
  <c r="I170" i="2"/>
  <c r="J170" i="2"/>
  <c r="N170" i="6" s="1"/>
  <c r="K170" i="2"/>
  <c r="O170" i="6" s="1"/>
  <c r="L170" i="2"/>
  <c r="P170" i="6" s="1"/>
  <c r="M170" i="2"/>
  <c r="Q170" i="6" s="1"/>
  <c r="N170" i="2"/>
  <c r="R170" i="6" s="1"/>
  <c r="O170" i="2"/>
  <c r="Q170" i="2"/>
  <c r="U170" i="6" s="1"/>
  <c r="V170" i="6"/>
  <c r="E170" i="2"/>
  <c r="I170" i="6" s="1"/>
  <c r="X169" i="2"/>
  <c r="W169" i="2"/>
  <c r="AA169" i="6" s="1"/>
  <c r="V169" i="2"/>
  <c r="Z169" i="6" s="1"/>
  <c r="U169" i="2"/>
  <c r="Y169" i="6" s="1"/>
  <c r="F169" i="2"/>
  <c r="J169" i="6" s="1"/>
  <c r="G169" i="2"/>
  <c r="K169" i="6" s="1"/>
  <c r="H169" i="2"/>
  <c r="L169" i="6" s="1"/>
  <c r="I169" i="2"/>
  <c r="M169" i="6" s="1"/>
  <c r="J169" i="2"/>
  <c r="N169" i="6" s="1"/>
  <c r="K169" i="2"/>
  <c r="O169" i="6" s="1"/>
  <c r="L169" i="2"/>
  <c r="P169" i="6" s="1"/>
  <c r="M169" i="2"/>
  <c r="Q169" i="6" s="1"/>
  <c r="N169" i="2"/>
  <c r="R169" i="6" s="1"/>
  <c r="O169" i="2"/>
  <c r="S169" i="6" s="1"/>
  <c r="Q169" i="2"/>
  <c r="U169" i="6" s="1"/>
  <c r="V169" i="6"/>
  <c r="W169" i="6"/>
  <c r="E169" i="2"/>
  <c r="I169" i="6" s="1"/>
  <c r="X168" i="2"/>
  <c r="AB168" i="6" s="1"/>
  <c r="W168" i="2"/>
  <c r="AA168" i="6" s="1"/>
  <c r="V168" i="2"/>
  <c r="Z168" i="6" s="1"/>
  <c r="U168" i="2"/>
  <c r="Y168" i="6" s="1"/>
  <c r="F168" i="2"/>
  <c r="J168" i="6" s="1"/>
  <c r="G168" i="2"/>
  <c r="K168" i="6" s="1"/>
  <c r="H168" i="2"/>
  <c r="L168" i="6" s="1"/>
  <c r="I168" i="2"/>
  <c r="M168" i="6" s="1"/>
  <c r="J168" i="2"/>
  <c r="N168" i="6" s="1"/>
  <c r="K168" i="2"/>
  <c r="O168" i="6" s="1"/>
  <c r="L168" i="2"/>
  <c r="P168" i="6" s="1"/>
  <c r="M168" i="2"/>
  <c r="Q168" i="6" s="1"/>
  <c r="N168" i="2"/>
  <c r="R168" i="6" s="1"/>
  <c r="O168" i="2"/>
  <c r="S168" i="6" s="1"/>
  <c r="Q168" i="2"/>
  <c r="U168" i="6" s="1"/>
  <c r="V168" i="6"/>
  <c r="W168" i="6"/>
  <c r="E168" i="2"/>
  <c r="I168" i="6" s="1"/>
  <c r="X167" i="2"/>
  <c r="AB167" i="6" s="1"/>
  <c r="W167" i="2"/>
  <c r="AA167" i="6" s="1"/>
  <c r="V167" i="2"/>
  <c r="Z167" i="6" s="1"/>
  <c r="U167" i="2"/>
  <c r="Y167" i="6" s="1"/>
  <c r="F167" i="2"/>
  <c r="J167" i="6" s="1"/>
  <c r="G167" i="2"/>
  <c r="K167" i="6" s="1"/>
  <c r="H167" i="2"/>
  <c r="L167" i="6" s="1"/>
  <c r="I167" i="2"/>
  <c r="M167" i="6" s="1"/>
  <c r="J167" i="2"/>
  <c r="N167" i="6" s="1"/>
  <c r="K167" i="2"/>
  <c r="O167" i="6" s="1"/>
  <c r="L167" i="2"/>
  <c r="P167" i="6" s="1"/>
  <c r="M167" i="2"/>
  <c r="Q167" i="6" s="1"/>
  <c r="N167" i="2"/>
  <c r="R167" i="6" s="1"/>
  <c r="O167" i="2"/>
  <c r="S167" i="6" s="1"/>
  <c r="Q167" i="2"/>
  <c r="U167" i="6" s="1"/>
  <c r="V167" i="6"/>
  <c r="W167" i="6"/>
  <c r="E167" i="2"/>
  <c r="I167" i="6" s="1"/>
  <c r="X166" i="2"/>
  <c r="AB166" i="6" s="1"/>
  <c r="W166" i="2"/>
  <c r="AA166" i="6" s="1"/>
  <c r="V166" i="2"/>
  <c r="Z166" i="6" s="1"/>
  <c r="U166" i="2"/>
  <c r="Y166" i="6" s="1"/>
  <c r="F166" i="2"/>
  <c r="J166" i="6" s="1"/>
  <c r="G166" i="2"/>
  <c r="K166" i="6" s="1"/>
  <c r="H166" i="2"/>
  <c r="L166" i="6" s="1"/>
  <c r="I166" i="2"/>
  <c r="M166" i="6" s="1"/>
  <c r="J166" i="2"/>
  <c r="N166" i="6" s="1"/>
  <c r="K166" i="2"/>
  <c r="O166" i="6" s="1"/>
  <c r="L166" i="2"/>
  <c r="P166" i="6" s="1"/>
  <c r="M166" i="2"/>
  <c r="N166" i="2"/>
  <c r="R166" i="6" s="1"/>
  <c r="O166" i="2"/>
  <c r="S166" i="6" s="1"/>
  <c r="Q166" i="2"/>
  <c r="U166" i="6" s="1"/>
  <c r="V166" i="6"/>
  <c r="W166" i="6"/>
  <c r="E166" i="2"/>
  <c r="I166" i="6" s="1"/>
  <c r="X165" i="2"/>
  <c r="AB165" i="6" s="1"/>
  <c r="W165" i="2"/>
  <c r="AA165" i="6" s="1"/>
  <c r="V165" i="2"/>
  <c r="Z165" i="6" s="1"/>
  <c r="U165" i="2"/>
  <c r="Y165" i="6" s="1"/>
  <c r="F165" i="2"/>
  <c r="J165" i="6" s="1"/>
  <c r="G165" i="2"/>
  <c r="K165" i="6" s="1"/>
  <c r="H165" i="2"/>
  <c r="L165" i="6" s="1"/>
  <c r="I165" i="2"/>
  <c r="M165" i="6" s="1"/>
  <c r="J165" i="2"/>
  <c r="N165" i="6" s="1"/>
  <c r="K165" i="2"/>
  <c r="O165" i="6" s="1"/>
  <c r="L165" i="2"/>
  <c r="P165" i="6" s="1"/>
  <c r="M165" i="2"/>
  <c r="Q165" i="6" s="1"/>
  <c r="N165" i="2"/>
  <c r="R165" i="6" s="1"/>
  <c r="O165" i="2"/>
  <c r="S165" i="6" s="1"/>
  <c r="Q165" i="2"/>
  <c r="U165" i="6" s="1"/>
  <c r="V165" i="6"/>
  <c r="W165" i="6"/>
  <c r="E165" i="2"/>
  <c r="I165" i="6" s="1"/>
  <c r="X164" i="2"/>
  <c r="AB164" i="6" s="1"/>
  <c r="W164" i="2"/>
  <c r="AA164" i="6" s="1"/>
  <c r="V164" i="2"/>
  <c r="Z164" i="6" s="1"/>
  <c r="U164" i="2"/>
  <c r="Y164" i="6" s="1"/>
  <c r="F164" i="2"/>
  <c r="J164" i="6" s="1"/>
  <c r="G164" i="2"/>
  <c r="H164" i="2"/>
  <c r="L164" i="6" s="1"/>
  <c r="I164" i="2"/>
  <c r="M164" i="6" s="1"/>
  <c r="J164" i="2"/>
  <c r="N164" i="6" s="1"/>
  <c r="K164" i="2"/>
  <c r="O164" i="6" s="1"/>
  <c r="L164" i="2"/>
  <c r="P164" i="6" s="1"/>
  <c r="M164" i="2"/>
  <c r="Q164" i="6" s="1"/>
  <c r="N164" i="2"/>
  <c r="R164" i="6" s="1"/>
  <c r="O164" i="2"/>
  <c r="S164" i="6" s="1"/>
  <c r="Q164" i="2"/>
  <c r="U164" i="6" s="1"/>
  <c r="V164" i="6"/>
  <c r="W164" i="6"/>
  <c r="E164" i="2"/>
  <c r="I164" i="6" s="1"/>
  <c r="X163" i="2"/>
  <c r="AB163" i="6" s="1"/>
  <c r="W163" i="2"/>
  <c r="AA163" i="6" s="1"/>
  <c r="V163" i="2"/>
  <c r="Z163" i="6" s="1"/>
  <c r="U163" i="2"/>
  <c r="Y163" i="6" s="1"/>
  <c r="F163" i="2"/>
  <c r="J163" i="6" s="1"/>
  <c r="G163" i="2"/>
  <c r="K163" i="6" s="1"/>
  <c r="H163" i="2"/>
  <c r="L163" i="6" s="1"/>
  <c r="I163" i="2"/>
  <c r="M163" i="6" s="1"/>
  <c r="J163" i="2"/>
  <c r="N163" i="6" s="1"/>
  <c r="K163" i="2"/>
  <c r="O163" i="6" s="1"/>
  <c r="L163" i="2"/>
  <c r="P163" i="6" s="1"/>
  <c r="M163" i="2"/>
  <c r="Q163" i="6" s="1"/>
  <c r="N163" i="2"/>
  <c r="R163" i="6" s="1"/>
  <c r="O163" i="2"/>
  <c r="S163" i="6" s="1"/>
  <c r="Q163" i="2"/>
  <c r="U163" i="6" s="1"/>
  <c r="V163" i="6"/>
  <c r="W163" i="6"/>
  <c r="E163" i="2"/>
  <c r="I163" i="6" s="1"/>
  <c r="X162" i="2"/>
  <c r="AB162" i="6" s="1"/>
  <c r="W162" i="2"/>
  <c r="AA162" i="6" s="1"/>
  <c r="V162" i="2"/>
  <c r="Z162" i="6" s="1"/>
  <c r="U162" i="2"/>
  <c r="Y162" i="6" s="1"/>
  <c r="F162" i="2"/>
  <c r="J162" i="6" s="1"/>
  <c r="G162" i="2"/>
  <c r="K162" i="6" s="1"/>
  <c r="H162" i="2"/>
  <c r="L162" i="6" s="1"/>
  <c r="I162" i="2"/>
  <c r="M162" i="6" s="1"/>
  <c r="J162" i="2"/>
  <c r="N162" i="6" s="1"/>
  <c r="K162" i="2"/>
  <c r="O162" i="6" s="1"/>
  <c r="L162" i="2"/>
  <c r="P162" i="6" s="1"/>
  <c r="M162" i="2"/>
  <c r="Q162" i="6" s="1"/>
  <c r="N162" i="2"/>
  <c r="R162" i="6" s="1"/>
  <c r="O162" i="2"/>
  <c r="S162" i="6" s="1"/>
  <c r="Q162" i="2"/>
  <c r="U162" i="6" s="1"/>
  <c r="V162" i="6"/>
  <c r="W162" i="6"/>
  <c r="E162" i="2"/>
  <c r="I162" i="6" s="1"/>
  <c r="X161" i="2"/>
  <c r="W161" i="2"/>
  <c r="AA161" i="6" s="1"/>
  <c r="V161" i="2"/>
  <c r="Z161" i="6" s="1"/>
  <c r="U161" i="2"/>
  <c r="F161" i="2"/>
  <c r="G161" i="2"/>
  <c r="H161" i="2"/>
  <c r="L161" i="6" s="1"/>
  <c r="I161" i="2"/>
  <c r="M161" i="6" s="1"/>
  <c r="J161" i="2"/>
  <c r="N161" i="6" s="1"/>
  <c r="K161" i="2"/>
  <c r="L161" i="2"/>
  <c r="P161" i="6" s="1"/>
  <c r="M161" i="2"/>
  <c r="Q161" i="6" s="1"/>
  <c r="N161" i="2"/>
  <c r="O161" i="2"/>
  <c r="Q161" i="2"/>
  <c r="U161" i="6" s="1"/>
  <c r="V161" i="6"/>
  <c r="W161" i="6"/>
  <c r="E161" i="2"/>
  <c r="I161" i="6" s="1"/>
  <c r="X160" i="2"/>
  <c r="AB160" i="6" s="1"/>
  <c r="W160" i="2"/>
  <c r="AA160" i="6" s="1"/>
  <c r="V160" i="2"/>
  <c r="U160" i="2"/>
  <c r="F160" i="2"/>
  <c r="J160" i="6" s="1"/>
  <c r="G160" i="2"/>
  <c r="K160" i="6" s="1"/>
  <c r="H160" i="2"/>
  <c r="L160" i="6" s="1"/>
  <c r="I160" i="2"/>
  <c r="M160" i="6" s="1"/>
  <c r="J160" i="2"/>
  <c r="N160" i="6" s="1"/>
  <c r="K160" i="2"/>
  <c r="L160" i="2"/>
  <c r="M160" i="2"/>
  <c r="Q160" i="6" s="1"/>
  <c r="N160" i="2"/>
  <c r="R160" i="6" s="1"/>
  <c r="O160" i="2"/>
  <c r="S160" i="6" s="1"/>
  <c r="Q160" i="2"/>
  <c r="U160" i="6" s="1"/>
  <c r="V160" i="6"/>
  <c r="W160" i="6"/>
  <c r="E160" i="2"/>
  <c r="I160" i="6" s="1"/>
  <c r="X159" i="2"/>
  <c r="AB159" i="6" s="1"/>
  <c r="W159" i="2"/>
  <c r="AA159" i="6" s="1"/>
  <c r="V159" i="2"/>
  <c r="Z159" i="6" s="1"/>
  <c r="U159" i="2"/>
  <c r="Y159" i="6" s="1"/>
  <c r="F159" i="2"/>
  <c r="J159" i="6" s="1"/>
  <c r="G159" i="2"/>
  <c r="K159" i="6" s="1"/>
  <c r="H159" i="2"/>
  <c r="L159" i="6" s="1"/>
  <c r="I159" i="2"/>
  <c r="M159" i="6" s="1"/>
  <c r="J159" i="2"/>
  <c r="N159" i="6" s="1"/>
  <c r="K159" i="2"/>
  <c r="L159" i="2"/>
  <c r="P159" i="6" s="1"/>
  <c r="M159" i="2"/>
  <c r="Q159" i="6" s="1"/>
  <c r="N159" i="2"/>
  <c r="R159" i="6" s="1"/>
  <c r="O159" i="2"/>
  <c r="S159" i="6" s="1"/>
  <c r="Q159" i="2"/>
  <c r="U159" i="6" s="1"/>
  <c r="V159" i="6"/>
  <c r="W159" i="6"/>
  <c r="E159" i="2"/>
  <c r="X158" i="2"/>
  <c r="AB158" i="6" s="1"/>
  <c r="W158" i="2"/>
  <c r="AA158" i="6" s="1"/>
  <c r="V158" i="2"/>
  <c r="Z158" i="6" s="1"/>
  <c r="U158" i="2"/>
  <c r="Y158" i="6" s="1"/>
  <c r="F158" i="2"/>
  <c r="J158" i="6" s="1"/>
  <c r="G158" i="2"/>
  <c r="K158" i="6" s="1"/>
  <c r="H158" i="2"/>
  <c r="I158" i="2"/>
  <c r="M158" i="6" s="1"/>
  <c r="J158" i="2"/>
  <c r="N158" i="6" s="1"/>
  <c r="K158" i="2"/>
  <c r="O158" i="6" s="1"/>
  <c r="L158" i="2"/>
  <c r="P158" i="6" s="1"/>
  <c r="M158" i="2"/>
  <c r="N158" i="2"/>
  <c r="R158" i="6" s="1"/>
  <c r="O158" i="2"/>
  <c r="S158" i="6" s="1"/>
  <c r="Q158" i="2"/>
  <c r="V158" i="6"/>
  <c r="W158" i="6"/>
  <c r="E158" i="2"/>
  <c r="I158" i="6" s="1"/>
  <c r="X157" i="2"/>
  <c r="AB157" i="6" s="1"/>
  <c r="W157" i="2"/>
  <c r="AA157" i="6" s="1"/>
  <c r="V157" i="2"/>
  <c r="U157" i="2"/>
  <c r="Y157" i="6" s="1"/>
  <c r="F157" i="2"/>
  <c r="J157" i="6" s="1"/>
  <c r="G157" i="2"/>
  <c r="K157" i="6" s="1"/>
  <c r="H157" i="2"/>
  <c r="L157" i="6" s="1"/>
  <c r="I157" i="2"/>
  <c r="M157" i="6" s="1"/>
  <c r="J157" i="2"/>
  <c r="N157" i="6" s="1"/>
  <c r="K157" i="2"/>
  <c r="L157" i="2"/>
  <c r="P157" i="6" s="1"/>
  <c r="M157" i="2"/>
  <c r="Q157" i="6" s="1"/>
  <c r="N157" i="2"/>
  <c r="R157" i="6" s="1"/>
  <c r="O157" i="2"/>
  <c r="S157" i="6" s="1"/>
  <c r="Q157" i="2"/>
  <c r="U157" i="6" s="1"/>
  <c r="V157" i="6"/>
  <c r="W157" i="6"/>
  <c r="E157" i="2"/>
  <c r="I157" i="6" s="1"/>
  <c r="X156" i="2"/>
  <c r="AB156" i="6" s="1"/>
  <c r="W156" i="2"/>
  <c r="AA156" i="6" s="1"/>
  <c r="V156" i="2"/>
  <c r="Z156" i="6" s="1"/>
  <c r="U156" i="2"/>
  <c r="Y156" i="6" s="1"/>
  <c r="F156" i="2"/>
  <c r="J156" i="6" s="1"/>
  <c r="G156" i="2"/>
  <c r="K156" i="6" s="1"/>
  <c r="H156" i="2"/>
  <c r="L156" i="6" s="1"/>
  <c r="I156" i="2"/>
  <c r="M156" i="6" s="1"/>
  <c r="J156" i="2"/>
  <c r="N156" i="6" s="1"/>
  <c r="K156" i="2"/>
  <c r="O156" i="6" s="1"/>
  <c r="L156" i="2"/>
  <c r="P156" i="6" s="1"/>
  <c r="M156" i="2"/>
  <c r="Q156" i="6" s="1"/>
  <c r="N156" i="2"/>
  <c r="R156" i="6" s="1"/>
  <c r="O156" i="2"/>
  <c r="S156" i="6" s="1"/>
  <c r="Q156" i="2"/>
  <c r="U156" i="6" s="1"/>
  <c r="V156" i="6"/>
  <c r="W156" i="6"/>
  <c r="E156" i="2"/>
  <c r="I156" i="6" s="1"/>
  <c r="X155" i="2"/>
  <c r="AB155" i="6" s="1"/>
  <c r="W155" i="2"/>
  <c r="AA155" i="6" s="1"/>
  <c r="V155" i="2"/>
  <c r="Z155" i="6" s="1"/>
  <c r="U155" i="2"/>
  <c r="Y155" i="6" s="1"/>
  <c r="F155" i="2"/>
  <c r="J155" i="6" s="1"/>
  <c r="G155" i="2"/>
  <c r="K155" i="6" s="1"/>
  <c r="H155" i="2"/>
  <c r="L155" i="6" s="1"/>
  <c r="I155" i="2"/>
  <c r="M155" i="6" s="1"/>
  <c r="J155" i="2"/>
  <c r="N155" i="6" s="1"/>
  <c r="K155" i="2"/>
  <c r="O155" i="6" s="1"/>
  <c r="L155" i="2"/>
  <c r="P155" i="6" s="1"/>
  <c r="M155" i="2"/>
  <c r="Q155" i="6" s="1"/>
  <c r="N155" i="2"/>
  <c r="R155" i="6" s="1"/>
  <c r="O155" i="2"/>
  <c r="Q155" i="2"/>
  <c r="U155" i="6" s="1"/>
  <c r="V155" i="6"/>
  <c r="W155" i="6"/>
  <c r="E155" i="2"/>
  <c r="I155" i="6" s="1"/>
  <c r="X154" i="2"/>
  <c r="AB154" i="6" s="1"/>
  <c r="W154" i="2"/>
  <c r="AA154" i="6" s="1"/>
  <c r="V154" i="2"/>
  <c r="Z154" i="6" s="1"/>
  <c r="U154" i="2"/>
  <c r="Y154" i="6" s="1"/>
  <c r="F154" i="2"/>
  <c r="J154" i="6" s="1"/>
  <c r="G154" i="2"/>
  <c r="K154" i="6" s="1"/>
  <c r="H154" i="2"/>
  <c r="L154" i="6" s="1"/>
  <c r="I154" i="2"/>
  <c r="M154" i="6" s="1"/>
  <c r="J154" i="2"/>
  <c r="N154" i="6" s="1"/>
  <c r="K154" i="2"/>
  <c r="O154" i="6" s="1"/>
  <c r="L154" i="2"/>
  <c r="P154" i="6" s="1"/>
  <c r="M154" i="2"/>
  <c r="Q154" i="6" s="1"/>
  <c r="N154" i="2"/>
  <c r="R154" i="6" s="1"/>
  <c r="O154" i="2"/>
  <c r="S154" i="6" s="1"/>
  <c r="Q154" i="2"/>
  <c r="U154" i="6" s="1"/>
  <c r="V154" i="6"/>
  <c r="W154" i="6"/>
  <c r="E154" i="2"/>
  <c r="I154" i="6" s="1"/>
  <c r="X153" i="2"/>
  <c r="AB153" i="6" s="1"/>
  <c r="W153" i="2"/>
  <c r="AA153" i="6" s="1"/>
  <c r="V153" i="2"/>
  <c r="Z153" i="6" s="1"/>
  <c r="U153" i="2"/>
  <c r="Y153" i="6" s="1"/>
  <c r="F153" i="2"/>
  <c r="J153" i="6" s="1"/>
  <c r="G153" i="2"/>
  <c r="K153" i="6" s="1"/>
  <c r="H153" i="2"/>
  <c r="L153" i="6" s="1"/>
  <c r="I153" i="2"/>
  <c r="M153" i="6" s="1"/>
  <c r="J153" i="2"/>
  <c r="N153" i="6" s="1"/>
  <c r="K153" i="2"/>
  <c r="O153" i="6" s="1"/>
  <c r="L153" i="2"/>
  <c r="P153" i="6" s="1"/>
  <c r="M153" i="2"/>
  <c r="Q153" i="6" s="1"/>
  <c r="N153" i="2"/>
  <c r="R153" i="6" s="1"/>
  <c r="O153" i="2"/>
  <c r="S153" i="6" s="1"/>
  <c r="Q153" i="2"/>
  <c r="U153" i="6" s="1"/>
  <c r="V153" i="6"/>
  <c r="W153" i="6"/>
  <c r="E153" i="2"/>
  <c r="I153" i="6" s="1"/>
  <c r="X152" i="2"/>
  <c r="AB152" i="6" s="1"/>
  <c r="W152" i="2"/>
  <c r="AA152" i="6" s="1"/>
  <c r="V152" i="2"/>
  <c r="Z152" i="6" s="1"/>
  <c r="U152" i="2"/>
  <c r="Y152" i="6" s="1"/>
  <c r="F152" i="2"/>
  <c r="G152" i="2"/>
  <c r="K152" i="6" s="1"/>
  <c r="H152" i="2"/>
  <c r="L152" i="6" s="1"/>
  <c r="I152" i="2"/>
  <c r="M152" i="6" s="1"/>
  <c r="J152" i="2"/>
  <c r="N152" i="6" s="1"/>
  <c r="K152" i="2"/>
  <c r="O152" i="6" s="1"/>
  <c r="L152" i="2"/>
  <c r="P152" i="6" s="1"/>
  <c r="M152" i="2"/>
  <c r="Q152" i="6" s="1"/>
  <c r="N152" i="2"/>
  <c r="R152" i="6" s="1"/>
  <c r="O152" i="2"/>
  <c r="S152" i="6" s="1"/>
  <c r="Q152" i="2"/>
  <c r="W152" i="6"/>
  <c r="E152" i="2"/>
  <c r="I152" i="6" s="1"/>
  <c r="X151" i="2"/>
  <c r="W151" i="2"/>
  <c r="AA151" i="6" s="1"/>
  <c r="V151" i="2"/>
  <c r="Z151" i="6" s="1"/>
  <c r="U151" i="2"/>
  <c r="Y151" i="6" s="1"/>
  <c r="F151" i="2"/>
  <c r="G151" i="2"/>
  <c r="K151" i="6" s="1"/>
  <c r="H151" i="2"/>
  <c r="L151" i="6" s="1"/>
  <c r="I151" i="2"/>
  <c r="M151" i="6" s="1"/>
  <c r="J151" i="2"/>
  <c r="N151" i="6" s="1"/>
  <c r="K151" i="2"/>
  <c r="L151" i="2"/>
  <c r="P151" i="6" s="1"/>
  <c r="M151" i="2"/>
  <c r="N151" i="2"/>
  <c r="O151" i="2"/>
  <c r="Q151" i="2"/>
  <c r="V151" i="6"/>
  <c r="W151" i="6"/>
  <c r="E151" i="2"/>
  <c r="X150" i="2"/>
  <c r="AB150" i="6" s="1"/>
  <c r="W150" i="2"/>
  <c r="AA150" i="6" s="1"/>
  <c r="V150" i="2"/>
  <c r="Z150" i="6" s="1"/>
  <c r="U150" i="2"/>
  <c r="Y150" i="6" s="1"/>
  <c r="F150" i="2"/>
  <c r="J150" i="6" s="1"/>
  <c r="G150" i="2"/>
  <c r="K150" i="6" s="1"/>
  <c r="H150" i="2"/>
  <c r="I150" i="2"/>
  <c r="M150" i="6" s="1"/>
  <c r="J150" i="2"/>
  <c r="N150" i="6" s="1"/>
  <c r="K150" i="2"/>
  <c r="O150" i="6" s="1"/>
  <c r="L150" i="2"/>
  <c r="P150" i="6" s="1"/>
  <c r="M150" i="2"/>
  <c r="N150" i="2"/>
  <c r="R150" i="6" s="1"/>
  <c r="O150" i="2"/>
  <c r="S150" i="6" s="1"/>
  <c r="Q150" i="2"/>
  <c r="U150" i="6" s="1"/>
  <c r="V150" i="6"/>
  <c r="W150" i="6"/>
  <c r="E150" i="2"/>
  <c r="I150" i="6" s="1"/>
  <c r="X149" i="2"/>
  <c r="AB149" i="6" s="1"/>
  <c r="W149" i="2"/>
  <c r="AA149" i="6" s="1"/>
  <c r="V149" i="2"/>
  <c r="Z149" i="6" s="1"/>
  <c r="U149" i="2"/>
  <c r="Y149" i="6" s="1"/>
  <c r="F149" i="2"/>
  <c r="J149" i="6" s="1"/>
  <c r="G149" i="2"/>
  <c r="K149" i="6" s="1"/>
  <c r="H149" i="2"/>
  <c r="L149" i="6" s="1"/>
  <c r="I149" i="2"/>
  <c r="M149" i="6" s="1"/>
  <c r="J149" i="2"/>
  <c r="N149" i="6" s="1"/>
  <c r="K149" i="2"/>
  <c r="O149" i="6" s="1"/>
  <c r="L149" i="2"/>
  <c r="P149" i="6" s="1"/>
  <c r="M149" i="2"/>
  <c r="N149" i="2"/>
  <c r="R149" i="6" s="1"/>
  <c r="O149" i="2"/>
  <c r="S149" i="6" s="1"/>
  <c r="Q149" i="2"/>
  <c r="U149" i="6" s="1"/>
  <c r="V149" i="6"/>
  <c r="W149" i="6"/>
  <c r="E149" i="2"/>
  <c r="I149" i="6" s="1"/>
  <c r="X148" i="2"/>
  <c r="AB148" i="6" s="1"/>
  <c r="W148" i="2"/>
  <c r="AA148" i="6" s="1"/>
  <c r="V148" i="2"/>
  <c r="Z148" i="6" s="1"/>
  <c r="U148" i="2"/>
  <c r="Y148" i="6" s="1"/>
  <c r="F148" i="2"/>
  <c r="J148" i="6" s="1"/>
  <c r="G148" i="2"/>
  <c r="K148" i="6" s="1"/>
  <c r="H148" i="2"/>
  <c r="L148" i="6" s="1"/>
  <c r="I148" i="2"/>
  <c r="M148" i="6" s="1"/>
  <c r="J148" i="2"/>
  <c r="N148" i="6" s="1"/>
  <c r="K148" i="2"/>
  <c r="O148" i="6" s="1"/>
  <c r="L148" i="2"/>
  <c r="P148" i="6" s="1"/>
  <c r="M148" i="2"/>
  <c r="Q148" i="6" s="1"/>
  <c r="N148" i="2"/>
  <c r="R148" i="6" s="1"/>
  <c r="O148" i="2"/>
  <c r="S148" i="6" s="1"/>
  <c r="Q148" i="2"/>
  <c r="U148" i="6" s="1"/>
  <c r="V148" i="6"/>
  <c r="E148" i="2"/>
  <c r="I148" i="6" s="1"/>
  <c r="X147" i="2"/>
  <c r="AB147" i="6" s="1"/>
  <c r="W147" i="2"/>
  <c r="AA147" i="6" s="1"/>
  <c r="V147" i="2"/>
  <c r="Z147" i="6" s="1"/>
  <c r="U147" i="2"/>
  <c r="Y147" i="6" s="1"/>
  <c r="F147" i="2"/>
  <c r="J147" i="6" s="1"/>
  <c r="G147" i="2"/>
  <c r="K147" i="6" s="1"/>
  <c r="H147" i="2"/>
  <c r="L147" i="6" s="1"/>
  <c r="I147" i="2"/>
  <c r="M147" i="6" s="1"/>
  <c r="J147" i="2"/>
  <c r="N147" i="6" s="1"/>
  <c r="K147" i="2"/>
  <c r="O147" i="6" s="1"/>
  <c r="L147" i="2"/>
  <c r="P147" i="6" s="1"/>
  <c r="M147" i="2"/>
  <c r="Q147" i="6" s="1"/>
  <c r="N147" i="2"/>
  <c r="R147" i="6" s="1"/>
  <c r="O147" i="2"/>
  <c r="S147" i="6" s="1"/>
  <c r="Q147" i="2"/>
  <c r="U147" i="6" s="1"/>
  <c r="V147" i="6"/>
  <c r="W147" i="6"/>
  <c r="E147" i="2"/>
  <c r="I147" i="6" s="1"/>
  <c r="X146" i="2"/>
  <c r="W146" i="2"/>
  <c r="AA146" i="6" s="1"/>
  <c r="V146" i="2"/>
  <c r="U146" i="2"/>
  <c r="Y146" i="6" s="1"/>
  <c r="F146" i="2"/>
  <c r="G146" i="2"/>
  <c r="H146" i="2"/>
  <c r="I146" i="2"/>
  <c r="M146" i="6" s="1"/>
  <c r="J146" i="2"/>
  <c r="K146" i="2"/>
  <c r="O146" i="6" s="1"/>
  <c r="L146" i="2"/>
  <c r="M146" i="2"/>
  <c r="Q146" i="6" s="1"/>
  <c r="N146" i="2"/>
  <c r="O146" i="2"/>
  <c r="Q146" i="2"/>
  <c r="V146" i="6"/>
  <c r="E146" i="2"/>
  <c r="I146" i="6" s="1"/>
  <c r="X145" i="2"/>
  <c r="AB145" i="6" s="1"/>
  <c r="W145" i="2"/>
  <c r="AA145" i="6" s="1"/>
  <c r="V145" i="2"/>
  <c r="Z145" i="6" s="1"/>
  <c r="U145" i="2"/>
  <c r="Y145" i="6" s="1"/>
  <c r="F145" i="2"/>
  <c r="J145" i="6" s="1"/>
  <c r="G145" i="2"/>
  <c r="K145" i="6" s="1"/>
  <c r="H145" i="2"/>
  <c r="L145" i="6" s="1"/>
  <c r="I145" i="2"/>
  <c r="M145" i="6" s="1"/>
  <c r="J145" i="2"/>
  <c r="N145" i="6" s="1"/>
  <c r="K145" i="2"/>
  <c r="O145" i="6" s="1"/>
  <c r="L145" i="2"/>
  <c r="P145" i="6" s="1"/>
  <c r="M145" i="2"/>
  <c r="Q145" i="6" s="1"/>
  <c r="N145" i="2"/>
  <c r="R145" i="6" s="1"/>
  <c r="O145" i="2"/>
  <c r="S145" i="6" s="1"/>
  <c r="Q145" i="2"/>
  <c r="U145" i="6" s="1"/>
  <c r="V145" i="6"/>
  <c r="W145" i="6"/>
  <c r="E145" i="2"/>
  <c r="I145" i="6" s="1"/>
  <c r="X144" i="2"/>
  <c r="AB144" i="6" s="1"/>
  <c r="W144" i="2"/>
  <c r="AA144" i="6" s="1"/>
  <c r="V144" i="2"/>
  <c r="Z144" i="6" s="1"/>
  <c r="U144" i="2"/>
  <c r="Y144" i="6" s="1"/>
  <c r="F144" i="2"/>
  <c r="J144" i="6" s="1"/>
  <c r="G144" i="2"/>
  <c r="K144" i="6" s="1"/>
  <c r="H144" i="2"/>
  <c r="L144" i="6" s="1"/>
  <c r="I144" i="2"/>
  <c r="M144" i="6" s="1"/>
  <c r="J144" i="2"/>
  <c r="N144" i="6" s="1"/>
  <c r="K144" i="2"/>
  <c r="O144" i="6" s="1"/>
  <c r="L144" i="2"/>
  <c r="P144" i="6" s="1"/>
  <c r="M144" i="2"/>
  <c r="Q144" i="6" s="1"/>
  <c r="N144" i="2"/>
  <c r="R144" i="6" s="1"/>
  <c r="O144" i="2"/>
  <c r="S144" i="6" s="1"/>
  <c r="Q144" i="2"/>
  <c r="U144" i="6" s="1"/>
  <c r="V144" i="6"/>
  <c r="W144" i="6"/>
  <c r="E144" i="2"/>
  <c r="I144" i="6" s="1"/>
  <c r="X143" i="2"/>
  <c r="W143" i="2"/>
  <c r="V143" i="2"/>
  <c r="Z143" i="6" s="1"/>
  <c r="U143" i="2"/>
  <c r="F143" i="2"/>
  <c r="G143" i="2"/>
  <c r="H143" i="2"/>
  <c r="I143" i="2"/>
  <c r="J143" i="2"/>
  <c r="N143" i="6" s="1"/>
  <c r="K143" i="2"/>
  <c r="L143" i="2"/>
  <c r="P143" i="6" s="1"/>
  <c r="M143" i="2"/>
  <c r="N143" i="2"/>
  <c r="O143" i="2"/>
  <c r="Q143" i="2"/>
  <c r="W143" i="6"/>
  <c r="E143" i="2"/>
  <c r="X142" i="2"/>
  <c r="W142" i="2"/>
  <c r="AA142" i="6" s="1"/>
  <c r="V142" i="2"/>
  <c r="Z142" i="6" s="1"/>
  <c r="U142" i="2"/>
  <c r="Y142" i="6" s="1"/>
  <c r="F142" i="2"/>
  <c r="G142" i="2"/>
  <c r="K142" i="6" s="1"/>
  <c r="H142" i="2"/>
  <c r="L142" i="6" s="1"/>
  <c r="I142" i="2"/>
  <c r="M142" i="6" s="1"/>
  <c r="J142" i="2"/>
  <c r="K142" i="2"/>
  <c r="O142" i="6" s="1"/>
  <c r="L142" i="2"/>
  <c r="M142" i="2"/>
  <c r="Q142" i="6" s="1"/>
  <c r="N142" i="2"/>
  <c r="R142" i="6" s="1"/>
  <c r="O142" i="2"/>
  <c r="S142" i="6" s="1"/>
  <c r="Q142" i="2"/>
  <c r="U142" i="6" s="1"/>
  <c r="V142" i="6"/>
  <c r="W142" i="6"/>
  <c r="E142" i="2"/>
  <c r="I142" i="6" s="1"/>
  <c r="X141" i="2"/>
  <c r="AB141" i="6" s="1"/>
  <c r="W141" i="2"/>
  <c r="AA141" i="6" s="1"/>
  <c r="V141" i="2"/>
  <c r="Z141" i="6" s="1"/>
  <c r="U141" i="2"/>
  <c r="Y141" i="6" s="1"/>
  <c r="F141" i="2"/>
  <c r="J141" i="6" s="1"/>
  <c r="G141" i="2"/>
  <c r="K141" i="6" s="1"/>
  <c r="H141" i="2"/>
  <c r="L141" i="6" s="1"/>
  <c r="I141" i="2"/>
  <c r="M141" i="6" s="1"/>
  <c r="J141" i="2"/>
  <c r="N141" i="6" s="1"/>
  <c r="K141" i="2"/>
  <c r="O141" i="6" s="1"/>
  <c r="L141" i="2"/>
  <c r="P141" i="6" s="1"/>
  <c r="M141" i="2"/>
  <c r="Q141" i="6" s="1"/>
  <c r="N141" i="2"/>
  <c r="R141" i="6" s="1"/>
  <c r="O141" i="2"/>
  <c r="S141" i="6" s="1"/>
  <c r="Q141" i="2"/>
  <c r="U141" i="6" s="1"/>
  <c r="V141" i="6"/>
  <c r="W141" i="6"/>
  <c r="E141" i="2"/>
  <c r="I141" i="6" s="1"/>
  <c r="X140" i="2"/>
  <c r="AB140" i="6" s="1"/>
  <c r="W140" i="2"/>
  <c r="AA140" i="6" s="1"/>
  <c r="V140" i="2"/>
  <c r="Z140" i="6" s="1"/>
  <c r="U140" i="2"/>
  <c r="Y140" i="6" s="1"/>
  <c r="F140" i="2"/>
  <c r="J140" i="6" s="1"/>
  <c r="G140" i="2"/>
  <c r="K140" i="6" s="1"/>
  <c r="H140" i="2"/>
  <c r="L140" i="6" s="1"/>
  <c r="I140" i="2"/>
  <c r="M140" i="6" s="1"/>
  <c r="J140" i="2"/>
  <c r="N140" i="6" s="1"/>
  <c r="K140" i="2"/>
  <c r="O140" i="6" s="1"/>
  <c r="L140" i="2"/>
  <c r="P140" i="6" s="1"/>
  <c r="M140" i="2"/>
  <c r="Q140" i="6" s="1"/>
  <c r="N140" i="2"/>
  <c r="R140" i="6" s="1"/>
  <c r="O140" i="2"/>
  <c r="S140" i="6" s="1"/>
  <c r="Q140" i="2"/>
  <c r="U140" i="6" s="1"/>
  <c r="V140" i="6"/>
  <c r="W140" i="6"/>
  <c r="E140" i="2"/>
  <c r="I140" i="6" s="1"/>
  <c r="X139" i="2"/>
  <c r="AB139" i="6" s="1"/>
  <c r="W139" i="2"/>
  <c r="AA139" i="6" s="1"/>
  <c r="V139" i="2"/>
  <c r="Z139" i="6" s="1"/>
  <c r="U139" i="2"/>
  <c r="Y139" i="6" s="1"/>
  <c r="F139" i="2"/>
  <c r="J139" i="6" s="1"/>
  <c r="G139" i="2"/>
  <c r="K139" i="6" s="1"/>
  <c r="H139" i="2"/>
  <c r="L139" i="6" s="1"/>
  <c r="I139" i="2"/>
  <c r="M139" i="6" s="1"/>
  <c r="J139" i="2"/>
  <c r="N139" i="6" s="1"/>
  <c r="K139" i="2"/>
  <c r="O139" i="6" s="1"/>
  <c r="L139" i="2"/>
  <c r="P139" i="6" s="1"/>
  <c r="M139" i="2"/>
  <c r="Q139" i="6" s="1"/>
  <c r="N139" i="2"/>
  <c r="R139" i="6" s="1"/>
  <c r="O139" i="2"/>
  <c r="S139" i="6" s="1"/>
  <c r="Q139" i="2"/>
  <c r="U139" i="6" s="1"/>
  <c r="V139" i="6"/>
  <c r="W139" i="6"/>
  <c r="E139" i="2"/>
  <c r="I139" i="6" s="1"/>
  <c r="X138" i="2"/>
  <c r="W138" i="2"/>
  <c r="AA138" i="6" s="1"/>
  <c r="V138" i="2"/>
  <c r="U138" i="2"/>
  <c r="Y138" i="6" s="1"/>
  <c r="F138" i="2"/>
  <c r="G138" i="2"/>
  <c r="H138" i="2"/>
  <c r="I138" i="2"/>
  <c r="J138" i="2"/>
  <c r="K138" i="2"/>
  <c r="O138" i="6" s="1"/>
  <c r="L138" i="2"/>
  <c r="M138" i="2"/>
  <c r="Q138" i="6" s="1"/>
  <c r="N138" i="2"/>
  <c r="O138" i="2"/>
  <c r="Q138" i="2"/>
  <c r="E138" i="2"/>
  <c r="I138" i="6" s="1"/>
  <c r="X137" i="2"/>
  <c r="AB137" i="6" s="1"/>
  <c r="W137" i="2"/>
  <c r="AA137" i="6" s="1"/>
  <c r="V137" i="2"/>
  <c r="Z137" i="6" s="1"/>
  <c r="U137" i="2"/>
  <c r="Y137" i="6" s="1"/>
  <c r="F137" i="2"/>
  <c r="J137" i="6" s="1"/>
  <c r="G137" i="2"/>
  <c r="K137" i="6" s="1"/>
  <c r="H137" i="2"/>
  <c r="L137" i="6" s="1"/>
  <c r="I137" i="2"/>
  <c r="M137" i="6" s="1"/>
  <c r="J137" i="2"/>
  <c r="N137" i="6" s="1"/>
  <c r="K137" i="2"/>
  <c r="O137" i="6" s="1"/>
  <c r="L137" i="2"/>
  <c r="P137" i="6" s="1"/>
  <c r="M137" i="2"/>
  <c r="Q137" i="6" s="1"/>
  <c r="N137" i="2"/>
  <c r="R137" i="6" s="1"/>
  <c r="O137" i="2"/>
  <c r="S137" i="6" s="1"/>
  <c r="Q137" i="2"/>
  <c r="U137" i="6" s="1"/>
  <c r="V137" i="6"/>
  <c r="W137" i="6"/>
  <c r="E137" i="2"/>
  <c r="I137" i="6" s="1"/>
  <c r="X136" i="2"/>
  <c r="AB136" i="6" s="1"/>
  <c r="W136" i="2"/>
  <c r="AA136" i="6" s="1"/>
  <c r="V136" i="2"/>
  <c r="Z136" i="6" s="1"/>
  <c r="U136" i="2"/>
  <c r="Y136" i="6" s="1"/>
  <c r="F136" i="2"/>
  <c r="J136" i="6" s="1"/>
  <c r="G136" i="2"/>
  <c r="K136" i="6" s="1"/>
  <c r="H136" i="2"/>
  <c r="L136" i="6" s="1"/>
  <c r="I136" i="2"/>
  <c r="M136" i="6" s="1"/>
  <c r="J136" i="2"/>
  <c r="N136" i="6" s="1"/>
  <c r="K136" i="2"/>
  <c r="O136" i="6" s="1"/>
  <c r="L136" i="2"/>
  <c r="P136" i="6" s="1"/>
  <c r="M136" i="2"/>
  <c r="Q136" i="6" s="1"/>
  <c r="N136" i="2"/>
  <c r="R136" i="6" s="1"/>
  <c r="O136" i="2"/>
  <c r="S136" i="6" s="1"/>
  <c r="Q136" i="2"/>
  <c r="U136" i="6" s="1"/>
  <c r="V136" i="6"/>
  <c r="W136" i="6"/>
  <c r="E136" i="2"/>
  <c r="I136" i="6" s="1"/>
  <c r="X135" i="2"/>
  <c r="W135" i="2"/>
  <c r="V135" i="2"/>
  <c r="Z135" i="6" s="1"/>
  <c r="U135" i="2"/>
  <c r="F135" i="2"/>
  <c r="G135" i="2"/>
  <c r="H135" i="2"/>
  <c r="I135" i="2"/>
  <c r="J135" i="2"/>
  <c r="N135" i="6" s="1"/>
  <c r="K135" i="2"/>
  <c r="O135" i="6" s="1"/>
  <c r="L135" i="2"/>
  <c r="P135" i="6" s="1"/>
  <c r="M135" i="2"/>
  <c r="Q135" i="6" s="1"/>
  <c r="N135" i="2"/>
  <c r="O135" i="2"/>
  <c r="Q135" i="2"/>
  <c r="W135" i="6"/>
  <c r="E135" i="2"/>
  <c r="X134" i="2"/>
  <c r="AB134" i="6" s="1"/>
  <c r="W134" i="2"/>
  <c r="AA134" i="6" s="1"/>
  <c r="V134" i="2"/>
  <c r="U134" i="2"/>
  <c r="Y134" i="6" s="1"/>
  <c r="F134" i="2"/>
  <c r="J134" i="6" s="1"/>
  <c r="G134" i="2"/>
  <c r="K134" i="6" s="1"/>
  <c r="H134" i="2"/>
  <c r="L134" i="6" s="1"/>
  <c r="I134" i="2"/>
  <c r="M134" i="6" s="1"/>
  <c r="J134" i="2"/>
  <c r="K134" i="2"/>
  <c r="O134" i="6" s="1"/>
  <c r="L134" i="2"/>
  <c r="M134" i="2"/>
  <c r="Q134" i="6" s="1"/>
  <c r="N134" i="2"/>
  <c r="O134" i="2"/>
  <c r="S134" i="6" s="1"/>
  <c r="Q134" i="2"/>
  <c r="U134" i="6" s="1"/>
  <c r="V134" i="6"/>
  <c r="E134" i="2"/>
  <c r="I134" i="6" s="1"/>
  <c r="X133" i="2"/>
  <c r="AB133" i="6" s="1"/>
  <c r="W133" i="2"/>
  <c r="AA133" i="6" s="1"/>
  <c r="V133" i="2"/>
  <c r="Z133" i="6" s="1"/>
  <c r="U133" i="2"/>
  <c r="Y133" i="6" s="1"/>
  <c r="F133" i="2"/>
  <c r="J133" i="6" s="1"/>
  <c r="G133" i="2"/>
  <c r="K133" i="6" s="1"/>
  <c r="H133" i="2"/>
  <c r="L133" i="6" s="1"/>
  <c r="I133" i="2"/>
  <c r="M133" i="6" s="1"/>
  <c r="J133" i="2"/>
  <c r="N133" i="6" s="1"/>
  <c r="K133" i="2"/>
  <c r="O133" i="6" s="1"/>
  <c r="L133" i="2"/>
  <c r="P133" i="6" s="1"/>
  <c r="M133" i="2"/>
  <c r="Q133" i="6" s="1"/>
  <c r="N133" i="2"/>
  <c r="R133" i="6" s="1"/>
  <c r="O133" i="2"/>
  <c r="S133" i="6" s="1"/>
  <c r="Q133" i="2"/>
  <c r="U133" i="6" s="1"/>
  <c r="V133" i="6"/>
  <c r="W133" i="6"/>
  <c r="E133" i="2"/>
  <c r="I133" i="6" s="1"/>
  <c r="X132" i="2"/>
  <c r="AB132" i="6" s="1"/>
  <c r="W132" i="2"/>
  <c r="AA132" i="6" s="1"/>
  <c r="V132" i="2"/>
  <c r="Z132" i="6" s="1"/>
  <c r="U132" i="2"/>
  <c r="Y132" i="6" s="1"/>
  <c r="F132" i="2"/>
  <c r="J132" i="6" s="1"/>
  <c r="G132" i="2"/>
  <c r="K132" i="6" s="1"/>
  <c r="H132" i="2"/>
  <c r="L132" i="6" s="1"/>
  <c r="I132" i="2"/>
  <c r="M132" i="6" s="1"/>
  <c r="J132" i="2"/>
  <c r="N132" i="6" s="1"/>
  <c r="K132" i="2"/>
  <c r="O132" i="6" s="1"/>
  <c r="L132" i="2"/>
  <c r="P132" i="6" s="1"/>
  <c r="M132" i="2"/>
  <c r="Q132" i="6" s="1"/>
  <c r="N132" i="2"/>
  <c r="R132" i="6" s="1"/>
  <c r="O132" i="2"/>
  <c r="S132" i="6" s="1"/>
  <c r="Q132" i="2"/>
  <c r="U132" i="6" s="1"/>
  <c r="V132" i="6"/>
  <c r="W132" i="6"/>
  <c r="E132" i="2"/>
  <c r="I132" i="6" s="1"/>
  <c r="X131" i="2"/>
  <c r="AB131" i="6" s="1"/>
  <c r="W131" i="2"/>
  <c r="AA131" i="6" s="1"/>
  <c r="V131" i="2"/>
  <c r="Z131" i="6" s="1"/>
  <c r="U131" i="2"/>
  <c r="Y131" i="6" s="1"/>
  <c r="F131" i="2"/>
  <c r="J131" i="6" s="1"/>
  <c r="G131" i="2"/>
  <c r="K131" i="6" s="1"/>
  <c r="H131" i="2"/>
  <c r="L131" i="6" s="1"/>
  <c r="I131" i="2"/>
  <c r="J131" i="2"/>
  <c r="N131" i="6" s="1"/>
  <c r="K131" i="2"/>
  <c r="O131" i="6" s="1"/>
  <c r="L131" i="2"/>
  <c r="P131" i="6" s="1"/>
  <c r="M131" i="2"/>
  <c r="Q131" i="6" s="1"/>
  <c r="N131" i="2"/>
  <c r="R131" i="6" s="1"/>
  <c r="O131" i="2"/>
  <c r="S131" i="6" s="1"/>
  <c r="Q131" i="2"/>
  <c r="U131" i="6" s="1"/>
  <c r="V131" i="6"/>
  <c r="W131" i="6"/>
  <c r="E131" i="2"/>
  <c r="I131" i="6" s="1"/>
  <c r="X130" i="2"/>
  <c r="W130" i="2"/>
  <c r="AA130" i="6" s="1"/>
  <c r="V130" i="2"/>
  <c r="U130" i="2"/>
  <c r="Y130" i="6" s="1"/>
  <c r="F130" i="2"/>
  <c r="G130" i="2"/>
  <c r="H130" i="2"/>
  <c r="I130" i="2"/>
  <c r="J130" i="2"/>
  <c r="K130" i="2"/>
  <c r="O130" i="6" s="1"/>
  <c r="L130" i="2"/>
  <c r="M130" i="2"/>
  <c r="Q130" i="6" s="1"/>
  <c r="N130" i="2"/>
  <c r="O130" i="2"/>
  <c r="Q130" i="2"/>
  <c r="E130" i="2"/>
  <c r="I130" i="6" s="1"/>
  <c r="X129" i="2"/>
  <c r="AB129" i="6" s="1"/>
  <c r="W129" i="2"/>
  <c r="AA129" i="6" s="1"/>
  <c r="V129" i="2"/>
  <c r="Z129" i="6" s="1"/>
  <c r="U129" i="2"/>
  <c r="Y129" i="6" s="1"/>
  <c r="F129" i="2"/>
  <c r="J129" i="6" s="1"/>
  <c r="G129" i="2"/>
  <c r="K129" i="6" s="1"/>
  <c r="H129" i="2"/>
  <c r="L129" i="6" s="1"/>
  <c r="I129" i="2"/>
  <c r="M129" i="6" s="1"/>
  <c r="J129" i="2"/>
  <c r="N129" i="6" s="1"/>
  <c r="K129" i="2"/>
  <c r="O129" i="6" s="1"/>
  <c r="L129" i="2"/>
  <c r="P129" i="6" s="1"/>
  <c r="M129" i="2"/>
  <c r="Q129" i="6" s="1"/>
  <c r="N129" i="2"/>
  <c r="R129" i="6" s="1"/>
  <c r="O129" i="2"/>
  <c r="S129" i="6" s="1"/>
  <c r="Q129" i="2"/>
  <c r="U129" i="6" s="1"/>
  <c r="V129" i="6"/>
  <c r="W129" i="6"/>
  <c r="E129" i="2"/>
  <c r="I129" i="6" s="1"/>
  <c r="X128" i="2"/>
  <c r="AB128" i="6" s="1"/>
  <c r="W128" i="2"/>
  <c r="AA128" i="6" s="1"/>
  <c r="V128" i="2"/>
  <c r="Z128" i="6" s="1"/>
  <c r="U128" i="2"/>
  <c r="Y128" i="6" s="1"/>
  <c r="F128" i="2"/>
  <c r="J128" i="6" s="1"/>
  <c r="G128" i="2"/>
  <c r="K128" i="6" s="1"/>
  <c r="H128" i="2"/>
  <c r="L128" i="6" s="1"/>
  <c r="I128" i="2"/>
  <c r="M128" i="6" s="1"/>
  <c r="J128" i="2"/>
  <c r="N128" i="6" s="1"/>
  <c r="K128" i="2"/>
  <c r="O128" i="6" s="1"/>
  <c r="L128" i="2"/>
  <c r="P128" i="6" s="1"/>
  <c r="M128" i="2"/>
  <c r="Q128" i="6" s="1"/>
  <c r="N128" i="2"/>
  <c r="R128" i="6" s="1"/>
  <c r="O128" i="2"/>
  <c r="S128" i="6" s="1"/>
  <c r="Q128" i="2"/>
  <c r="U128" i="6" s="1"/>
  <c r="V128" i="6"/>
  <c r="W128" i="6"/>
  <c r="E128" i="2"/>
  <c r="I128" i="6" s="1"/>
  <c r="X127" i="2"/>
  <c r="AB127" i="6" s="1"/>
  <c r="W127" i="2"/>
  <c r="AA127" i="6" s="1"/>
  <c r="V127" i="2"/>
  <c r="Z127" i="6" s="1"/>
  <c r="U127" i="2"/>
  <c r="Y127" i="6" s="1"/>
  <c r="F127" i="2"/>
  <c r="J127" i="6" s="1"/>
  <c r="G127" i="2"/>
  <c r="K127" i="6" s="1"/>
  <c r="H127" i="2"/>
  <c r="L127" i="6" s="1"/>
  <c r="I127" i="2"/>
  <c r="M127" i="6" s="1"/>
  <c r="J127" i="2"/>
  <c r="N127" i="6" s="1"/>
  <c r="K127" i="2"/>
  <c r="O127" i="6" s="1"/>
  <c r="L127" i="2"/>
  <c r="P127" i="6" s="1"/>
  <c r="M127" i="2"/>
  <c r="Q127" i="6" s="1"/>
  <c r="N127" i="2"/>
  <c r="O127" i="2"/>
  <c r="S127" i="6" s="1"/>
  <c r="Q127" i="2"/>
  <c r="U127" i="6" s="1"/>
  <c r="V127" i="6"/>
  <c r="W127" i="6"/>
  <c r="E127" i="2"/>
  <c r="I127" i="6" s="1"/>
  <c r="X126" i="2"/>
  <c r="AB126" i="6" s="1"/>
  <c r="W126" i="2"/>
  <c r="AA126" i="6" s="1"/>
  <c r="V126" i="2"/>
  <c r="Z126" i="6" s="1"/>
  <c r="U126" i="2"/>
  <c r="Y126" i="6" s="1"/>
  <c r="F126" i="2"/>
  <c r="J126" i="6" s="1"/>
  <c r="G126" i="2"/>
  <c r="K126" i="6" s="1"/>
  <c r="H126" i="2"/>
  <c r="L126" i="6" s="1"/>
  <c r="I126" i="2"/>
  <c r="M126" i="6" s="1"/>
  <c r="J126" i="2"/>
  <c r="K126" i="2"/>
  <c r="O126" i="6" s="1"/>
  <c r="L126" i="2"/>
  <c r="P126" i="6" s="1"/>
  <c r="M126" i="2"/>
  <c r="Q126" i="6" s="1"/>
  <c r="N126" i="2"/>
  <c r="R126" i="6" s="1"/>
  <c r="O126" i="2"/>
  <c r="S126" i="6" s="1"/>
  <c r="Q126" i="2"/>
  <c r="U126" i="6" s="1"/>
  <c r="V126" i="6"/>
  <c r="E126" i="2"/>
  <c r="I126" i="6" s="1"/>
  <c r="X125" i="2"/>
  <c r="AB125" i="6" s="1"/>
  <c r="W125" i="2"/>
  <c r="AA125" i="6" s="1"/>
  <c r="V125" i="2"/>
  <c r="Z125" i="6" s="1"/>
  <c r="U125" i="2"/>
  <c r="Y125" i="6" s="1"/>
  <c r="F125" i="2"/>
  <c r="J125" i="6" s="1"/>
  <c r="G125" i="2"/>
  <c r="K125" i="6" s="1"/>
  <c r="H125" i="2"/>
  <c r="L125" i="6" s="1"/>
  <c r="I125" i="2"/>
  <c r="M125" i="6" s="1"/>
  <c r="J125" i="2"/>
  <c r="N125" i="6" s="1"/>
  <c r="K125" i="2"/>
  <c r="O125" i="6" s="1"/>
  <c r="L125" i="2"/>
  <c r="P125" i="6" s="1"/>
  <c r="M125" i="2"/>
  <c r="Q125" i="6" s="1"/>
  <c r="N125" i="2"/>
  <c r="R125" i="6" s="1"/>
  <c r="O125" i="2"/>
  <c r="S125" i="6" s="1"/>
  <c r="Q125" i="2"/>
  <c r="U125" i="6" s="1"/>
  <c r="V125" i="6"/>
  <c r="W125" i="6"/>
  <c r="E125" i="2"/>
  <c r="I125" i="6" s="1"/>
  <c r="X124" i="2"/>
  <c r="AB124" i="6" s="1"/>
  <c r="W124" i="2"/>
  <c r="AA124" i="6" s="1"/>
  <c r="V124" i="2"/>
  <c r="Z124" i="6" s="1"/>
  <c r="U124" i="2"/>
  <c r="Y124" i="6" s="1"/>
  <c r="F124" i="2"/>
  <c r="J124" i="6" s="1"/>
  <c r="G124" i="2"/>
  <c r="K124" i="6" s="1"/>
  <c r="H124" i="2"/>
  <c r="L124" i="6" s="1"/>
  <c r="I124" i="2"/>
  <c r="M124" i="6" s="1"/>
  <c r="J124" i="2"/>
  <c r="N124" i="6" s="1"/>
  <c r="K124" i="2"/>
  <c r="O124" i="6" s="1"/>
  <c r="L124" i="2"/>
  <c r="P124" i="6" s="1"/>
  <c r="M124" i="2"/>
  <c r="Q124" i="6" s="1"/>
  <c r="N124" i="2"/>
  <c r="R124" i="6" s="1"/>
  <c r="O124" i="2"/>
  <c r="S124" i="6" s="1"/>
  <c r="Q124" i="2"/>
  <c r="U124" i="6" s="1"/>
  <c r="V124" i="6"/>
  <c r="W124" i="6"/>
  <c r="E124" i="2"/>
  <c r="I124" i="6" s="1"/>
  <c r="X123" i="2"/>
  <c r="AB123" i="6" s="1"/>
  <c r="W123" i="2"/>
  <c r="V123" i="2"/>
  <c r="Z123" i="6" s="1"/>
  <c r="U123" i="2"/>
  <c r="Y123" i="6" s="1"/>
  <c r="F123" i="2"/>
  <c r="J123" i="6" s="1"/>
  <c r="G123" i="2"/>
  <c r="K123" i="6" s="1"/>
  <c r="H123" i="2"/>
  <c r="L123" i="6" s="1"/>
  <c r="I123" i="2"/>
  <c r="M123" i="6" s="1"/>
  <c r="J123" i="2"/>
  <c r="N123" i="6" s="1"/>
  <c r="K123" i="2"/>
  <c r="O123" i="6" s="1"/>
  <c r="L123" i="2"/>
  <c r="P123" i="6" s="1"/>
  <c r="M123" i="2"/>
  <c r="N123" i="2"/>
  <c r="R123" i="6" s="1"/>
  <c r="O123" i="2"/>
  <c r="S123" i="6" s="1"/>
  <c r="Q123" i="2"/>
  <c r="U123" i="6" s="1"/>
  <c r="V123" i="6"/>
  <c r="W123" i="6"/>
  <c r="E123" i="2"/>
  <c r="I123" i="6" s="1"/>
  <c r="X122" i="2"/>
  <c r="AB122" i="6" s="1"/>
  <c r="W122" i="2"/>
  <c r="AA122" i="6" s="1"/>
  <c r="V122" i="2"/>
  <c r="Z122" i="6" s="1"/>
  <c r="U122" i="2"/>
  <c r="Y122" i="6" s="1"/>
  <c r="F122" i="2"/>
  <c r="J122" i="6" s="1"/>
  <c r="G122" i="2"/>
  <c r="K122" i="6" s="1"/>
  <c r="H122" i="2"/>
  <c r="L122" i="6" s="1"/>
  <c r="I122" i="2"/>
  <c r="M122" i="6" s="1"/>
  <c r="J122" i="2"/>
  <c r="N122" i="6" s="1"/>
  <c r="K122" i="2"/>
  <c r="O122" i="6" s="1"/>
  <c r="L122" i="2"/>
  <c r="P122" i="6" s="1"/>
  <c r="M122" i="2"/>
  <c r="Q122" i="6" s="1"/>
  <c r="N122" i="2"/>
  <c r="R122" i="6" s="1"/>
  <c r="O122" i="2"/>
  <c r="Q122" i="2"/>
  <c r="U122" i="6" s="1"/>
  <c r="V122" i="6"/>
  <c r="W122" i="6"/>
  <c r="E122" i="2"/>
  <c r="I122" i="6" s="1"/>
  <c r="X121" i="2"/>
  <c r="AB121" i="6" s="1"/>
  <c r="W121" i="2"/>
  <c r="AA121" i="6" s="1"/>
  <c r="V121" i="2"/>
  <c r="Z121" i="6" s="1"/>
  <c r="U121" i="2"/>
  <c r="Y121" i="6" s="1"/>
  <c r="F121" i="2"/>
  <c r="J121" i="6" s="1"/>
  <c r="G121" i="2"/>
  <c r="K121" i="6" s="1"/>
  <c r="H121" i="2"/>
  <c r="L121" i="6" s="1"/>
  <c r="I121" i="2"/>
  <c r="M121" i="6" s="1"/>
  <c r="J121" i="2"/>
  <c r="N121" i="6" s="1"/>
  <c r="K121" i="2"/>
  <c r="O121" i="6" s="1"/>
  <c r="L121" i="2"/>
  <c r="P121" i="6" s="1"/>
  <c r="M121" i="2"/>
  <c r="Q121" i="6" s="1"/>
  <c r="N121" i="2"/>
  <c r="R121" i="6" s="1"/>
  <c r="O121" i="2"/>
  <c r="S121" i="6" s="1"/>
  <c r="Q121" i="2"/>
  <c r="U121" i="6" s="1"/>
  <c r="V121" i="6"/>
  <c r="W121" i="6"/>
  <c r="E121" i="2"/>
  <c r="I121" i="6" s="1"/>
  <c r="X120" i="2"/>
  <c r="AB120" i="6" s="1"/>
  <c r="W120" i="2"/>
  <c r="AA120" i="6" s="1"/>
  <c r="V120" i="2"/>
  <c r="Z120" i="6" s="1"/>
  <c r="U120" i="2"/>
  <c r="Y120" i="6" s="1"/>
  <c r="F120" i="2"/>
  <c r="J120" i="6" s="1"/>
  <c r="G120" i="2"/>
  <c r="K120" i="6" s="1"/>
  <c r="H120" i="2"/>
  <c r="L120" i="6" s="1"/>
  <c r="I120" i="2"/>
  <c r="M120" i="6" s="1"/>
  <c r="J120" i="2"/>
  <c r="N120" i="6" s="1"/>
  <c r="K120" i="2"/>
  <c r="O120" i="6" s="1"/>
  <c r="L120" i="2"/>
  <c r="P120" i="6" s="1"/>
  <c r="M120" i="2"/>
  <c r="Q120" i="6" s="1"/>
  <c r="N120" i="2"/>
  <c r="R120" i="6" s="1"/>
  <c r="O120" i="2"/>
  <c r="S120" i="6" s="1"/>
  <c r="Q120" i="2"/>
  <c r="U120" i="6" s="1"/>
  <c r="V120" i="6"/>
  <c r="W120" i="6"/>
  <c r="E120" i="2"/>
  <c r="I120" i="6" s="1"/>
  <c r="X119" i="2"/>
  <c r="AB119" i="6" s="1"/>
  <c r="W119" i="2"/>
  <c r="AA119" i="6" s="1"/>
  <c r="V119" i="2"/>
  <c r="Z119" i="6" s="1"/>
  <c r="U119" i="2"/>
  <c r="Y119" i="6" s="1"/>
  <c r="F119" i="2"/>
  <c r="J119" i="6" s="1"/>
  <c r="G119" i="2"/>
  <c r="K119" i="6" s="1"/>
  <c r="H119" i="2"/>
  <c r="I119" i="2"/>
  <c r="M119" i="6" s="1"/>
  <c r="J119" i="2"/>
  <c r="N119" i="6" s="1"/>
  <c r="K119" i="2"/>
  <c r="L119" i="2"/>
  <c r="P119" i="6" s="1"/>
  <c r="M119" i="2"/>
  <c r="Q119" i="6" s="1"/>
  <c r="N119" i="2"/>
  <c r="R119" i="6" s="1"/>
  <c r="O119" i="2"/>
  <c r="S119" i="6" s="1"/>
  <c r="Q119" i="2"/>
  <c r="V119" i="6"/>
  <c r="W119" i="6"/>
  <c r="E119" i="2"/>
  <c r="X118" i="2"/>
  <c r="AB118" i="6" s="1"/>
  <c r="W118" i="2"/>
  <c r="AA118" i="6" s="1"/>
  <c r="V118" i="2"/>
  <c r="Z118" i="6" s="1"/>
  <c r="U118" i="2"/>
  <c r="Y118" i="6" s="1"/>
  <c r="F118" i="2"/>
  <c r="J118" i="6" s="1"/>
  <c r="G118" i="2"/>
  <c r="K118" i="6" s="1"/>
  <c r="H118" i="2"/>
  <c r="L118" i="6" s="1"/>
  <c r="I118" i="2"/>
  <c r="M118" i="6" s="1"/>
  <c r="J118" i="2"/>
  <c r="N118" i="6" s="1"/>
  <c r="K118" i="2"/>
  <c r="O118" i="6" s="1"/>
  <c r="L118" i="2"/>
  <c r="P118" i="6" s="1"/>
  <c r="M118" i="2"/>
  <c r="Q118" i="6" s="1"/>
  <c r="N118" i="2"/>
  <c r="R118" i="6" s="1"/>
  <c r="O118" i="2"/>
  <c r="S118" i="6" s="1"/>
  <c r="Q118" i="2"/>
  <c r="U118" i="6" s="1"/>
  <c r="V118" i="6"/>
  <c r="W118" i="6"/>
  <c r="E118" i="2"/>
  <c r="I118" i="6" s="1"/>
  <c r="X117" i="2"/>
  <c r="AB117" i="6" s="1"/>
  <c r="W117" i="2"/>
  <c r="AA117" i="6" s="1"/>
  <c r="V117" i="2"/>
  <c r="Z117" i="6" s="1"/>
  <c r="U117" i="2"/>
  <c r="Y117" i="6" s="1"/>
  <c r="F117" i="2"/>
  <c r="J117" i="6" s="1"/>
  <c r="G117" i="2"/>
  <c r="K117" i="6" s="1"/>
  <c r="H117" i="2"/>
  <c r="L117" i="6" s="1"/>
  <c r="I117" i="2"/>
  <c r="M117" i="6" s="1"/>
  <c r="J117" i="2"/>
  <c r="N117" i="6" s="1"/>
  <c r="K117" i="2"/>
  <c r="O117" i="6" s="1"/>
  <c r="L117" i="2"/>
  <c r="P117" i="6" s="1"/>
  <c r="M117" i="2"/>
  <c r="Q117" i="6" s="1"/>
  <c r="N117" i="2"/>
  <c r="R117" i="6" s="1"/>
  <c r="O117" i="2"/>
  <c r="S117" i="6" s="1"/>
  <c r="Q117" i="2"/>
  <c r="U117" i="6" s="1"/>
  <c r="V117" i="6"/>
  <c r="W117" i="6"/>
  <c r="E117" i="2"/>
  <c r="I117" i="6" s="1"/>
  <c r="X116" i="2"/>
  <c r="AB116" i="6" s="1"/>
  <c r="W116" i="2"/>
  <c r="AA116" i="6" s="1"/>
  <c r="V116" i="2"/>
  <c r="Z116" i="6" s="1"/>
  <c r="U116" i="2"/>
  <c r="Y116" i="6" s="1"/>
  <c r="F116" i="2"/>
  <c r="J116" i="6" s="1"/>
  <c r="G116" i="2"/>
  <c r="K116" i="6" s="1"/>
  <c r="H116" i="2"/>
  <c r="L116" i="6" s="1"/>
  <c r="I116" i="2"/>
  <c r="M116" i="6" s="1"/>
  <c r="J116" i="2"/>
  <c r="K116" i="2"/>
  <c r="O116" i="6" s="1"/>
  <c r="L116" i="2"/>
  <c r="P116" i="6" s="1"/>
  <c r="M116" i="2"/>
  <c r="Q116" i="6" s="1"/>
  <c r="N116" i="2"/>
  <c r="R116" i="6" s="1"/>
  <c r="O116" i="2"/>
  <c r="Q116" i="2"/>
  <c r="U116" i="6" s="1"/>
  <c r="V116" i="6"/>
  <c r="W116" i="6"/>
  <c r="E116" i="2"/>
  <c r="I116" i="6" s="1"/>
  <c r="X115" i="2"/>
  <c r="W115" i="2"/>
  <c r="AA115" i="6" s="1"/>
  <c r="V115" i="2"/>
  <c r="Z115" i="6" s="1"/>
  <c r="U115" i="2"/>
  <c r="Y115" i="6" s="1"/>
  <c r="F115" i="2"/>
  <c r="G115" i="2"/>
  <c r="K115" i="6" s="1"/>
  <c r="H115" i="2"/>
  <c r="L115" i="6" s="1"/>
  <c r="I115" i="2"/>
  <c r="M115" i="6" s="1"/>
  <c r="J115" i="2"/>
  <c r="N115" i="6" s="1"/>
  <c r="K115" i="2"/>
  <c r="O115" i="6" s="1"/>
  <c r="L115" i="2"/>
  <c r="M115" i="2"/>
  <c r="Q115" i="6" s="1"/>
  <c r="N115" i="2"/>
  <c r="O115" i="2"/>
  <c r="S115" i="6" s="1"/>
  <c r="Q115" i="2"/>
  <c r="U115" i="6" s="1"/>
  <c r="W115" i="6"/>
  <c r="E115" i="2"/>
  <c r="I115" i="6" s="1"/>
  <c r="X114" i="2"/>
  <c r="AB114" i="6" s="1"/>
  <c r="W114" i="2"/>
  <c r="AA114" i="6" s="1"/>
  <c r="V114" i="2"/>
  <c r="Z114" i="6" s="1"/>
  <c r="U114" i="2"/>
  <c r="Y114" i="6" s="1"/>
  <c r="F114" i="2"/>
  <c r="J114" i="6" s="1"/>
  <c r="G114" i="2"/>
  <c r="K114" i="6" s="1"/>
  <c r="H114" i="2"/>
  <c r="I114" i="2"/>
  <c r="M114" i="6" s="1"/>
  <c r="J114" i="2"/>
  <c r="N114" i="6" s="1"/>
  <c r="K114" i="2"/>
  <c r="O114" i="6" s="1"/>
  <c r="L114" i="2"/>
  <c r="M114" i="2"/>
  <c r="Q114" i="6" s="1"/>
  <c r="N114" i="2"/>
  <c r="R114" i="6" s="1"/>
  <c r="O114" i="2"/>
  <c r="S114" i="6" s="1"/>
  <c r="Q114" i="2"/>
  <c r="V114" i="6"/>
  <c r="E114" i="2"/>
  <c r="I114" i="6" s="1"/>
  <c r="X113" i="2"/>
  <c r="AB113" i="6" s="1"/>
  <c r="W113" i="2"/>
  <c r="AA113" i="6" s="1"/>
  <c r="V113" i="2"/>
  <c r="Z113" i="6" s="1"/>
  <c r="U113" i="2"/>
  <c r="Y113" i="6" s="1"/>
  <c r="F113" i="2"/>
  <c r="J113" i="6" s="1"/>
  <c r="G113" i="2"/>
  <c r="H113" i="2"/>
  <c r="L113" i="6" s="1"/>
  <c r="I113" i="2"/>
  <c r="M113" i="6" s="1"/>
  <c r="J113" i="2"/>
  <c r="N113" i="6" s="1"/>
  <c r="K113" i="2"/>
  <c r="O113" i="6" s="1"/>
  <c r="L113" i="2"/>
  <c r="P113" i="6" s="1"/>
  <c r="M113" i="2"/>
  <c r="Q113" i="6" s="1"/>
  <c r="N113" i="2"/>
  <c r="R113" i="6" s="1"/>
  <c r="O113" i="2"/>
  <c r="S113" i="6" s="1"/>
  <c r="Q113" i="2"/>
  <c r="U113" i="6" s="1"/>
  <c r="V113" i="6"/>
  <c r="W113" i="6"/>
  <c r="E113" i="2"/>
  <c r="I113" i="6" s="1"/>
  <c r="X112" i="2"/>
  <c r="AB112" i="6" s="1"/>
  <c r="W112" i="2"/>
  <c r="AA112" i="6" s="1"/>
  <c r="V112" i="2"/>
  <c r="Z112" i="6" s="1"/>
  <c r="U112" i="2"/>
  <c r="Y112" i="6" s="1"/>
  <c r="F112" i="2"/>
  <c r="J112" i="6" s="1"/>
  <c r="G112" i="2"/>
  <c r="K112" i="6" s="1"/>
  <c r="H112" i="2"/>
  <c r="L112" i="6" s="1"/>
  <c r="I112" i="2"/>
  <c r="M112" i="6" s="1"/>
  <c r="J112" i="2"/>
  <c r="N112" i="6" s="1"/>
  <c r="K112" i="2"/>
  <c r="O112" i="6" s="1"/>
  <c r="L112" i="2"/>
  <c r="P112" i="6" s="1"/>
  <c r="M112" i="2"/>
  <c r="Q112" i="6" s="1"/>
  <c r="N112" i="2"/>
  <c r="O112" i="2"/>
  <c r="S112" i="6" s="1"/>
  <c r="Q112" i="2"/>
  <c r="U112" i="6" s="1"/>
  <c r="V112" i="6"/>
  <c r="W112" i="6"/>
  <c r="E112" i="2"/>
  <c r="I112" i="6" s="1"/>
  <c r="X111" i="2"/>
  <c r="AB111" i="6" s="1"/>
  <c r="W111" i="2"/>
  <c r="AA111" i="6" s="1"/>
  <c r="V111" i="2"/>
  <c r="Z111" i="6" s="1"/>
  <c r="U111" i="2"/>
  <c r="Y111" i="6" s="1"/>
  <c r="F111" i="2"/>
  <c r="J111" i="6" s="1"/>
  <c r="G111" i="2"/>
  <c r="K111" i="6" s="1"/>
  <c r="H111" i="2"/>
  <c r="L111" i="6" s="1"/>
  <c r="I111" i="2"/>
  <c r="M111" i="6" s="1"/>
  <c r="J111" i="2"/>
  <c r="N111" i="6" s="1"/>
  <c r="K111" i="2"/>
  <c r="O111" i="6" s="1"/>
  <c r="L111" i="2"/>
  <c r="P111" i="6" s="1"/>
  <c r="M111" i="2"/>
  <c r="Q111" i="6" s="1"/>
  <c r="N111" i="2"/>
  <c r="R111" i="6" s="1"/>
  <c r="O111" i="2"/>
  <c r="S111" i="6" s="1"/>
  <c r="Q111" i="2"/>
  <c r="U111" i="6" s="1"/>
  <c r="V111" i="6"/>
  <c r="W111" i="6"/>
  <c r="E111" i="2"/>
  <c r="I111" i="6" s="1"/>
  <c r="X110" i="2"/>
  <c r="W110" i="2"/>
  <c r="V110" i="2"/>
  <c r="U110" i="2"/>
  <c r="Y110" i="6" s="1"/>
  <c r="F110" i="2"/>
  <c r="J110" i="6" s="1"/>
  <c r="G110" i="2"/>
  <c r="H110" i="2"/>
  <c r="I110" i="2"/>
  <c r="M110" i="6" s="1"/>
  <c r="J110" i="2"/>
  <c r="K110" i="2"/>
  <c r="O110" i="6" s="1"/>
  <c r="L110" i="2"/>
  <c r="P110" i="6" s="1"/>
  <c r="M110" i="2"/>
  <c r="N110" i="2"/>
  <c r="O110" i="2"/>
  <c r="Q110" i="2"/>
  <c r="V110" i="6"/>
  <c r="E110" i="2"/>
  <c r="X109" i="2"/>
  <c r="AB109" i="6" s="1"/>
  <c r="W109" i="2"/>
  <c r="AA109" i="6" s="1"/>
  <c r="V109" i="2"/>
  <c r="Z109" i="6" s="1"/>
  <c r="U109" i="2"/>
  <c r="Y109" i="6" s="1"/>
  <c r="F109" i="2"/>
  <c r="J109" i="6" s="1"/>
  <c r="G109" i="2"/>
  <c r="K109" i="6" s="1"/>
  <c r="H109" i="2"/>
  <c r="L109" i="6" s="1"/>
  <c r="I109" i="2"/>
  <c r="M109" i="6" s="1"/>
  <c r="J109" i="2"/>
  <c r="N109" i="6" s="1"/>
  <c r="K109" i="2"/>
  <c r="O109" i="6" s="1"/>
  <c r="L109" i="2"/>
  <c r="P109" i="6" s="1"/>
  <c r="M109" i="2"/>
  <c r="N109" i="2"/>
  <c r="R109" i="6" s="1"/>
  <c r="O109" i="2"/>
  <c r="S109" i="6" s="1"/>
  <c r="Q109" i="2"/>
  <c r="U109" i="6" s="1"/>
  <c r="V109" i="6"/>
  <c r="W109" i="6"/>
  <c r="E109" i="2"/>
  <c r="I109" i="6" s="1"/>
  <c r="X108" i="2"/>
  <c r="AB108" i="6" s="1"/>
  <c r="W108" i="2"/>
  <c r="AA108" i="6" s="1"/>
  <c r="V108" i="2"/>
  <c r="Z108" i="6" s="1"/>
  <c r="U108" i="2"/>
  <c r="Y108" i="6" s="1"/>
  <c r="F108" i="2"/>
  <c r="J108" i="6" s="1"/>
  <c r="G108" i="2"/>
  <c r="H108" i="2"/>
  <c r="L108" i="6" s="1"/>
  <c r="I108" i="2"/>
  <c r="M108" i="6" s="1"/>
  <c r="J108" i="2"/>
  <c r="K108" i="2"/>
  <c r="O108" i="6" s="1"/>
  <c r="L108" i="2"/>
  <c r="P108" i="6" s="1"/>
  <c r="M108" i="2"/>
  <c r="Q108" i="6" s="1"/>
  <c r="N108" i="2"/>
  <c r="R108" i="6" s="1"/>
  <c r="O108" i="2"/>
  <c r="Q108" i="2"/>
  <c r="U108" i="6" s="1"/>
  <c r="V108" i="6"/>
  <c r="E108" i="2"/>
  <c r="I108" i="6" s="1"/>
  <c r="X107" i="2"/>
  <c r="W107" i="2"/>
  <c r="V107" i="2"/>
  <c r="U107" i="2"/>
  <c r="F107" i="2"/>
  <c r="G107" i="2"/>
  <c r="H107" i="2"/>
  <c r="L107" i="6" s="1"/>
  <c r="I107" i="2"/>
  <c r="J107" i="2"/>
  <c r="N107" i="6" s="1"/>
  <c r="K107" i="2"/>
  <c r="L107" i="2"/>
  <c r="M107" i="2"/>
  <c r="Q107" i="6" s="1"/>
  <c r="N107" i="2"/>
  <c r="O107" i="2"/>
  <c r="S107" i="6" s="1"/>
  <c r="Q107" i="2"/>
  <c r="U107" i="6" s="1"/>
  <c r="W107" i="6"/>
  <c r="E107" i="2"/>
  <c r="I107" i="6" s="1"/>
  <c r="X106" i="2"/>
  <c r="W106" i="2"/>
  <c r="AA106" i="6" s="1"/>
  <c r="V106" i="2"/>
  <c r="U106" i="2"/>
  <c r="F106" i="2"/>
  <c r="J106" i="6" s="1"/>
  <c r="G106" i="2"/>
  <c r="K106" i="6" s="1"/>
  <c r="H106" i="2"/>
  <c r="I106" i="2"/>
  <c r="J106" i="2"/>
  <c r="K106" i="2"/>
  <c r="L106" i="2"/>
  <c r="M106" i="2"/>
  <c r="Q106" i="6" s="1"/>
  <c r="N106" i="2"/>
  <c r="R106" i="6" s="1"/>
  <c r="O106" i="2"/>
  <c r="S106" i="6" s="1"/>
  <c r="Q106" i="2"/>
  <c r="V106" i="6"/>
  <c r="E106" i="2"/>
  <c r="I106" i="6" s="1"/>
  <c r="X105" i="2"/>
  <c r="AB105" i="6" s="1"/>
  <c r="W105" i="2"/>
  <c r="AA105" i="6" s="1"/>
  <c r="V105" i="2"/>
  <c r="Z105" i="6" s="1"/>
  <c r="U105" i="2"/>
  <c r="Y105" i="6" s="1"/>
  <c r="F105" i="2"/>
  <c r="J105" i="6" s="1"/>
  <c r="G105" i="2"/>
  <c r="K105" i="6" s="1"/>
  <c r="H105" i="2"/>
  <c r="L105" i="6" s="1"/>
  <c r="I105" i="2"/>
  <c r="M105" i="6" s="1"/>
  <c r="J105" i="2"/>
  <c r="N105" i="6" s="1"/>
  <c r="K105" i="2"/>
  <c r="O105" i="6" s="1"/>
  <c r="L105" i="2"/>
  <c r="P105" i="6" s="1"/>
  <c r="M105" i="2"/>
  <c r="Q105" i="6" s="1"/>
  <c r="N105" i="2"/>
  <c r="R105" i="6" s="1"/>
  <c r="O105" i="2"/>
  <c r="S105" i="6" s="1"/>
  <c r="Q105" i="2"/>
  <c r="U105" i="6" s="1"/>
  <c r="V105" i="6"/>
  <c r="W105" i="6"/>
  <c r="E105" i="2"/>
  <c r="I105" i="6" s="1"/>
  <c r="X104" i="2"/>
  <c r="AB104" i="6" s="1"/>
  <c r="W104" i="2"/>
  <c r="AA104" i="6" s="1"/>
  <c r="V104" i="2"/>
  <c r="Z104" i="6" s="1"/>
  <c r="U104" i="2"/>
  <c r="Y104" i="6" s="1"/>
  <c r="F104" i="2"/>
  <c r="J104" i="6" s="1"/>
  <c r="G104" i="2"/>
  <c r="K104" i="6" s="1"/>
  <c r="H104" i="2"/>
  <c r="L104" i="6" s="1"/>
  <c r="I104" i="2"/>
  <c r="M104" i="6" s="1"/>
  <c r="J104" i="2"/>
  <c r="N104" i="6" s="1"/>
  <c r="K104" i="2"/>
  <c r="O104" i="6" s="1"/>
  <c r="L104" i="2"/>
  <c r="P104" i="6" s="1"/>
  <c r="M104" i="2"/>
  <c r="Q104" i="6" s="1"/>
  <c r="N104" i="2"/>
  <c r="O104" i="2"/>
  <c r="S104" i="6" s="1"/>
  <c r="Q104" i="2"/>
  <c r="U104" i="6" s="1"/>
  <c r="V104" i="6"/>
  <c r="W104" i="6"/>
  <c r="E104" i="2"/>
  <c r="I104" i="6" s="1"/>
  <c r="X103" i="2"/>
  <c r="AB103" i="6" s="1"/>
  <c r="W103" i="2"/>
  <c r="AA103" i="6" s="1"/>
  <c r="V103" i="2"/>
  <c r="Z103" i="6" s="1"/>
  <c r="U103" i="2"/>
  <c r="Y103" i="6" s="1"/>
  <c r="F103" i="2"/>
  <c r="J103" i="6" s="1"/>
  <c r="G103" i="2"/>
  <c r="K103" i="6" s="1"/>
  <c r="H103" i="2"/>
  <c r="L103" i="6" s="1"/>
  <c r="I103" i="2"/>
  <c r="M103" i="6" s="1"/>
  <c r="J103" i="2"/>
  <c r="N103" i="6" s="1"/>
  <c r="K103" i="2"/>
  <c r="O103" i="6" s="1"/>
  <c r="L103" i="2"/>
  <c r="P103" i="6" s="1"/>
  <c r="M103" i="2"/>
  <c r="Q103" i="6" s="1"/>
  <c r="N103" i="2"/>
  <c r="R103" i="6" s="1"/>
  <c r="O103" i="2"/>
  <c r="S103" i="6" s="1"/>
  <c r="Q103" i="2"/>
  <c r="U103" i="6" s="1"/>
  <c r="V103" i="6"/>
  <c r="W103" i="6"/>
  <c r="E103" i="2"/>
  <c r="I103" i="6" s="1"/>
  <c r="X102" i="2"/>
  <c r="W102" i="2"/>
  <c r="V102" i="2"/>
  <c r="Z102" i="6" s="1"/>
  <c r="U102" i="2"/>
  <c r="Y102" i="6" s="1"/>
  <c r="F102" i="2"/>
  <c r="J102" i="6" s="1"/>
  <c r="G102" i="2"/>
  <c r="K102" i="6" s="1"/>
  <c r="H102" i="2"/>
  <c r="L102" i="6" s="1"/>
  <c r="I102" i="2"/>
  <c r="M102" i="6" s="1"/>
  <c r="J102" i="2"/>
  <c r="K102" i="2"/>
  <c r="O102" i="6" s="1"/>
  <c r="L102" i="2"/>
  <c r="M102" i="2"/>
  <c r="N102" i="2"/>
  <c r="O102" i="2"/>
  <c r="Q102" i="2"/>
  <c r="U102" i="6" s="1"/>
  <c r="V102" i="6"/>
  <c r="W102" i="6"/>
  <c r="E102" i="2"/>
  <c r="X101" i="2"/>
  <c r="AB101" i="6" s="1"/>
  <c r="W101" i="2"/>
  <c r="V101" i="2"/>
  <c r="Z101" i="6" s="1"/>
  <c r="U101" i="2"/>
  <c r="Y101" i="6" s="1"/>
  <c r="F101" i="2"/>
  <c r="J101" i="6" s="1"/>
  <c r="G101" i="2"/>
  <c r="K101" i="6" s="1"/>
  <c r="H101" i="2"/>
  <c r="L101" i="6" s="1"/>
  <c r="I101" i="2"/>
  <c r="M101" i="6" s="1"/>
  <c r="J101" i="2"/>
  <c r="N101" i="6" s="1"/>
  <c r="K101" i="2"/>
  <c r="O101" i="6" s="1"/>
  <c r="L101" i="2"/>
  <c r="P101" i="6" s="1"/>
  <c r="M101" i="2"/>
  <c r="N101" i="2"/>
  <c r="R101" i="6" s="1"/>
  <c r="O101" i="2"/>
  <c r="S101" i="6" s="1"/>
  <c r="Q101" i="2"/>
  <c r="U101" i="6" s="1"/>
  <c r="W101" i="6"/>
  <c r="E101" i="2"/>
  <c r="X100" i="2"/>
  <c r="W100" i="2"/>
  <c r="AA100" i="6" s="1"/>
  <c r="V100" i="2"/>
  <c r="U100" i="2"/>
  <c r="Y100" i="6" s="1"/>
  <c r="F100" i="2"/>
  <c r="G100" i="2"/>
  <c r="K100" i="6" s="1"/>
  <c r="H100" i="2"/>
  <c r="I100" i="2"/>
  <c r="J100" i="2"/>
  <c r="K100" i="2"/>
  <c r="O100" i="6" s="1"/>
  <c r="L100" i="2"/>
  <c r="M100" i="2"/>
  <c r="Q100" i="6" s="1"/>
  <c r="N100" i="2"/>
  <c r="O100" i="2"/>
  <c r="S100" i="6" s="1"/>
  <c r="Q100" i="2"/>
  <c r="E100" i="2"/>
  <c r="I100" i="6" s="1"/>
  <c r="X99" i="2"/>
  <c r="AB99" i="6" s="1"/>
  <c r="W99" i="2"/>
  <c r="AA99" i="6" s="1"/>
  <c r="V99" i="2"/>
  <c r="Z99" i="6" s="1"/>
  <c r="U99" i="2"/>
  <c r="Y99" i="6" s="1"/>
  <c r="F99" i="2"/>
  <c r="J99" i="6" s="1"/>
  <c r="G99" i="2"/>
  <c r="H99" i="2"/>
  <c r="L99" i="6" s="1"/>
  <c r="I99" i="2"/>
  <c r="M99" i="6" s="1"/>
  <c r="J99" i="2"/>
  <c r="N99" i="6" s="1"/>
  <c r="K99" i="2"/>
  <c r="O99" i="6" s="1"/>
  <c r="L99" i="2"/>
  <c r="P99" i="6" s="1"/>
  <c r="M99" i="2"/>
  <c r="Q99" i="6" s="1"/>
  <c r="N99" i="2"/>
  <c r="R99" i="6" s="1"/>
  <c r="O99" i="2"/>
  <c r="Q99" i="2"/>
  <c r="U99" i="6" s="1"/>
  <c r="V99" i="6"/>
  <c r="W99" i="6"/>
  <c r="E99" i="2"/>
  <c r="I99" i="6" s="1"/>
  <c r="X98" i="2"/>
  <c r="AB98" i="6" s="1"/>
  <c r="W98" i="2"/>
  <c r="AA98" i="6" s="1"/>
  <c r="V98" i="2"/>
  <c r="Z98" i="6" s="1"/>
  <c r="U98" i="2"/>
  <c r="Y98" i="6" s="1"/>
  <c r="F98" i="2"/>
  <c r="J98" i="6" s="1"/>
  <c r="G98" i="2"/>
  <c r="K98" i="6" s="1"/>
  <c r="H98" i="2"/>
  <c r="L98" i="6" s="1"/>
  <c r="I98" i="2"/>
  <c r="M98" i="6" s="1"/>
  <c r="J98" i="2"/>
  <c r="N98" i="6" s="1"/>
  <c r="K98" i="2"/>
  <c r="O98" i="6" s="1"/>
  <c r="L98" i="2"/>
  <c r="P98" i="6" s="1"/>
  <c r="M98" i="2"/>
  <c r="Q98" i="6" s="1"/>
  <c r="N98" i="2"/>
  <c r="R98" i="6" s="1"/>
  <c r="O98" i="2"/>
  <c r="S98" i="6" s="1"/>
  <c r="Q98" i="2"/>
  <c r="U98" i="6" s="1"/>
  <c r="V98" i="6"/>
  <c r="W98" i="6"/>
  <c r="E98" i="2"/>
  <c r="I98" i="6" s="1"/>
  <c r="X97" i="2"/>
  <c r="AB97" i="6" s="1"/>
  <c r="W97" i="2"/>
  <c r="AA97" i="6" s="1"/>
  <c r="V97" i="2"/>
  <c r="Z97" i="6" s="1"/>
  <c r="U97" i="2"/>
  <c r="F97" i="2"/>
  <c r="J97" i="6" s="1"/>
  <c r="G97" i="2"/>
  <c r="H97" i="2"/>
  <c r="L97" i="6" s="1"/>
  <c r="I97" i="2"/>
  <c r="M97" i="6" s="1"/>
  <c r="J97" i="2"/>
  <c r="N97" i="6" s="1"/>
  <c r="K97" i="2"/>
  <c r="O97" i="6" s="1"/>
  <c r="L97" i="2"/>
  <c r="P97" i="6" s="1"/>
  <c r="M97" i="2"/>
  <c r="N97" i="2"/>
  <c r="R97" i="6" s="1"/>
  <c r="O97" i="2"/>
  <c r="Q97" i="2"/>
  <c r="V97" i="6"/>
  <c r="W97" i="6"/>
  <c r="E97" i="2"/>
  <c r="I97" i="6" s="1"/>
  <c r="X96" i="2"/>
  <c r="AB96" i="6" s="1"/>
  <c r="W96" i="2"/>
  <c r="AA96" i="6" s="1"/>
  <c r="V96" i="2"/>
  <c r="Z96" i="6" s="1"/>
  <c r="U96" i="2"/>
  <c r="Y96" i="6" s="1"/>
  <c r="F96" i="2"/>
  <c r="J96" i="6" s="1"/>
  <c r="G96" i="2"/>
  <c r="K96" i="6" s="1"/>
  <c r="H96" i="2"/>
  <c r="L96" i="6" s="1"/>
  <c r="I96" i="2"/>
  <c r="M96" i="6" s="1"/>
  <c r="J96" i="2"/>
  <c r="N96" i="6" s="1"/>
  <c r="K96" i="2"/>
  <c r="O96" i="6" s="1"/>
  <c r="L96" i="2"/>
  <c r="P96" i="6" s="1"/>
  <c r="M96" i="2"/>
  <c r="Q96" i="6" s="1"/>
  <c r="N96" i="2"/>
  <c r="R96" i="6" s="1"/>
  <c r="O96" i="2"/>
  <c r="S96" i="6" s="1"/>
  <c r="Q96" i="2"/>
  <c r="U96" i="6" s="1"/>
  <c r="V96" i="6"/>
  <c r="W96" i="6"/>
  <c r="E96" i="2"/>
  <c r="I96" i="6" s="1"/>
  <c r="X95" i="2"/>
  <c r="AB95" i="6" s="1"/>
  <c r="W95" i="2"/>
  <c r="V95" i="2"/>
  <c r="Z95" i="6" s="1"/>
  <c r="U95" i="2"/>
  <c r="Y95" i="6" s="1"/>
  <c r="F95" i="2"/>
  <c r="J95" i="6" s="1"/>
  <c r="G95" i="2"/>
  <c r="H95" i="2"/>
  <c r="L95" i="6" s="1"/>
  <c r="I95" i="2"/>
  <c r="M95" i="6" s="1"/>
  <c r="J95" i="2"/>
  <c r="K95" i="2"/>
  <c r="L95" i="2"/>
  <c r="P95" i="6" s="1"/>
  <c r="M95" i="2"/>
  <c r="N95" i="2"/>
  <c r="R95" i="6" s="1"/>
  <c r="O95" i="2"/>
  <c r="S95" i="6" s="1"/>
  <c r="Q95" i="2"/>
  <c r="U95" i="6" s="1"/>
  <c r="V95" i="6"/>
  <c r="E95" i="2"/>
  <c r="X94" i="2"/>
  <c r="AB94" i="6" s="1"/>
  <c r="W94" i="2"/>
  <c r="AA94" i="6" s="1"/>
  <c r="V94" i="2"/>
  <c r="U94" i="2"/>
  <c r="Y94" i="6" s="1"/>
  <c r="F94" i="2"/>
  <c r="J94" i="6" s="1"/>
  <c r="G94" i="2"/>
  <c r="K94" i="6" s="1"/>
  <c r="H94" i="2"/>
  <c r="L94" i="6" s="1"/>
  <c r="I94" i="2"/>
  <c r="M94" i="6" s="1"/>
  <c r="J94" i="2"/>
  <c r="N94" i="6" s="1"/>
  <c r="K94" i="2"/>
  <c r="O94" i="6" s="1"/>
  <c r="L94" i="2"/>
  <c r="P94" i="6" s="1"/>
  <c r="M94" i="2"/>
  <c r="Q94" i="6" s="1"/>
  <c r="N94" i="2"/>
  <c r="R94" i="6" s="1"/>
  <c r="O94" i="2"/>
  <c r="S94" i="6" s="1"/>
  <c r="Q94" i="2"/>
  <c r="U94" i="6" s="1"/>
  <c r="V94" i="6"/>
  <c r="W94" i="6"/>
  <c r="E94" i="2"/>
  <c r="I94" i="6" s="1"/>
  <c r="X93" i="2"/>
  <c r="AB93" i="6" s="1"/>
  <c r="W93" i="2"/>
  <c r="AA93" i="6" s="1"/>
  <c r="V93" i="2"/>
  <c r="Z93" i="6" s="1"/>
  <c r="U93" i="2"/>
  <c r="Y93" i="6" s="1"/>
  <c r="F93" i="2"/>
  <c r="J93" i="6" s="1"/>
  <c r="G93" i="2"/>
  <c r="K93" i="6" s="1"/>
  <c r="H93" i="2"/>
  <c r="L93" i="6" s="1"/>
  <c r="I93" i="2"/>
  <c r="M93" i="6" s="1"/>
  <c r="J93" i="2"/>
  <c r="N93" i="6" s="1"/>
  <c r="K93" i="2"/>
  <c r="O93" i="6" s="1"/>
  <c r="L93" i="2"/>
  <c r="P93" i="6" s="1"/>
  <c r="M93" i="2"/>
  <c r="Q93" i="6" s="1"/>
  <c r="N93" i="2"/>
  <c r="R93" i="6" s="1"/>
  <c r="O93" i="2"/>
  <c r="S93" i="6" s="1"/>
  <c r="Q93" i="2"/>
  <c r="U93" i="6" s="1"/>
  <c r="V93" i="6"/>
  <c r="W93" i="6"/>
  <c r="E93" i="2"/>
  <c r="I93" i="6" s="1"/>
  <c r="X92" i="2"/>
  <c r="AB92" i="6" s="1"/>
  <c r="W92" i="2"/>
  <c r="AA92" i="6" s="1"/>
  <c r="V92" i="2"/>
  <c r="Z92" i="6" s="1"/>
  <c r="U92" i="2"/>
  <c r="Y92" i="6" s="1"/>
  <c r="F92" i="2"/>
  <c r="J92" i="6" s="1"/>
  <c r="G92" i="2"/>
  <c r="K92" i="6" s="1"/>
  <c r="H92" i="2"/>
  <c r="L92" i="6" s="1"/>
  <c r="I92" i="2"/>
  <c r="M92" i="6" s="1"/>
  <c r="J92" i="2"/>
  <c r="N92" i="6" s="1"/>
  <c r="K92" i="2"/>
  <c r="O92" i="6" s="1"/>
  <c r="L92" i="2"/>
  <c r="P92" i="6" s="1"/>
  <c r="M92" i="2"/>
  <c r="Q92" i="6" s="1"/>
  <c r="N92" i="2"/>
  <c r="R92" i="6" s="1"/>
  <c r="O92" i="2"/>
  <c r="S92" i="6" s="1"/>
  <c r="Q92" i="2"/>
  <c r="U92" i="6" s="1"/>
  <c r="V92" i="6"/>
  <c r="W92" i="6"/>
  <c r="E92" i="2"/>
  <c r="I92" i="6" s="1"/>
  <c r="X91" i="2"/>
  <c r="AB91" i="6" s="1"/>
  <c r="W91" i="2"/>
  <c r="AA91" i="6" s="1"/>
  <c r="V91" i="2"/>
  <c r="Z91" i="6" s="1"/>
  <c r="U91" i="2"/>
  <c r="Y91" i="6" s="1"/>
  <c r="F91" i="2"/>
  <c r="J91" i="6" s="1"/>
  <c r="G91" i="2"/>
  <c r="H91" i="2"/>
  <c r="L91" i="6" s="1"/>
  <c r="I91" i="2"/>
  <c r="M91" i="6" s="1"/>
  <c r="J91" i="2"/>
  <c r="N91" i="6" s="1"/>
  <c r="K91" i="2"/>
  <c r="O91" i="6" s="1"/>
  <c r="L91" i="2"/>
  <c r="P91" i="6" s="1"/>
  <c r="M91" i="2"/>
  <c r="Q91" i="6" s="1"/>
  <c r="N91" i="2"/>
  <c r="R91" i="6" s="1"/>
  <c r="O91" i="2"/>
  <c r="Q91" i="2"/>
  <c r="U91" i="6" s="1"/>
  <c r="V91" i="6"/>
  <c r="W91" i="6"/>
  <c r="E91" i="2"/>
  <c r="I91" i="6" s="1"/>
  <c r="X90" i="2"/>
  <c r="AB90" i="6" s="1"/>
  <c r="W90" i="2"/>
  <c r="AA90" i="6" s="1"/>
  <c r="V90" i="2"/>
  <c r="Z90" i="6" s="1"/>
  <c r="U90" i="2"/>
  <c r="Y90" i="6" s="1"/>
  <c r="F90" i="2"/>
  <c r="J90" i="6" s="1"/>
  <c r="G90" i="2"/>
  <c r="K90" i="6" s="1"/>
  <c r="H90" i="2"/>
  <c r="L90" i="6" s="1"/>
  <c r="I90" i="2"/>
  <c r="M90" i="6" s="1"/>
  <c r="J90" i="2"/>
  <c r="N90" i="6" s="1"/>
  <c r="K90" i="2"/>
  <c r="O90" i="6" s="1"/>
  <c r="L90" i="2"/>
  <c r="P90" i="6" s="1"/>
  <c r="M90" i="2"/>
  <c r="Q90" i="6" s="1"/>
  <c r="N90" i="2"/>
  <c r="R90" i="6" s="1"/>
  <c r="O90" i="2"/>
  <c r="S90" i="6" s="1"/>
  <c r="Q90" i="2"/>
  <c r="U90" i="6" s="1"/>
  <c r="V90" i="6"/>
  <c r="W90" i="6"/>
  <c r="E90" i="2"/>
  <c r="I90" i="6" s="1"/>
  <c r="X89" i="2"/>
  <c r="AB89" i="6" s="1"/>
  <c r="W89" i="2"/>
  <c r="V89" i="2"/>
  <c r="Z89" i="6" s="1"/>
  <c r="U89" i="2"/>
  <c r="Y89" i="6" s="1"/>
  <c r="F89" i="2"/>
  <c r="J89" i="6" s="1"/>
  <c r="G89" i="2"/>
  <c r="K89" i="6" s="1"/>
  <c r="H89" i="2"/>
  <c r="I89" i="2"/>
  <c r="J89" i="2"/>
  <c r="N89" i="6" s="1"/>
  <c r="K89" i="2"/>
  <c r="L89" i="2"/>
  <c r="P89" i="6" s="1"/>
  <c r="M89" i="2"/>
  <c r="Q89" i="6" s="1"/>
  <c r="N89" i="2"/>
  <c r="R89" i="6" s="1"/>
  <c r="O89" i="2"/>
  <c r="S89" i="6" s="1"/>
  <c r="Q89" i="2"/>
  <c r="V89" i="6"/>
  <c r="W89" i="6"/>
  <c r="E89" i="2"/>
  <c r="X88" i="2"/>
  <c r="AB88" i="6" s="1"/>
  <c r="W88" i="2"/>
  <c r="AA88" i="6" s="1"/>
  <c r="V88" i="2"/>
  <c r="Z88" i="6" s="1"/>
  <c r="U88" i="2"/>
  <c r="Y88" i="6" s="1"/>
  <c r="F88" i="2"/>
  <c r="J88" i="6" s="1"/>
  <c r="G88" i="2"/>
  <c r="K88" i="6" s="1"/>
  <c r="H88" i="2"/>
  <c r="L88" i="6" s="1"/>
  <c r="I88" i="2"/>
  <c r="M88" i="6" s="1"/>
  <c r="J88" i="2"/>
  <c r="N88" i="6" s="1"/>
  <c r="K88" i="2"/>
  <c r="O88" i="6" s="1"/>
  <c r="L88" i="2"/>
  <c r="P88" i="6" s="1"/>
  <c r="M88" i="2"/>
  <c r="Q88" i="6" s="1"/>
  <c r="N88" i="2"/>
  <c r="R88" i="6" s="1"/>
  <c r="O88" i="2"/>
  <c r="S88" i="6" s="1"/>
  <c r="Q88" i="2"/>
  <c r="U88" i="6" s="1"/>
  <c r="V88" i="6"/>
  <c r="W88" i="6"/>
  <c r="E88" i="2"/>
  <c r="I88" i="6" s="1"/>
  <c r="X87" i="2"/>
  <c r="AB87" i="6" s="1"/>
  <c r="W87" i="2"/>
  <c r="AA87" i="6" s="1"/>
  <c r="V87" i="2"/>
  <c r="Z87" i="6" s="1"/>
  <c r="U87" i="2"/>
  <c r="Y87" i="6" s="1"/>
  <c r="F87" i="2"/>
  <c r="J87" i="6" s="1"/>
  <c r="G87" i="2"/>
  <c r="K87" i="6" s="1"/>
  <c r="H87" i="2"/>
  <c r="L87" i="6" s="1"/>
  <c r="I87" i="2"/>
  <c r="M87" i="6" s="1"/>
  <c r="J87" i="2"/>
  <c r="N87" i="6" s="1"/>
  <c r="K87" i="2"/>
  <c r="O87" i="6" s="1"/>
  <c r="L87" i="2"/>
  <c r="P87" i="6" s="1"/>
  <c r="M87" i="2"/>
  <c r="Q87" i="6" s="1"/>
  <c r="N87" i="2"/>
  <c r="R87" i="6" s="1"/>
  <c r="O87" i="2"/>
  <c r="S87" i="6" s="1"/>
  <c r="Q87" i="2"/>
  <c r="U87" i="6" s="1"/>
  <c r="V87" i="6"/>
  <c r="W87" i="6"/>
  <c r="E87" i="2"/>
  <c r="I87" i="6" s="1"/>
  <c r="X86" i="2"/>
  <c r="AB86" i="6" s="1"/>
  <c r="W86" i="2"/>
  <c r="AA86" i="6" s="1"/>
  <c r="V86" i="2"/>
  <c r="Z86" i="6" s="1"/>
  <c r="U86" i="2"/>
  <c r="Y86" i="6" s="1"/>
  <c r="F86" i="2"/>
  <c r="J86" i="6" s="1"/>
  <c r="G86" i="2"/>
  <c r="K86" i="6" s="1"/>
  <c r="H86" i="2"/>
  <c r="L86" i="6" s="1"/>
  <c r="I86" i="2"/>
  <c r="M86" i="6" s="1"/>
  <c r="J86" i="2"/>
  <c r="N86" i="6" s="1"/>
  <c r="K86" i="2"/>
  <c r="O86" i="6" s="1"/>
  <c r="L86" i="2"/>
  <c r="P86" i="6" s="1"/>
  <c r="M86" i="2"/>
  <c r="Q86" i="6" s="1"/>
  <c r="N86" i="2"/>
  <c r="R86" i="6" s="1"/>
  <c r="O86" i="2"/>
  <c r="S86" i="6" s="1"/>
  <c r="Q86" i="2"/>
  <c r="U86" i="6" s="1"/>
  <c r="V86" i="6"/>
  <c r="W86" i="6"/>
  <c r="E86" i="2"/>
  <c r="I86" i="6" s="1"/>
  <c r="X85" i="2"/>
  <c r="AB85" i="6" s="1"/>
  <c r="W85" i="2"/>
  <c r="AA85" i="6" s="1"/>
  <c r="V85" i="2"/>
  <c r="Z85" i="6" s="1"/>
  <c r="U85" i="2"/>
  <c r="Y85" i="6" s="1"/>
  <c r="F85" i="2"/>
  <c r="J85" i="6" s="1"/>
  <c r="G85" i="2"/>
  <c r="K85" i="6" s="1"/>
  <c r="H85" i="2"/>
  <c r="L85" i="6" s="1"/>
  <c r="I85" i="2"/>
  <c r="M85" i="6" s="1"/>
  <c r="J85" i="2"/>
  <c r="N85" i="6" s="1"/>
  <c r="K85" i="2"/>
  <c r="O85" i="6" s="1"/>
  <c r="L85" i="2"/>
  <c r="P85" i="6" s="1"/>
  <c r="M85" i="2"/>
  <c r="Q85" i="6" s="1"/>
  <c r="N85" i="2"/>
  <c r="R85" i="6" s="1"/>
  <c r="O85" i="2"/>
  <c r="S85" i="6" s="1"/>
  <c r="Q85" i="2"/>
  <c r="U85" i="6" s="1"/>
  <c r="V85" i="6"/>
  <c r="W85" i="6"/>
  <c r="E85" i="2"/>
  <c r="I85" i="6" s="1"/>
  <c r="X84" i="2"/>
  <c r="W84" i="2"/>
  <c r="AA84" i="6" s="1"/>
  <c r="V84" i="2"/>
  <c r="U84" i="2"/>
  <c r="Y84" i="6" s="1"/>
  <c r="F84" i="2"/>
  <c r="J84" i="6" s="1"/>
  <c r="G84" i="2"/>
  <c r="K84" i="6" s="1"/>
  <c r="H84" i="2"/>
  <c r="L84" i="6" s="1"/>
  <c r="I84" i="2"/>
  <c r="J84" i="2"/>
  <c r="K84" i="2"/>
  <c r="O84" i="6" s="1"/>
  <c r="L84" i="2"/>
  <c r="P84" i="6" s="1"/>
  <c r="M84" i="2"/>
  <c r="Q84" i="6" s="1"/>
  <c r="N84" i="2"/>
  <c r="R84" i="6" s="1"/>
  <c r="O84" i="2"/>
  <c r="S84" i="6" s="1"/>
  <c r="Q84" i="2"/>
  <c r="U84" i="6" s="1"/>
  <c r="V84" i="6"/>
  <c r="E84" i="2"/>
  <c r="I84" i="6" s="1"/>
  <c r="X83" i="2"/>
  <c r="AB83" i="6" s="1"/>
  <c r="W83" i="2"/>
  <c r="AA83" i="6" s="1"/>
  <c r="V83" i="2"/>
  <c r="Z83" i="6" s="1"/>
  <c r="U83" i="2"/>
  <c r="Y83" i="6" s="1"/>
  <c r="F83" i="2"/>
  <c r="J83" i="6" s="1"/>
  <c r="G83" i="2"/>
  <c r="K83" i="6" s="1"/>
  <c r="H83" i="2"/>
  <c r="L83" i="6" s="1"/>
  <c r="I83" i="2"/>
  <c r="M83" i="6" s="1"/>
  <c r="J83" i="2"/>
  <c r="N83" i="6" s="1"/>
  <c r="K83" i="2"/>
  <c r="O83" i="6" s="1"/>
  <c r="L83" i="2"/>
  <c r="P83" i="6" s="1"/>
  <c r="M83" i="2"/>
  <c r="Q83" i="6" s="1"/>
  <c r="N83" i="2"/>
  <c r="R83" i="6" s="1"/>
  <c r="O83" i="2"/>
  <c r="S83" i="6" s="1"/>
  <c r="Q83" i="2"/>
  <c r="U83" i="6" s="1"/>
  <c r="V83" i="6"/>
  <c r="W83" i="6"/>
  <c r="E83" i="2"/>
  <c r="I83" i="6" s="1"/>
  <c r="X82" i="2"/>
  <c r="AB82" i="6" s="1"/>
  <c r="W82" i="2"/>
  <c r="AA82" i="6" s="1"/>
  <c r="V82" i="2"/>
  <c r="Z82" i="6" s="1"/>
  <c r="U82" i="2"/>
  <c r="Y82" i="6" s="1"/>
  <c r="F82" i="2"/>
  <c r="J82" i="6" s="1"/>
  <c r="G82" i="2"/>
  <c r="K82" i="6" s="1"/>
  <c r="H82" i="2"/>
  <c r="L82" i="6" s="1"/>
  <c r="I82" i="2"/>
  <c r="M82" i="6" s="1"/>
  <c r="J82" i="2"/>
  <c r="N82" i="6" s="1"/>
  <c r="K82" i="2"/>
  <c r="O82" i="6" s="1"/>
  <c r="L82" i="2"/>
  <c r="P82" i="6" s="1"/>
  <c r="M82" i="2"/>
  <c r="Q82" i="6" s="1"/>
  <c r="N82" i="2"/>
  <c r="R82" i="6" s="1"/>
  <c r="O82" i="2"/>
  <c r="S82" i="6" s="1"/>
  <c r="Q82" i="2"/>
  <c r="U82" i="6" s="1"/>
  <c r="V82" i="6"/>
  <c r="W82" i="6"/>
  <c r="E82" i="2"/>
  <c r="I82" i="6" s="1"/>
  <c r="X81" i="2"/>
  <c r="AB81" i="6" s="1"/>
  <c r="W81" i="2"/>
  <c r="V81" i="2"/>
  <c r="Z81" i="6" s="1"/>
  <c r="U81" i="2"/>
  <c r="F81" i="2"/>
  <c r="J81" i="6" s="1"/>
  <c r="G81" i="2"/>
  <c r="K81" i="6" s="1"/>
  <c r="H81" i="2"/>
  <c r="I81" i="2"/>
  <c r="J81" i="2"/>
  <c r="N81" i="6" s="1"/>
  <c r="K81" i="2"/>
  <c r="L81" i="2"/>
  <c r="P81" i="6" s="1"/>
  <c r="M81" i="2"/>
  <c r="N81" i="2"/>
  <c r="R81" i="6" s="1"/>
  <c r="O81" i="2"/>
  <c r="S81" i="6" s="1"/>
  <c r="Q81" i="2"/>
  <c r="W81" i="6"/>
  <c r="E81" i="2"/>
  <c r="X80" i="2"/>
  <c r="AB80" i="6" s="1"/>
  <c r="W80" i="2"/>
  <c r="AA80" i="6" s="1"/>
  <c r="V80" i="2"/>
  <c r="Z80" i="6" s="1"/>
  <c r="U80" i="2"/>
  <c r="Y80" i="6" s="1"/>
  <c r="F80" i="2"/>
  <c r="G80" i="2"/>
  <c r="K80" i="6" s="1"/>
  <c r="H80" i="2"/>
  <c r="L80" i="6" s="1"/>
  <c r="I80" i="2"/>
  <c r="M80" i="6" s="1"/>
  <c r="J80" i="2"/>
  <c r="N80" i="6" s="1"/>
  <c r="K80" i="2"/>
  <c r="O80" i="6" s="1"/>
  <c r="L80" i="2"/>
  <c r="P80" i="6" s="1"/>
  <c r="M80" i="2"/>
  <c r="Q80" i="6" s="1"/>
  <c r="N80" i="2"/>
  <c r="O80" i="2"/>
  <c r="S80" i="6" s="1"/>
  <c r="Q80" i="2"/>
  <c r="U80" i="6" s="1"/>
  <c r="V80" i="6"/>
  <c r="W80" i="6"/>
  <c r="E80" i="2"/>
  <c r="I80" i="6" s="1"/>
  <c r="X79" i="2"/>
  <c r="AB79" i="6" s="1"/>
  <c r="W79" i="2"/>
  <c r="AA79" i="6" s="1"/>
  <c r="V79" i="2"/>
  <c r="Z79" i="6" s="1"/>
  <c r="U79" i="2"/>
  <c r="Y79" i="6" s="1"/>
  <c r="F79" i="2"/>
  <c r="J79" i="6" s="1"/>
  <c r="G79" i="2"/>
  <c r="K79" i="6" s="1"/>
  <c r="H79" i="2"/>
  <c r="L79" i="6" s="1"/>
  <c r="I79" i="2"/>
  <c r="M79" i="6" s="1"/>
  <c r="J79" i="2"/>
  <c r="N79" i="6" s="1"/>
  <c r="K79" i="2"/>
  <c r="O79" i="6" s="1"/>
  <c r="L79" i="2"/>
  <c r="P79" i="6" s="1"/>
  <c r="M79" i="2"/>
  <c r="Q79" i="6" s="1"/>
  <c r="N79" i="2"/>
  <c r="R79" i="6" s="1"/>
  <c r="O79" i="2"/>
  <c r="S79" i="6" s="1"/>
  <c r="Q79" i="2"/>
  <c r="U79" i="6" s="1"/>
  <c r="V79" i="6"/>
  <c r="W79" i="6"/>
  <c r="E79" i="2"/>
  <c r="I79" i="6" s="1"/>
  <c r="X78" i="2"/>
  <c r="AB78" i="6" s="1"/>
  <c r="W78" i="2"/>
  <c r="AA78" i="6" s="1"/>
  <c r="V78" i="2"/>
  <c r="Z78" i="6" s="1"/>
  <c r="U78" i="2"/>
  <c r="Y78" i="6" s="1"/>
  <c r="F78" i="2"/>
  <c r="J78" i="6" s="1"/>
  <c r="G78" i="2"/>
  <c r="K78" i="6" s="1"/>
  <c r="H78" i="2"/>
  <c r="L78" i="6" s="1"/>
  <c r="I78" i="2"/>
  <c r="M78" i="6" s="1"/>
  <c r="J78" i="2"/>
  <c r="N78" i="6" s="1"/>
  <c r="K78" i="2"/>
  <c r="O78" i="6" s="1"/>
  <c r="L78" i="2"/>
  <c r="P78" i="6" s="1"/>
  <c r="M78" i="2"/>
  <c r="Q78" i="6" s="1"/>
  <c r="N78" i="2"/>
  <c r="R78" i="6" s="1"/>
  <c r="O78" i="2"/>
  <c r="S78" i="6" s="1"/>
  <c r="Q78" i="2"/>
  <c r="U78" i="6" s="1"/>
  <c r="V78" i="6"/>
  <c r="W78" i="6"/>
  <c r="E78" i="2"/>
  <c r="I78" i="6" s="1"/>
  <c r="X77" i="2"/>
  <c r="AB77" i="6" s="1"/>
  <c r="W77" i="2"/>
  <c r="AA77" i="6" s="1"/>
  <c r="V77" i="2"/>
  <c r="Z77" i="6" s="1"/>
  <c r="U77" i="2"/>
  <c r="Y77" i="6" s="1"/>
  <c r="F77" i="2"/>
  <c r="J77" i="6" s="1"/>
  <c r="G77" i="2"/>
  <c r="K77" i="6" s="1"/>
  <c r="H77" i="2"/>
  <c r="L77" i="6" s="1"/>
  <c r="I77" i="2"/>
  <c r="M77" i="6" s="1"/>
  <c r="J77" i="2"/>
  <c r="N77" i="6" s="1"/>
  <c r="K77" i="2"/>
  <c r="O77" i="6" s="1"/>
  <c r="L77" i="2"/>
  <c r="P77" i="6" s="1"/>
  <c r="M77" i="2"/>
  <c r="Q77" i="6" s="1"/>
  <c r="N77" i="2"/>
  <c r="R77" i="6" s="1"/>
  <c r="O77" i="2"/>
  <c r="S77" i="6" s="1"/>
  <c r="Q77" i="2"/>
  <c r="U77" i="6" s="1"/>
  <c r="V77" i="6"/>
  <c r="W77" i="6"/>
  <c r="E77" i="2"/>
  <c r="I77" i="6" s="1"/>
  <c r="X76" i="2"/>
  <c r="AB76" i="6" s="1"/>
  <c r="W76" i="2"/>
  <c r="AA76" i="6" s="1"/>
  <c r="V76" i="2"/>
  <c r="U76" i="2"/>
  <c r="Y76" i="6" s="1"/>
  <c r="F76" i="2"/>
  <c r="J76" i="6" s="1"/>
  <c r="G76" i="2"/>
  <c r="K76" i="6" s="1"/>
  <c r="H76" i="2"/>
  <c r="L76" i="6" s="1"/>
  <c r="I76" i="2"/>
  <c r="M76" i="6" s="1"/>
  <c r="J76" i="2"/>
  <c r="N76" i="6" s="1"/>
  <c r="K76" i="2"/>
  <c r="O76" i="6" s="1"/>
  <c r="L76" i="2"/>
  <c r="P76" i="6" s="1"/>
  <c r="M76" i="2"/>
  <c r="Q76" i="6" s="1"/>
  <c r="N76" i="2"/>
  <c r="R76" i="6" s="1"/>
  <c r="O76" i="2"/>
  <c r="S76" i="6" s="1"/>
  <c r="Q76" i="2"/>
  <c r="U76" i="6" s="1"/>
  <c r="V76" i="6"/>
  <c r="W76" i="6"/>
  <c r="E76" i="2"/>
  <c r="I76" i="6" s="1"/>
  <c r="X75" i="2"/>
  <c r="AB75" i="6" s="1"/>
  <c r="W75" i="2"/>
  <c r="AA75" i="6" s="1"/>
  <c r="V75" i="2"/>
  <c r="Z75" i="6" s="1"/>
  <c r="U75" i="2"/>
  <c r="Y75" i="6" s="1"/>
  <c r="F75" i="2"/>
  <c r="J75" i="6" s="1"/>
  <c r="G75" i="2"/>
  <c r="H75" i="2"/>
  <c r="L75" i="6" s="1"/>
  <c r="I75" i="2"/>
  <c r="M75" i="6" s="1"/>
  <c r="J75" i="2"/>
  <c r="N75" i="6" s="1"/>
  <c r="K75" i="2"/>
  <c r="O75" i="6" s="1"/>
  <c r="L75" i="2"/>
  <c r="P75" i="6" s="1"/>
  <c r="M75" i="2"/>
  <c r="Q75" i="6" s="1"/>
  <c r="N75" i="2"/>
  <c r="R75" i="6" s="1"/>
  <c r="O75" i="2"/>
  <c r="Q75" i="2"/>
  <c r="U75" i="6" s="1"/>
  <c r="V75" i="6"/>
  <c r="W75" i="6"/>
  <c r="E75" i="2"/>
  <c r="I75" i="6" s="1"/>
  <c r="X74" i="2"/>
  <c r="AB74" i="6" s="1"/>
  <c r="W74" i="2"/>
  <c r="AA74" i="6" s="1"/>
  <c r="V74" i="2"/>
  <c r="Z74" i="6" s="1"/>
  <c r="U74" i="2"/>
  <c r="Y74" i="6" s="1"/>
  <c r="F74" i="2"/>
  <c r="J74" i="6" s="1"/>
  <c r="G74" i="2"/>
  <c r="K74" i="6" s="1"/>
  <c r="H74" i="2"/>
  <c r="L74" i="6" s="1"/>
  <c r="I74" i="2"/>
  <c r="M74" i="6" s="1"/>
  <c r="J74" i="2"/>
  <c r="N74" i="6" s="1"/>
  <c r="K74" i="2"/>
  <c r="O74" i="6" s="1"/>
  <c r="L74" i="2"/>
  <c r="P74" i="6" s="1"/>
  <c r="M74" i="2"/>
  <c r="Q74" i="6" s="1"/>
  <c r="N74" i="2"/>
  <c r="R74" i="6" s="1"/>
  <c r="O74" i="2"/>
  <c r="S74" i="6" s="1"/>
  <c r="Q74" i="2"/>
  <c r="U74" i="6" s="1"/>
  <c r="V74" i="6"/>
  <c r="W74" i="6"/>
  <c r="E74" i="2"/>
  <c r="I74" i="6" s="1"/>
  <c r="X73" i="2"/>
  <c r="W73" i="2"/>
  <c r="AA73" i="6" s="1"/>
  <c r="V73" i="2"/>
  <c r="Z73" i="6" s="1"/>
  <c r="U73" i="2"/>
  <c r="Y73" i="6" s="1"/>
  <c r="F73" i="2"/>
  <c r="J73" i="6" s="1"/>
  <c r="G73" i="2"/>
  <c r="K73" i="6" s="1"/>
  <c r="H73" i="2"/>
  <c r="L73" i="6" s="1"/>
  <c r="I73" i="2"/>
  <c r="M73" i="6" s="1"/>
  <c r="J73" i="2"/>
  <c r="N73" i="6" s="1"/>
  <c r="K73" i="2"/>
  <c r="L73" i="2"/>
  <c r="M73" i="2"/>
  <c r="Q73" i="6" s="1"/>
  <c r="N73" i="2"/>
  <c r="R73" i="6" s="1"/>
  <c r="O73" i="2"/>
  <c r="S73" i="6" s="1"/>
  <c r="Q73" i="2"/>
  <c r="U73" i="6" s="1"/>
  <c r="V73" i="6"/>
  <c r="W73" i="6"/>
  <c r="E73" i="2"/>
  <c r="I73" i="6" s="1"/>
  <c r="X72" i="2"/>
  <c r="AB72" i="6" s="1"/>
  <c r="W72" i="2"/>
  <c r="AA72" i="6" s="1"/>
  <c r="V72" i="2"/>
  <c r="Z72" i="6" s="1"/>
  <c r="U72" i="2"/>
  <c r="Y72" i="6" s="1"/>
  <c r="F72" i="2"/>
  <c r="J72" i="6" s="1"/>
  <c r="G72" i="2"/>
  <c r="K72" i="6" s="1"/>
  <c r="H72" i="2"/>
  <c r="L72" i="6" s="1"/>
  <c r="I72" i="2"/>
  <c r="M72" i="6" s="1"/>
  <c r="J72" i="2"/>
  <c r="N72" i="6" s="1"/>
  <c r="K72" i="2"/>
  <c r="O72" i="6" s="1"/>
  <c r="L72" i="2"/>
  <c r="P72" i="6" s="1"/>
  <c r="M72" i="2"/>
  <c r="Q72" i="6" s="1"/>
  <c r="N72" i="2"/>
  <c r="R72" i="6" s="1"/>
  <c r="O72" i="2"/>
  <c r="S72" i="6" s="1"/>
  <c r="Q72" i="2"/>
  <c r="U72" i="6" s="1"/>
  <c r="V72" i="6"/>
  <c r="W72" i="6"/>
  <c r="E72" i="2"/>
  <c r="I72" i="6" s="1"/>
  <c r="X71" i="2"/>
  <c r="AB71" i="6" s="1"/>
  <c r="W71" i="2"/>
  <c r="AA71" i="6" s="1"/>
  <c r="V71" i="2"/>
  <c r="Z71" i="6" s="1"/>
  <c r="U71" i="2"/>
  <c r="Y71" i="6" s="1"/>
  <c r="F71" i="2"/>
  <c r="J71" i="6" s="1"/>
  <c r="G71" i="2"/>
  <c r="K71" i="6" s="1"/>
  <c r="H71" i="2"/>
  <c r="L71" i="6" s="1"/>
  <c r="I71" i="2"/>
  <c r="M71" i="6" s="1"/>
  <c r="J71" i="2"/>
  <c r="N71" i="6" s="1"/>
  <c r="K71" i="2"/>
  <c r="O71" i="6" s="1"/>
  <c r="L71" i="2"/>
  <c r="P71" i="6" s="1"/>
  <c r="M71" i="2"/>
  <c r="N71" i="2"/>
  <c r="O71" i="2"/>
  <c r="S71" i="6" s="1"/>
  <c r="Q71" i="2"/>
  <c r="U71" i="6" s="1"/>
  <c r="V71" i="6"/>
  <c r="W71" i="6"/>
  <c r="E71" i="2"/>
  <c r="I71" i="6" s="1"/>
  <c r="X70" i="2"/>
  <c r="AB70" i="6" s="1"/>
  <c r="W70" i="2"/>
  <c r="AA70" i="6" s="1"/>
  <c r="V70" i="2"/>
  <c r="Z70" i="6" s="1"/>
  <c r="U70" i="2"/>
  <c r="Y70" i="6" s="1"/>
  <c r="F70" i="2"/>
  <c r="J70" i="6" s="1"/>
  <c r="G70" i="2"/>
  <c r="K70" i="6" s="1"/>
  <c r="H70" i="2"/>
  <c r="L70" i="6" s="1"/>
  <c r="I70" i="2"/>
  <c r="M70" i="6" s="1"/>
  <c r="J70" i="2"/>
  <c r="N70" i="6" s="1"/>
  <c r="K70" i="2"/>
  <c r="O70" i="6" s="1"/>
  <c r="L70" i="2"/>
  <c r="P70" i="6" s="1"/>
  <c r="M70" i="2"/>
  <c r="Q70" i="6" s="1"/>
  <c r="N70" i="2"/>
  <c r="R70" i="6" s="1"/>
  <c r="O70" i="2"/>
  <c r="S70" i="6" s="1"/>
  <c r="Q70" i="2"/>
  <c r="U70" i="6" s="1"/>
  <c r="V70" i="6"/>
  <c r="W70" i="6"/>
  <c r="E70" i="2"/>
  <c r="I70" i="6" s="1"/>
  <c r="X69" i="2"/>
  <c r="AB69" i="6" s="1"/>
  <c r="W69" i="2"/>
  <c r="AA69" i="6" s="1"/>
  <c r="V69" i="2"/>
  <c r="Z69" i="6" s="1"/>
  <c r="U69" i="2"/>
  <c r="Y69" i="6" s="1"/>
  <c r="F69" i="2"/>
  <c r="J69" i="6" s="1"/>
  <c r="G69" i="2"/>
  <c r="K69" i="6" s="1"/>
  <c r="H69" i="2"/>
  <c r="L69" i="6" s="1"/>
  <c r="I69" i="2"/>
  <c r="M69" i="6" s="1"/>
  <c r="J69" i="2"/>
  <c r="N69" i="6" s="1"/>
  <c r="K69" i="2"/>
  <c r="O69" i="6" s="1"/>
  <c r="L69" i="2"/>
  <c r="P69" i="6" s="1"/>
  <c r="M69" i="2"/>
  <c r="Q69" i="6" s="1"/>
  <c r="N69" i="2"/>
  <c r="R69" i="6" s="1"/>
  <c r="O69" i="2"/>
  <c r="S69" i="6" s="1"/>
  <c r="Q69" i="2"/>
  <c r="U69" i="6" s="1"/>
  <c r="V69" i="6"/>
  <c r="W69" i="6"/>
  <c r="E69" i="2"/>
  <c r="I69" i="6" s="1"/>
  <c r="X68" i="2"/>
  <c r="AB68" i="6" s="1"/>
  <c r="W68" i="2"/>
  <c r="AA68" i="6" s="1"/>
  <c r="V68" i="2"/>
  <c r="Z68" i="6" s="1"/>
  <c r="U68" i="2"/>
  <c r="Y68" i="6" s="1"/>
  <c r="F68" i="2"/>
  <c r="J68" i="6" s="1"/>
  <c r="G68" i="2"/>
  <c r="K68" i="6" s="1"/>
  <c r="H68" i="2"/>
  <c r="L68" i="6" s="1"/>
  <c r="I68" i="2"/>
  <c r="M68" i="6" s="1"/>
  <c r="J68" i="2"/>
  <c r="N68" i="6" s="1"/>
  <c r="K68" i="2"/>
  <c r="O68" i="6" s="1"/>
  <c r="L68" i="2"/>
  <c r="P68" i="6" s="1"/>
  <c r="M68" i="2"/>
  <c r="Q68" i="6" s="1"/>
  <c r="N68" i="2"/>
  <c r="R68" i="6" s="1"/>
  <c r="O68" i="2"/>
  <c r="Q68" i="2"/>
  <c r="U68" i="6" s="1"/>
  <c r="W68" i="6"/>
  <c r="E68" i="2"/>
  <c r="I68" i="6" s="1"/>
  <c r="X67" i="2"/>
  <c r="AB67" i="6" s="1"/>
  <c r="W67" i="2"/>
  <c r="AA67" i="6" s="1"/>
  <c r="V67" i="2"/>
  <c r="Z67" i="6" s="1"/>
  <c r="U67" i="2"/>
  <c r="Y67" i="6" s="1"/>
  <c r="F67" i="2"/>
  <c r="J67" i="6" s="1"/>
  <c r="G67" i="2"/>
  <c r="K67" i="6" s="1"/>
  <c r="H67" i="2"/>
  <c r="L67" i="6" s="1"/>
  <c r="I67" i="2"/>
  <c r="M67" i="6" s="1"/>
  <c r="J67" i="2"/>
  <c r="N67" i="6" s="1"/>
  <c r="K67" i="2"/>
  <c r="O67" i="6" s="1"/>
  <c r="L67" i="2"/>
  <c r="P67" i="6" s="1"/>
  <c r="M67" i="2"/>
  <c r="Q67" i="6" s="1"/>
  <c r="N67" i="2"/>
  <c r="R67" i="6" s="1"/>
  <c r="O67" i="2"/>
  <c r="S67" i="6" s="1"/>
  <c r="Q67" i="2"/>
  <c r="U67" i="6" s="1"/>
  <c r="V67" i="6"/>
  <c r="W67" i="6"/>
  <c r="E67" i="2"/>
  <c r="I67" i="6" s="1"/>
  <c r="X66" i="2"/>
  <c r="W66" i="2"/>
  <c r="AA66" i="6" s="1"/>
  <c r="V66" i="2"/>
  <c r="Z66" i="6" s="1"/>
  <c r="U66" i="2"/>
  <c r="Y66" i="6" s="1"/>
  <c r="F66" i="2"/>
  <c r="G66" i="2"/>
  <c r="K66" i="6" s="1"/>
  <c r="H66" i="2"/>
  <c r="L66" i="6" s="1"/>
  <c r="I66" i="2"/>
  <c r="M66" i="6" s="1"/>
  <c r="J66" i="2"/>
  <c r="N66" i="6" s="1"/>
  <c r="K66" i="2"/>
  <c r="O66" i="6" s="1"/>
  <c r="L66" i="2"/>
  <c r="P66" i="6" s="1"/>
  <c r="M66" i="2"/>
  <c r="Q66" i="6" s="1"/>
  <c r="N66" i="2"/>
  <c r="R66" i="6" s="1"/>
  <c r="O66" i="2"/>
  <c r="S66" i="6" s="1"/>
  <c r="Q66" i="2"/>
  <c r="U66" i="6" s="1"/>
  <c r="V66" i="6"/>
  <c r="W66" i="6"/>
  <c r="E66" i="2"/>
  <c r="X65" i="2"/>
  <c r="AB65" i="6" s="1"/>
  <c r="W65" i="2"/>
  <c r="AA65" i="6" s="1"/>
  <c r="V65" i="2"/>
  <c r="U65" i="2"/>
  <c r="Y65" i="6" s="1"/>
  <c r="F65" i="2"/>
  <c r="G65" i="2"/>
  <c r="K65" i="6" s="1"/>
  <c r="H65" i="2"/>
  <c r="L65" i="6" s="1"/>
  <c r="I65" i="2"/>
  <c r="M65" i="6" s="1"/>
  <c r="J65" i="2"/>
  <c r="N65" i="6" s="1"/>
  <c r="K65" i="2"/>
  <c r="O65" i="6" s="1"/>
  <c r="L65" i="2"/>
  <c r="P65" i="6" s="1"/>
  <c r="M65" i="2"/>
  <c r="Q65" i="6" s="1"/>
  <c r="N65" i="2"/>
  <c r="R65" i="6" s="1"/>
  <c r="O65" i="2"/>
  <c r="S65" i="6" s="1"/>
  <c r="Q65" i="2"/>
  <c r="U65" i="6" s="1"/>
  <c r="E65" i="2"/>
  <c r="I65" i="6" s="1"/>
  <c r="X64" i="2"/>
  <c r="AB64" i="6" s="1"/>
  <c r="W64" i="2"/>
  <c r="AA64" i="6" s="1"/>
  <c r="V64" i="2"/>
  <c r="Z64" i="6" s="1"/>
  <c r="U64" i="2"/>
  <c r="Y64" i="6" s="1"/>
  <c r="F64" i="2"/>
  <c r="J64" i="6" s="1"/>
  <c r="G64" i="2"/>
  <c r="K64" i="6" s="1"/>
  <c r="H64" i="2"/>
  <c r="L64" i="6" s="1"/>
  <c r="I64" i="2"/>
  <c r="M64" i="6" s="1"/>
  <c r="J64" i="2"/>
  <c r="N64" i="6" s="1"/>
  <c r="K64" i="2"/>
  <c r="O64" i="6" s="1"/>
  <c r="L64" i="2"/>
  <c r="P64" i="6" s="1"/>
  <c r="M64" i="2"/>
  <c r="Q64" i="6" s="1"/>
  <c r="N64" i="2"/>
  <c r="R64" i="6" s="1"/>
  <c r="O64" i="2"/>
  <c r="S64" i="6" s="1"/>
  <c r="Q64" i="2"/>
  <c r="U64" i="6" s="1"/>
  <c r="V64" i="6"/>
  <c r="W64" i="6"/>
  <c r="E64" i="2"/>
  <c r="I64" i="6" s="1"/>
  <c r="X63" i="2"/>
  <c r="W63" i="2"/>
  <c r="AA63" i="6" s="1"/>
  <c r="V63" i="2"/>
  <c r="Z63" i="6" s="1"/>
  <c r="U63" i="2"/>
  <c r="F63" i="2"/>
  <c r="J63" i="6" s="1"/>
  <c r="G63" i="2"/>
  <c r="K63" i="6" s="1"/>
  <c r="H63" i="2"/>
  <c r="I63" i="2"/>
  <c r="M63" i="6" s="1"/>
  <c r="J63" i="2"/>
  <c r="N63" i="6" s="1"/>
  <c r="K63" i="2"/>
  <c r="O63" i="6" s="1"/>
  <c r="L63" i="2"/>
  <c r="P63" i="6" s="1"/>
  <c r="M63" i="2"/>
  <c r="Q63" i="6" s="1"/>
  <c r="N63" i="2"/>
  <c r="R63" i="6" s="1"/>
  <c r="O63" i="2"/>
  <c r="S63" i="6" s="1"/>
  <c r="Q63" i="2"/>
  <c r="U63" i="6" s="1"/>
  <c r="V63" i="6"/>
  <c r="W63" i="6"/>
  <c r="E63" i="2"/>
  <c r="I63" i="6" s="1"/>
  <c r="X62" i="2"/>
  <c r="AB62" i="6" s="1"/>
  <c r="W62" i="2"/>
  <c r="AA62" i="6" s="1"/>
  <c r="V62" i="2"/>
  <c r="Z62" i="6" s="1"/>
  <c r="U62" i="2"/>
  <c r="Y62" i="6" s="1"/>
  <c r="F62" i="2"/>
  <c r="J62" i="6" s="1"/>
  <c r="G62" i="2"/>
  <c r="K62" i="6" s="1"/>
  <c r="H62" i="2"/>
  <c r="L62" i="6" s="1"/>
  <c r="I62" i="2"/>
  <c r="M62" i="6" s="1"/>
  <c r="J62" i="2"/>
  <c r="N62" i="6" s="1"/>
  <c r="K62" i="2"/>
  <c r="O62" i="6" s="1"/>
  <c r="L62" i="2"/>
  <c r="P62" i="6" s="1"/>
  <c r="M62" i="2"/>
  <c r="Q62" i="6" s="1"/>
  <c r="N62" i="2"/>
  <c r="R62" i="6" s="1"/>
  <c r="O62" i="2"/>
  <c r="S62" i="6" s="1"/>
  <c r="Q62" i="2"/>
  <c r="U62" i="6" s="1"/>
  <c r="V62" i="6"/>
  <c r="W62" i="6"/>
  <c r="E62" i="2"/>
  <c r="I62" i="6" s="1"/>
  <c r="X61" i="2"/>
  <c r="AB61" i="6" s="1"/>
  <c r="W61" i="2"/>
  <c r="AA61" i="6" s="1"/>
  <c r="V61" i="2"/>
  <c r="Z61" i="6" s="1"/>
  <c r="U61" i="2"/>
  <c r="Y61" i="6" s="1"/>
  <c r="F61" i="2"/>
  <c r="J61" i="6" s="1"/>
  <c r="G61" i="2"/>
  <c r="K61" i="6" s="1"/>
  <c r="H61" i="2"/>
  <c r="L61" i="6" s="1"/>
  <c r="I61" i="2"/>
  <c r="M61" i="6" s="1"/>
  <c r="J61" i="2"/>
  <c r="N61" i="6" s="1"/>
  <c r="K61" i="2"/>
  <c r="O61" i="6" s="1"/>
  <c r="L61" i="2"/>
  <c r="P61" i="6" s="1"/>
  <c r="M61" i="2"/>
  <c r="Q61" i="6" s="1"/>
  <c r="N61" i="2"/>
  <c r="R61" i="6" s="1"/>
  <c r="O61" i="2"/>
  <c r="S61" i="6" s="1"/>
  <c r="Q61" i="2"/>
  <c r="U61" i="6" s="1"/>
  <c r="V61" i="6"/>
  <c r="W61" i="6"/>
  <c r="E61" i="2"/>
  <c r="I61" i="6" s="1"/>
  <c r="X60" i="2"/>
  <c r="AB60" i="6" s="1"/>
  <c r="W60" i="2"/>
  <c r="AA60" i="6" s="1"/>
  <c r="V60" i="2"/>
  <c r="Z60" i="6" s="1"/>
  <c r="U60" i="2"/>
  <c r="Y60" i="6" s="1"/>
  <c r="F60" i="2"/>
  <c r="J60" i="6" s="1"/>
  <c r="G60" i="2"/>
  <c r="K60" i="6" s="1"/>
  <c r="H60" i="2"/>
  <c r="L60" i="6" s="1"/>
  <c r="I60" i="2"/>
  <c r="M60" i="6" s="1"/>
  <c r="J60" i="2"/>
  <c r="N60" i="6" s="1"/>
  <c r="K60" i="2"/>
  <c r="O60" i="6" s="1"/>
  <c r="L60" i="2"/>
  <c r="P60" i="6" s="1"/>
  <c r="M60" i="2"/>
  <c r="Q60" i="6" s="1"/>
  <c r="N60" i="2"/>
  <c r="R60" i="6" s="1"/>
  <c r="O60" i="2"/>
  <c r="S60" i="6" s="1"/>
  <c r="Q60" i="2"/>
  <c r="U60" i="6" s="1"/>
  <c r="V60" i="6"/>
  <c r="W60" i="6"/>
  <c r="E60" i="2"/>
  <c r="I60" i="6" s="1"/>
  <c r="X59" i="2"/>
  <c r="AB59" i="6" s="1"/>
  <c r="W59" i="2"/>
  <c r="AA59" i="6" s="1"/>
  <c r="V59" i="2"/>
  <c r="Z59" i="6" s="1"/>
  <c r="U59" i="2"/>
  <c r="Y59" i="6" s="1"/>
  <c r="F59" i="2"/>
  <c r="J59" i="6" s="1"/>
  <c r="G59" i="2"/>
  <c r="K59" i="6" s="1"/>
  <c r="H59" i="2"/>
  <c r="L59" i="6" s="1"/>
  <c r="I59" i="2"/>
  <c r="M59" i="6" s="1"/>
  <c r="J59" i="2"/>
  <c r="N59" i="6" s="1"/>
  <c r="K59" i="2"/>
  <c r="O59" i="6" s="1"/>
  <c r="L59" i="2"/>
  <c r="P59" i="6" s="1"/>
  <c r="M59" i="2"/>
  <c r="Q59" i="6" s="1"/>
  <c r="N59" i="2"/>
  <c r="R59" i="6" s="1"/>
  <c r="O59" i="2"/>
  <c r="S59" i="6" s="1"/>
  <c r="Q59" i="2"/>
  <c r="U59" i="6" s="1"/>
  <c r="V59" i="6"/>
  <c r="W59" i="6"/>
  <c r="E59" i="2"/>
  <c r="I59" i="6" s="1"/>
  <c r="X58" i="2"/>
  <c r="W58" i="2"/>
  <c r="AA58" i="6" s="1"/>
  <c r="V58" i="2"/>
  <c r="Z58" i="6" s="1"/>
  <c r="U58" i="2"/>
  <c r="F58" i="2"/>
  <c r="G58" i="2"/>
  <c r="K58" i="6" s="1"/>
  <c r="H58" i="2"/>
  <c r="L58" i="6" s="1"/>
  <c r="I58" i="2"/>
  <c r="M58" i="6" s="1"/>
  <c r="J58" i="2"/>
  <c r="N58" i="6" s="1"/>
  <c r="K58" i="2"/>
  <c r="O58" i="6" s="1"/>
  <c r="L58" i="2"/>
  <c r="P58" i="6" s="1"/>
  <c r="M58" i="2"/>
  <c r="Q58" i="6" s="1"/>
  <c r="N58" i="2"/>
  <c r="R58" i="6" s="1"/>
  <c r="O58" i="2"/>
  <c r="S58" i="6" s="1"/>
  <c r="Q58" i="2"/>
  <c r="U58" i="6" s="1"/>
  <c r="V58" i="6"/>
  <c r="W58" i="6"/>
  <c r="E58" i="2"/>
  <c r="X57" i="2"/>
  <c r="AB57" i="6" s="1"/>
  <c r="W57" i="2"/>
  <c r="AA57" i="6" s="1"/>
  <c r="V57" i="2"/>
  <c r="Z57" i="6" s="1"/>
  <c r="U57" i="2"/>
  <c r="Y57" i="6" s="1"/>
  <c r="F57" i="2"/>
  <c r="J57" i="6" s="1"/>
  <c r="G57" i="2"/>
  <c r="K57" i="6" s="1"/>
  <c r="H57" i="2"/>
  <c r="L57" i="6" s="1"/>
  <c r="I57" i="2"/>
  <c r="M57" i="6" s="1"/>
  <c r="J57" i="2"/>
  <c r="N57" i="6" s="1"/>
  <c r="K57" i="2"/>
  <c r="O57" i="6" s="1"/>
  <c r="L57" i="2"/>
  <c r="P57" i="6" s="1"/>
  <c r="M57" i="2"/>
  <c r="Q57" i="6" s="1"/>
  <c r="N57" i="2"/>
  <c r="R57" i="6" s="1"/>
  <c r="O57" i="2"/>
  <c r="S57" i="6" s="1"/>
  <c r="Q57" i="2"/>
  <c r="V57" i="6"/>
  <c r="E57" i="2"/>
  <c r="I57" i="6" s="1"/>
  <c r="X56" i="2"/>
  <c r="AB56" i="6" s="1"/>
  <c r="W56" i="2"/>
  <c r="AA56" i="6" s="1"/>
  <c r="V56" i="2"/>
  <c r="Z56" i="6" s="1"/>
  <c r="U56" i="2"/>
  <c r="Y56" i="6" s="1"/>
  <c r="F56" i="2"/>
  <c r="J56" i="6" s="1"/>
  <c r="G56" i="2"/>
  <c r="K56" i="6" s="1"/>
  <c r="H56" i="2"/>
  <c r="L56" i="6" s="1"/>
  <c r="I56" i="2"/>
  <c r="M56" i="6" s="1"/>
  <c r="J56" i="2"/>
  <c r="N56" i="6" s="1"/>
  <c r="K56" i="2"/>
  <c r="O56" i="6" s="1"/>
  <c r="L56" i="2"/>
  <c r="P56" i="6" s="1"/>
  <c r="M56" i="2"/>
  <c r="Q56" i="6" s="1"/>
  <c r="N56" i="2"/>
  <c r="R56" i="6" s="1"/>
  <c r="O56" i="2"/>
  <c r="S56" i="6" s="1"/>
  <c r="Q56" i="2"/>
  <c r="U56" i="6" s="1"/>
  <c r="V56" i="6"/>
  <c r="W56" i="6"/>
  <c r="E56" i="2"/>
  <c r="I56" i="6" s="1"/>
  <c r="X55" i="2"/>
  <c r="W55" i="2"/>
  <c r="V55" i="2"/>
  <c r="U55" i="2"/>
  <c r="Y55" i="6" s="1"/>
  <c r="F55" i="2"/>
  <c r="G55" i="2"/>
  <c r="K55" i="6" s="1"/>
  <c r="H55" i="2"/>
  <c r="I55" i="2"/>
  <c r="M55" i="6" s="1"/>
  <c r="J55" i="2"/>
  <c r="K55" i="2"/>
  <c r="O55" i="6" s="1"/>
  <c r="L55" i="2"/>
  <c r="M55" i="2"/>
  <c r="Q55" i="6" s="1"/>
  <c r="N55" i="2"/>
  <c r="O55" i="2"/>
  <c r="S55" i="6" s="1"/>
  <c r="Q55" i="2"/>
  <c r="U55" i="6" s="1"/>
  <c r="V55" i="6"/>
  <c r="E55" i="2"/>
  <c r="X54" i="2"/>
  <c r="AB54" i="6" s="1"/>
  <c r="W54" i="2"/>
  <c r="AA54" i="6" s="1"/>
  <c r="V54" i="2"/>
  <c r="Z54" i="6" s="1"/>
  <c r="U54" i="2"/>
  <c r="Y54" i="6" s="1"/>
  <c r="F54" i="2"/>
  <c r="J54" i="6" s="1"/>
  <c r="G54" i="2"/>
  <c r="K54" i="6" s="1"/>
  <c r="H54" i="2"/>
  <c r="L54" i="6" s="1"/>
  <c r="I54" i="2"/>
  <c r="M54" i="6" s="1"/>
  <c r="J54" i="2"/>
  <c r="N54" i="6" s="1"/>
  <c r="K54" i="2"/>
  <c r="O54" i="6" s="1"/>
  <c r="L54" i="2"/>
  <c r="P54" i="6" s="1"/>
  <c r="M54" i="2"/>
  <c r="Q54" i="6" s="1"/>
  <c r="N54" i="2"/>
  <c r="R54" i="6" s="1"/>
  <c r="O54" i="2"/>
  <c r="S54" i="6" s="1"/>
  <c r="Q54" i="2"/>
  <c r="U54" i="6" s="1"/>
  <c r="V54" i="6"/>
  <c r="W54" i="6"/>
  <c r="E54" i="2"/>
  <c r="I54" i="6" s="1"/>
  <c r="X53" i="2"/>
  <c r="AB53" i="6" s="1"/>
  <c r="W53" i="2"/>
  <c r="AA53" i="6" s="1"/>
  <c r="V53" i="2"/>
  <c r="U53" i="2"/>
  <c r="Y53" i="6" s="1"/>
  <c r="F53" i="2"/>
  <c r="J53" i="6" s="1"/>
  <c r="G53" i="2"/>
  <c r="K53" i="6" s="1"/>
  <c r="H53" i="2"/>
  <c r="L53" i="6" s="1"/>
  <c r="I53" i="2"/>
  <c r="M53" i="6" s="1"/>
  <c r="J53" i="2"/>
  <c r="N53" i="6" s="1"/>
  <c r="K53" i="2"/>
  <c r="O53" i="6" s="1"/>
  <c r="L53" i="2"/>
  <c r="P53" i="6" s="1"/>
  <c r="M53" i="2"/>
  <c r="Q53" i="6" s="1"/>
  <c r="N53" i="2"/>
  <c r="R53" i="6" s="1"/>
  <c r="O53" i="2"/>
  <c r="S53" i="6" s="1"/>
  <c r="Q53" i="2"/>
  <c r="U53" i="6" s="1"/>
  <c r="V53" i="6"/>
  <c r="W53" i="6"/>
  <c r="E53" i="2"/>
  <c r="I53" i="6" s="1"/>
  <c r="X52" i="2"/>
  <c r="AB52" i="6" s="1"/>
  <c r="W52" i="2"/>
  <c r="AA52" i="6" s="1"/>
  <c r="V52" i="2"/>
  <c r="Z52" i="6" s="1"/>
  <c r="U52" i="2"/>
  <c r="Y52" i="6" s="1"/>
  <c r="F52" i="2"/>
  <c r="J52" i="6" s="1"/>
  <c r="G52" i="2"/>
  <c r="K52" i="6" s="1"/>
  <c r="H52" i="2"/>
  <c r="L52" i="6" s="1"/>
  <c r="I52" i="2"/>
  <c r="M52" i="6" s="1"/>
  <c r="J52" i="2"/>
  <c r="N52" i="6" s="1"/>
  <c r="K52" i="2"/>
  <c r="O52" i="6" s="1"/>
  <c r="L52" i="2"/>
  <c r="M52" i="2"/>
  <c r="Q52" i="6" s="1"/>
  <c r="N52" i="2"/>
  <c r="R52" i="6" s="1"/>
  <c r="O52" i="2"/>
  <c r="S52" i="6" s="1"/>
  <c r="Q52" i="2"/>
  <c r="U52" i="6" s="1"/>
  <c r="V52" i="6"/>
  <c r="W52" i="6"/>
  <c r="E52" i="2"/>
  <c r="I52" i="6" s="1"/>
  <c r="X51" i="2"/>
  <c r="AB51" i="6" s="1"/>
  <c r="W51" i="2"/>
  <c r="AA51" i="6" s="1"/>
  <c r="V51" i="2"/>
  <c r="Z51" i="6" s="1"/>
  <c r="U51" i="2"/>
  <c r="Y51" i="6" s="1"/>
  <c r="F51" i="2"/>
  <c r="J51" i="6" s="1"/>
  <c r="G51" i="2"/>
  <c r="K51" i="6" s="1"/>
  <c r="H51" i="2"/>
  <c r="L51" i="6" s="1"/>
  <c r="I51" i="2"/>
  <c r="M51" i="6" s="1"/>
  <c r="J51" i="2"/>
  <c r="N51" i="6" s="1"/>
  <c r="K51" i="2"/>
  <c r="O51" i="6" s="1"/>
  <c r="L51" i="2"/>
  <c r="P51" i="6" s="1"/>
  <c r="M51" i="2"/>
  <c r="Q51" i="6" s="1"/>
  <c r="N51" i="2"/>
  <c r="R51" i="6" s="1"/>
  <c r="O51" i="2"/>
  <c r="S51" i="6" s="1"/>
  <c r="Q51" i="2"/>
  <c r="U51" i="6" s="1"/>
  <c r="V51" i="6"/>
  <c r="W51" i="6"/>
  <c r="E51" i="2"/>
  <c r="I51" i="6" s="1"/>
  <c r="X50" i="2"/>
  <c r="W50" i="2"/>
  <c r="V50" i="2"/>
  <c r="Z50" i="6" s="1"/>
  <c r="U50" i="2"/>
  <c r="F50" i="2"/>
  <c r="G50" i="2"/>
  <c r="K50" i="6" s="1"/>
  <c r="H50" i="2"/>
  <c r="L50" i="6" s="1"/>
  <c r="I50" i="2"/>
  <c r="M50" i="6" s="1"/>
  <c r="J50" i="2"/>
  <c r="N50" i="6" s="1"/>
  <c r="K50" i="2"/>
  <c r="L50" i="2"/>
  <c r="P50" i="6" s="1"/>
  <c r="M50" i="2"/>
  <c r="N50" i="2"/>
  <c r="O50" i="2"/>
  <c r="Q50" i="2"/>
  <c r="U50" i="6" s="1"/>
  <c r="W50" i="6"/>
  <c r="E50" i="2"/>
  <c r="I50" i="6" s="1"/>
  <c r="X49" i="2"/>
  <c r="AB49" i="6" s="1"/>
  <c r="W49" i="2"/>
  <c r="AA49" i="6" s="1"/>
  <c r="V49" i="2"/>
  <c r="U49" i="2"/>
  <c r="Y49" i="6" s="1"/>
  <c r="F49" i="2"/>
  <c r="J49" i="6" s="1"/>
  <c r="G49" i="2"/>
  <c r="K49" i="6" s="1"/>
  <c r="H49" i="2"/>
  <c r="L49" i="6" s="1"/>
  <c r="I49" i="2"/>
  <c r="M49" i="6" s="1"/>
  <c r="J49" i="2"/>
  <c r="K49" i="2"/>
  <c r="L49" i="2"/>
  <c r="P49" i="6" s="1"/>
  <c r="M49" i="2"/>
  <c r="Q49" i="6" s="1"/>
  <c r="N49" i="2"/>
  <c r="O49" i="2"/>
  <c r="S49" i="6" s="1"/>
  <c r="Q49" i="2"/>
  <c r="U49" i="6" s="1"/>
  <c r="V49" i="6"/>
  <c r="W49" i="6"/>
  <c r="E49" i="2"/>
  <c r="I49" i="6" s="1"/>
  <c r="X48" i="2"/>
  <c r="AB48" i="6" s="1"/>
  <c r="W48" i="2"/>
  <c r="AA48" i="6" s="1"/>
  <c r="V48" i="2"/>
  <c r="Z48" i="6" s="1"/>
  <c r="U48" i="2"/>
  <c r="F48" i="2"/>
  <c r="J48" i="6" s="1"/>
  <c r="G48" i="2"/>
  <c r="K48" i="6" s="1"/>
  <c r="H48" i="2"/>
  <c r="L48" i="6" s="1"/>
  <c r="I48" i="2"/>
  <c r="M48" i="6" s="1"/>
  <c r="J48" i="2"/>
  <c r="N48" i="6" s="1"/>
  <c r="K48" i="2"/>
  <c r="O48" i="6" s="1"/>
  <c r="L48" i="2"/>
  <c r="P48" i="6" s="1"/>
  <c r="M48" i="2"/>
  <c r="Q48" i="6" s="1"/>
  <c r="N48" i="2"/>
  <c r="R48" i="6" s="1"/>
  <c r="O48" i="2"/>
  <c r="S48" i="6" s="1"/>
  <c r="Q48" i="2"/>
  <c r="U48" i="6" s="1"/>
  <c r="V48" i="6"/>
  <c r="W48" i="6"/>
  <c r="E48" i="2"/>
  <c r="I48" i="6" s="1"/>
  <c r="X47" i="2"/>
  <c r="W47" i="2"/>
  <c r="V47" i="2"/>
  <c r="U47" i="2"/>
  <c r="Y47" i="6" s="1"/>
  <c r="F47" i="2"/>
  <c r="J47" i="6" s="1"/>
  <c r="G47" i="2"/>
  <c r="K47" i="6" s="1"/>
  <c r="H47" i="2"/>
  <c r="L47" i="6" s="1"/>
  <c r="I47" i="2"/>
  <c r="M47" i="6" s="1"/>
  <c r="J47" i="2"/>
  <c r="N47" i="6" s="1"/>
  <c r="K47" i="2"/>
  <c r="O47" i="6" s="1"/>
  <c r="L47" i="2"/>
  <c r="M47" i="2"/>
  <c r="N47" i="2"/>
  <c r="O47" i="2"/>
  <c r="S47" i="6" s="1"/>
  <c r="Q47" i="2"/>
  <c r="V47" i="6"/>
  <c r="W47" i="6"/>
  <c r="E47" i="2"/>
  <c r="I47" i="6" s="1"/>
  <c r="X46" i="2"/>
  <c r="AB46" i="6" s="1"/>
  <c r="W46" i="2"/>
  <c r="AA46" i="6" s="1"/>
  <c r="V46" i="2"/>
  <c r="Z46" i="6" s="1"/>
  <c r="U46" i="2"/>
  <c r="Y46" i="6" s="1"/>
  <c r="F46" i="2"/>
  <c r="J46" i="6" s="1"/>
  <c r="G46" i="2"/>
  <c r="K46" i="6" s="1"/>
  <c r="H46" i="2"/>
  <c r="L46" i="6" s="1"/>
  <c r="I46" i="2"/>
  <c r="M46" i="6" s="1"/>
  <c r="J46" i="2"/>
  <c r="N46" i="6" s="1"/>
  <c r="K46" i="2"/>
  <c r="O46" i="6" s="1"/>
  <c r="L46" i="2"/>
  <c r="P46" i="6" s="1"/>
  <c r="M46" i="2"/>
  <c r="Q46" i="6" s="1"/>
  <c r="N46" i="2"/>
  <c r="R46" i="6" s="1"/>
  <c r="O46" i="2"/>
  <c r="S46" i="6" s="1"/>
  <c r="Q46" i="2"/>
  <c r="U46" i="6" s="1"/>
  <c r="V46" i="6"/>
  <c r="W46" i="6"/>
  <c r="E46" i="2"/>
  <c r="I46" i="6" s="1"/>
  <c r="X45" i="2"/>
  <c r="AB45" i="6" s="1"/>
  <c r="W45" i="2"/>
  <c r="AA45" i="6" s="1"/>
  <c r="V45" i="2"/>
  <c r="Z45" i="6" s="1"/>
  <c r="U45" i="2"/>
  <c r="Y45" i="6" s="1"/>
  <c r="F45" i="2"/>
  <c r="J45" i="6" s="1"/>
  <c r="G45" i="2"/>
  <c r="K45" i="6" s="1"/>
  <c r="H45" i="2"/>
  <c r="L45" i="6" s="1"/>
  <c r="I45" i="2"/>
  <c r="M45" i="6" s="1"/>
  <c r="J45" i="2"/>
  <c r="N45" i="6" s="1"/>
  <c r="K45" i="2"/>
  <c r="O45" i="6" s="1"/>
  <c r="L45" i="2"/>
  <c r="P45" i="6" s="1"/>
  <c r="M45" i="2"/>
  <c r="Q45" i="6" s="1"/>
  <c r="N45" i="2"/>
  <c r="R45" i="6" s="1"/>
  <c r="O45" i="2"/>
  <c r="S45" i="6" s="1"/>
  <c r="Q45" i="2"/>
  <c r="U45" i="6" s="1"/>
  <c r="V45" i="6"/>
  <c r="W45" i="6"/>
  <c r="E45" i="2"/>
  <c r="I45" i="6" s="1"/>
  <c r="X44" i="2"/>
  <c r="AB44" i="6" s="1"/>
  <c r="W44" i="2"/>
  <c r="AA44" i="6" s="1"/>
  <c r="V44" i="2"/>
  <c r="U44" i="2"/>
  <c r="Y44" i="6" s="1"/>
  <c r="F44" i="2"/>
  <c r="J44" i="6" s="1"/>
  <c r="G44" i="2"/>
  <c r="K44" i="6" s="1"/>
  <c r="H44" i="2"/>
  <c r="L44" i="6" s="1"/>
  <c r="I44" i="2"/>
  <c r="M44" i="6" s="1"/>
  <c r="J44" i="2"/>
  <c r="N44" i="6" s="1"/>
  <c r="K44" i="2"/>
  <c r="O44" i="6" s="1"/>
  <c r="L44" i="2"/>
  <c r="M44" i="2"/>
  <c r="Q44" i="6" s="1"/>
  <c r="N44" i="2"/>
  <c r="R44" i="6" s="1"/>
  <c r="O44" i="2"/>
  <c r="S44" i="6" s="1"/>
  <c r="Q44" i="2"/>
  <c r="U44" i="6" s="1"/>
  <c r="V44" i="6"/>
  <c r="W44" i="6"/>
  <c r="E44" i="2"/>
  <c r="X43" i="2"/>
  <c r="AB43" i="6" s="1"/>
  <c r="W43" i="2"/>
  <c r="AA43" i="6" s="1"/>
  <c r="V43" i="2"/>
  <c r="Z43" i="6" s="1"/>
  <c r="U43" i="2"/>
  <c r="Y43" i="6" s="1"/>
  <c r="F43" i="2"/>
  <c r="J43" i="6" s="1"/>
  <c r="G43" i="2"/>
  <c r="K43" i="6" s="1"/>
  <c r="H43" i="2"/>
  <c r="L43" i="6" s="1"/>
  <c r="I43" i="2"/>
  <c r="M43" i="6" s="1"/>
  <c r="J43" i="2"/>
  <c r="N43" i="6" s="1"/>
  <c r="K43" i="2"/>
  <c r="O43" i="6" s="1"/>
  <c r="L43" i="2"/>
  <c r="P43" i="6" s="1"/>
  <c r="M43" i="2"/>
  <c r="Q43" i="6" s="1"/>
  <c r="N43" i="2"/>
  <c r="R43" i="6" s="1"/>
  <c r="O43" i="2"/>
  <c r="S43" i="6" s="1"/>
  <c r="Q43" i="2"/>
  <c r="U43" i="6" s="1"/>
  <c r="V43" i="6"/>
  <c r="W43" i="6"/>
  <c r="E43" i="2"/>
  <c r="I43" i="6" s="1"/>
  <c r="X42" i="2"/>
  <c r="AB42" i="6" s="1"/>
  <c r="W42" i="2"/>
  <c r="V42" i="2"/>
  <c r="Z42" i="6" s="1"/>
  <c r="U42" i="2"/>
  <c r="F42" i="2"/>
  <c r="J42" i="6" s="1"/>
  <c r="G42" i="2"/>
  <c r="H42" i="2"/>
  <c r="L42" i="6" s="1"/>
  <c r="I42" i="2"/>
  <c r="M42" i="6" s="1"/>
  <c r="J42" i="2"/>
  <c r="N42" i="6" s="1"/>
  <c r="K42" i="2"/>
  <c r="O42" i="6" s="1"/>
  <c r="L42" i="2"/>
  <c r="P42" i="6" s="1"/>
  <c r="M42" i="2"/>
  <c r="Q42" i="6" s="1"/>
  <c r="N42" i="2"/>
  <c r="R42" i="6" s="1"/>
  <c r="O42" i="2"/>
  <c r="Q42" i="2"/>
  <c r="U42" i="6" s="1"/>
  <c r="W42" i="6"/>
  <c r="E42" i="2"/>
  <c r="X41" i="2"/>
  <c r="W41" i="2"/>
  <c r="AA41" i="6" s="1"/>
  <c r="V41" i="2"/>
  <c r="Z41" i="6" s="1"/>
  <c r="U41" i="2"/>
  <c r="F41" i="2"/>
  <c r="J41" i="6" s="1"/>
  <c r="G41" i="2"/>
  <c r="H41" i="2"/>
  <c r="L41" i="6" s="1"/>
  <c r="I41" i="2"/>
  <c r="M41" i="6" s="1"/>
  <c r="J41" i="2"/>
  <c r="N41" i="6" s="1"/>
  <c r="K41" i="2"/>
  <c r="L41" i="2"/>
  <c r="P41" i="6" s="1"/>
  <c r="M41" i="2"/>
  <c r="Q41" i="6" s="1"/>
  <c r="N41" i="2"/>
  <c r="R41" i="6" s="1"/>
  <c r="O41" i="2"/>
  <c r="S41" i="6" s="1"/>
  <c r="Q41" i="2"/>
  <c r="U41" i="6" s="1"/>
  <c r="V41" i="6"/>
  <c r="E41" i="2"/>
  <c r="AB40" i="6"/>
  <c r="AA40" i="6"/>
  <c r="V40" i="2"/>
  <c r="U40" i="2"/>
  <c r="Y40" i="6" s="1"/>
  <c r="F40" i="2"/>
  <c r="J40" i="6" s="1"/>
  <c r="G40" i="2"/>
  <c r="H40" i="2"/>
  <c r="I40" i="2"/>
  <c r="J40" i="2"/>
  <c r="K40" i="2"/>
  <c r="O40" i="6" s="1"/>
  <c r="L40" i="2"/>
  <c r="M40" i="2"/>
  <c r="Q40" i="6" s="1"/>
  <c r="N40" i="2"/>
  <c r="R40" i="6" s="1"/>
  <c r="O40" i="2"/>
  <c r="S40" i="6" s="1"/>
  <c r="Q40" i="2"/>
  <c r="U40" i="6" s="1"/>
  <c r="I40" i="6"/>
  <c r="X39" i="2"/>
  <c r="AB39" i="6" s="1"/>
  <c r="W39" i="2"/>
  <c r="V39" i="2"/>
  <c r="U39" i="2"/>
  <c r="Y39" i="6" s="1"/>
  <c r="F39" i="2"/>
  <c r="J39" i="6" s="1"/>
  <c r="G39" i="2"/>
  <c r="K39" i="6" s="1"/>
  <c r="H39" i="2"/>
  <c r="L39" i="6" s="1"/>
  <c r="I39" i="2"/>
  <c r="M39" i="6" s="1"/>
  <c r="J39" i="2"/>
  <c r="N39" i="6" s="1"/>
  <c r="K39" i="2"/>
  <c r="O39" i="6" s="1"/>
  <c r="L39" i="2"/>
  <c r="P39" i="6" s="1"/>
  <c r="M39" i="2"/>
  <c r="N39" i="2"/>
  <c r="R39" i="6" s="1"/>
  <c r="O39" i="2"/>
  <c r="S39" i="6" s="1"/>
  <c r="Q39" i="2"/>
  <c r="U39" i="6" s="1"/>
  <c r="W39" i="6"/>
  <c r="E39" i="2"/>
  <c r="I39" i="6" s="1"/>
  <c r="X38" i="2"/>
  <c r="AB38" i="6" s="1"/>
  <c r="W38" i="2"/>
  <c r="AA38" i="6" s="1"/>
  <c r="V38" i="2"/>
  <c r="Z38" i="6" s="1"/>
  <c r="U38" i="2"/>
  <c r="Y38" i="6" s="1"/>
  <c r="F38" i="2"/>
  <c r="J38" i="6" s="1"/>
  <c r="G38" i="2"/>
  <c r="K38" i="6" s="1"/>
  <c r="H38" i="2"/>
  <c r="L38" i="6" s="1"/>
  <c r="I38" i="2"/>
  <c r="M38" i="6" s="1"/>
  <c r="J38" i="2"/>
  <c r="N38" i="6" s="1"/>
  <c r="K38" i="2"/>
  <c r="O38" i="6" s="1"/>
  <c r="L38" i="2"/>
  <c r="P38" i="6" s="1"/>
  <c r="M38" i="2"/>
  <c r="Q38" i="6" s="1"/>
  <c r="N38" i="2"/>
  <c r="R38" i="6" s="1"/>
  <c r="O38" i="2"/>
  <c r="S38" i="6" s="1"/>
  <c r="Q38" i="2"/>
  <c r="U38" i="6" s="1"/>
  <c r="V38" i="6"/>
  <c r="W38" i="6"/>
  <c r="E38" i="2"/>
  <c r="I38" i="6" s="1"/>
  <c r="X37" i="2"/>
  <c r="AB37" i="6" s="1"/>
  <c r="W37" i="2"/>
  <c r="AA37" i="6" s="1"/>
  <c r="V37" i="2"/>
  <c r="Z37" i="6" s="1"/>
  <c r="U37" i="2"/>
  <c r="Y37" i="6" s="1"/>
  <c r="F37" i="2"/>
  <c r="J37" i="6" s="1"/>
  <c r="G37" i="2"/>
  <c r="K37" i="6" s="1"/>
  <c r="H37" i="2"/>
  <c r="L37" i="6" s="1"/>
  <c r="I37" i="2"/>
  <c r="J37" i="2"/>
  <c r="N37" i="6" s="1"/>
  <c r="K37" i="2"/>
  <c r="O37" i="6" s="1"/>
  <c r="L37" i="2"/>
  <c r="P37" i="6" s="1"/>
  <c r="M37" i="2"/>
  <c r="Q37" i="6" s="1"/>
  <c r="N37" i="2"/>
  <c r="O37" i="2"/>
  <c r="S37" i="6" s="1"/>
  <c r="Q37" i="2"/>
  <c r="U37" i="6" s="1"/>
  <c r="V37" i="6"/>
  <c r="W37" i="6"/>
  <c r="E37" i="2"/>
  <c r="I37" i="6" s="1"/>
  <c r="X36" i="2"/>
  <c r="AB36" i="6" s="1"/>
  <c r="W36" i="2"/>
  <c r="AA36" i="6" s="1"/>
  <c r="V36" i="2"/>
  <c r="Z36" i="6" s="1"/>
  <c r="U36" i="2"/>
  <c r="Y36" i="6" s="1"/>
  <c r="F36" i="2"/>
  <c r="J36" i="6" s="1"/>
  <c r="G36" i="2"/>
  <c r="K36" i="6" s="1"/>
  <c r="H36" i="2"/>
  <c r="L36" i="6" s="1"/>
  <c r="I36" i="2"/>
  <c r="M36" i="6" s="1"/>
  <c r="J36" i="2"/>
  <c r="N36" i="6" s="1"/>
  <c r="K36" i="2"/>
  <c r="O36" i="6" s="1"/>
  <c r="L36" i="2"/>
  <c r="P36" i="6" s="1"/>
  <c r="M36" i="2"/>
  <c r="Q36" i="6" s="1"/>
  <c r="N36" i="2"/>
  <c r="R36" i="6" s="1"/>
  <c r="O36" i="2"/>
  <c r="S36" i="6" s="1"/>
  <c r="Q36" i="2"/>
  <c r="U36" i="6" s="1"/>
  <c r="V36" i="6"/>
  <c r="W36" i="6"/>
  <c r="E36" i="2"/>
  <c r="I36" i="6" s="1"/>
  <c r="X35" i="2"/>
  <c r="AB35" i="6" s="1"/>
  <c r="W35" i="2"/>
  <c r="AA35" i="6" s="1"/>
  <c r="V35" i="2"/>
  <c r="Z35" i="6" s="1"/>
  <c r="U35" i="2"/>
  <c r="Y35" i="6" s="1"/>
  <c r="F35" i="2"/>
  <c r="J35" i="6" s="1"/>
  <c r="G35" i="2"/>
  <c r="K35" i="6" s="1"/>
  <c r="H35" i="2"/>
  <c r="L35" i="6" s="1"/>
  <c r="I35" i="2"/>
  <c r="M35" i="6" s="1"/>
  <c r="J35" i="2"/>
  <c r="N35" i="6" s="1"/>
  <c r="K35" i="2"/>
  <c r="O35" i="6" s="1"/>
  <c r="L35" i="2"/>
  <c r="P35" i="6" s="1"/>
  <c r="M35" i="2"/>
  <c r="Q35" i="6" s="1"/>
  <c r="N35" i="2"/>
  <c r="R35" i="6" s="1"/>
  <c r="O35" i="2"/>
  <c r="S35" i="6" s="1"/>
  <c r="Q35" i="2"/>
  <c r="U35" i="6" s="1"/>
  <c r="V35" i="6"/>
  <c r="W35" i="6"/>
  <c r="E35" i="2"/>
  <c r="X34" i="2"/>
  <c r="W34" i="2"/>
  <c r="AA34" i="6" s="1"/>
  <c r="V34" i="2"/>
  <c r="U34" i="2"/>
  <c r="Y34" i="6" s="1"/>
  <c r="F34" i="2"/>
  <c r="G34" i="2"/>
  <c r="H34" i="2"/>
  <c r="I34" i="2"/>
  <c r="M34" i="6" s="1"/>
  <c r="J34" i="2"/>
  <c r="K34" i="2"/>
  <c r="O34" i="6" s="1"/>
  <c r="L34" i="2"/>
  <c r="M34" i="2"/>
  <c r="N34" i="2"/>
  <c r="O34" i="2"/>
  <c r="Q34" i="2"/>
  <c r="E34" i="2"/>
  <c r="X33" i="2"/>
  <c r="AB33" i="6" s="1"/>
  <c r="W33" i="2"/>
  <c r="AA33" i="6" s="1"/>
  <c r="V33" i="2"/>
  <c r="Z33" i="6" s="1"/>
  <c r="U33" i="2"/>
  <c r="Y33" i="6" s="1"/>
  <c r="F33" i="2"/>
  <c r="J33" i="6" s="1"/>
  <c r="G33" i="2"/>
  <c r="K33" i="6" s="1"/>
  <c r="H33" i="2"/>
  <c r="L33" i="6" s="1"/>
  <c r="I33" i="2"/>
  <c r="M33" i="6" s="1"/>
  <c r="J33" i="2"/>
  <c r="N33" i="6" s="1"/>
  <c r="K33" i="2"/>
  <c r="O33" i="6" s="1"/>
  <c r="L33" i="2"/>
  <c r="P33" i="6" s="1"/>
  <c r="M33" i="2"/>
  <c r="Q33" i="6" s="1"/>
  <c r="N33" i="2"/>
  <c r="R33" i="6" s="1"/>
  <c r="O33" i="2"/>
  <c r="S33" i="6" s="1"/>
  <c r="Q33" i="2"/>
  <c r="U33" i="6" s="1"/>
  <c r="V33" i="6"/>
  <c r="W33" i="6"/>
  <c r="E33" i="2"/>
  <c r="I33" i="6" s="1"/>
  <c r="X32" i="2"/>
  <c r="AB32" i="6" s="1"/>
  <c r="W32" i="2"/>
  <c r="AA32" i="6" s="1"/>
  <c r="V32" i="2"/>
  <c r="U32" i="2"/>
  <c r="Y32" i="6" s="1"/>
  <c r="F32" i="2"/>
  <c r="J32" i="6" s="1"/>
  <c r="G32" i="2"/>
  <c r="H32" i="2"/>
  <c r="I32" i="2"/>
  <c r="M32" i="6" s="1"/>
  <c r="J32" i="2"/>
  <c r="K32" i="2"/>
  <c r="O32" i="6" s="1"/>
  <c r="L32" i="2"/>
  <c r="M32" i="2"/>
  <c r="Q32" i="6" s="1"/>
  <c r="N32" i="2"/>
  <c r="R32" i="6" s="1"/>
  <c r="O32" i="2"/>
  <c r="Q32" i="2"/>
  <c r="U32" i="6" s="1"/>
  <c r="V32" i="6"/>
  <c r="E32" i="2"/>
  <c r="I32" i="6" s="1"/>
  <c r="X31" i="2"/>
  <c r="AB31" i="6" s="1"/>
  <c r="W31" i="2"/>
  <c r="AA31" i="6" s="1"/>
  <c r="V31" i="2"/>
  <c r="Z31" i="6" s="1"/>
  <c r="U31" i="2"/>
  <c r="Y31" i="6" s="1"/>
  <c r="F31" i="2"/>
  <c r="J31" i="6" s="1"/>
  <c r="G31" i="2"/>
  <c r="K31" i="6" s="1"/>
  <c r="H31" i="2"/>
  <c r="L31" i="6" s="1"/>
  <c r="I31" i="2"/>
  <c r="M31" i="6" s="1"/>
  <c r="J31" i="2"/>
  <c r="N31" i="6" s="1"/>
  <c r="K31" i="2"/>
  <c r="O31" i="6" s="1"/>
  <c r="L31" i="2"/>
  <c r="P31" i="6" s="1"/>
  <c r="M31" i="2"/>
  <c r="Q31" i="6" s="1"/>
  <c r="N31" i="2"/>
  <c r="R31" i="6" s="1"/>
  <c r="O31" i="2"/>
  <c r="S31" i="6" s="1"/>
  <c r="Q31" i="2"/>
  <c r="U31" i="6" s="1"/>
  <c r="V31" i="6"/>
  <c r="W31" i="6"/>
  <c r="E31" i="2"/>
  <c r="I31" i="6" s="1"/>
  <c r="X30" i="2"/>
  <c r="AB30" i="6" s="1"/>
  <c r="W30" i="2"/>
  <c r="AA30" i="6" s="1"/>
  <c r="V30" i="2"/>
  <c r="Z30" i="6" s="1"/>
  <c r="U30" i="2"/>
  <c r="Y30" i="6" s="1"/>
  <c r="F30" i="2"/>
  <c r="J30" i="6" s="1"/>
  <c r="G30" i="2"/>
  <c r="K30" i="6" s="1"/>
  <c r="H30" i="2"/>
  <c r="L30" i="6" s="1"/>
  <c r="I30" i="2"/>
  <c r="M30" i="6" s="1"/>
  <c r="J30" i="2"/>
  <c r="N30" i="6" s="1"/>
  <c r="K30" i="2"/>
  <c r="O30" i="6" s="1"/>
  <c r="L30" i="2"/>
  <c r="P30" i="6" s="1"/>
  <c r="M30" i="2"/>
  <c r="Q30" i="6" s="1"/>
  <c r="N30" i="2"/>
  <c r="R30" i="6" s="1"/>
  <c r="O30" i="2"/>
  <c r="S30" i="6" s="1"/>
  <c r="Q30" i="2"/>
  <c r="U30" i="6" s="1"/>
  <c r="V30" i="6"/>
  <c r="W30" i="6"/>
  <c r="E30" i="2"/>
  <c r="I30" i="6" s="1"/>
  <c r="X29" i="2"/>
  <c r="W29" i="2"/>
  <c r="AA29" i="6" s="1"/>
  <c r="V29" i="2"/>
  <c r="Z29" i="6" s="1"/>
  <c r="U29" i="2"/>
  <c r="F29" i="2"/>
  <c r="G29" i="2"/>
  <c r="H29" i="2"/>
  <c r="L29" i="6" s="1"/>
  <c r="I29" i="2"/>
  <c r="M29" i="6" s="1"/>
  <c r="J29" i="2"/>
  <c r="N29" i="6" s="1"/>
  <c r="K29" i="2"/>
  <c r="O29" i="6" s="1"/>
  <c r="L29" i="2"/>
  <c r="P29" i="6" s="1"/>
  <c r="M29" i="2"/>
  <c r="Q29" i="6" s="1"/>
  <c r="N29" i="2"/>
  <c r="R29" i="6" s="1"/>
  <c r="O29" i="2"/>
  <c r="S29" i="6" s="1"/>
  <c r="Q29" i="2"/>
  <c r="U29" i="6" s="1"/>
  <c r="V29" i="6"/>
  <c r="W29" i="6"/>
  <c r="E29" i="2"/>
  <c r="I29" i="6" s="1"/>
  <c r="X28" i="2"/>
  <c r="AB28" i="6" s="1"/>
  <c r="W28" i="2"/>
  <c r="AA28" i="6" s="1"/>
  <c r="V28" i="2"/>
  <c r="Z28" i="6" s="1"/>
  <c r="U28" i="2"/>
  <c r="Y28" i="6" s="1"/>
  <c r="F28" i="2"/>
  <c r="J28" i="6" s="1"/>
  <c r="G28" i="2"/>
  <c r="K28" i="6" s="1"/>
  <c r="H28" i="2"/>
  <c r="L28" i="6" s="1"/>
  <c r="I28" i="2"/>
  <c r="M28" i="6" s="1"/>
  <c r="J28" i="2"/>
  <c r="N28" i="6" s="1"/>
  <c r="K28" i="2"/>
  <c r="O28" i="6" s="1"/>
  <c r="L28" i="2"/>
  <c r="P28" i="6" s="1"/>
  <c r="M28" i="2"/>
  <c r="Q28" i="6" s="1"/>
  <c r="N28" i="2"/>
  <c r="R28" i="6" s="1"/>
  <c r="O28" i="2"/>
  <c r="S28" i="6" s="1"/>
  <c r="Q28" i="2"/>
  <c r="U28" i="6" s="1"/>
  <c r="V28" i="6"/>
  <c r="W28" i="6"/>
  <c r="E28" i="2"/>
  <c r="I28" i="6" s="1"/>
  <c r="X27" i="2"/>
  <c r="AB27" i="6" s="1"/>
  <c r="W27" i="2"/>
  <c r="AA27" i="6" s="1"/>
  <c r="V27" i="2"/>
  <c r="Z27" i="6" s="1"/>
  <c r="U27" i="2"/>
  <c r="Y27" i="6" s="1"/>
  <c r="F27" i="2"/>
  <c r="J27" i="6" s="1"/>
  <c r="G27" i="2"/>
  <c r="K27" i="6" s="1"/>
  <c r="H27" i="2"/>
  <c r="L27" i="6" s="1"/>
  <c r="I27" i="2"/>
  <c r="J27" i="2"/>
  <c r="N27" i="6" s="1"/>
  <c r="K27" i="2"/>
  <c r="O27" i="6" s="1"/>
  <c r="L27" i="2"/>
  <c r="P27" i="6" s="1"/>
  <c r="M27" i="2"/>
  <c r="Q27" i="6" s="1"/>
  <c r="N27" i="2"/>
  <c r="R27" i="6" s="1"/>
  <c r="O27" i="2"/>
  <c r="S27" i="6" s="1"/>
  <c r="Q27" i="2"/>
  <c r="U27" i="6" s="1"/>
  <c r="V27" i="6"/>
  <c r="W27" i="6"/>
  <c r="E27" i="2"/>
  <c r="I27" i="6" s="1"/>
  <c r="X26" i="2"/>
  <c r="W26" i="2"/>
  <c r="V26" i="2"/>
  <c r="Z26" i="6" s="1"/>
  <c r="U26" i="2"/>
  <c r="Y26" i="6" s="1"/>
  <c r="F26" i="2"/>
  <c r="J26" i="6" s="1"/>
  <c r="G26" i="2"/>
  <c r="K26" i="6" s="1"/>
  <c r="H26" i="2"/>
  <c r="L26" i="6" s="1"/>
  <c r="I26" i="2"/>
  <c r="M26" i="6" s="1"/>
  <c r="J26" i="2"/>
  <c r="N26" i="6" s="1"/>
  <c r="K26" i="2"/>
  <c r="O26" i="6" s="1"/>
  <c r="L26" i="2"/>
  <c r="P26" i="6" s="1"/>
  <c r="M26" i="2"/>
  <c r="N26" i="2"/>
  <c r="O26" i="2"/>
  <c r="S26" i="6" s="1"/>
  <c r="Q26" i="2"/>
  <c r="U26" i="6" s="1"/>
  <c r="V26" i="6"/>
  <c r="W26" i="6"/>
  <c r="E26" i="2"/>
  <c r="X25" i="2"/>
  <c r="AB25" i="6" s="1"/>
  <c r="W25" i="2"/>
  <c r="AA25" i="6" s="1"/>
  <c r="V25" i="2"/>
  <c r="Z25" i="6" s="1"/>
  <c r="U25" i="2"/>
  <c r="Y25" i="6" s="1"/>
  <c r="F25" i="2"/>
  <c r="J25" i="6" s="1"/>
  <c r="G25" i="2"/>
  <c r="K25" i="6" s="1"/>
  <c r="H25" i="2"/>
  <c r="L25" i="6" s="1"/>
  <c r="I25" i="2"/>
  <c r="M25" i="6" s="1"/>
  <c r="J25" i="2"/>
  <c r="N25" i="6" s="1"/>
  <c r="K25" i="2"/>
  <c r="O25" i="6" s="1"/>
  <c r="L25" i="2"/>
  <c r="P25" i="6" s="1"/>
  <c r="M25" i="2"/>
  <c r="Q25" i="6" s="1"/>
  <c r="N25" i="2"/>
  <c r="R25" i="6" s="1"/>
  <c r="O25" i="2"/>
  <c r="S25" i="6" s="1"/>
  <c r="Q25" i="2"/>
  <c r="U25" i="6" s="1"/>
  <c r="V25" i="6"/>
  <c r="W25" i="6"/>
  <c r="E25" i="2"/>
  <c r="I25" i="6" s="1"/>
  <c r="X24" i="2"/>
  <c r="AB24" i="6" s="1"/>
  <c r="W24" i="2"/>
  <c r="AA24" i="6" s="1"/>
  <c r="V24" i="2"/>
  <c r="U24" i="2"/>
  <c r="Y24" i="6" s="1"/>
  <c r="F24" i="2"/>
  <c r="J24" i="6" s="1"/>
  <c r="G24" i="2"/>
  <c r="K24" i="6" s="1"/>
  <c r="H24" i="2"/>
  <c r="I24" i="2"/>
  <c r="M24" i="6" s="1"/>
  <c r="J24" i="2"/>
  <c r="K24" i="2"/>
  <c r="O24" i="6" s="1"/>
  <c r="L24" i="2"/>
  <c r="M24" i="2"/>
  <c r="Q24" i="6" s="1"/>
  <c r="N24" i="2"/>
  <c r="R24" i="6" s="1"/>
  <c r="O24" i="2"/>
  <c r="S24" i="6" s="1"/>
  <c r="Q24" i="2"/>
  <c r="U24" i="6" s="1"/>
  <c r="V24" i="6"/>
  <c r="W24" i="6"/>
  <c r="E24" i="2"/>
  <c r="I24" i="6" s="1"/>
  <c r="X23" i="2"/>
  <c r="AB23" i="6" s="1"/>
  <c r="W23" i="2"/>
  <c r="V23" i="2"/>
  <c r="U23" i="2"/>
  <c r="Y23" i="6" s="1"/>
  <c r="F23" i="2"/>
  <c r="J23" i="6" s="1"/>
  <c r="G23" i="2"/>
  <c r="H23" i="2"/>
  <c r="L23" i="6" s="1"/>
  <c r="I23" i="2"/>
  <c r="M23" i="6" s="1"/>
  <c r="J23" i="2"/>
  <c r="N23" i="6" s="1"/>
  <c r="K23" i="2"/>
  <c r="O23" i="6" s="1"/>
  <c r="L23" i="2"/>
  <c r="M23" i="2"/>
  <c r="N23" i="2"/>
  <c r="R23" i="6" s="1"/>
  <c r="O23" i="2"/>
  <c r="Q23" i="2"/>
  <c r="U23" i="6" s="1"/>
  <c r="V23" i="6"/>
  <c r="W23" i="6"/>
  <c r="E23" i="2"/>
  <c r="X22" i="2"/>
  <c r="AB22" i="6" s="1"/>
  <c r="W22" i="2"/>
  <c r="AA22" i="6" s="1"/>
  <c r="V22" i="2"/>
  <c r="Z22" i="6" s="1"/>
  <c r="U22" i="2"/>
  <c r="Y22" i="6" s="1"/>
  <c r="F22" i="2"/>
  <c r="J22" i="6" s="1"/>
  <c r="G22" i="2"/>
  <c r="K22" i="6" s="1"/>
  <c r="H22" i="2"/>
  <c r="L22" i="6" s="1"/>
  <c r="I22" i="2"/>
  <c r="M22" i="6" s="1"/>
  <c r="J22" i="2"/>
  <c r="N22" i="6" s="1"/>
  <c r="K22" i="2"/>
  <c r="O22" i="6" s="1"/>
  <c r="L22" i="2"/>
  <c r="M22" i="2"/>
  <c r="Q22" i="6" s="1"/>
  <c r="N22" i="2"/>
  <c r="R22" i="6" s="1"/>
  <c r="O22" i="2"/>
  <c r="S22" i="6" s="1"/>
  <c r="Q22" i="2"/>
  <c r="U22" i="6" s="1"/>
  <c r="V22" i="6"/>
  <c r="E22" i="2"/>
  <c r="I22" i="6" s="1"/>
  <c r="X21" i="2"/>
  <c r="AB21" i="6" s="1"/>
  <c r="W21" i="2"/>
  <c r="AA21" i="6" s="1"/>
  <c r="V21" i="2"/>
  <c r="Z21" i="6" s="1"/>
  <c r="U21" i="2"/>
  <c r="F21" i="2"/>
  <c r="J21" i="6" s="1"/>
  <c r="G21" i="2"/>
  <c r="K21" i="6" s="1"/>
  <c r="H21" i="2"/>
  <c r="L21" i="6" s="1"/>
  <c r="I21" i="2"/>
  <c r="J21" i="2"/>
  <c r="N21" i="6" s="1"/>
  <c r="K21" i="2"/>
  <c r="L21" i="2"/>
  <c r="P21" i="6" s="1"/>
  <c r="M21" i="2"/>
  <c r="Q21" i="6" s="1"/>
  <c r="N21" i="2"/>
  <c r="R21" i="6" s="1"/>
  <c r="O21" i="2"/>
  <c r="S21" i="6" s="1"/>
  <c r="Q21" i="2"/>
  <c r="U21" i="6" s="1"/>
  <c r="V21" i="6"/>
  <c r="W21" i="6"/>
  <c r="E21" i="2"/>
  <c r="I21" i="6" s="1"/>
  <c r="X20" i="2"/>
  <c r="AB20" i="6" s="1"/>
  <c r="W20" i="2"/>
  <c r="AA20" i="6" s="1"/>
  <c r="V20" i="2"/>
  <c r="Z20" i="6" s="1"/>
  <c r="U20" i="2"/>
  <c r="Y20" i="6" s="1"/>
  <c r="F20" i="2"/>
  <c r="J20" i="6" s="1"/>
  <c r="G20" i="2"/>
  <c r="K20" i="6" s="1"/>
  <c r="H20" i="2"/>
  <c r="L20" i="6" s="1"/>
  <c r="I20" i="2"/>
  <c r="M20" i="6" s="1"/>
  <c r="J20" i="2"/>
  <c r="N20" i="6" s="1"/>
  <c r="K20" i="2"/>
  <c r="O20" i="6" s="1"/>
  <c r="L20" i="2"/>
  <c r="P20" i="6" s="1"/>
  <c r="M20" i="2"/>
  <c r="Q20" i="6" s="1"/>
  <c r="N20" i="2"/>
  <c r="R20" i="6" s="1"/>
  <c r="O20" i="2"/>
  <c r="S20" i="6" s="1"/>
  <c r="Q20" i="2"/>
  <c r="U20" i="6" s="1"/>
  <c r="V20" i="6"/>
  <c r="W20" i="6"/>
  <c r="E20" i="2"/>
  <c r="I20" i="6" s="1"/>
  <c r="X19" i="2"/>
  <c r="AB19" i="6" s="1"/>
  <c r="W19" i="2"/>
  <c r="AA19" i="6" s="1"/>
  <c r="V19" i="2"/>
  <c r="Z19" i="6" s="1"/>
  <c r="U19" i="2"/>
  <c r="Y19" i="6" s="1"/>
  <c r="F19" i="2"/>
  <c r="J19" i="6" s="1"/>
  <c r="G19" i="2"/>
  <c r="K19" i="6" s="1"/>
  <c r="H19" i="2"/>
  <c r="L19" i="6" s="1"/>
  <c r="I19" i="2"/>
  <c r="M19" i="6" s="1"/>
  <c r="J19" i="2"/>
  <c r="N19" i="6" s="1"/>
  <c r="K19" i="2"/>
  <c r="O19" i="6" s="1"/>
  <c r="L19" i="2"/>
  <c r="P19" i="6" s="1"/>
  <c r="M19" i="2"/>
  <c r="Q19" i="6" s="1"/>
  <c r="N19" i="2"/>
  <c r="R19" i="6" s="1"/>
  <c r="O19" i="2"/>
  <c r="S19" i="6" s="1"/>
  <c r="Q19" i="2"/>
  <c r="U19" i="6" s="1"/>
  <c r="V19" i="6"/>
  <c r="W19" i="6"/>
  <c r="E19" i="2"/>
  <c r="I19" i="6" s="1"/>
  <c r="X18" i="2"/>
  <c r="AB18" i="6" s="1"/>
  <c r="W18" i="2"/>
  <c r="AA18" i="6" s="1"/>
  <c r="V18" i="2"/>
  <c r="U18" i="2"/>
  <c r="Y18" i="6" s="1"/>
  <c r="F18" i="2"/>
  <c r="G18" i="2"/>
  <c r="H18" i="2"/>
  <c r="I18" i="2"/>
  <c r="M18" i="6" s="1"/>
  <c r="J18" i="2"/>
  <c r="N18" i="6" s="1"/>
  <c r="K18" i="2"/>
  <c r="O18" i="6" s="1"/>
  <c r="L18" i="2"/>
  <c r="P18" i="6" s="1"/>
  <c r="M18" i="2"/>
  <c r="Q18" i="6" s="1"/>
  <c r="N18" i="2"/>
  <c r="O18" i="2"/>
  <c r="Q18" i="2"/>
  <c r="V18" i="6"/>
  <c r="E18" i="2"/>
  <c r="X17" i="2"/>
  <c r="AB17" i="6" s="1"/>
  <c r="W17" i="2"/>
  <c r="AA17" i="6" s="1"/>
  <c r="V17" i="2"/>
  <c r="Z17" i="6" s="1"/>
  <c r="U17" i="2"/>
  <c r="Y17" i="6" s="1"/>
  <c r="F17" i="2"/>
  <c r="J17" i="6" s="1"/>
  <c r="G17" i="2"/>
  <c r="K17" i="6" s="1"/>
  <c r="H17" i="2"/>
  <c r="L17" i="6" s="1"/>
  <c r="I17" i="2"/>
  <c r="M17" i="6" s="1"/>
  <c r="J17" i="2"/>
  <c r="N17" i="6" s="1"/>
  <c r="K17" i="2"/>
  <c r="O17" i="6" s="1"/>
  <c r="L17" i="2"/>
  <c r="P17" i="6" s="1"/>
  <c r="M17" i="2"/>
  <c r="Q17" i="6" s="1"/>
  <c r="N17" i="2"/>
  <c r="R17" i="6" s="1"/>
  <c r="O17" i="2"/>
  <c r="S17" i="6" s="1"/>
  <c r="Q17" i="2"/>
  <c r="U17" i="6" s="1"/>
  <c r="V17" i="6"/>
  <c r="W17" i="6"/>
  <c r="E17" i="2"/>
  <c r="I17" i="6" s="1"/>
  <c r="X16" i="2"/>
  <c r="AB16" i="6" s="1"/>
  <c r="W16" i="2"/>
  <c r="AA16" i="6" s="1"/>
  <c r="V16" i="2"/>
  <c r="U16" i="2"/>
  <c r="Y16" i="6" s="1"/>
  <c r="F16" i="2"/>
  <c r="J16" i="6" s="1"/>
  <c r="G16" i="2"/>
  <c r="K16" i="6" s="1"/>
  <c r="H16" i="2"/>
  <c r="I16" i="2"/>
  <c r="M16" i="6" s="1"/>
  <c r="J16" i="2"/>
  <c r="K16" i="2"/>
  <c r="O16" i="6" s="1"/>
  <c r="L16" i="2"/>
  <c r="M16" i="2"/>
  <c r="Q16" i="6" s="1"/>
  <c r="N16" i="2"/>
  <c r="R16" i="6" s="1"/>
  <c r="O16" i="2"/>
  <c r="Q16" i="2"/>
  <c r="V16" i="6"/>
  <c r="W16" i="6"/>
  <c r="E16" i="2"/>
  <c r="I16" i="6" s="1"/>
  <c r="X15" i="2"/>
  <c r="AB15" i="6" s="1"/>
  <c r="W15" i="2"/>
  <c r="V15" i="2"/>
  <c r="U15" i="2"/>
  <c r="Y15" i="6" s="1"/>
  <c r="F15" i="2"/>
  <c r="J15" i="6" s="1"/>
  <c r="G15" i="2"/>
  <c r="K15" i="6" s="1"/>
  <c r="H15" i="2"/>
  <c r="L15" i="6" s="1"/>
  <c r="I15" i="2"/>
  <c r="M15" i="6" s="1"/>
  <c r="J15" i="2"/>
  <c r="N15" i="6" s="1"/>
  <c r="K15" i="2"/>
  <c r="O15" i="6" s="1"/>
  <c r="L15" i="2"/>
  <c r="P15" i="6" s="1"/>
  <c r="M15" i="2"/>
  <c r="N15" i="2"/>
  <c r="R15" i="6" s="1"/>
  <c r="O15" i="2"/>
  <c r="Q15" i="2"/>
  <c r="U15" i="6" s="1"/>
  <c r="V15" i="6"/>
  <c r="W15" i="6"/>
  <c r="E15" i="2"/>
  <c r="I15" i="6" s="1"/>
  <c r="X14" i="2"/>
  <c r="AB14" i="6" s="1"/>
  <c r="W14" i="2"/>
  <c r="AA14" i="6" s="1"/>
  <c r="V14" i="2"/>
  <c r="U14" i="2"/>
  <c r="Y14" i="6" s="1"/>
  <c r="F14" i="2"/>
  <c r="J14" i="6" s="1"/>
  <c r="G14" i="2"/>
  <c r="K14" i="6" s="1"/>
  <c r="H14" i="2"/>
  <c r="L14" i="6" s="1"/>
  <c r="I14" i="2"/>
  <c r="M14" i="6" s="1"/>
  <c r="J14" i="2"/>
  <c r="K14" i="2"/>
  <c r="O14" i="6" s="1"/>
  <c r="L14" i="2"/>
  <c r="M14" i="2"/>
  <c r="Q14" i="6" s="1"/>
  <c r="N14" i="2"/>
  <c r="R14" i="6" s="1"/>
  <c r="O14" i="2"/>
  <c r="S14" i="6" s="1"/>
  <c r="Q14" i="2"/>
  <c r="U14" i="6" s="1"/>
  <c r="V14" i="6"/>
  <c r="E14" i="2"/>
  <c r="I14" i="6" s="1"/>
  <c r="X13" i="2"/>
  <c r="AB13" i="6" s="1"/>
  <c r="W13" i="2"/>
  <c r="AA13" i="6" s="1"/>
  <c r="V13" i="2"/>
  <c r="Z13" i="6" s="1"/>
  <c r="U13" i="2"/>
  <c r="Y13" i="6" s="1"/>
  <c r="F13" i="2"/>
  <c r="J13" i="6" s="1"/>
  <c r="G13" i="2"/>
  <c r="K13" i="6" s="1"/>
  <c r="H13" i="2"/>
  <c r="L13" i="6" s="1"/>
  <c r="I13" i="2"/>
  <c r="M13" i="6" s="1"/>
  <c r="J13" i="2"/>
  <c r="N13" i="6" s="1"/>
  <c r="K13" i="2"/>
  <c r="O13" i="6" s="1"/>
  <c r="L13" i="2"/>
  <c r="P13" i="6" s="1"/>
  <c r="M13" i="2"/>
  <c r="Q13" i="6" s="1"/>
  <c r="N13" i="2"/>
  <c r="R13" i="6" s="1"/>
  <c r="O13" i="2"/>
  <c r="S13" i="6" s="1"/>
  <c r="Q13" i="2"/>
  <c r="U13" i="6" s="1"/>
  <c r="V13" i="6"/>
  <c r="W13" i="6"/>
  <c r="E13" i="2"/>
  <c r="I13" i="6" s="1"/>
  <c r="X12" i="2"/>
  <c r="AB12" i="6" s="1"/>
  <c r="W12" i="2"/>
  <c r="AA12" i="6" s="1"/>
  <c r="V12" i="2"/>
  <c r="Z12" i="6" s="1"/>
  <c r="U12" i="2"/>
  <c r="Y12" i="6" s="1"/>
  <c r="F12" i="2"/>
  <c r="J12" i="6" s="1"/>
  <c r="G12" i="2"/>
  <c r="K12" i="6" s="1"/>
  <c r="H12" i="2"/>
  <c r="L12" i="6" s="1"/>
  <c r="I12" i="2"/>
  <c r="M12" i="6" s="1"/>
  <c r="J12" i="2"/>
  <c r="N12" i="6" s="1"/>
  <c r="K12" i="2"/>
  <c r="O12" i="6" s="1"/>
  <c r="L12" i="2"/>
  <c r="P12" i="6" s="1"/>
  <c r="M12" i="2"/>
  <c r="Q12" i="6" s="1"/>
  <c r="N12" i="2"/>
  <c r="R12" i="6" s="1"/>
  <c r="O12" i="2"/>
  <c r="S12" i="6" s="1"/>
  <c r="Q12" i="2"/>
  <c r="U12" i="6" s="1"/>
  <c r="V12" i="6"/>
  <c r="W12" i="6"/>
  <c r="I12" i="6"/>
  <c r="X11" i="2"/>
  <c r="AB11" i="6" s="1"/>
  <c r="W11" i="2"/>
  <c r="AA11" i="6" s="1"/>
  <c r="V11" i="2"/>
  <c r="Z11" i="6" s="1"/>
  <c r="U11" i="2"/>
  <c r="Y11" i="6" s="1"/>
  <c r="F11" i="2"/>
  <c r="J11" i="6" s="1"/>
  <c r="G11" i="2"/>
  <c r="K11" i="6" s="1"/>
  <c r="H11" i="2"/>
  <c r="L11" i="6" s="1"/>
  <c r="I11" i="2"/>
  <c r="J11" i="2"/>
  <c r="N11" i="6" s="1"/>
  <c r="K11" i="2"/>
  <c r="L11" i="2"/>
  <c r="P11" i="6" s="1"/>
  <c r="M11" i="2"/>
  <c r="Q11" i="6" s="1"/>
  <c r="N11" i="2"/>
  <c r="R11" i="6" s="1"/>
  <c r="O11" i="2"/>
  <c r="S11" i="6" s="1"/>
  <c r="Q11" i="2"/>
  <c r="U11" i="6" s="1"/>
  <c r="W11" i="6"/>
  <c r="E11" i="2"/>
  <c r="I11" i="6" s="1"/>
  <c r="X10" i="2"/>
  <c r="AB10" i="6" s="1"/>
  <c r="W10" i="2"/>
  <c r="AA10" i="6" s="1"/>
  <c r="V10" i="2"/>
  <c r="Z10" i="6" s="1"/>
  <c r="U10" i="2"/>
  <c r="Y10" i="6" s="1"/>
  <c r="F10" i="2"/>
  <c r="J10" i="6" s="1"/>
  <c r="G10" i="2"/>
  <c r="K10" i="6" s="1"/>
  <c r="H10" i="2"/>
  <c r="L10" i="6" s="1"/>
  <c r="I10" i="2"/>
  <c r="M10" i="6" s="1"/>
  <c r="J10" i="2"/>
  <c r="N10" i="6" s="1"/>
  <c r="K10" i="2"/>
  <c r="O10" i="6" s="1"/>
  <c r="L10" i="2"/>
  <c r="P10" i="6" s="1"/>
  <c r="M10" i="2"/>
  <c r="Q10" i="6" s="1"/>
  <c r="N10" i="2"/>
  <c r="O10" i="2"/>
  <c r="Q10" i="2"/>
  <c r="U10" i="6" s="1"/>
  <c r="V10" i="6"/>
  <c r="W10" i="6"/>
  <c r="E10" i="2"/>
  <c r="X9" i="2"/>
  <c r="AB9" i="6" s="1"/>
  <c r="W9" i="2"/>
  <c r="AA9" i="6" s="1"/>
  <c r="V9" i="2"/>
  <c r="Z9" i="6" s="1"/>
  <c r="U9" i="2"/>
  <c r="Y9" i="6" s="1"/>
  <c r="F9" i="2"/>
  <c r="J9" i="6" s="1"/>
  <c r="G9" i="2"/>
  <c r="K9" i="6" s="1"/>
  <c r="H9" i="2"/>
  <c r="L9" i="6" s="1"/>
  <c r="I9" i="2"/>
  <c r="M9" i="6" s="1"/>
  <c r="J9" i="2"/>
  <c r="N9" i="6" s="1"/>
  <c r="K9" i="2"/>
  <c r="O9" i="6" s="1"/>
  <c r="L9" i="2"/>
  <c r="P9" i="6" s="1"/>
  <c r="M9" i="2"/>
  <c r="Q9" i="6" s="1"/>
  <c r="N9" i="2"/>
  <c r="R9" i="6" s="1"/>
  <c r="O9" i="2"/>
  <c r="S9" i="6" s="1"/>
  <c r="Q9" i="2"/>
  <c r="U9" i="6" s="1"/>
  <c r="V9" i="6"/>
  <c r="W9" i="6"/>
  <c r="E9" i="2"/>
  <c r="I9" i="6" s="1"/>
  <c r="X8" i="2"/>
  <c r="AB8" i="6" s="1"/>
  <c r="W8" i="2"/>
  <c r="AA8" i="6" s="1"/>
  <c r="V8" i="2"/>
  <c r="U8" i="2"/>
  <c r="Y8" i="6" s="1"/>
  <c r="F8" i="2"/>
  <c r="G8" i="2"/>
  <c r="K8" i="6" s="1"/>
  <c r="H8" i="2"/>
  <c r="I8" i="2"/>
  <c r="M8" i="6" s="1"/>
  <c r="J8" i="2"/>
  <c r="K8" i="2"/>
  <c r="O8" i="6" s="1"/>
  <c r="L8" i="2"/>
  <c r="M8" i="2"/>
  <c r="Q8" i="6" s="1"/>
  <c r="N8" i="2"/>
  <c r="R8" i="6" s="1"/>
  <c r="O8" i="2"/>
  <c r="Q8" i="2"/>
  <c r="V8" i="6"/>
  <c r="W8" i="6"/>
  <c r="E8" i="2"/>
  <c r="I8" i="6" s="1"/>
  <c r="X7" i="2"/>
  <c r="AB7" i="6" s="1"/>
  <c r="W7" i="2"/>
  <c r="AA7" i="6" s="1"/>
  <c r="V7" i="2"/>
  <c r="Z7" i="6" s="1"/>
  <c r="U7" i="2"/>
  <c r="F7" i="2"/>
  <c r="J7" i="6" s="1"/>
  <c r="G7" i="2"/>
  <c r="K7" i="6" s="1"/>
  <c r="H7" i="2"/>
  <c r="L7" i="6" s="1"/>
  <c r="I7" i="2"/>
  <c r="M7" i="6" s="1"/>
  <c r="J7" i="2"/>
  <c r="N7" i="6" s="1"/>
  <c r="K7" i="2"/>
  <c r="O7" i="6" s="1"/>
  <c r="L7" i="2"/>
  <c r="P7" i="6" s="1"/>
  <c r="M7" i="2"/>
  <c r="Q7" i="6" s="1"/>
  <c r="N7" i="2"/>
  <c r="R7" i="6" s="1"/>
  <c r="O7" i="2"/>
  <c r="S7" i="6" s="1"/>
  <c r="Q7" i="2"/>
  <c r="U7" i="6" s="1"/>
  <c r="V7" i="6"/>
  <c r="W7" i="6"/>
  <c r="E7" i="2"/>
  <c r="I7" i="6" s="1"/>
  <c r="X6" i="2"/>
  <c r="AB6" i="6" s="1"/>
  <c r="W6" i="2"/>
  <c r="AA6" i="6" s="1"/>
  <c r="V6" i="2"/>
  <c r="U6" i="2"/>
  <c r="Y6" i="6" s="1"/>
  <c r="F6" i="2"/>
  <c r="J6" i="6" s="1"/>
  <c r="G6" i="2"/>
  <c r="K6" i="6" s="1"/>
  <c r="H6" i="2"/>
  <c r="L6" i="6" s="1"/>
  <c r="I6" i="2"/>
  <c r="M6" i="6" s="1"/>
  <c r="J6" i="2"/>
  <c r="K6" i="2"/>
  <c r="O6" i="6" s="1"/>
  <c r="L6" i="2"/>
  <c r="M6" i="2"/>
  <c r="Q6" i="6" s="1"/>
  <c r="N6" i="2"/>
  <c r="R6" i="6" s="1"/>
  <c r="O6" i="2"/>
  <c r="S6" i="6" s="1"/>
  <c r="Q6" i="2"/>
  <c r="U6" i="6" s="1"/>
  <c r="V6" i="6"/>
  <c r="E6" i="2"/>
  <c r="I6" i="6" s="1"/>
  <c r="X5" i="2"/>
  <c r="AB5" i="6" s="1"/>
  <c r="W5" i="2"/>
  <c r="AA5" i="6" s="1"/>
  <c r="V5" i="2"/>
  <c r="Z5" i="6" s="1"/>
  <c r="U5" i="2"/>
  <c r="F5" i="2"/>
  <c r="J5" i="6" s="1"/>
  <c r="G5" i="2"/>
  <c r="K5" i="6" s="1"/>
  <c r="H5" i="2"/>
  <c r="L5" i="6" s="1"/>
  <c r="I5" i="2"/>
  <c r="M5" i="6" s="1"/>
  <c r="J5" i="2"/>
  <c r="N5" i="6" s="1"/>
  <c r="K5" i="2"/>
  <c r="O5" i="6" s="1"/>
  <c r="L5" i="2"/>
  <c r="P5" i="6" s="1"/>
  <c r="M5" i="2"/>
  <c r="Q5" i="6" s="1"/>
  <c r="N5" i="2"/>
  <c r="R5" i="6" s="1"/>
  <c r="O5" i="2"/>
  <c r="S5" i="6" s="1"/>
  <c r="Q5" i="2"/>
  <c r="U5" i="6" s="1"/>
  <c r="V5" i="6"/>
  <c r="W5" i="6"/>
  <c r="E5" i="2"/>
  <c r="I5" i="6" s="1"/>
  <c r="X4" i="2"/>
  <c r="AB4" i="6" s="1"/>
  <c r="W4" i="2"/>
  <c r="AA4" i="6" s="1"/>
  <c r="V4" i="2"/>
  <c r="Z4" i="6" s="1"/>
  <c r="U4" i="2"/>
  <c r="Y4" i="6" s="1"/>
  <c r="F4" i="2"/>
  <c r="J4" i="6" s="1"/>
  <c r="G4" i="2"/>
  <c r="K4" i="6" s="1"/>
  <c r="H4" i="2"/>
  <c r="L4" i="6" s="1"/>
  <c r="I4" i="2"/>
  <c r="M4" i="6" s="1"/>
  <c r="J4" i="2"/>
  <c r="N4" i="6" s="1"/>
  <c r="K4" i="2"/>
  <c r="O4" i="6" s="1"/>
  <c r="L4" i="2"/>
  <c r="P4" i="6" s="1"/>
  <c r="M4" i="2"/>
  <c r="Q4" i="6" s="1"/>
  <c r="N4" i="2"/>
  <c r="R4" i="6" s="1"/>
  <c r="O4" i="2"/>
  <c r="S4" i="6" s="1"/>
  <c r="Q4" i="2"/>
  <c r="U4" i="6" s="1"/>
  <c r="V4" i="6"/>
  <c r="W4" i="6"/>
  <c r="E4" i="2"/>
  <c r="I4" i="6" s="1"/>
  <c r="X3" i="2"/>
  <c r="AB3" i="6" s="1"/>
  <c r="W3" i="2"/>
  <c r="AA3" i="6" s="1"/>
  <c r="V3" i="2"/>
  <c r="Z3" i="6" s="1"/>
  <c r="U3" i="2"/>
  <c r="Y3" i="3" s="1"/>
  <c r="F3" i="2"/>
  <c r="J3" i="6" s="1"/>
  <c r="G3" i="2"/>
  <c r="K3" i="6" s="1"/>
  <c r="H3" i="2"/>
  <c r="L3" i="6" s="1"/>
  <c r="I3" i="2"/>
  <c r="J3" i="2"/>
  <c r="N3" i="6" s="1"/>
  <c r="K3" i="2"/>
  <c r="L3" i="2"/>
  <c r="P3" i="6" s="1"/>
  <c r="M3" i="2"/>
  <c r="Q3" i="6" s="1"/>
  <c r="N3" i="2"/>
  <c r="R3" i="6" s="1"/>
  <c r="O3" i="2"/>
  <c r="S3" i="6" s="1"/>
  <c r="Q3" i="2"/>
  <c r="U3" i="6" s="1"/>
  <c r="W3" i="6"/>
  <c r="E3" i="2"/>
  <c r="I3" i="6" s="1"/>
  <c r="X2" i="2"/>
  <c r="AB2" i="6" s="1"/>
  <c r="W2" i="2"/>
  <c r="AA2" i="6" s="1"/>
  <c r="V2" i="2"/>
  <c r="Z2" i="6" s="1"/>
  <c r="U2" i="2"/>
  <c r="F2" i="2"/>
  <c r="J2" i="6" s="1"/>
  <c r="G2" i="2"/>
  <c r="K2" i="6" s="1"/>
  <c r="H2" i="2"/>
  <c r="L2" i="6" s="1"/>
  <c r="I2" i="2"/>
  <c r="M2" i="6" s="1"/>
  <c r="J2" i="2"/>
  <c r="N2" i="6" s="1"/>
  <c r="K2" i="2"/>
  <c r="O2" i="6" s="1"/>
  <c r="L2" i="2"/>
  <c r="P2" i="6" s="1"/>
  <c r="M2" i="2"/>
  <c r="Q2" i="6" s="1"/>
  <c r="N2" i="2"/>
  <c r="R2" i="6" s="1"/>
  <c r="O2" i="2"/>
  <c r="S2" i="6" s="1"/>
  <c r="V2" i="6"/>
  <c r="W2" i="6"/>
  <c r="E2" i="2"/>
  <c r="V5" i="3" l="1"/>
  <c r="Y7" i="6"/>
  <c r="Y7" i="3"/>
  <c r="V361" i="3"/>
  <c r="W361" i="3"/>
  <c r="V337" i="3"/>
  <c r="W337" i="3"/>
  <c r="V305" i="3"/>
  <c r="W305" i="3"/>
  <c r="V407" i="3"/>
  <c r="W407" i="3"/>
  <c r="V399" i="3"/>
  <c r="W399" i="3"/>
  <c r="V391" i="3"/>
  <c r="W391" i="3"/>
  <c r="V383" i="3"/>
  <c r="W383" i="3"/>
  <c r="V375" i="3"/>
  <c r="W375" i="3"/>
  <c r="V367" i="3"/>
  <c r="W367" i="3"/>
  <c r="V359" i="3"/>
  <c r="W359" i="3"/>
  <c r="V351" i="3"/>
  <c r="W351" i="3"/>
  <c r="V343" i="3"/>
  <c r="W343" i="3"/>
  <c r="V335" i="3"/>
  <c r="W335" i="3"/>
  <c r="W327" i="3"/>
  <c r="V327" i="3"/>
  <c r="V319" i="3"/>
  <c r="W319" i="3"/>
  <c r="W311" i="3"/>
  <c r="V311" i="3"/>
  <c r="V303" i="3"/>
  <c r="W303" i="3"/>
  <c r="V295" i="3"/>
  <c r="W295" i="3"/>
  <c r="V287" i="3"/>
  <c r="W287" i="3"/>
  <c r="V279" i="3"/>
  <c r="W279" i="3"/>
  <c r="V271" i="3"/>
  <c r="W271" i="3"/>
  <c r="V263" i="3"/>
  <c r="W263" i="3"/>
  <c r="V255" i="3"/>
  <c r="W255" i="3"/>
  <c r="V247" i="3"/>
  <c r="W247" i="3"/>
  <c r="V239" i="3"/>
  <c r="W239" i="3"/>
  <c r="V231" i="3"/>
  <c r="W231" i="3"/>
  <c r="V223" i="3"/>
  <c r="W223" i="3"/>
  <c r="V215" i="3"/>
  <c r="W215" i="3"/>
  <c r="V207" i="3"/>
  <c r="W207" i="3"/>
  <c r="V199" i="3"/>
  <c r="W199" i="3"/>
  <c r="V191" i="3"/>
  <c r="W191" i="3"/>
  <c r="V183" i="3"/>
  <c r="W183" i="3"/>
  <c r="V175" i="3"/>
  <c r="W175" i="3"/>
  <c r="V167" i="3"/>
  <c r="W167" i="3"/>
  <c r="V159" i="3"/>
  <c r="W159" i="3"/>
  <c r="V151" i="3"/>
  <c r="W151" i="3"/>
  <c r="V143" i="3"/>
  <c r="W143" i="3"/>
  <c r="V135" i="3"/>
  <c r="W135" i="3"/>
  <c r="V127" i="3"/>
  <c r="W127" i="3"/>
  <c r="V119" i="3"/>
  <c r="W119" i="3"/>
  <c r="V111" i="3"/>
  <c r="W111" i="3"/>
  <c r="V108" i="3"/>
  <c r="W108" i="3"/>
  <c r="W100" i="3"/>
  <c r="V100" i="3"/>
  <c r="V92" i="3"/>
  <c r="W92" i="3"/>
  <c r="V84" i="3"/>
  <c r="W84" i="3"/>
  <c r="V76" i="3"/>
  <c r="W76" i="3"/>
  <c r="V68" i="3"/>
  <c r="W68" i="3"/>
  <c r="V60" i="3"/>
  <c r="W60" i="3"/>
  <c r="V52" i="3"/>
  <c r="W52" i="3"/>
  <c r="V44" i="3"/>
  <c r="W44" i="3"/>
  <c r="V36" i="3"/>
  <c r="W36" i="3"/>
  <c r="V28" i="3"/>
  <c r="W28" i="3"/>
  <c r="V20" i="3"/>
  <c r="W20" i="3"/>
  <c r="V12" i="3"/>
  <c r="W12" i="3"/>
  <c r="V4" i="3"/>
  <c r="W4" i="3"/>
  <c r="I314" i="3"/>
  <c r="U356" i="3"/>
  <c r="Y370" i="3"/>
  <c r="V412" i="3"/>
  <c r="W412" i="3"/>
  <c r="V404" i="3"/>
  <c r="W404" i="3"/>
  <c r="V396" i="3"/>
  <c r="W396" i="3"/>
  <c r="V388" i="3"/>
  <c r="W388" i="3"/>
  <c r="V380" i="3"/>
  <c r="W380" i="3"/>
  <c r="V372" i="3"/>
  <c r="W372" i="3"/>
  <c r="V364" i="3"/>
  <c r="W364" i="3"/>
  <c r="V356" i="3"/>
  <c r="W356" i="3"/>
  <c r="V348" i="3"/>
  <c r="W348" i="3"/>
  <c r="V340" i="3"/>
  <c r="W340" i="3"/>
  <c r="V332" i="3"/>
  <c r="W332" i="3"/>
  <c r="V324" i="3"/>
  <c r="W324" i="3"/>
  <c r="V316" i="3"/>
  <c r="W316" i="3"/>
  <c r="W308" i="3"/>
  <c r="V308" i="3"/>
  <c r="V300" i="3"/>
  <c r="W300" i="3"/>
  <c r="V292" i="3"/>
  <c r="W292" i="3"/>
  <c r="V284" i="3"/>
  <c r="W284" i="3"/>
  <c r="V276" i="3"/>
  <c r="W276" i="3"/>
  <c r="V268" i="3"/>
  <c r="W268" i="3"/>
  <c r="V260" i="3"/>
  <c r="W260" i="3"/>
  <c r="V252" i="3"/>
  <c r="W252" i="3"/>
  <c r="V244" i="3"/>
  <c r="W244" i="3"/>
  <c r="V236" i="3"/>
  <c r="W236" i="3"/>
  <c r="V228" i="3"/>
  <c r="W228" i="3"/>
  <c r="V220" i="3"/>
  <c r="W220" i="3"/>
  <c r="V212" i="3"/>
  <c r="W212" i="3"/>
  <c r="V204" i="3"/>
  <c r="W204" i="3"/>
  <c r="V196" i="3"/>
  <c r="W196" i="3"/>
  <c r="V188" i="3"/>
  <c r="W188" i="3"/>
  <c r="V180" i="3"/>
  <c r="W180" i="3"/>
  <c r="V172" i="3"/>
  <c r="W172" i="3"/>
  <c r="V164" i="3"/>
  <c r="W164" i="3"/>
  <c r="V156" i="3"/>
  <c r="W156" i="3"/>
  <c r="V148" i="3"/>
  <c r="W148" i="3"/>
  <c r="V140" i="3"/>
  <c r="W140" i="3"/>
  <c r="V132" i="3"/>
  <c r="W132" i="3"/>
  <c r="V124" i="3"/>
  <c r="W124" i="3"/>
  <c r="V116" i="3"/>
  <c r="W116" i="3"/>
  <c r="V105" i="3"/>
  <c r="W105" i="3"/>
  <c r="V97" i="3"/>
  <c r="W97" i="3"/>
  <c r="V89" i="3"/>
  <c r="W89" i="3"/>
  <c r="V81" i="3"/>
  <c r="W81" i="3"/>
  <c r="V73" i="3"/>
  <c r="W73" i="3"/>
  <c r="V65" i="3"/>
  <c r="W65" i="3"/>
  <c r="W57" i="3"/>
  <c r="V57" i="3"/>
  <c r="V49" i="3"/>
  <c r="W49" i="3"/>
  <c r="V41" i="3"/>
  <c r="W41" i="3"/>
  <c r="V33" i="3"/>
  <c r="W33" i="3"/>
  <c r="W25" i="3"/>
  <c r="V25" i="3"/>
  <c r="V17" i="3"/>
  <c r="W17" i="3"/>
  <c r="V9" i="3"/>
  <c r="W9" i="3"/>
  <c r="V193" i="3"/>
  <c r="W193" i="3"/>
  <c r="V185" i="3"/>
  <c r="W185" i="3"/>
  <c r="V177" i="3"/>
  <c r="W177" i="3"/>
  <c r="V169" i="3"/>
  <c r="W169" i="3"/>
  <c r="V161" i="3"/>
  <c r="W161" i="3"/>
  <c r="W153" i="3"/>
  <c r="V153" i="3"/>
  <c r="V145" i="3"/>
  <c r="W145" i="3"/>
  <c r="V137" i="3"/>
  <c r="W137" i="3"/>
  <c r="V129" i="3"/>
  <c r="W129" i="3"/>
  <c r="V121" i="3"/>
  <c r="W121" i="3"/>
  <c r="V113" i="3"/>
  <c r="W113" i="3"/>
  <c r="V102" i="3"/>
  <c r="W102" i="3"/>
  <c r="V94" i="3"/>
  <c r="W94" i="3"/>
  <c r="V86" i="3"/>
  <c r="W86" i="3"/>
  <c r="V78" i="3"/>
  <c r="W78" i="3"/>
  <c r="V70" i="3"/>
  <c r="W70" i="3"/>
  <c r="V62" i="3"/>
  <c r="W62" i="3"/>
  <c r="V54" i="3"/>
  <c r="W54" i="3"/>
  <c r="V46" i="3"/>
  <c r="W46" i="3"/>
  <c r="V38" i="3"/>
  <c r="W38" i="3"/>
  <c r="V30" i="3"/>
  <c r="W30" i="3"/>
  <c r="V22" i="3"/>
  <c r="W22" i="3"/>
  <c r="V14" i="3"/>
  <c r="W14" i="3"/>
  <c r="V6" i="3"/>
  <c r="W6" i="3"/>
  <c r="V406" i="3"/>
  <c r="W406" i="3"/>
  <c r="V382" i="3"/>
  <c r="W382" i="3"/>
  <c r="V374" i="3"/>
  <c r="W374" i="3"/>
  <c r="V366" i="3"/>
  <c r="W366" i="3"/>
  <c r="V358" i="3"/>
  <c r="W358" i="3"/>
  <c r="V350" i="3"/>
  <c r="W350" i="3"/>
  <c r="V342" i="3"/>
  <c r="W342" i="3"/>
  <c r="W334" i="3"/>
  <c r="V334" i="3"/>
  <c r="W326" i="3"/>
  <c r="V326" i="3"/>
  <c r="W310" i="3"/>
  <c r="V310" i="3"/>
  <c r="V302" i="3"/>
  <c r="W302" i="3"/>
  <c r="V294" i="3"/>
  <c r="W294" i="3"/>
  <c r="V286" i="3"/>
  <c r="W286" i="3"/>
  <c r="V278" i="3"/>
  <c r="W278" i="3"/>
  <c r="V270" i="3"/>
  <c r="W270" i="3"/>
  <c r="V262" i="3"/>
  <c r="W262" i="3"/>
  <c r="V254" i="3"/>
  <c r="W254" i="3"/>
  <c r="V246" i="3"/>
  <c r="W246" i="3"/>
  <c r="V238" i="3"/>
  <c r="W238" i="3"/>
  <c r="V230" i="3"/>
  <c r="W230" i="3"/>
  <c r="V222" i="3"/>
  <c r="W222" i="3"/>
  <c r="V214" i="3"/>
  <c r="W214" i="3"/>
  <c r="V206" i="3"/>
  <c r="W206" i="3"/>
  <c r="V198" i="3"/>
  <c r="W198" i="3"/>
  <c r="V190" i="3"/>
  <c r="W190" i="3"/>
  <c r="V182" i="3"/>
  <c r="W182" i="3"/>
  <c r="V174" i="3"/>
  <c r="W174" i="3"/>
  <c r="V166" i="3"/>
  <c r="W166" i="3"/>
  <c r="V158" i="3"/>
  <c r="W158" i="3"/>
  <c r="V150" i="3"/>
  <c r="W150" i="3"/>
  <c r="V142" i="3"/>
  <c r="W142" i="3"/>
  <c r="V134" i="3"/>
  <c r="W134" i="3"/>
  <c r="V126" i="3"/>
  <c r="W126" i="3"/>
  <c r="V118" i="3"/>
  <c r="W118" i="3"/>
  <c r="V110" i="3"/>
  <c r="W110" i="3"/>
  <c r="W107" i="3"/>
  <c r="V107" i="3"/>
  <c r="V99" i="3"/>
  <c r="W99" i="3"/>
  <c r="W91" i="3"/>
  <c r="V91" i="3"/>
  <c r="V83" i="3"/>
  <c r="W83" i="3"/>
  <c r="W75" i="3"/>
  <c r="V75" i="3"/>
  <c r="V67" i="3"/>
  <c r="W67" i="3"/>
  <c r="W59" i="3"/>
  <c r="V59" i="3"/>
  <c r="V51" i="3"/>
  <c r="W51" i="3"/>
  <c r="W43" i="3"/>
  <c r="V43" i="3"/>
  <c r="V35" i="3"/>
  <c r="W35" i="3"/>
  <c r="V27" i="3"/>
  <c r="W27" i="3"/>
  <c r="V19" i="3"/>
  <c r="W19" i="3"/>
  <c r="V11" i="3"/>
  <c r="W11" i="3"/>
  <c r="V3" i="3"/>
  <c r="W3" i="3"/>
  <c r="V331" i="3"/>
  <c r="W331" i="3"/>
  <c r="V323" i="3"/>
  <c r="W323" i="3"/>
  <c r="V315" i="3"/>
  <c r="W315" i="3"/>
  <c r="V307" i="3"/>
  <c r="W307" i="3"/>
  <c r="W299" i="3"/>
  <c r="V299" i="3"/>
  <c r="W291" i="3"/>
  <c r="V291" i="3"/>
  <c r="W283" i="3"/>
  <c r="V283" i="3"/>
  <c r="W275" i="3"/>
  <c r="V275" i="3"/>
  <c r="W267" i="3"/>
  <c r="V267" i="3"/>
  <c r="W259" i="3"/>
  <c r="V259" i="3"/>
  <c r="W251" i="3"/>
  <c r="V251" i="3"/>
  <c r="W243" i="3"/>
  <c r="V243" i="3"/>
  <c r="W227" i="3"/>
  <c r="V227" i="3"/>
  <c r="W219" i="3"/>
  <c r="V219" i="3"/>
  <c r="W211" i="3"/>
  <c r="V211" i="3"/>
  <c r="W203" i="3"/>
  <c r="V203" i="3"/>
  <c r="W195" i="3"/>
  <c r="V195" i="3"/>
  <c r="W187" i="3"/>
  <c r="V187" i="3"/>
  <c r="W179" i="3"/>
  <c r="V179" i="3"/>
  <c r="W171" i="3"/>
  <c r="V171" i="3"/>
  <c r="V163" i="3"/>
  <c r="W163" i="3"/>
  <c r="W155" i="3"/>
  <c r="V155" i="3"/>
  <c r="V147" i="3"/>
  <c r="W147" i="3"/>
  <c r="W139" i="3"/>
  <c r="V139" i="3"/>
  <c r="V131" i="3"/>
  <c r="W131" i="3"/>
  <c r="W123" i="3"/>
  <c r="V123" i="3"/>
  <c r="V115" i="3"/>
  <c r="W115" i="3"/>
  <c r="V104" i="3"/>
  <c r="W104" i="3"/>
  <c r="W96" i="3"/>
  <c r="V96" i="3"/>
  <c r="V88" i="3"/>
  <c r="W88" i="3"/>
  <c r="W80" i="3"/>
  <c r="V80" i="3"/>
  <c r="V72" i="3"/>
  <c r="W72" i="3"/>
  <c r="W64" i="3"/>
  <c r="V64" i="3"/>
  <c r="V56" i="3"/>
  <c r="W56" i="3"/>
  <c r="W48" i="3"/>
  <c r="V48" i="3"/>
  <c r="V40" i="3"/>
  <c r="W40" i="3"/>
  <c r="W32" i="3"/>
  <c r="V32" i="3"/>
  <c r="V24" i="3"/>
  <c r="W24" i="3"/>
  <c r="V16" i="3"/>
  <c r="W16" i="3"/>
  <c r="V8" i="3"/>
  <c r="W8" i="3"/>
  <c r="V353" i="3"/>
  <c r="W353" i="3"/>
  <c r="V398" i="3"/>
  <c r="W398" i="3"/>
  <c r="V390" i="3"/>
  <c r="W390" i="3"/>
  <c r="V403" i="3"/>
  <c r="W403" i="3"/>
  <c r="V395" i="3"/>
  <c r="W395" i="3"/>
  <c r="N279" i="3"/>
  <c r="W408" i="3"/>
  <c r="V408" i="3"/>
  <c r="W400" i="3"/>
  <c r="V400" i="3"/>
  <c r="W392" i="3"/>
  <c r="V392" i="3"/>
  <c r="W384" i="3"/>
  <c r="V384" i="3"/>
  <c r="W376" i="3"/>
  <c r="V376" i="3"/>
  <c r="W368" i="3"/>
  <c r="V368" i="3"/>
  <c r="W360" i="3"/>
  <c r="V360" i="3"/>
  <c r="W352" i="3"/>
  <c r="V352" i="3"/>
  <c r="W344" i="3"/>
  <c r="V344" i="3"/>
  <c r="W336" i="3"/>
  <c r="V336" i="3"/>
  <c r="V328" i="3"/>
  <c r="W328" i="3"/>
  <c r="W320" i="3"/>
  <c r="V320" i="3"/>
  <c r="V312" i="3"/>
  <c r="W312" i="3"/>
  <c r="W304" i="3"/>
  <c r="V304" i="3"/>
  <c r="W296" i="3"/>
  <c r="V296" i="3"/>
  <c r="W288" i="3"/>
  <c r="V288" i="3"/>
  <c r="W280" i="3"/>
  <c r="V280" i="3"/>
  <c r="W272" i="3"/>
  <c r="V272" i="3"/>
  <c r="W264" i="3"/>
  <c r="V264" i="3"/>
  <c r="W256" i="3"/>
  <c r="V256" i="3"/>
  <c r="W248" i="3"/>
  <c r="V248" i="3"/>
  <c r="W240" i="3"/>
  <c r="V240" i="3"/>
  <c r="W232" i="3"/>
  <c r="V232" i="3"/>
  <c r="W224" i="3"/>
  <c r="V224" i="3"/>
  <c r="W216" i="3"/>
  <c r="V216" i="3"/>
  <c r="W208" i="3"/>
  <c r="V208" i="3"/>
  <c r="W200" i="3"/>
  <c r="V200" i="3"/>
  <c r="W192" i="3"/>
  <c r="V192" i="3"/>
  <c r="W184" i="3"/>
  <c r="V184" i="3"/>
  <c r="W176" i="3"/>
  <c r="V176" i="3"/>
  <c r="W168" i="3"/>
  <c r="V168" i="3"/>
  <c r="W160" i="3"/>
  <c r="V160" i="3"/>
  <c r="V152" i="3"/>
  <c r="W152" i="3"/>
  <c r="W144" i="3"/>
  <c r="V144" i="3"/>
  <c r="V136" i="3"/>
  <c r="W136" i="3"/>
  <c r="W128" i="3"/>
  <c r="V128" i="3"/>
  <c r="W120" i="3"/>
  <c r="V120" i="3"/>
  <c r="W112" i="3"/>
  <c r="V112" i="3"/>
  <c r="W101" i="3"/>
  <c r="V101" i="3"/>
  <c r="V93" i="3"/>
  <c r="W93" i="3"/>
  <c r="W85" i="3"/>
  <c r="V85" i="3"/>
  <c r="V77" i="3"/>
  <c r="W77" i="3"/>
  <c r="W69" i="3"/>
  <c r="V69" i="3"/>
  <c r="V61" i="3"/>
  <c r="W61" i="3"/>
  <c r="W53" i="3"/>
  <c r="V53" i="3"/>
  <c r="V45" i="3"/>
  <c r="W45" i="3"/>
  <c r="W37" i="3"/>
  <c r="V37" i="3"/>
  <c r="V29" i="3"/>
  <c r="W29" i="3"/>
  <c r="V21" i="3"/>
  <c r="W21" i="3"/>
  <c r="V13" i="3"/>
  <c r="W13" i="3"/>
  <c r="W5" i="3"/>
  <c r="V385" i="3"/>
  <c r="W385" i="3"/>
  <c r="V369" i="3"/>
  <c r="W369" i="3"/>
  <c r="V345" i="3"/>
  <c r="W345" i="3"/>
  <c r="W329" i="3"/>
  <c r="V329" i="3"/>
  <c r="V321" i="3"/>
  <c r="W321" i="3"/>
  <c r="V297" i="3"/>
  <c r="W297" i="3"/>
  <c r="V289" i="3"/>
  <c r="W289" i="3"/>
  <c r="V281" i="3"/>
  <c r="W281" i="3"/>
  <c r="V273" i="3"/>
  <c r="W273" i="3"/>
  <c r="V265" i="3"/>
  <c r="W265" i="3"/>
  <c r="V257" i="3"/>
  <c r="W257" i="3"/>
  <c r="V249" i="3"/>
  <c r="W249" i="3"/>
  <c r="V241" i="3"/>
  <c r="W241" i="3"/>
  <c r="V233" i="3"/>
  <c r="W233" i="3"/>
  <c r="V225" i="3"/>
  <c r="W225" i="3"/>
  <c r="V217" i="3"/>
  <c r="W217" i="3"/>
  <c r="V201" i="3"/>
  <c r="W201" i="3"/>
  <c r="W318" i="3"/>
  <c r="V318" i="3"/>
  <c r="P330" i="3"/>
  <c r="V371" i="3"/>
  <c r="W371" i="3"/>
  <c r="V347" i="3"/>
  <c r="W347" i="3"/>
  <c r="V405" i="3"/>
  <c r="W405" i="3"/>
  <c r="V397" i="3"/>
  <c r="W397" i="3"/>
  <c r="V389" i="3"/>
  <c r="W389" i="3"/>
  <c r="V381" i="3"/>
  <c r="W381" i="3"/>
  <c r="V373" i="3"/>
  <c r="W373" i="3"/>
  <c r="V365" i="3"/>
  <c r="W365" i="3"/>
  <c r="V357" i="3"/>
  <c r="W357" i="3"/>
  <c r="V349" i="3"/>
  <c r="W349" i="3"/>
  <c r="V341" i="3"/>
  <c r="W341" i="3"/>
  <c r="V333" i="3"/>
  <c r="W333" i="3"/>
  <c r="V325" i="3"/>
  <c r="W325" i="3"/>
  <c r="W317" i="3"/>
  <c r="V317" i="3"/>
  <c r="V309" i="3"/>
  <c r="W309" i="3"/>
  <c r="W301" i="3"/>
  <c r="V301" i="3"/>
  <c r="W293" i="3"/>
  <c r="V293" i="3"/>
  <c r="W285" i="3"/>
  <c r="V285" i="3"/>
  <c r="W277" i="3"/>
  <c r="V277" i="3"/>
  <c r="W269" i="3"/>
  <c r="V269" i="3"/>
  <c r="W261" i="3"/>
  <c r="V261" i="3"/>
  <c r="W253" i="3"/>
  <c r="V253" i="3"/>
  <c r="W245" i="3"/>
  <c r="V245" i="3"/>
  <c r="W237" i="3"/>
  <c r="V237" i="3"/>
  <c r="W229" i="3"/>
  <c r="V229" i="3"/>
  <c r="W221" i="3"/>
  <c r="V221" i="3"/>
  <c r="W213" i="3"/>
  <c r="V213" i="3"/>
  <c r="W205" i="3"/>
  <c r="V205" i="3"/>
  <c r="W197" i="3"/>
  <c r="V197" i="3"/>
  <c r="W189" i="3"/>
  <c r="V189" i="3"/>
  <c r="W181" i="3"/>
  <c r="V181" i="3"/>
  <c r="W173" i="3"/>
  <c r="V173" i="3"/>
  <c r="W165" i="3"/>
  <c r="V165" i="3"/>
  <c r="V157" i="3"/>
  <c r="W157" i="3"/>
  <c r="W149" i="3"/>
  <c r="V149" i="3"/>
  <c r="V141" i="3"/>
  <c r="W141" i="3"/>
  <c r="W133" i="3"/>
  <c r="V133" i="3"/>
  <c r="V125" i="3"/>
  <c r="W125" i="3"/>
  <c r="W117" i="3"/>
  <c r="V117" i="3"/>
  <c r="W109" i="3"/>
  <c r="V109" i="3"/>
  <c r="V106" i="3"/>
  <c r="W106" i="3"/>
  <c r="V98" i="3"/>
  <c r="W98" i="3"/>
  <c r="V90" i="3"/>
  <c r="W90" i="3"/>
  <c r="V82" i="3"/>
  <c r="W82" i="3"/>
  <c r="V74" i="3"/>
  <c r="W74" i="3"/>
  <c r="V66" i="3"/>
  <c r="W66" i="3"/>
  <c r="V58" i="3"/>
  <c r="W58" i="3"/>
  <c r="V50" i="3"/>
  <c r="W50" i="3"/>
  <c r="V42" i="3"/>
  <c r="W42" i="3"/>
  <c r="V34" i="3"/>
  <c r="W34" i="3"/>
  <c r="V26" i="3"/>
  <c r="W26" i="3"/>
  <c r="V18" i="3"/>
  <c r="W18" i="3"/>
  <c r="V10" i="3"/>
  <c r="W10" i="3"/>
  <c r="V409" i="3"/>
  <c r="W409" i="3"/>
  <c r="V401" i="3"/>
  <c r="W401" i="3"/>
  <c r="V393" i="3"/>
  <c r="W393" i="3"/>
  <c r="V377" i="3"/>
  <c r="W377" i="3"/>
  <c r="W313" i="3"/>
  <c r="V313" i="3"/>
  <c r="V209" i="3"/>
  <c r="W209" i="3"/>
  <c r="I354" i="3"/>
  <c r="I370" i="3"/>
  <c r="V411" i="3"/>
  <c r="W411" i="3"/>
  <c r="V387" i="3"/>
  <c r="W387" i="3"/>
  <c r="V379" i="3"/>
  <c r="W379" i="3"/>
  <c r="V363" i="3"/>
  <c r="W363" i="3"/>
  <c r="V355" i="3"/>
  <c r="W355" i="3"/>
  <c r="V339" i="3"/>
  <c r="W339" i="3"/>
  <c r="W235" i="3"/>
  <c r="V235" i="3"/>
  <c r="V410" i="3"/>
  <c r="W410" i="3"/>
  <c r="V402" i="3"/>
  <c r="W402" i="3"/>
  <c r="V394" i="3"/>
  <c r="W394" i="3"/>
  <c r="V386" i="3"/>
  <c r="W386" i="3"/>
  <c r="V378" i="3"/>
  <c r="W378" i="3"/>
  <c r="V370" i="3"/>
  <c r="W370" i="3"/>
  <c r="V362" i="3"/>
  <c r="W362" i="3"/>
  <c r="V354" i="3"/>
  <c r="W354" i="3"/>
  <c r="V346" i="3"/>
  <c r="W346" i="3"/>
  <c r="W338" i="3"/>
  <c r="V338" i="3"/>
  <c r="W330" i="3"/>
  <c r="V330" i="3"/>
  <c r="W322" i="3"/>
  <c r="V322" i="3"/>
  <c r="W314" i="3"/>
  <c r="V314" i="3"/>
  <c r="W306" i="3"/>
  <c r="V306" i="3"/>
  <c r="V298" i="3"/>
  <c r="W298" i="3"/>
  <c r="V290" i="3"/>
  <c r="W290" i="3"/>
  <c r="V282" i="3"/>
  <c r="W282" i="3"/>
  <c r="V274" i="3"/>
  <c r="W274" i="3"/>
  <c r="V266" i="3"/>
  <c r="W266" i="3"/>
  <c r="V258" i="3"/>
  <c r="W258" i="3"/>
  <c r="V250" i="3"/>
  <c r="W250" i="3"/>
  <c r="V242" i="3"/>
  <c r="W242" i="3"/>
  <c r="V234" i="3"/>
  <c r="W234" i="3"/>
  <c r="V226" i="3"/>
  <c r="W226" i="3"/>
  <c r="V218" i="3"/>
  <c r="W218" i="3"/>
  <c r="V210" i="3"/>
  <c r="W210" i="3"/>
  <c r="V202" i="3"/>
  <c r="W202" i="3"/>
  <c r="V194" i="3"/>
  <c r="W194" i="3"/>
  <c r="V186" i="3"/>
  <c r="W186" i="3"/>
  <c r="V178" i="3"/>
  <c r="W178" i="3"/>
  <c r="V170" i="3"/>
  <c r="W170" i="3"/>
  <c r="V162" i="3"/>
  <c r="W162" i="3"/>
  <c r="V154" i="3"/>
  <c r="W154" i="3"/>
  <c r="V146" i="3"/>
  <c r="W146" i="3"/>
  <c r="V138" i="3"/>
  <c r="W138" i="3"/>
  <c r="V130" i="3"/>
  <c r="W130" i="3"/>
  <c r="V122" i="3"/>
  <c r="W122" i="3"/>
  <c r="V114" i="3"/>
  <c r="W114" i="3"/>
  <c r="V103" i="3"/>
  <c r="W103" i="3"/>
  <c r="V95" i="3"/>
  <c r="W95" i="3"/>
  <c r="V87" i="3"/>
  <c r="W87" i="3"/>
  <c r="V79" i="3"/>
  <c r="W79" i="3"/>
  <c r="V71" i="3"/>
  <c r="W71" i="3"/>
  <c r="V63" i="3"/>
  <c r="W63" i="3"/>
  <c r="V55" i="3"/>
  <c r="W55" i="3"/>
  <c r="V47" i="3"/>
  <c r="W47" i="3"/>
  <c r="V39" i="3"/>
  <c r="W39" i="3"/>
  <c r="V31" i="3"/>
  <c r="W31" i="3"/>
  <c r="V23" i="3"/>
  <c r="W23" i="3"/>
  <c r="V15" i="3"/>
  <c r="W15" i="3"/>
  <c r="V7" i="3"/>
  <c r="W7" i="3"/>
  <c r="Z383" i="3"/>
  <c r="P366" i="3"/>
  <c r="P342" i="3"/>
  <c r="K363" i="3"/>
  <c r="M380" i="3"/>
  <c r="Z388" i="3"/>
  <c r="Q329" i="3"/>
  <c r="O380" i="3"/>
  <c r="AB364" i="3"/>
  <c r="P388" i="3"/>
  <c r="K284" i="3"/>
  <c r="S247" i="3"/>
  <c r="M317" i="3"/>
  <c r="K327" i="3"/>
  <c r="U381" i="3"/>
  <c r="L381" i="3"/>
  <c r="S386" i="3"/>
  <c r="K386" i="3"/>
  <c r="U389" i="3"/>
  <c r="L389" i="3"/>
  <c r="I40" i="3"/>
  <c r="U366" i="3"/>
  <c r="S366" i="3"/>
  <c r="AB242" i="3"/>
  <c r="Q286" i="3"/>
  <c r="M290" i="3"/>
  <c r="J297" i="3"/>
  <c r="AB338" i="3"/>
  <c r="AA341" i="3"/>
  <c r="AB354" i="3"/>
  <c r="AA357" i="3"/>
  <c r="N397" i="3"/>
  <c r="I382" i="3"/>
  <c r="Y393" i="3"/>
  <c r="K394" i="3"/>
  <c r="S402" i="3"/>
  <c r="O406" i="3"/>
  <c r="I297" i="3"/>
  <c r="S309" i="3"/>
  <c r="J314" i="3"/>
  <c r="I345" i="3"/>
  <c r="J354" i="3"/>
  <c r="O361" i="3"/>
  <c r="I369" i="3"/>
  <c r="R370" i="3"/>
  <c r="J370" i="3"/>
  <c r="AB379" i="3"/>
  <c r="M387" i="3"/>
  <c r="O393" i="3"/>
  <c r="S397" i="3"/>
  <c r="K397" i="3"/>
  <c r="N398" i="3"/>
  <c r="M403" i="3"/>
  <c r="Y385" i="3"/>
  <c r="S394" i="3"/>
  <c r="L397" i="3"/>
  <c r="K402" i="3"/>
  <c r="P391" i="3"/>
  <c r="L358" i="3"/>
  <c r="L366" i="3"/>
  <c r="K366" i="3"/>
  <c r="AA274" i="3"/>
  <c r="AA314" i="3"/>
  <c r="O317" i="3"/>
  <c r="O341" i="3"/>
  <c r="AA354" i="3"/>
  <c r="AA370" i="3"/>
  <c r="Z397" i="3"/>
  <c r="P409" i="3"/>
  <c r="Y409" i="3"/>
  <c r="S410" i="3"/>
  <c r="K410" i="3"/>
  <c r="Z275" i="3"/>
  <c r="Y275" i="3"/>
  <c r="Y200" i="3"/>
  <c r="Z200" i="3"/>
  <c r="J8" i="6"/>
  <c r="J8" i="3"/>
  <c r="Y2" i="6"/>
  <c r="I2" i="6"/>
  <c r="U2" i="6"/>
  <c r="Q304" i="3"/>
  <c r="R363" i="3"/>
  <c r="P320" i="3"/>
  <c r="P368" i="3"/>
  <c r="Z312" i="3"/>
  <c r="Z328" i="3"/>
  <c r="Y363" i="3"/>
  <c r="R379" i="3"/>
  <c r="I227" i="3"/>
  <c r="O243" i="3"/>
  <c r="O299" i="3"/>
  <c r="N328" i="3"/>
  <c r="O363" i="3"/>
  <c r="Y400" i="3"/>
  <c r="P387" i="3"/>
  <c r="O408" i="3"/>
  <c r="L328" i="3"/>
  <c r="U336" i="3"/>
  <c r="U352" i="3"/>
  <c r="L352" i="3"/>
  <c r="AB363" i="3"/>
  <c r="U368" i="3"/>
  <c r="L368" i="3"/>
  <c r="S264" i="3"/>
  <c r="L267" i="3"/>
  <c r="U299" i="3"/>
  <c r="N387" i="3"/>
  <c r="N403" i="3"/>
  <c r="N411" i="3"/>
  <c r="AC229" i="6"/>
  <c r="AD359" i="6"/>
  <c r="AD401" i="6"/>
  <c r="M290" i="6"/>
  <c r="AC389" i="6"/>
  <c r="Z380" i="3"/>
  <c r="AD393" i="6"/>
  <c r="AD370" i="6"/>
  <c r="AD80" i="6"/>
  <c r="AD144" i="6"/>
  <c r="AD168" i="6"/>
  <c r="AD375" i="6"/>
  <c r="AB407" i="6"/>
  <c r="AD128" i="6"/>
  <c r="AD208" i="6"/>
  <c r="AD224" i="6"/>
  <c r="AC232" i="6"/>
  <c r="AC240" i="6"/>
  <c r="AC245" i="6"/>
  <c r="AC248" i="6"/>
  <c r="AC256" i="6"/>
  <c r="AC264" i="6"/>
  <c r="AC280" i="6"/>
  <c r="AD282" i="6"/>
  <c r="AD346" i="6"/>
  <c r="Y347" i="3"/>
  <c r="Y347" i="6"/>
  <c r="AC360" i="6"/>
  <c r="AC375" i="6"/>
  <c r="AD385" i="6"/>
  <c r="Z407" i="3"/>
  <c r="Z407" i="6"/>
  <c r="AB409" i="6"/>
  <c r="AA412" i="6"/>
  <c r="J366" i="3"/>
  <c r="Z358" i="3"/>
  <c r="Y409" i="6"/>
  <c r="S366" i="6"/>
  <c r="L381" i="6"/>
  <c r="J314" i="6"/>
  <c r="AC11" i="6"/>
  <c r="AC19" i="6"/>
  <c r="AC27" i="6"/>
  <c r="AC35" i="6"/>
  <c r="AD37" i="6"/>
  <c r="AC43" i="6"/>
  <c r="AD45" i="6"/>
  <c r="AC51" i="6"/>
  <c r="AC59" i="6"/>
  <c r="AD61" i="6"/>
  <c r="AD77" i="6"/>
  <c r="AC99" i="6"/>
  <c r="AC115" i="6"/>
  <c r="AD117" i="6"/>
  <c r="AD139" i="6"/>
  <c r="AC144" i="6"/>
  <c r="AD147" i="6"/>
  <c r="AD163" i="6"/>
  <c r="AC171" i="6"/>
  <c r="AD173" i="6"/>
  <c r="AC179" i="6"/>
  <c r="AD181" i="6"/>
  <c r="AD189" i="6"/>
  <c r="AD197" i="6"/>
  <c r="AC283" i="6"/>
  <c r="AC299" i="6"/>
  <c r="AC307" i="6"/>
  <c r="AC323" i="6"/>
  <c r="AC331" i="6"/>
  <c r="J332" i="6"/>
  <c r="J332" i="3"/>
  <c r="AC355" i="6"/>
  <c r="R364" i="3"/>
  <c r="R364" i="6"/>
  <c r="AC378" i="6"/>
  <c r="AC386" i="6"/>
  <c r="AC394" i="6"/>
  <c r="Z410" i="6"/>
  <c r="AB412" i="6"/>
  <c r="AB391" i="3"/>
  <c r="I383" i="3"/>
  <c r="M387" i="6"/>
  <c r="N328" i="6"/>
  <c r="AD96" i="6"/>
  <c r="AC70" i="6"/>
  <c r="AC78" i="6"/>
  <c r="AC270" i="6"/>
  <c r="AD331" i="6"/>
  <c r="AD339" i="6"/>
  <c r="O345" i="6"/>
  <c r="O345" i="3"/>
  <c r="AD347" i="6"/>
  <c r="Z408" i="6"/>
  <c r="AB410" i="6"/>
  <c r="O401" i="3"/>
  <c r="O393" i="6"/>
  <c r="U352" i="6"/>
  <c r="S264" i="6"/>
  <c r="AD56" i="6"/>
  <c r="AD64" i="6"/>
  <c r="AD88" i="6"/>
  <c r="AD232" i="6"/>
  <c r="AC318" i="6"/>
  <c r="AC12" i="6"/>
  <c r="AC20" i="6"/>
  <c r="AD22" i="6"/>
  <c r="AC28" i="6"/>
  <c r="AC36" i="6"/>
  <c r="AD38" i="6"/>
  <c r="AC52" i="6"/>
  <c r="AD54" i="6"/>
  <c r="AD70" i="6"/>
  <c r="AD78" i="6"/>
  <c r="AD92" i="6"/>
  <c r="AD116" i="6"/>
  <c r="AC132" i="6"/>
  <c r="AC140" i="6"/>
  <c r="AC148" i="6"/>
  <c r="AC156" i="6"/>
  <c r="AC188" i="6"/>
  <c r="AD190" i="6"/>
  <c r="AD206" i="6"/>
  <c r="AD214" i="6"/>
  <c r="AC236" i="6"/>
  <c r="AD238" i="6"/>
  <c r="AC244" i="6"/>
  <c r="AD254" i="6"/>
  <c r="AC260" i="6"/>
  <c r="AD262" i="6"/>
  <c r="AC268" i="6"/>
  <c r="AD270" i="6"/>
  <c r="AC276" i="6"/>
  <c r="AC308" i="6"/>
  <c r="AD310" i="6"/>
  <c r="AC316" i="6"/>
  <c r="AD318" i="6"/>
  <c r="AC332" i="6"/>
  <c r="AD334" i="6"/>
  <c r="AC340" i="6"/>
  <c r="AC348" i="6"/>
  <c r="AD358" i="6"/>
  <c r="AC384" i="6"/>
  <c r="AC392" i="6"/>
  <c r="AC395" i="6"/>
  <c r="AC400" i="6"/>
  <c r="AA408" i="6"/>
  <c r="Z411" i="6"/>
  <c r="I322" i="3"/>
  <c r="K317" i="3"/>
  <c r="R314" i="3"/>
  <c r="U301" i="3"/>
  <c r="Y400" i="6"/>
  <c r="R363" i="6"/>
  <c r="P366" i="6"/>
  <c r="AD72" i="6"/>
  <c r="AD104" i="6"/>
  <c r="AD112" i="6"/>
  <c r="AC206" i="6"/>
  <c r="U269" i="3"/>
  <c r="U269" i="6"/>
  <c r="AC358" i="6"/>
  <c r="AA410" i="6"/>
  <c r="AC7" i="6"/>
  <c r="AC31" i="6"/>
  <c r="AC63" i="6"/>
  <c r="AC71" i="6"/>
  <c r="AC79" i="6"/>
  <c r="AC87" i="6"/>
  <c r="AC103" i="6"/>
  <c r="AC111" i="6"/>
  <c r="AC119" i="6"/>
  <c r="AD129" i="6"/>
  <c r="AD137" i="6"/>
  <c r="AD145" i="6"/>
  <c r="AD153" i="6"/>
  <c r="AC183" i="6"/>
  <c r="AC191" i="6"/>
  <c r="AC199" i="6"/>
  <c r="AC207" i="6"/>
  <c r="AC215" i="6"/>
  <c r="AD225" i="6"/>
  <c r="AC231" i="6"/>
  <c r="AC239" i="6"/>
  <c r="AC271" i="6"/>
  <c r="AC287" i="6"/>
  <c r="AC295" i="6"/>
  <c r="AC300" i="6"/>
  <c r="AD305" i="6"/>
  <c r="AC327" i="6"/>
  <c r="AC343" i="6"/>
  <c r="AD345" i="6"/>
  <c r="AC359" i="6"/>
  <c r="AD384" i="6"/>
  <c r="AC390" i="6"/>
  <c r="AD392" i="6"/>
  <c r="P393" i="3"/>
  <c r="P393" i="6"/>
  <c r="N395" i="3"/>
  <c r="N395" i="6"/>
  <c r="AD398" i="6"/>
  <c r="AD400" i="6"/>
  <c r="Z406" i="6"/>
  <c r="AB408" i="6"/>
  <c r="AA411" i="6"/>
  <c r="I369" i="6"/>
  <c r="W354" i="6"/>
  <c r="O243" i="6"/>
  <c r="AC238" i="6"/>
  <c r="AC286" i="6"/>
  <c r="AC310" i="6"/>
  <c r="AD42" i="6"/>
  <c r="AD82" i="6"/>
  <c r="AD114" i="6"/>
  <c r="AD122" i="6"/>
  <c r="AC154" i="6"/>
  <c r="AC162" i="6"/>
  <c r="Z354" i="3"/>
  <c r="Z354" i="6"/>
  <c r="AC362" i="6"/>
  <c r="AA406" i="6"/>
  <c r="AB411" i="6"/>
  <c r="Z397" i="6"/>
  <c r="AD48" i="6"/>
  <c r="AD120" i="6"/>
  <c r="AC405" i="6"/>
  <c r="AC5" i="6"/>
  <c r="AC66" i="6"/>
  <c r="AC205" i="6"/>
  <c r="AC237" i="6"/>
  <c r="AC266" i="6"/>
  <c r="AC277" i="6"/>
  <c r="AC293" i="6"/>
  <c r="AC301" i="6"/>
  <c r="AC309" i="6"/>
  <c r="AC317" i="6"/>
  <c r="AC346" i="6"/>
  <c r="AD349" i="6"/>
  <c r="AD382" i="6"/>
  <c r="AD390" i="6"/>
  <c r="AC396" i="6"/>
  <c r="AC404" i="6"/>
  <c r="AB406" i="6"/>
  <c r="AA409" i="6"/>
  <c r="Z412" i="6"/>
  <c r="J358" i="3"/>
  <c r="I246" i="6"/>
  <c r="O246" i="6"/>
  <c r="Z246" i="6"/>
  <c r="Y246" i="6"/>
  <c r="W246" i="6"/>
  <c r="N246" i="6"/>
  <c r="AA246" i="6"/>
  <c r="V246" i="6"/>
  <c r="M246" i="6"/>
  <c r="AB246" i="6"/>
  <c r="U246" i="6"/>
  <c r="L246" i="6"/>
  <c r="P246" i="6"/>
  <c r="S246" i="6"/>
  <c r="K246" i="6"/>
  <c r="R246" i="6"/>
  <c r="J246" i="6"/>
  <c r="Q246" i="6"/>
  <c r="O3" i="3"/>
  <c r="O3" i="6"/>
  <c r="S23" i="3"/>
  <c r="S23" i="6"/>
  <c r="AB29" i="3"/>
  <c r="AB29" i="6"/>
  <c r="W32" i="6"/>
  <c r="L34" i="3"/>
  <c r="L34" i="6"/>
  <c r="W40" i="6"/>
  <c r="V101" i="6"/>
  <c r="L138" i="3"/>
  <c r="L138" i="6"/>
  <c r="P142" i="3"/>
  <c r="P142" i="6"/>
  <c r="K143" i="3"/>
  <c r="K143" i="6"/>
  <c r="AC3" i="6"/>
  <c r="Z6" i="3"/>
  <c r="Z6" i="6"/>
  <c r="S10" i="3"/>
  <c r="S10" i="6"/>
  <c r="Z14" i="3"/>
  <c r="Z14" i="6"/>
  <c r="S18" i="3"/>
  <c r="S18" i="6"/>
  <c r="K18" i="3"/>
  <c r="K18" i="6"/>
  <c r="S34" i="3"/>
  <c r="S34" i="6"/>
  <c r="K34" i="3"/>
  <c r="K34" i="6"/>
  <c r="V40" i="6"/>
  <c r="M40" i="3"/>
  <c r="M40" i="6"/>
  <c r="Y41" i="3"/>
  <c r="Y41" i="6"/>
  <c r="S42" i="3"/>
  <c r="S42" i="6"/>
  <c r="K42" i="3"/>
  <c r="K42" i="6"/>
  <c r="R47" i="3"/>
  <c r="R47" i="6"/>
  <c r="S50" i="3"/>
  <c r="S50" i="6"/>
  <c r="R55" i="3"/>
  <c r="R55" i="6"/>
  <c r="J55" i="3"/>
  <c r="J55" i="6"/>
  <c r="R71" i="3"/>
  <c r="R71" i="6"/>
  <c r="P73" i="3"/>
  <c r="P73" i="6"/>
  <c r="Y81" i="3"/>
  <c r="Y81" i="6"/>
  <c r="Z94" i="3"/>
  <c r="Z94" i="6"/>
  <c r="Y97" i="3"/>
  <c r="Y97" i="6"/>
  <c r="I102" i="3"/>
  <c r="I102" i="6"/>
  <c r="AA107" i="3"/>
  <c r="AA107" i="6"/>
  <c r="I110" i="3"/>
  <c r="I110" i="6"/>
  <c r="Z110" i="3"/>
  <c r="Z110" i="6"/>
  <c r="S122" i="3"/>
  <c r="S122" i="6"/>
  <c r="AA123" i="3"/>
  <c r="AA123" i="6"/>
  <c r="R127" i="3"/>
  <c r="R127" i="6"/>
  <c r="S130" i="3"/>
  <c r="S130" i="6"/>
  <c r="K130" i="3"/>
  <c r="K130" i="6"/>
  <c r="AC131" i="6"/>
  <c r="Z134" i="3"/>
  <c r="Z134" i="6"/>
  <c r="R135" i="3"/>
  <c r="R135" i="6"/>
  <c r="J135" i="3"/>
  <c r="J135" i="6"/>
  <c r="S138" i="3"/>
  <c r="S138" i="6"/>
  <c r="K138" i="3"/>
  <c r="K138" i="6"/>
  <c r="R143" i="3"/>
  <c r="R143" i="6"/>
  <c r="J143" i="3"/>
  <c r="J143" i="6"/>
  <c r="S146" i="3"/>
  <c r="S146" i="6"/>
  <c r="K146" i="3"/>
  <c r="K146" i="6"/>
  <c r="R151" i="3"/>
  <c r="R151" i="6"/>
  <c r="J151" i="3"/>
  <c r="J151" i="6"/>
  <c r="V152" i="6"/>
  <c r="AC158" i="6"/>
  <c r="Y161" i="3"/>
  <c r="Y161" i="6"/>
  <c r="S170" i="3"/>
  <c r="S170" i="6"/>
  <c r="I174" i="3"/>
  <c r="I174" i="6"/>
  <c r="Z174" i="3"/>
  <c r="Z174" i="6"/>
  <c r="S178" i="3"/>
  <c r="S178" i="6"/>
  <c r="Z182" i="3"/>
  <c r="Z182" i="6"/>
  <c r="Y185" i="3"/>
  <c r="Y185" i="6"/>
  <c r="S186" i="3"/>
  <c r="S186" i="6"/>
  <c r="AC190" i="6"/>
  <c r="Y193" i="3"/>
  <c r="Y193" i="6"/>
  <c r="S194" i="3"/>
  <c r="S194" i="6"/>
  <c r="O198" i="3"/>
  <c r="O198" i="6"/>
  <c r="Z198" i="3"/>
  <c r="Z198" i="6"/>
  <c r="AD278" i="6"/>
  <c r="O11" i="3"/>
  <c r="O11" i="6"/>
  <c r="P14" i="3"/>
  <c r="P14" i="6"/>
  <c r="O107" i="3"/>
  <c r="O107" i="6"/>
  <c r="V3" i="6"/>
  <c r="M3" i="3"/>
  <c r="M3" i="6"/>
  <c r="AD3" i="6"/>
  <c r="W6" i="6"/>
  <c r="N6" i="3"/>
  <c r="N6" i="6"/>
  <c r="U8" i="3"/>
  <c r="U8" i="6"/>
  <c r="L8" i="3"/>
  <c r="L8" i="6"/>
  <c r="AC9" i="6"/>
  <c r="R10" i="3"/>
  <c r="R10" i="6"/>
  <c r="V11" i="6"/>
  <c r="M11" i="3"/>
  <c r="M11" i="6"/>
  <c r="AD11" i="6"/>
  <c r="W14" i="6"/>
  <c r="N14" i="3"/>
  <c r="N14" i="6"/>
  <c r="Q15" i="3"/>
  <c r="Q15" i="6"/>
  <c r="U16" i="3"/>
  <c r="U16" i="6"/>
  <c r="L16" i="3"/>
  <c r="L16" i="6"/>
  <c r="AC17" i="6"/>
  <c r="R18" i="3"/>
  <c r="R18" i="6"/>
  <c r="J18" i="3"/>
  <c r="J18" i="6"/>
  <c r="W22" i="6"/>
  <c r="AC22" i="6"/>
  <c r="Q23" i="3"/>
  <c r="Q23" i="6"/>
  <c r="L24" i="3"/>
  <c r="L24" i="6"/>
  <c r="AC25" i="6"/>
  <c r="R26" i="3"/>
  <c r="R26" i="6"/>
  <c r="M27" i="3"/>
  <c r="M27" i="6"/>
  <c r="K29" i="3"/>
  <c r="K29" i="6"/>
  <c r="L32" i="3"/>
  <c r="L32" i="6"/>
  <c r="AC33" i="6"/>
  <c r="R34" i="3"/>
  <c r="R34" i="6"/>
  <c r="J34" i="3"/>
  <c r="J34" i="6"/>
  <c r="AD35" i="6"/>
  <c r="Q39" i="3"/>
  <c r="Q39" i="6"/>
  <c r="L40" i="3"/>
  <c r="L40" i="6"/>
  <c r="I41" i="3"/>
  <c r="I41" i="6"/>
  <c r="O41" i="3"/>
  <c r="O41" i="6"/>
  <c r="AC41" i="6"/>
  <c r="P44" i="3"/>
  <c r="P44" i="6"/>
  <c r="Q47" i="3"/>
  <c r="Q47" i="6"/>
  <c r="O49" i="3"/>
  <c r="O49" i="6"/>
  <c r="Z49" i="3"/>
  <c r="Z49" i="6"/>
  <c r="R50" i="3"/>
  <c r="R50" i="6"/>
  <c r="J50" i="3"/>
  <c r="J50" i="6"/>
  <c r="AD51" i="6"/>
  <c r="P52" i="3"/>
  <c r="P52" i="6"/>
  <c r="AC57" i="6"/>
  <c r="J58" i="3"/>
  <c r="J58" i="6"/>
  <c r="AD59" i="6"/>
  <c r="Z65" i="3"/>
  <c r="Z65" i="6"/>
  <c r="J66" i="3"/>
  <c r="J66" i="6"/>
  <c r="Q71" i="3"/>
  <c r="Q71" i="6"/>
  <c r="O73" i="3"/>
  <c r="O73" i="6"/>
  <c r="AC73" i="6"/>
  <c r="I81" i="3"/>
  <c r="I81" i="6"/>
  <c r="O81" i="3"/>
  <c r="O81" i="6"/>
  <c r="I89" i="3"/>
  <c r="I89" i="6"/>
  <c r="O89" i="3"/>
  <c r="O89" i="6"/>
  <c r="Q95" i="3"/>
  <c r="Q95" i="6"/>
  <c r="AC97" i="6"/>
  <c r="AD99" i="6"/>
  <c r="P100" i="3"/>
  <c r="P100" i="6"/>
  <c r="N102" i="3"/>
  <c r="N102" i="6"/>
  <c r="AA102" i="3"/>
  <c r="AA102" i="6"/>
  <c r="AC105" i="6"/>
  <c r="V107" i="6"/>
  <c r="M107" i="3"/>
  <c r="M107" i="6"/>
  <c r="AB107" i="3"/>
  <c r="AB107" i="6"/>
  <c r="W110" i="6"/>
  <c r="N110" i="3"/>
  <c r="N110" i="6"/>
  <c r="AA110" i="3"/>
  <c r="AA110" i="6"/>
  <c r="AC113" i="6"/>
  <c r="V115" i="6"/>
  <c r="AB115" i="3"/>
  <c r="AB115" i="6"/>
  <c r="AC121" i="6"/>
  <c r="AD123" i="6"/>
  <c r="W126" i="6"/>
  <c r="N126" i="3"/>
  <c r="N126" i="6"/>
  <c r="AC129" i="6"/>
  <c r="R130" i="3"/>
  <c r="R130" i="6"/>
  <c r="J130" i="3"/>
  <c r="J130" i="6"/>
  <c r="M131" i="3"/>
  <c r="M131" i="6"/>
  <c r="AD131" i="6"/>
  <c r="W134" i="6"/>
  <c r="N134" i="3"/>
  <c r="N134" i="6"/>
  <c r="AC137" i="6"/>
  <c r="R138" i="3"/>
  <c r="R138" i="6"/>
  <c r="J138" i="3"/>
  <c r="J138" i="6"/>
  <c r="N142" i="3"/>
  <c r="N142" i="6"/>
  <c r="Q143" i="3"/>
  <c r="Q143" i="6"/>
  <c r="AC145" i="6"/>
  <c r="R146" i="3"/>
  <c r="R146" i="6"/>
  <c r="J146" i="3"/>
  <c r="J146" i="6"/>
  <c r="Q151" i="6"/>
  <c r="Q151" i="3"/>
  <c r="U152" i="3"/>
  <c r="U152" i="6"/>
  <c r="AC153" i="6"/>
  <c r="O161" i="3"/>
  <c r="O161" i="6"/>
  <c r="AC161" i="6"/>
  <c r="K173" i="3"/>
  <c r="K173" i="6"/>
  <c r="W174" i="6"/>
  <c r="N174" i="3"/>
  <c r="N174" i="6"/>
  <c r="AA174" i="3"/>
  <c r="AA174" i="6"/>
  <c r="R178" i="3"/>
  <c r="R178" i="6"/>
  <c r="S181" i="3"/>
  <c r="S181" i="6"/>
  <c r="K181" i="3"/>
  <c r="K181" i="6"/>
  <c r="N182" i="3"/>
  <c r="N182" i="6"/>
  <c r="O185" i="3"/>
  <c r="O185" i="6"/>
  <c r="AD187" i="6"/>
  <c r="N198" i="3"/>
  <c r="N198" i="6"/>
  <c r="AA198" i="3"/>
  <c r="AA198" i="6"/>
  <c r="AC353" i="6"/>
  <c r="AC361" i="6"/>
  <c r="AC369" i="6"/>
  <c r="AC376" i="6"/>
  <c r="M21" i="3"/>
  <c r="M21" i="6"/>
  <c r="P22" i="3"/>
  <c r="P22" i="6"/>
  <c r="N24" i="3"/>
  <c r="N24" i="6"/>
  <c r="N40" i="3"/>
  <c r="N40" i="6"/>
  <c r="R100" i="3"/>
  <c r="R100" i="6"/>
  <c r="P102" i="3"/>
  <c r="P102" i="6"/>
  <c r="U130" i="3"/>
  <c r="U130" i="6"/>
  <c r="P174" i="3"/>
  <c r="P174" i="6"/>
  <c r="Q34" i="3"/>
  <c r="Q34" i="6"/>
  <c r="R37" i="3"/>
  <c r="R37" i="6"/>
  <c r="K40" i="3"/>
  <c r="K40" i="6"/>
  <c r="W41" i="6"/>
  <c r="I44" i="3"/>
  <c r="I44" i="6"/>
  <c r="Z44" i="3"/>
  <c r="Z44" i="6"/>
  <c r="P47" i="3"/>
  <c r="P47" i="6"/>
  <c r="N49" i="3"/>
  <c r="N49" i="6"/>
  <c r="Q50" i="3"/>
  <c r="Q50" i="6"/>
  <c r="P55" i="3"/>
  <c r="P55" i="6"/>
  <c r="W57" i="6"/>
  <c r="AC60" i="6"/>
  <c r="Y63" i="3"/>
  <c r="Y63" i="6"/>
  <c r="W65" i="6"/>
  <c r="Z76" i="3"/>
  <c r="Z76" i="6"/>
  <c r="AA81" i="3"/>
  <c r="AA81" i="6"/>
  <c r="Z84" i="3"/>
  <c r="Z84" i="6"/>
  <c r="AA89" i="3"/>
  <c r="AA89" i="6"/>
  <c r="AD94" i="6"/>
  <c r="Z100" i="3"/>
  <c r="Z100" i="6"/>
  <c r="AB102" i="3"/>
  <c r="AB102" i="6"/>
  <c r="AB110" i="3"/>
  <c r="AB110" i="6"/>
  <c r="Y135" i="3"/>
  <c r="Y135" i="6"/>
  <c r="AB142" i="3"/>
  <c r="AB142" i="6"/>
  <c r="Y143" i="3"/>
  <c r="Y143" i="6"/>
  <c r="AC164" i="6"/>
  <c r="AC172" i="6"/>
  <c r="AB174" i="3"/>
  <c r="AB174" i="6"/>
  <c r="AC180" i="6"/>
  <c r="AB182" i="3"/>
  <c r="AB182" i="6"/>
  <c r="AA201" i="3"/>
  <c r="AA201" i="6"/>
  <c r="AB222" i="3"/>
  <c r="AB222" i="6"/>
  <c r="AB230" i="3"/>
  <c r="AB230" i="6"/>
  <c r="Y247" i="3"/>
  <c r="Y247" i="6"/>
  <c r="P255" i="3"/>
  <c r="P255" i="6"/>
  <c r="Y255" i="3"/>
  <c r="Y255" i="6"/>
  <c r="S256" i="3"/>
  <c r="S256" i="6"/>
  <c r="L259" i="3"/>
  <c r="L259" i="6"/>
  <c r="R269" i="3"/>
  <c r="R269" i="6"/>
  <c r="J269" i="3"/>
  <c r="J269" i="6"/>
  <c r="Q274" i="3"/>
  <c r="Q274" i="6"/>
  <c r="R277" i="3"/>
  <c r="R277" i="6"/>
  <c r="I284" i="3"/>
  <c r="I284" i="6"/>
  <c r="O284" i="3"/>
  <c r="O284" i="6"/>
  <c r="R285" i="3"/>
  <c r="R285" i="6"/>
  <c r="J285" i="3"/>
  <c r="J285" i="6"/>
  <c r="V286" i="6"/>
  <c r="V294" i="6"/>
  <c r="M294" i="3"/>
  <c r="M294" i="6"/>
  <c r="P295" i="3"/>
  <c r="P295" i="6"/>
  <c r="W297" i="6"/>
  <c r="N297" i="3"/>
  <c r="N297" i="6"/>
  <c r="V302" i="6"/>
  <c r="S304" i="3"/>
  <c r="S304" i="6"/>
  <c r="L307" i="3"/>
  <c r="L307" i="6"/>
  <c r="O308" i="3"/>
  <c r="O308" i="6"/>
  <c r="M310" i="3"/>
  <c r="M310" i="6"/>
  <c r="S312" i="3"/>
  <c r="S312" i="6"/>
  <c r="K312" i="3"/>
  <c r="K312" i="6"/>
  <c r="Q314" i="3"/>
  <c r="Q314" i="6"/>
  <c r="R317" i="3"/>
  <c r="R317" i="6"/>
  <c r="J317" i="3"/>
  <c r="J317" i="6"/>
  <c r="S320" i="3"/>
  <c r="S320" i="6"/>
  <c r="K320" i="3"/>
  <c r="K320" i="6"/>
  <c r="Q322" i="3"/>
  <c r="Q322" i="6"/>
  <c r="Z324" i="3"/>
  <c r="Z324" i="6"/>
  <c r="J325" i="3"/>
  <c r="J325" i="6"/>
  <c r="V326" i="6"/>
  <c r="M326" i="3"/>
  <c r="M326" i="6"/>
  <c r="P327" i="3"/>
  <c r="P327" i="6"/>
  <c r="S328" i="3"/>
  <c r="S328" i="6"/>
  <c r="K328" i="3"/>
  <c r="K328" i="6"/>
  <c r="N329" i="3"/>
  <c r="N329" i="6"/>
  <c r="AA329" i="3"/>
  <c r="AA329" i="6"/>
  <c r="O332" i="3"/>
  <c r="O332" i="6"/>
  <c r="M334" i="3"/>
  <c r="M334" i="6"/>
  <c r="R341" i="3"/>
  <c r="R341" i="6"/>
  <c r="J341" i="3"/>
  <c r="J341" i="6"/>
  <c r="V342" i="6"/>
  <c r="M342" i="3"/>
  <c r="M342" i="6"/>
  <c r="W345" i="6"/>
  <c r="AA345" i="3"/>
  <c r="AA345" i="6"/>
  <c r="U347" i="3"/>
  <c r="U347" i="6"/>
  <c r="Y351" i="3"/>
  <c r="Y351" i="6"/>
  <c r="K352" i="3"/>
  <c r="K352" i="6"/>
  <c r="Q354" i="3"/>
  <c r="Q354" i="6"/>
  <c r="Z356" i="3"/>
  <c r="Z356" i="6"/>
  <c r="AD356" i="6" s="1"/>
  <c r="R357" i="3"/>
  <c r="R357" i="6"/>
  <c r="J357" i="3"/>
  <c r="J357" i="6"/>
  <c r="U363" i="3"/>
  <c r="U363" i="6"/>
  <c r="L363" i="3"/>
  <c r="L363" i="6"/>
  <c r="O364" i="3"/>
  <c r="O364" i="6"/>
  <c r="Z364" i="3"/>
  <c r="Z364" i="6"/>
  <c r="V366" i="6"/>
  <c r="M366" i="3"/>
  <c r="M366" i="6"/>
  <c r="S368" i="3"/>
  <c r="S368" i="6"/>
  <c r="K368" i="3"/>
  <c r="K368" i="6"/>
  <c r="W369" i="6"/>
  <c r="O379" i="3"/>
  <c r="O379" i="6"/>
  <c r="Z379" i="3"/>
  <c r="Z379" i="6"/>
  <c r="AD381" i="6"/>
  <c r="Y398" i="3"/>
  <c r="Y398" i="6"/>
  <c r="Z403" i="3"/>
  <c r="Z403" i="6"/>
  <c r="AD403" i="6" s="1"/>
  <c r="Z279" i="6"/>
  <c r="P6" i="3"/>
  <c r="P6" i="6"/>
  <c r="N8" i="3"/>
  <c r="N8" i="6"/>
  <c r="S15" i="3"/>
  <c r="S15" i="6"/>
  <c r="M37" i="3"/>
  <c r="M37" i="6"/>
  <c r="U114" i="3"/>
  <c r="U114" i="6"/>
  <c r="P134" i="3"/>
  <c r="P134" i="6"/>
  <c r="K135" i="3"/>
  <c r="K135" i="6"/>
  <c r="U138" i="3"/>
  <c r="U138" i="6"/>
  <c r="L146" i="3"/>
  <c r="L146" i="6"/>
  <c r="S151" i="3"/>
  <c r="S151" i="6"/>
  <c r="L186" i="3"/>
  <c r="L186" i="6"/>
  <c r="Q26" i="3"/>
  <c r="Q26" i="6"/>
  <c r="K32" i="3"/>
  <c r="K32" i="6"/>
  <c r="Z15" i="3"/>
  <c r="Z15" i="6"/>
  <c r="Z39" i="3"/>
  <c r="Z39" i="6"/>
  <c r="Y42" i="3"/>
  <c r="Y42" i="6"/>
  <c r="Z47" i="3"/>
  <c r="Z47" i="6"/>
  <c r="Y50" i="3"/>
  <c r="Y50" i="6"/>
  <c r="Y58" i="3"/>
  <c r="Y58" i="6"/>
  <c r="V65" i="6"/>
  <c r="AB73" i="3"/>
  <c r="AB73" i="6"/>
  <c r="S75" i="3"/>
  <c r="S75" i="6"/>
  <c r="K75" i="3"/>
  <c r="K75" i="6"/>
  <c r="R80" i="3"/>
  <c r="R80" i="6"/>
  <c r="J80" i="3"/>
  <c r="J80" i="6"/>
  <c r="V81" i="6"/>
  <c r="M81" i="3"/>
  <c r="M81" i="6"/>
  <c r="W84" i="6"/>
  <c r="N84" i="3"/>
  <c r="N84" i="6"/>
  <c r="M89" i="3"/>
  <c r="M89" i="6"/>
  <c r="S91" i="3"/>
  <c r="S91" i="6"/>
  <c r="K91" i="3"/>
  <c r="K91" i="6"/>
  <c r="I95" i="3"/>
  <c r="I95" i="6"/>
  <c r="O95" i="3"/>
  <c r="O95" i="6"/>
  <c r="S99" i="3"/>
  <c r="S99" i="6"/>
  <c r="K99" i="3"/>
  <c r="K99" i="6"/>
  <c r="W100" i="6"/>
  <c r="N100" i="3"/>
  <c r="N100" i="6"/>
  <c r="Q101" i="6"/>
  <c r="Q101" i="3"/>
  <c r="R104" i="3"/>
  <c r="R104" i="6"/>
  <c r="P106" i="3"/>
  <c r="P106" i="6"/>
  <c r="Y106" i="3"/>
  <c r="Y106" i="6"/>
  <c r="K107" i="3"/>
  <c r="K107" i="6"/>
  <c r="W108" i="6"/>
  <c r="N108" i="3"/>
  <c r="N108" i="6"/>
  <c r="Q109" i="3"/>
  <c r="Q109" i="6"/>
  <c r="U110" i="3"/>
  <c r="U110" i="6"/>
  <c r="L110" i="3"/>
  <c r="L110" i="6"/>
  <c r="R112" i="3"/>
  <c r="R112" i="6"/>
  <c r="P114" i="3"/>
  <c r="P114" i="6"/>
  <c r="N116" i="3"/>
  <c r="N116" i="6"/>
  <c r="I119" i="3"/>
  <c r="I119" i="6"/>
  <c r="O119" i="3"/>
  <c r="O119" i="6"/>
  <c r="P130" i="3"/>
  <c r="P130" i="6"/>
  <c r="I135" i="3"/>
  <c r="I135" i="6"/>
  <c r="P138" i="3"/>
  <c r="P138" i="6"/>
  <c r="I143" i="3"/>
  <c r="I143" i="6"/>
  <c r="O143" i="3"/>
  <c r="O143" i="6"/>
  <c r="P146" i="3"/>
  <c r="P146" i="6"/>
  <c r="W148" i="6"/>
  <c r="Q149" i="3"/>
  <c r="Q149" i="6"/>
  <c r="L150" i="3"/>
  <c r="L150" i="6"/>
  <c r="I151" i="3"/>
  <c r="I151" i="6"/>
  <c r="O151" i="3"/>
  <c r="O151" i="6"/>
  <c r="J152" i="3"/>
  <c r="J152" i="6"/>
  <c r="S155" i="3"/>
  <c r="S155" i="6"/>
  <c r="U158" i="3"/>
  <c r="U158" i="6"/>
  <c r="L158" i="3"/>
  <c r="L158" i="6"/>
  <c r="I159" i="3"/>
  <c r="I159" i="6"/>
  <c r="O159" i="3"/>
  <c r="O159" i="6"/>
  <c r="AB161" i="3"/>
  <c r="AB161" i="6"/>
  <c r="AB169" i="3"/>
  <c r="AB169" i="6"/>
  <c r="P178" i="3"/>
  <c r="P178" i="6"/>
  <c r="I183" i="3"/>
  <c r="I183" i="6"/>
  <c r="O183" i="3"/>
  <c r="O183" i="6"/>
  <c r="AB185" i="3"/>
  <c r="AB185" i="6"/>
  <c r="AA196" i="3"/>
  <c r="AA196" i="6"/>
  <c r="Q197" i="3"/>
  <c r="Q197" i="6"/>
  <c r="I199" i="3"/>
  <c r="I199" i="6"/>
  <c r="O199" i="3"/>
  <c r="O199" i="6"/>
  <c r="V201" i="6"/>
  <c r="Q205" i="3"/>
  <c r="Q205" i="6"/>
  <c r="L206" i="3"/>
  <c r="L206" i="6"/>
  <c r="I215" i="3"/>
  <c r="I215" i="6"/>
  <c r="O215" i="3"/>
  <c r="O215" i="6"/>
  <c r="J216" i="3"/>
  <c r="J216" i="6"/>
  <c r="AB217" i="3"/>
  <c r="AB217" i="6"/>
  <c r="S219" i="3"/>
  <c r="S219" i="6"/>
  <c r="U222" i="3"/>
  <c r="U222" i="6"/>
  <c r="L222" i="3"/>
  <c r="L222" i="6"/>
  <c r="R224" i="3"/>
  <c r="R224" i="6"/>
  <c r="J224" i="3"/>
  <c r="J224" i="6"/>
  <c r="V225" i="6"/>
  <c r="P226" i="3"/>
  <c r="P226" i="6"/>
  <c r="S227" i="3"/>
  <c r="S227" i="6"/>
  <c r="K227" i="3"/>
  <c r="K227" i="6"/>
  <c r="W228" i="6"/>
  <c r="N228" i="3"/>
  <c r="N228" i="6"/>
  <c r="U230" i="3"/>
  <c r="U230" i="6"/>
  <c r="L230" i="3"/>
  <c r="L230" i="6"/>
  <c r="R232" i="3"/>
  <c r="R232" i="6"/>
  <c r="M233" i="3"/>
  <c r="M233" i="6"/>
  <c r="S235" i="3"/>
  <c r="S235" i="6"/>
  <c r="P242" i="3"/>
  <c r="P242" i="6"/>
  <c r="Q245" i="3"/>
  <c r="Q245" i="6"/>
  <c r="I247" i="3"/>
  <c r="I247" i="6"/>
  <c r="O247" i="3"/>
  <c r="O247" i="6"/>
  <c r="R248" i="3"/>
  <c r="R248" i="6"/>
  <c r="V249" i="6"/>
  <c r="P250" i="3"/>
  <c r="P250" i="6"/>
  <c r="I255" i="3"/>
  <c r="I255" i="6"/>
  <c r="O255" i="3"/>
  <c r="O255" i="6"/>
  <c r="Z255" i="3"/>
  <c r="Z255" i="6"/>
  <c r="AB257" i="3"/>
  <c r="AB257" i="6"/>
  <c r="Y258" i="3"/>
  <c r="Y258" i="6"/>
  <c r="Y266" i="3"/>
  <c r="Y266" i="6"/>
  <c r="AB273" i="3"/>
  <c r="AB273" i="6"/>
  <c r="Y274" i="3"/>
  <c r="Y274" i="6"/>
  <c r="AA284" i="3"/>
  <c r="AA284" i="6"/>
  <c r="AB289" i="3"/>
  <c r="AB289" i="6"/>
  <c r="AA292" i="3"/>
  <c r="AA292" i="6"/>
  <c r="AB297" i="3"/>
  <c r="AB297" i="6"/>
  <c r="Y298" i="3"/>
  <c r="Y298" i="6"/>
  <c r="Z303" i="3"/>
  <c r="Z303" i="6"/>
  <c r="P306" i="3"/>
  <c r="P306" i="6"/>
  <c r="R312" i="3"/>
  <c r="R312" i="6"/>
  <c r="J312" i="3"/>
  <c r="J312" i="6"/>
  <c r="P314" i="3"/>
  <c r="P314" i="6"/>
  <c r="Q317" i="3"/>
  <c r="Q317" i="6"/>
  <c r="Z319" i="3"/>
  <c r="Z319" i="6"/>
  <c r="R320" i="3"/>
  <c r="R320" i="6"/>
  <c r="P322" i="3"/>
  <c r="P322" i="6"/>
  <c r="I327" i="3"/>
  <c r="I327" i="6"/>
  <c r="R328" i="3"/>
  <c r="R328" i="6"/>
  <c r="J328" i="3"/>
  <c r="J328" i="6"/>
  <c r="Q333" i="3"/>
  <c r="Q333" i="6"/>
  <c r="U334" i="3"/>
  <c r="U334" i="6"/>
  <c r="L334" i="3"/>
  <c r="L334" i="6"/>
  <c r="Z335" i="3"/>
  <c r="Z335" i="6"/>
  <c r="V337" i="6"/>
  <c r="M337" i="3"/>
  <c r="M337" i="6"/>
  <c r="P338" i="3"/>
  <c r="P338" i="6"/>
  <c r="N340" i="3"/>
  <c r="N340" i="6"/>
  <c r="U342" i="3"/>
  <c r="U342" i="6"/>
  <c r="L342" i="3"/>
  <c r="L342" i="6"/>
  <c r="M345" i="3"/>
  <c r="M345" i="6"/>
  <c r="S347" i="3"/>
  <c r="S347" i="6"/>
  <c r="K347" i="3"/>
  <c r="K347" i="6"/>
  <c r="W348" i="6"/>
  <c r="N348" i="3"/>
  <c r="N348" i="6"/>
  <c r="AC387" i="6"/>
  <c r="AD351" i="6"/>
  <c r="I35" i="3"/>
  <c r="I35" i="6"/>
  <c r="L106" i="3"/>
  <c r="L106" i="6"/>
  <c r="L114" i="3"/>
  <c r="L114" i="6"/>
  <c r="S16" i="3"/>
  <c r="S16" i="6"/>
  <c r="P23" i="3"/>
  <c r="P23" i="6"/>
  <c r="S32" i="3"/>
  <c r="S32" i="6"/>
  <c r="AB41" i="3"/>
  <c r="AB41" i="6"/>
  <c r="Z55" i="3"/>
  <c r="Z55" i="6"/>
  <c r="AD4" i="6"/>
  <c r="Y5" i="3"/>
  <c r="Y5" i="6"/>
  <c r="I10" i="3"/>
  <c r="I10" i="6"/>
  <c r="AA15" i="3"/>
  <c r="AA15" i="6"/>
  <c r="I18" i="3"/>
  <c r="I18" i="6"/>
  <c r="Z18" i="3"/>
  <c r="Z18" i="6"/>
  <c r="AD18" i="6" s="1"/>
  <c r="Y21" i="3"/>
  <c r="Y21" i="6"/>
  <c r="AA23" i="3"/>
  <c r="AA23" i="6"/>
  <c r="I26" i="3"/>
  <c r="I26" i="6"/>
  <c r="Y29" i="3"/>
  <c r="Y29" i="6"/>
  <c r="I34" i="3"/>
  <c r="I34" i="6"/>
  <c r="Z34" i="3"/>
  <c r="Z34" i="6"/>
  <c r="AA39" i="3"/>
  <c r="AA39" i="6"/>
  <c r="I42" i="3"/>
  <c r="I42" i="6"/>
  <c r="AA47" i="3"/>
  <c r="AA47" i="6"/>
  <c r="O50" i="3"/>
  <c r="O50" i="6"/>
  <c r="W55" i="6"/>
  <c r="N55" i="3"/>
  <c r="N55" i="6"/>
  <c r="AA55" i="3"/>
  <c r="AA55" i="6"/>
  <c r="U57" i="3"/>
  <c r="U57" i="6"/>
  <c r="I58" i="3"/>
  <c r="I58" i="6"/>
  <c r="I66" i="3"/>
  <c r="I66" i="6"/>
  <c r="V68" i="6"/>
  <c r="U81" i="3"/>
  <c r="U81" i="6"/>
  <c r="L81" i="3"/>
  <c r="L81" i="6"/>
  <c r="M84" i="3"/>
  <c r="M84" i="6"/>
  <c r="AB84" i="3"/>
  <c r="AB84" i="6"/>
  <c r="U89" i="3"/>
  <c r="U89" i="6"/>
  <c r="L89" i="3"/>
  <c r="L89" i="6"/>
  <c r="W95" i="6"/>
  <c r="N95" i="3"/>
  <c r="N95" i="6"/>
  <c r="AA95" i="3"/>
  <c r="AA95" i="6"/>
  <c r="U97" i="3"/>
  <c r="U97" i="6"/>
  <c r="V100" i="6"/>
  <c r="M100" i="3"/>
  <c r="M100" i="6"/>
  <c r="AB100" i="3"/>
  <c r="AB100" i="6"/>
  <c r="S102" i="3"/>
  <c r="S102" i="6"/>
  <c r="O106" i="3"/>
  <c r="O106" i="6"/>
  <c r="Z106" i="3"/>
  <c r="Z106" i="6"/>
  <c r="AC106" i="6" s="1"/>
  <c r="R107" i="3"/>
  <c r="R107" i="6"/>
  <c r="J107" i="3"/>
  <c r="J107" i="6"/>
  <c r="S110" i="3"/>
  <c r="S110" i="6"/>
  <c r="K110" i="3"/>
  <c r="K110" i="6"/>
  <c r="R115" i="3"/>
  <c r="R115" i="6"/>
  <c r="J115" i="3"/>
  <c r="J115" i="6"/>
  <c r="AD124" i="6"/>
  <c r="Z130" i="3"/>
  <c r="Z130" i="6"/>
  <c r="AA135" i="3"/>
  <c r="AA135" i="6"/>
  <c r="Z138" i="3"/>
  <c r="Z138" i="6"/>
  <c r="AD140" i="6"/>
  <c r="AA143" i="3"/>
  <c r="AA143" i="6"/>
  <c r="Z146" i="3"/>
  <c r="Z146" i="6"/>
  <c r="AD148" i="6"/>
  <c r="AD156" i="6"/>
  <c r="AD164" i="6"/>
  <c r="Z170" i="3"/>
  <c r="Z170" i="6"/>
  <c r="AD170" i="6" s="1"/>
  <c r="AD172" i="6"/>
  <c r="AD180" i="6"/>
  <c r="Y181" i="3"/>
  <c r="Y181" i="6"/>
  <c r="Z186" i="3"/>
  <c r="Z186" i="6"/>
  <c r="AD196" i="6"/>
  <c r="Y197" i="3"/>
  <c r="Y197" i="6"/>
  <c r="Z202" i="3"/>
  <c r="Z202" i="6"/>
  <c r="AC202" i="6" s="1"/>
  <c r="AC377" i="6"/>
  <c r="AD387" i="6"/>
  <c r="L18" i="3"/>
  <c r="L18" i="6"/>
  <c r="K23" i="3"/>
  <c r="K23" i="6"/>
  <c r="U34" i="3"/>
  <c r="U34" i="6"/>
  <c r="K95" i="3"/>
  <c r="K95" i="6"/>
  <c r="J100" i="3"/>
  <c r="J100" i="6"/>
  <c r="Z107" i="3"/>
  <c r="Z107" i="6"/>
  <c r="L130" i="3"/>
  <c r="L130" i="6"/>
  <c r="U146" i="3"/>
  <c r="U146" i="6"/>
  <c r="L170" i="3"/>
  <c r="L170" i="6"/>
  <c r="U186" i="3"/>
  <c r="U186" i="6"/>
  <c r="S8" i="3"/>
  <c r="S8" i="6"/>
  <c r="J29" i="3"/>
  <c r="J29" i="6"/>
  <c r="I23" i="3"/>
  <c r="I23" i="6"/>
  <c r="Z23" i="3"/>
  <c r="Z23" i="6"/>
  <c r="P34" i="3"/>
  <c r="P34" i="6"/>
  <c r="I55" i="3"/>
  <c r="I55" i="6"/>
  <c r="P8" i="3"/>
  <c r="P8" i="6"/>
  <c r="P16" i="3"/>
  <c r="P16" i="6"/>
  <c r="W18" i="6"/>
  <c r="O21" i="3"/>
  <c r="O21" i="6"/>
  <c r="P24" i="3"/>
  <c r="P24" i="6"/>
  <c r="AA26" i="3"/>
  <c r="AA26" i="6"/>
  <c r="P32" i="3"/>
  <c r="P32" i="6"/>
  <c r="W34" i="6"/>
  <c r="N34" i="3"/>
  <c r="N34" i="6"/>
  <c r="V39" i="6"/>
  <c r="P40" i="3"/>
  <c r="P40" i="6"/>
  <c r="K41" i="3"/>
  <c r="K41" i="6"/>
  <c r="AA42" i="3"/>
  <c r="AA42" i="6"/>
  <c r="AB47" i="3"/>
  <c r="AB47" i="6"/>
  <c r="Y48" i="3"/>
  <c r="Y48" i="6"/>
  <c r="AA50" i="3"/>
  <c r="AA50" i="6"/>
  <c r="Z53" i="3"/>
  <c r="Z53" i="6"/>
  <c r="AB55" i="3"/>
  <c r="AB55" i="6"/>
  <c r="AB63" i="3"/>
  <c r="AB63" i="6"/>
  <c r="AD71" i="6"/>
  <c r="AD87" i="6"/>
  <c r="AD93" i="6"/>
  <c r="AD95" i="6"/>
  <c r="S97" i="3"/>
  <c r="S97" i="6"/>
  <c r="K97" i="3"/>
  <c r="K97" i="6"/>
  <c r="U100" i="3"/>
  <c r="U100" i="6"/>
  <c r="L100" i="3"/>
  <c r="L100" i="6"/>
  <c r="I101" i="3"/>
  <c r="I101" i="6"/>
  <c r="R102" i="3"/>
  <c r="R102" i="6"/>
  <c r="AD103" i="6"/>
  <c r="W106" i="6"/>
  <c r="N106" i="3"/>
  <c r="N106" i="6"/>
  <c r="R110" i="3"/>
  <c r="R110" i="6"/>
  <c r="AD111" i="6"/>
  <c r="K113" i="3"/>
  <c r="K113" i="6"/>
  <c r="W114" i="6"/>
  <c r="AD119" i="6"/>
  <c r="Q123" i="3"/>
  <c r="Q123" i="6"/>
  <c r="W130" i="6"/>
  <c r="N130" i="3"/>
  <c r="N130" i="6"/>
  <c r="R134" i="3"/>
  <c r="R134" i="6"/>
  <c r="V135" i="6"/>
  <c r="M135" i="3"/>
  <c r="M135" i="6"/>
  <c r="AB135" i="3"/>
  <c r="AB135" i="6"/>
  <c r="W138" i="6"/>
  <c r="N138" i="3"/>
  <c r="N138" i="6"/>
  <c r="AD141" i="6"/>
  <c r="J142" i="3"/>
  <c r="J142" i="6"/>
  <c r="V143" i="6"/>
  <c r="M143" i="3"/>
  <c r="M143" i="6"/>
  <c r="AB143" i="3"/>
  <c r="AB143" i="6"/>
  <c r="W146" i="6"/>
  <c r="N146" i="3"/>
  <c r="N146" i="6"/>
  <c r="AD149" i="6"/>
  <c r="AB151" i="3"/>
  <c r="AB151" i="6"/>
  <c r="AD151" i="6" s="1"/>
  <c r="O157" i="3"/>
  <c r="O157" i="6"/>
  <c r="Z157" i="3"/>
  <c r="Z157" i="6"/>
  <c r="AD159" i="6"/>
  <c r="P160" i="3"/>
  <c r="P160" i="6"/>
  <c r="Y160" i="3"/>
  <c r="Y160" i="6"/>
  <c r="S161" i="3"/>
  <c r="S161" i="6"/>
  <c r="K161" i="3"/>
  <c r="K161" i="6"/>
  <c r="AD167" i="6"/>
  <c r="W170" i="6"/>
  <c r="O173" i="3"/>
  <c r="O173" i="6"/>
  <c r="AC173" i="6"/>
  <c r="R174" i="3"/>
  <c r="R174" i="6"/>
  <c r="J174" i="3"/>
  <c r="J174" i="6"/>
  <c r="S185" i="3"/>
  <c r="S185" i="6"/>
  <c r="K185" i="3"/>
  <c r="K185" i="6"/>
  <c r="W186" i="6"/>
  <c r="S193" i="3"/>
  <c r="S193" i="6"/>
  <c r="R206" i="3"/>
  <c r="R206" i="6"/>
  <c r="N210" i="3"/>
  <c r="N210" i="6"/>
  <c r="AD378" i="6"/>
  <c r="AD355" i="6"/>
  <c r="Q341" i="6"/>
  <c r="P330" i="6"/>
  <c r="L267" i="6"/>
  <c r="N16" i="3"/>
  <c r="N16" i="6"/>
  <c r="U18" i="3"/>
  <c r="U18" i="6"/>
  <c r="N32" i="3"/>
  <c r="N32" i="6"/>
  <c r="Q81" i="3"/>
  <c r="Q81" i="6"/>
  <c r="Q97" i="3"/>
  <c r="Q97" i="6"/>
  <c r="U106" i="3"/>
  <c r="U106" i="6"/>
  <c r="S135" i="3"/>
  <c r="S135" i="6"/>
  <c r="S143" i="3"/>
  <c r="S143" i="6"/>
  <c r="M197" i="3"/>
  <c r="M197" i="6"/>
  <c r="AC4" i="6"/>
  <c r="Y3" i="6"/>
  <c r="Z8" i="3"/>
  <c r="Z8" i="6"/>
  <c r="Z16" i="3"/>
  <c r="Z16" i="6"/>
  <c r="Z24" i="3"/>
  <c r="Z24" i="6"/>
  <c r="AB26" i="3"/>
  <c r="AB26" i="6"/>
  <c r="Z32" i="3"/>
  <c r="Z32" i="6"/>
  <c r="V34" i="6"/>
  <c r="AB34" i="3"/>
  <c r="AB34" i="6"/>
  <c r="Z40" i="3"/>
  <c r="Z40" i="6"/>
  <c r="V42" i="6"/>
  <c r="U47" i="3"/>
  <c r="U47" i="6"/>
  <c r="AC48" i="6"/>
  <c r="R49" i="3"/>
  <c r="R49" i="6"/>
  <c r="V50" i="6"/>
  <c r="AB50" i="3"/>
  <c r="AB50" i="6"/>
  <c r="AD50" i="6" s="1"/>
  <c r="L55" i="3"/>
  <c r="L55" i="6"/>
  <c r="AC56" i="6"/>
  <c r="AB58" i="3"/>
  <c r="AB58" i="6"/>
  <c r="L63" i="3"/>
  <c r="L63" i="6"/>
  <c r="AC64" i="6"/>
  <c r="J65" i="3"/>
  <c r="J65" i="6"/>
  <c r="AB66" i="3"/>
  <c r="AB66" i="6"/>
  <c r="S68" i="3"/>
  <c r="S68" i="6"/>
  <c r="AC72" i="6"/>
  <c r="AC80" i="6"/>
  <c r="AC88" i="6"/>
  <c r="AC96" i="6"/>
  <c r="AA101" i="3"/>
  <c r="AA101" i="6"/>
  <c r="Q102" i="3"/>
  <c r="Q102" i="6"/>
  <c r="AC104" i="6"/>
  <c r="M106" i="3"/>
  <c r="M106" i="6"/>
  <c r="AB106" i="3"/>
  <c r="AB106" i="6"/>
  <c r="P107" i="3"/>
  <c r="P107" i="6"/>
  <c r="Y107" i="3"/>
  <c r="Y107" i="6"/>
  <c r="S108" i="3"/>
  <c r="S108" i="6"/>
  <c r="K108" i="3"/>
  <c r="K108" i="6"/>
  <c r="Q110" i="3"/>
  <c r="Q110" i="6"/>
  <c r="AC112" i="6"/>
  <c r="P115" i="3"/>
  <c r="P115" i="6"/>
  <c r="S116" i="3"/>
  <c r="S116" i="6"/>
  <c r="U119" i="3"/>
  <c r="U119" i="6"/>
  <c r="L119" i="3"/>
  <c r="L119" i="6"/>
  <c r="AC120" i="6"/>
  <c r="V130" i="6"/>
  <c r="M130" i="3"/>
  <c r="M130" i="6"/>
  <c r="AB130" i="3"/>
  <c r="AB130" i="6"/>
  <c r="U135" i="3"/>
  <c r="U135" i="6"/>
  <c r="L135" i="3"/>
  <c r="L135" i="6"/>
  <c r="V138" i="6"/>
  <c r="M138" i="3"/>
  <c r="M138" i="6"/>
  <c r="AB138" i="3"/>
  <c r="AB138" i="6"/>
  <c r="U143" i="3"/>
  <c r="U143" i="6"/>
  <c r="L143" i="3"/>
  <c r="L143" i="6"/>
  <c r="AB146" i="3"/>
  <c r="AB146" i="6"/>
  <c r="Q150" i="3"/>
  <c r="Q150" i="6"/>
  <c r="U151" i="3"/>
  <c r="U151" i="6"/>
  <c r="Q158" i="3"/>
  <c r="Q158" i="6"/>
  <c r="O160" i="3"/>
  <c r="O160" i="6"/>
  <c r="Z160" i="3"/>
  <c r="Z160" i="6"/>
  <c r="R161" i="3"/>
  <c r="R161" i="6"/>
  <c r="J161" i="3"/>
  <c r="J161" i="6"/>
  <c r="K164" i="3"/>
  <c r="K164" i="6"/>
  <c r="Q166" i="3"/>
  <c r="Q166" i="6"/>
  <c r="M170" i="3"/>
  <c r="M170" i="6"/>
  <c r="W173" i="6"/>
  <c r="N173" i="3"/>
  <c r="N173" i="6"/>
  <c r="Q174" i="3"/>
  <c r="Q174" i="6"/>
  <c r="AC181" i="6"/>
  <c r="Q182" i="3"/>
  <c r="Q182" i="6"/>
  <c r="AD184" i="6"/>
  <c r="R185" i="3"/>
  <c r="R185" i="6"/>
  <c r="J185" i="3"/>
  <c r="J185" i="6"/>
  <c r="V186" i="6"/>
  <c r="AB186" i="3"/>
  <c r="AB186" i="6"/>
  <c r="AC189" i="6"/>
  <c r="AD194" i="6"/>
  <c r="N197" i="3"/>
  <c r="N197" i="6"/>
  <c r="AA197" i="3"/>
  <c r="AA197" i="6"/>
  <c r="Q198" i="3"/>
  <c r="Q198" i="6"/>
  <c r="AD200" i="6"/>
  <c r="U299" i="6"/>
  <c r="P354" i="3"/>
  <c r="P354" i="6"/>
  <c r="W356" i="6"/>
  <c r="U358" i="3"/>
  <c r="U358" i="6"/>
  <c r="S363" i="3"/>
  <c r="S363" i="6"/>
  <c r="R368" i="3"/>
  <c r="R368" i="6"/>
  <c r="J368" i="3"/>
  <c r="J368" i="6"/>
  <c r="S378" i="3"/>
  <c r="S378" i="6"/>
  <c r="N379" i="3"/>
  <c r="N379" i="6"/>
  <c r="Q380" i="3"/>
  <c r="Q380" i="6"/>
  <c r="V384" i="6"/>
  <c r="R391" i="3"/>
  <c r="R391" i="6"/>
  <c r="M392" i="3"/>
  <c r="M392" i="6"/>
  <c r="J399" i="3"/>
  <c r="J399" i="6"/>
  <c r="V400" i="6"/>
  <c r="M400" i="3"/>
  <c r="M400" i="6"/>
  <c r="Q404" i="3"/>
  <c r="Q404" i="6"/>
  <c r="Q412" i="3"/>
  <c r="Q412" i="6"/>
  <c r="Z327" i="3"/>
  <c r="P409" i="6"/>
  <c r="S402" i="6"/>
  <c r="W395" i="6"/>
  <c r="V369" i="6"/>
  <c r="Q365" i="6"/>
  <c r="U381" i="6"/>
  <c r="K410" i="6"/>
  <c r="Q357" i="6"/>
  <c r="L358" i="6"/>
  <c r="V235" i="6"/>
  <c r="U217" i="3"/>
  <c r="U217" i="6"/>
  <c r="AD220" i="6"/>
  <c r="S222" i="3"/>
  <c r="S222" i="6"/>
  <c r="K222" i="3"/>
  <c r="K222" i="6"/>
  <c r="N223" i="3"/>
  <c r="N223" i="6"/>
  <c r="AA223" i="3"/>
  <c r="AA223" i="6"/>
  <c r="Z226" i="3"/>
  <c r="Z226" i="6"/>
  <c r="R227" i="3"/>
  <c r="R227" i="6"/>
  <c r="J227" i="3"/>
  <c r="J227" i="6"/>
  <c r="AD228" i="6"/>
  <c r="S230" i="3"/>
  <c r="S230" i="6"/>
  <c r="R235" i="3"/>
  <c r="R235" i="6"/>
  <c r="J235" i="3"/>
  <c r="J235" i="6"/>
  <c r="AD236" i="6"/>
  <c r="O242" i="3"/>
  <c r="O242" i="6"/>
  <c r="Z242" i="3"/>
  <c r="Z242" i="6"/>
  <c r="R243" i="3"/>
  <c r="R243" i="6"/>
  <c r="J243" i="3"/>
  <c r="J243" i="6"/>
  <c r="AD244" i="6"/>
  <c r="W247" i="6"/>
  <c r="N247" i="3"/>
  <c r="N247" i="6"/>
  <c r="AA247" i="3"/>
  <c r="AA247" i="6"/>
  <c r="R251" i="3"/>
  <c r="R251" i="6"/>
  <c r="AD252" i="6"/>
  <c r="W255" i="6"/>
  <c r="N255" i="3"/>
  <c r="N255" i="6"/>
  <c r="AA255" i="3"/>
  <c r="AA255" i="6"/>
  <c r="AD260" i="6"/>
  <c r="AB268" i="3"/>
  <c r="AB268" i="6"/>
  <c r="P269" i="3"/>
  <c r="P269" i="6"/>
  <c r="I274" i="3"/>
  <c r="I274" i="6"/>
  <c r="O274" i="3"/>
  <c r="O274" i="6"/>
  <c r="AD276" i="6"/>
  <c r="P277" i="3"/>
  <c r="P277" i="6"/>
  <c r="AD284" i="6"/>
  <c r="U297" i="3"/>
  <c r="U297" i="6"/>
  <c r="AD300" i="6"/>
  <c r="S302" i="3"/>
  <c r="S302" i="6"/>
  <c r="K302" i="3"/>
  <c r="K302" i="6"/>
  <c r="AB308" i="3"/>
  <c r="AB308" i="6"/>
  <c r="Z314" i="3"/>
  <c r="Z314" i="6"/>
  <c r="Y317" i="3"/>
  <c r="Y317" i="6"/>
  <c r="Z322" i="3"/>
  <c r="Z322" i="6"/>
  <c r="Z338" i="3"/>
  <c r="Z338" i="6"/>
  <c r="Y341" i="3"/>
  <c r="Y341" i="6"/>
  <c r="Y357" i="3"/>
  <c r="Y357" i="6"/>
  <c r="AC385" i="6"/>
  <c r="Q391" i="3"/>
  <c r="Q391" i="6"/>
  <c r="AC393" i="6"/>
  <c r="AC401" i="6"/>
  <c r="U408" i="3"/>
  <c r="U408" i="6"/>
  <c r="O385" i="3"/>
  <c r="Z334" i="3"/>
  <c r="L293" i="3"/>
  <c r="Z41" i="3"/>
  <c r="K402" i="6"/>
  <c r="L389" i="6"/>
  <c r="O380" i="6"/>
  <c r="P368" i="6"/>
  <c r="AA370" i="6"/>
  <c r="K366" i="6"/>
  <c r="I382" i="6"/>
  <c r="S410" i="6"/>
  <c r="N387" i="6"/>
  <c r="AA357" i="6"/>
  <c r="L352" i="6"/>
  <c r="J297" i="6"/>
  <c r="Z312" i="6"/>
  <c r="Z328" i="6"/>
  <c r="AC328" i="6" s="1"/>
  <c r="Q286" i="6"/>
  <c r="W279" i="6"/>
  <c r="W256" i="6"/>
  <c r="R222" i="3"/>
  <c r="R222" i="6"/>
  <c r="J222" i="3"/>
  <c r="J222" i="6"/>
  <c r="M223" i="3"/>
  <c r="M223" i="6"/>
  <c r="W226" i="6"/>
  <c r="N226" i="3"/>
  <c r="N226" i="6"/>
  <c r="Q227" i="3"/>
  <c r="Q227" i="6"/>
  <c r="R230" i="3"/>
  <c r="R230" i="6"/>
  <c r="R238" i="3"/>
  <c r="R238" i="6"/>
  <c r="W242" i="6"/>
  <c r="N242" i="3"/>
  <c r="N242" i="6"/>
  <c r="V247" i="6"/>
  <c r="M247" i="3"/>
  <c r="M247" i="6"/>
  <c r="V255" i="6"/>
  <c r="M255" i="3"/>
  <c r="M255" i="6"/>
  <c r="AB255" i="3"/>
  <c r="AB255" i="6"/>
  <c r="AD263" i="6"/>
  <c r="Z269" i="3"/>
  <c r="Z269" i="6"/>
  <c r="Z285" i="3"/>
  <c r="Z285" i="6"/>
  <c r="AD287" i="6"/>
  <c r="P312" i="3"/>
  <c r="P312" i="6"/>
  <c r="I317" i="3"/>
  <c r="I317" i="6"/>
  <c r="AD327" i="6"/>
  <c r="AA338" i="3"/>
  <c r="AA338" i="6"/>
  <c r="V351" i="6"/>
  <c r="P352" i="3"/>
  <c r="P352" i="6"/>
  <c r="N354" i="3"/>
  <c r="N354" i="6"/>
  <c r="I357" i="3"/>
  <c r="I357" i="6"/>
  <c r="Q363" i="3"/>
  <c r="Q363" i="6"/>
  <c r="R397" i="3"/>
  <c r="R397" i="6"/>
  <c r="J397" i="3"/>
  <c r="J397" i="6"/>
  <c r="Y324" i="3"/>
  <c r="J308" i="3"/>
  <c r="O290" i="3"/>
  <c r="M285" i="3"/>
  <c r="Y221" i="3"/>
  <c r="O408" i="6"/>
  <c r="S397" i="6"/>
  <c r="U389" i="6"/>
  <c r="U366" i="6"/>
  <c r="P362" i="6"/>
  <c r="Y370" i="6"/>
  <c r="Z388" i="6"/>
  <c r="R379" i="6"/>
  <c r="U368" i="6"/>
  <c r="P387" i="6"/>
  <c r="S309" i="6"/>
  <c r="N279" i="6"/>
  <c r="V202" i="6"/>
  <c r="M202" i="3"/>
  <c r="M202" i="6"/>
  <c r="W205" i="6"/>
  <c r="AD210" i="6"/>
  <c r="AA213" i="3"/>
  <c r="AA213" i="6"/>
  <c r="AC213" i="6" s="1"/>
  <c r="AD216" i="6"/>
  <c r="J217" i="3"/>
  <c r="J217" i="6"/>
  <c r="AD218" i="6"/>
  <c r="Q222" i="3"/>
  <c r="Q222" i="6"/>
  <c r="P227" i="3"/>
  <c r="P227" i="6"/>
  <c r="Q230" i="3"/>
  <c r="Q230" i="6"/>
  <c r="P235" i="3"/>
  <c r="P235" i="6"/>
  <c r="P243" i="3"/>
  <c r="P243" i="6"/>
  <c r="U247" i="3"/>
  <c r="U247" i="6"/>
  <c r="L247" i="3"/>
  <c r="L247" i="6"/>
  <c r="V250" i="6"/>
  <c r="S252" i="3"/>
  <c r="S252" i="6"/>
  <c r="AC253" i="6"/>
  <c r="U255" i="3"/>
  <c r="U255" i="6"/>
  <c r="L255" i="3"/>
  <c r="L255" i="6"/>
  <c r="AD258" i="6"/>
  <c r="AD266" i="6"/>
  <c r="W269" i="6"/>
  <c r="N269" i="3"/>
  <c r="N269" i="6"/>
  <c r="AC272" i="6"/>
  <c r="V274" i="6"/>
  <c r="M274" i="3"/>
  <c r="M274" i="6"/>
  <c r="U279" i="3"/>
  <c r="U279" i="6"/>
  <c r="S284" i="3"/>
  <c r="S284" i="6"/>
  <c r="N285" i="3"/>
  <c r="N285" i="6"/>
  <c r="U287" i="3"/>
  <c r="U287" i="6"/>
  <c r="S292" i="3"/>
  <c r="S292" i="6"/>
  <c r="Q294" i="3"/>
  <c r="Q294" i="6"/>
  <c r="U295" i="3"/>
  <c r="U295" i="6"/>
  <c r="P299" i="3"/>
  <c r="P299" i="6"/>
  <c r="I304" i="3"/>
  <c r="I304" i="6"/>
  <c r="AB314" i="3"/>
  <c r="AB314" i="6"/>
  <c r="AB322" i="3"/>
  <c r="AB322" i="6"/>
  <c r="Z352" i="3"/>
  <c r="Z352" i="6"/>
  <c r="I368" i="3"/>
  <c r="I368" i="6"/>
  <c r="Z368" i="3"/>
  <c r="Z368" i="6"/>
  <c r="AA380" i="3"/>
  <c r="AA380" i="6"/>
  <c r="I391" i="3"/>
  <c r="I391" i="6"/>
  <c r="Z391" i="3"/>
  <c r="Z391" i="6"/>
  <c r="O390" i="3"/>
  <c r="S357" i="3"/>
  <c r="R354" i="3"/>
  <c r="J336" i="3"/>
  <c r="S287" i="3"/>
  <c r="U274" i="3"/>
  <c r="M261" i="3"/>
  <c r="K397" i="6"/>
  <c r="O406" i="6"/>
  <c r="W397" i="6"/>
  <c r="N411" i="6"/>
  <c r="I370" i="6"/>
  <c r="L366" i="6"/>
  <c r="O370" i="6"/>
  <c r="M403" i="6"/>
  <c r="AB379" i="6"/>
  <c r="L368" i="6"/>
  <c r="I354" i="6"/>
  <c r="V387" i="6"/>
  <c r="U356" i="6"/>
  <c r="I297" i="6"/>
  <c r="I227" i="6"/>
  <c r="U202" i="3"/>
  <c r="U202" i="6"/>
  <c r="AD205" i="6"/>
  <c r="Y206" i="3"/>
  <c r="Y206" i="6"/>
  <c r="M213" i="3"/>
  <c r="M213" i="6"/>
  <c r="Q217" i="3"/>
  <c r="Q217" i="6"/>
  <c r="P222" i="3"/>
  <c r="P222" i="6"/>
  <c r="Z227" i="3"/>
  <c r="Z227" i="6"/>
  <c r="AD229" i="6"/>
  <c r="I235" i="3"/>
  <c r="I235" i="6"/>
  <c r="AC235" i="6"/>
  <c r="S239" i="3"/>
  <c r="S239" i="6"/>
  <c r="U242" i="3"/>
  <c r="U242" i="6"/>
  <c r="L242" i="3"/>
  <c r="L242" i="6"/>
  <c r="Z243" i="3"/>
  <c r="Z243" i="6"/>
  <c r="AD245" i="6"/>
  <c r="K247" i="3"/>
  <c r="K247" i="6"/>
  <c r="U250" i="3"/>
  <c r="U250" i="6"/>
  <c r="L250" i="3"/>
  <c r="L250" i="6"/>
  <c r="AD253" i="6"/>
  <c r="S255" i="3"/>
  <c r="S255" i="6"/>
  <c r="K255" i="3"/>
  <c r="K255" i="6"/>
  <c r="AD261" i="6"/>
  <c r="W264" i="6"/>
  <c r="M269" i="3"/>
  <c r="M269" i="6"/>
  <c r="Q281" i="3"/>
  <c r="Q281" i="6"/>
  <c r="R284" i="3"/>
  <c r="R284" i="6"/>
  <c r="J284" i="3"/>
  <c r="J284" i="6"/>
  <c r="V285" i="6"/>
  <c r="AB285" i="3"/>
  <c r="AB285" i="6"/>
  <c r="P286" i="3"/>
  <c r="P286" i="6"/>
  <c r="R300" i="3"/>
  <c r="R300" i="6"/>
  <c r="AD301" i="6"/>
  <c r="O307" i="3"/>
  <c r="O307" i="6"/>
  <c r="R308" i="3"/>
  <c r="R308" i="6"/>
  <c r="AD309" i="6"/>
  <c r="W312" i="6"/>
  <c r="N312" i="3"/>
  <c r="N312" i="6"/>
  <c r="U314" i="3"/>
  <c r="U314" i="6"/>
  <c r="L314" i="3"/>
  <c r="L314" i="6"/>
  <c r="V317" i="6"/>
  <c r="AB317" i="3"/>
  <c r="AB317" i="6"/>
  <c r="S319" i="3"/>
  <c r="S319" i="6"/>
  <c r="W320" i="6"/>
  <c r="N320" i="3"/>
  <c r="N320" i="6"/>
  <c r="U322" i="3"/>
  <c r="U322" i="6"/>
  <c r="L322" i="3"/>
  <c r="L322" i="6"/>
  <c r="M325" i="3"/>
  <c r="M325" i="6"/>
  <c r="AB325" i="3"/>
  <c r="AB325" i="6"/>
  <c r="P326" i="3"/>
  <c r="P326" i="6"/>
  <c r="W328" i="6"/>
  <c r="R332" i="3"/>
  <c r="R332" i="6"/>
  <c r="W336" i="6"/>
  <c r="U338" i="3"/>
  <c r="U338" i="6"/>
  <c r="O339" i="3"/>
  <c r="O339" i="6"/>
  <c r="AC339" i="6"/>
  <c r="M341" i="3"/>
  <c r="M341" i="6"/>
  <c r="AB341" i="3"/>
  <c r="AB341" i="6"/>
  <c r="AC347" i="6"/>
  <c r="W352" i="6"/>
  <c r="U354" i="3"/>
  <c r="U354" i="6"/>
  <c r="L354" i="3"/>
  <c r="L354" i="6"/>
  <c r="M357" i="3"/>
  <c r="M357" i="6"/>
  <c r="AB357" i="3"/>
  <c r="AB357" i="6"/>
  <c r="S359" i="3"/>
  <c r="S359" i="6"/>
  <c r="I363" i="3"/>
  <c r="I363" i="6"/>
  <c r="W368" i="6"/>
  <c r="U370" i="3"/>
  <c r="U370" i="6"/>
  <c r="AA383" i="3"/>
  <c r="AC383" i="3" s="1"/>
  <c r="AA383" i="6"/>
  <c r="AA391" i="3"/>
  <c r="AA391" i="6"/>
  <c r="AA407" i="3"/>
  <c r="AA407" i="6"/>
  <c r="L400" i="3"/>
  <c r="Z346" i="3"/>
  <c r="I341" i="3"/>
  <c r="Z297" i="3"/>
  <c r="N274" i="3"/>
  <c r="I167" i="3"/>
  <c r="N398" i="6"/>
  <c r="N397" i="6"/>
  <c r="W411" i="6"/>
  <c r="K363" i="6"/>
  <c r="O361" i="6"/>
  <c r="V403" i="6"/>
  <c r="Y363" i="6"/>
  <c r="AA354" i="6"/>
  <c r="U336" i="6"/>
  <c r="P342" i="6"/>
  <c r="O317" i="6"/>
  <c r="Q304" i="6"/>
  <c r="P320" i="6"/>
  <c r="O299" i="6"/>
  <c r="V269" i="6"/>
  <c r="AA274" i="6"/>
  <c r="Y201" i="3"/>
  <c r="Y201" i="6"/>
  <c r="S202" i="3"/>
  <c r="S202" i="6"/>
  <c r="K202" i="3"/>
  <c r="K202" i="6"/>
  <c r="S210" i="3"/>
  <c r="S210" i="6"/>
  <c r="Y217" i="3"/>
  <c r="Y217" i="6"/>
  <c r="I222" i="3"/>
  <c r="I222" i="6"/>
  <c r="Z222" i="3"/>
  <c r="Z222" i="6"/>
  <c r="AA227" i="3"/>
  <c r="AA227" i="6"/>
  <c r="I230" i="3"/>
  <c r="I230" i="6"/>
  <c r="Z230" i="3"/>
  <c r="Z230" i="6"/>
  <c r="I238" i="3"/>
  <c r="I238" i="6"/>
  <c r="AA243" i="3"/>
  <c r="AA243" i="6"/>
  <c r="AC254" i="6"/>
  <c r="R255" i="3"/>
  <c r="R255" i="6"/>
  <c r="J255" i="3"/>
  <c r="J255" i="6"/>
  <c r="S274" i="3"/>
  <c r="S274" i="6"/>
  <c r="K274" i="3"/>
  <c r="K274" i="6"/>
  <c r="J279" i="3"/>
  <c r="J279" i="6"/>
  <c r="P281" i="3"/>
  <c r="P281" i="6"/>
  <c r="L285" i="3"/>
  <c r="L285" i="6"/>
  <c r="S290" i="3"/>
  <c r="S290" i="6"/>
  <c r="O294" i="3"/>
  <c r="O294" i="6"/>
  <c r="Z294" i="3"/>
  <c r="Z294" i="6"/>
  <c r="R295" i="3"/>
  <c r="R295" i="6"/>
  <c r="Q300" i="3"/>
  <c r="Q300" i="6"/>
  <c r="I302" i="3"/>
  <c r="I302" i="6"/>
  <c r="Z302" i="3"/>
  <c r="Z302" i="6"/>
  <c r="AB312" i="3"/>
  <c r="AD312" i="3" s="1"/>
  <c r="AB312" i="6"/>
  <c r="AB320" i="3"/>
  <c r="AB320" i="6"/>
  <c r="AB328" i="3"/>
  <c r="AB328" i="6"/>
  <c r="Y329" i="3"/>
  <c r="Y329" i="6"/>
  <c r="AD336" i="6"/>
  <c r="Z342" i="3"/>
  <c r="Z342" i="6"/>
  <c r="AD360" i="6"/>
  <c r="AA363" i="3"/>
  <c r="AA363" i="6"/>
  <c r="Z366" i="3"/>
  <c r="Z366" i="6"/>
  <c r="AB368" i="3"/>
  <c r="AB368" i="6"/>
  <c r="I397" i="3"/>
  <c r="I397" i="6"/>
  <c r="P412" i="3"/>
  <c r="Z410" i="3"/>
  <c r="I407" i="3"/>
  <c r="M384" i="3"/>
  <c r="N364" i="3"/>
  <c r="P328" i="3"/>
  <c r="Y325" i="3"/>
  <c r="Z320" i="3"/>
  <c r="Q156" i="3"/>
  <c r="AA119" i="3"/>
  <c r="Z66" i="3"/>
  <c r="AA34" i="3"/>
  <c r="L397" i="6"/>
  <c r="S394" i="6"/>
  <c r="P391" i="6"/>
  <c r="Z383" i="6"/>
  <c r="P388" i="6"/>
  <c r="R370" i="6"/>
  <c r="N403" i="6"/>
  <c r="K386" i="6"/>
  <c r="O363" i="6"/>
  <c r="J354" i="6"/>
  <c r="K327" i="6"/>
  <c r="O341" i="6"/>
  <c r="I345" i="6"/>
  <c r="AA314" i="6"/>
  <c r="Q329" i="6"/>
  <c r="L328" i="6"/>
  <c r="W285" i="6"/>
  <c r="AB338" i="6"/>
  <c r="AB242" i="6"/>
  <c r="I201" i="3"/>
  <c r="I201" i="6"/>
  <c r="O201" i="3"/>
  <c r="O201" i="6"/>
  <c r="J202" i="3"/>
  <c r="J202" i="6"/>
  <c r="S205" i="3"/>
  <c r="S205" i="6"/>
  <c r="N214" i="3"/>
  <c r="N214" i="6"/>
  <c r="AA214" i="3"/>
  <c r="AA214" i="6"/>
  <c r="S221" i="3"/>
  <c r="S221" i="6"/>
  <c r="W222" i="6"/>
  <c r="N222" i="3"/>
  <c r="N222" i="6"/>
  <c r="AA222" i="3"/>
  <c r="AA222" i="6"/>
  <c r="R226" i="3"/>
  <c r="R226" i="6"/>
  <c r="V227" i="6"/>
  <c r="M227" i="3"/>
  <c r="M227" i="6"/>
  <c r="AB227" i="3"/>
  <c r="AB227" i="6"/>
  <c r="N230" i="3"/>
  <c r="N230" i="6"/>
  <c r="AA230" i="3"/>
  <c r="AA230" i="6"/>
  <c r="AB235" i="3"/>
  <c r="AB235" i="6"/>
  <c r="AD235" i="6" s="1"/>
  <c r="Q239" i="3"/>
  <c r="Q239" i="6"/>
  <c r="V243" i="6"/>
  <c r="M243" i="3"/>
  <c r="M243" i="6"/>
  <c r="AB243" i="3"/>
  <c r="AB243" i="6"/>
  <c r="Q247" i="3"/>
  <c r="Q247" i="6"/>
  <c r="J250" i="3"/>
  <c r="J250" i="6"/>
  <c r="AD251" i="6"/>
  <c r="Q255" i="3"/>
  <c r="Q255" i="6"/>
  <c r="AD259" i="6"/>
  <c r="AC281" i="6"/>
  <c r="AD283" i="6"/>
  <c r="Y284" i="3"/>
  <c r="Y284" i="6"/>
  <c r="AD299" i="6"/>
  <c r="W302" i="6"/>
  <c r="N302" i="3"/>
  <c r="N302" i="6"/>
  <c r="V307" i="6"/>
  <c r="M307" i="3"/>
  <c r="M307" i="6"/>
  <c r="AD307" i="6"/>
  <c r="U312" i="3"/>
  <c r="U312" i="6"/>
  <c r="L312" i="3"/>
  <c r="L312" i="6"/>
  <c r="S317" i="3"/>
  <c r="S317" i="6"/>
  <c r="U320" i="3"/>
  <c r="U320" i="6"/>
  <c r="L320" i="3"/>
  <c r="L320" i="6"/>
  <c r="R322" i="3"/>
  <c r="R322" i="6"/>
  <c r="J322" i="3"/>
  <c r="J322" i="6"/>
  <c r="AD323" i="6"/>
  <c r="S325" i="3"/>
  <c r="S325" i="6"/>
  <c r="Q327" i="3"/>
  <c r="Q327" i="6"/>
  <c r="U328" i="3"/>
  <c r="U328" i="6"/>
  <c r="I329" i="3"/>
  <c r="I329" i="6"/>
  <c r="O329" i="3"/>
  <c r="O329" i="6"/>
  <c r="N334" i="3"/>
  <c r="N334" i="6"/>
  <c r="J338" i="3"/>
  <c r="J338" i="6"/>
  <c r="V339" i="6"/>
  <c r="S341" i="3"/>
  <c r="S341" i="6"/>
  <c r="K341" i="3"/>
  <c r="K341" i="6"/>
  <c r="W342" i="6"/>
  <c r="N342" i="3"/>
  <c r="N342" i="6"/>
  <c r="M347" i="3"/>
  <c r="M347" i="6"/>
  <c r="S349" i="3"/>
  <c r="S349" i="6"/>
  <c r="K357" i="3"/>
  <c r="K357" i="6"/>
  <c r="Q359" i="3"/>
  <c r="Q359" i="6"/>
  <c r="V363" i="6"/>
  <c r="M363" i="3"/>
  <c r="M363" i="6"/>
  <c r="U383" i="3"/>
  <c r="U383" i="6"/>
  <c r="U391" i="3"/>
  <c r="U391" i="6"/>
  <c r="L391" i="3"/>
  <c r="L391" i="6"/>
  <c r="AA397" i="3"/>
  <c r="AC397" i="3" s="1"/>
  <c r="AA397" i="6"/>
  <c r="P394" i="3"/>
  <c r="J391" i="3"/>
  <c r="I378" i="3"/>
  <c r="R373" i="3"/>
  <c r="AB330" i="3"/>
  <c r="M39" i="3"/>
  <c r="Y393" i="6"/>
  <c r="Y385" i="6"/>
  <c r="K394" i="6"/>
  <c r="S386" i="6"/>
  <c r="J370" i="6"/>
  <c r="AB363" i="6"/>
  <c r="AB364" i="6"/>
  <c r="W403" i="6"/>
  <c r="M380" i="6"/>
  <c r="W370" i="6"/>
  <c r="AB354" i="6"/>
  <c r="V357" i="6"/>
  <c r="AA341" i="6"/>
  <c r="M317" i="6"/>
  <c r="I314" i="6"/>
  <c r="K284" i="6"/>
  <c r="S247" i="6"/>
  <c r="AD350" i="6"/>
  <c r="AC337" i="6"/>
  <c r="AC402" i="6"/>
  <c r="AC330" i="6"/>
  <c r="AD367" i="6"/>
  <c r="AD315" i="6"/>
  <c r="AD291" i="6"/>
  <c r="AD293" i="6"/>
  <c r="AD281" i="6"/>
  <c r="AC265" i="6"/>
  <c r="AC275" i="6"/>
  <c r="AC252" i="6"/>
  <c r="AC267" i="6"/>
  <c r="AD211" i="6"/>
  <c r="AD203" i="6"/>
  <c r="AD195" i="6"/>
  <c r="AD212" i="6"/>
  <c r="AD102" i="6"/>
  <c r="AD27" i="6"/>
  <c r="AD19" i="6"/>
  <c r="AD46" i="6"/>
  <c r="AD31" i="6"/>
  <c r="AD313" i="6"/>
  <c r="AD321" i="6"/>
  <c r="AD204" i="6"/>
  <c r="AC220" i="6"/>
  <c r="AD166" i="6"/>
  <c r="AD109" i="6"/>
  <c r="AD372" i="6"/>
  <c r="AD365" i="6"/>
  <c r="AC367" i="6"/>
  <c r="AD209" i="6"/>
  <c r="AD201" i="6"/>
  <c r="AC261" i="6"/>
  <c r="AD219" i="6"/>
  <c r="AC221" i="6"/>
  <c r="AD158" i="6"/>
  <c r="AC10" i="6"/>
  <c r="AD326" i="6"/>
  <c r="AD178" i="6"/>
  <c r="AC228" i="6"/>
  <c r="AD132" i="6"/>
  <c r="AD152" i="6"/>
  <c r="AC168" i="6"/>
  <c r="AD69" i="6"/>
  <c r="AD371" i="6"/>
  <c r="AC381" i="6"/>
  <c r="AD373" i="6"/>
  <c r="AD344" i="6"/>
  <c r="AD337" i="6"/>
  <c r="AD271" i="6"/>
  <c r="AD274" i="6"/>
  <c r="AC262" i="6"/>
  <c r="AD250" i="6"/>
  <c r="AD188" i="6"/>
  <c r="AD150" i="6"/>
  <c r="AC167" i="6"/>
  <c r="AD118" i="6"/>
  <c r="AD86" i="6"/>
  <c r="AD43" i="6"/>
  <c r="AD30" i="6"/>
  <c r="AC374" i="6"/>
  <c r="AD343" i="6"/>
  <c r="AD306" i="6"/>
  <c r="AD298" i="6"/>
  <c r="AC204" i="6"/>
  <c r="AD404" i="6"/>
  <c r="AD380" i="6"/>
  <c r="AC371" i="6"/>
  <c r="AD396" i="6"/>
  <c r="AC333" i="6"/>
  <c r="AC304" i="6"/>
  <c r="AC296" i="6"/>
  <c r="AD329" i="6"/>
  <c r="AC288" i="6"/>
  <c r="AC291" i="6"/>
  <c r="AD316" i="6"/>
  <c r="AD286" i="6"/>
  <c r="AC233" i="6"/>
  <c r="AC251" i="6"/>
  <c r="AD240" i="6"/>
  <c r="AC211" i="6"/>
  <c r="AD223" i="6"/>
  <c r="AD126" i="6"/>
  <c r="AD127" i="6"/>
  <c r="AD62" i="6"/>
  <c r="AD81" i="6"/>
  <c r="AC13" i="6"/>
  <c r="AD2" i="6"/>
  <c r="AD60" i="6"/>
  <c r="AC349" i="6"/>
  <c r="AC282" i="6"/>
  <c r="AD277" i="6"/>
  <c r="AD256" i="6"/>
  <c r="AC155" i="6"/>
  <c r="AD179" i="6"/>
  <c r="AD207" i="6"/>
  <c r="AC128" i="6"/>
  <c r="AC98" i="6"/>
  <c r="AD162" i="6"/>
  <c r="AC124" i="6"/>
  <c r="AC116" i="6"/>
  <c r="AC77" i="6"/>
  <c r="AC118" i="6"/>
  <c r="AC86" i="6"/>
  <c r="AC45" i="6"/>
  <c r="AD5" i="6"/>
  <c r="AD17" i="6"/>
  <c r="AC2" i="6"/>
  <c r="AC399" i="6"/>
  <c r="AD399" i="6"/>
  <c r="AD405" i="6"/>
  <c r="AD389" i="6"/>
  <c r="AC334" i="6"/>
  <c r="AD361" i="6"/>
  <c r="AC351" i="6"/>
  <c r="AC305" i="6"/>
  <c r="AC297" i="6"/>
  <c r="AC315" i="6"/>
  <c r="AD353" i="6"/>
  <c r="AD288" i="6"/>
  <c r="AC263" i="6"/>
  <c r="AC209" i="6"/>
  <c r="AC193" i="6"/>
  <c r="AD193" i="6"/>
  <c r="AC185" i="6"/>
  <c r="AC218" i="6"/>
  <c r="AC187" i="6"/>
  <c r="AD221" i="6"/>
  <c r="AC159" i="6"/>
  <c r="AC126" i="6"/>
  <c r="AC90" i="6"/>
  <c r="AC75" i="6"/>
  <c r="AD75" i="6"/>
  <c r="AC68" i="6"/>
  <c r="AD154" i="6"/>
  <c r="AC62" i="6"/>
  <c r="AD90" i="6"/>
  <c r="AC46" i="6"/>
  <c r="AC30" i="6"/>
  <c r="AD9" i="6"/>
  <c r="AD28" i="6"/>
  <c r="AD10" i="6"/>
  <c r="AD21" i="6"/>
  <c r="AC365" i="6"/>
  <c r="AC382" i="6"/>
  <c r="AD376" i="6"/>
  <c r="AC336" i="6"/>
  <c r="AD348" i="6"/>
  <c r="AC273" i="6"/>
  <c r="AD292" i="6"/>
  <c r="AD264" i="6"/>
  <c r="AC139" i="6"/>
  <c r="AC166" i="6"/>
  <c r="AC142" i="6"/>
  <c r="AC82" i="6"/>
  <c r="AC108" i="6"/>
  <c r="AC125" i="6"/>
  <c r="AC93" i="6"/>
  <c r="AD121" i="6"/>
  <c r="AD68" i="6"/>
  <c r="AC42" i="6"/>
  <c r="AC61" i="6"/>
  <c r="AC37" i="6"/>
  <c r="AD395" i="6"/>
  <c r="AC372" i="6"/>
  <c r="AC373" i="6"/>
  <c r="AC325" i="6"/>
  <c r="AC344" i="6"/>
  <c r="AD311" i="6"/>
  <c r="AC311" i="6"/>
  <c r="AC313" i="6"/>
  <c r="AC278" i="6"/>
  <c r="AC290" i="6"/>
  <c r="AD280" i="6"/>
  <c r="AC257" i="6"/>
  <c r="AC249" i="6"/>
  <c r="AD249" i="6"/>
  <c r="AC241" i="6"/>
  <c r="AD241" i="6"/>
  <c r="AC234" i="6"/>
  <c r="AC259" i="6"/>
  <c r="AD176" i="6"/>
  <c r="AC176" i="6"/>
  <c r="AD248" i="6"/>
  <c r="AC217" i="6"/>
  <c r="AC210" i="6"/>
  <c r="AC219" i="6"/>
  <c r="AC203" i="6"/>
  <c r="AD171" i="6"/>
  <c r="AC147" i="6"/>
  <c r="AD199" i="6"/>
  <c r="AC141" i="6"/>
  <c r="AC152" i="6"/>
  <c r="AD155" i="6"/>
  <c r="AC136" i="6"/>
  <c r="AD133" i="6"/>
  <c r="AD79" i="6"/>
  <c r="AC21" i="6"/>
  <c r="AD57" i="6"/>
  <c r="AD13" i="6"/>
  <c r="AD52" i="6"/>
  <c r="AC398" i="6"/>
  <c r="AC326" i="6"/>
  <c r="AD377" i="6"/>
  <c r="AD332" i="6"/>
  <c r="AD340" i="6"/>
  <c r="AC289" i="6"/>
  <c r="AD265" i="6"/>
  <c r="AD272" i="6"/>
  <c r="AD215" i="6"/>
  <c r="AD296" i="6"/>
  <c r="AC122" i="6"/>
  <c r="AD91" i="6"/>
  <c r="AC91" i="6"/>
  <c r="AD83" i="6"/>
  <c r="AC83" i="6"/>
  <c r="AC117" i="6"/>
  <c r="AC85" i="6"/>
  <c r="AC69" i="6"/>
  <c r="AC127" i="6"/>
  <c r="AD108" i="6"/>
  <c r="AC29" i="6"/>
  <c r="AD113" i="6"/>
  <c r="AD20" i="6"/>
  <c r="AD33" i="6"/>
  <c r="AD36" i="6"/>
  <c r="AD402" i="6"/>
  <c r="AD394" i="6"/>
  <c r="AD386" i="6"/>
  <c r="AD362" i="6"/>
  <c r="AC350" i="6"/>
  <c r="AC320" i="6"/>
  <c r="AC321" i="6"/>
  <c r="AC306" i="6"/>
  <c r="AC298" i="6"/>
  <c r="AD330" i="6"/>
  <c r="AD290" i="6"/>
  <c r="AD304" i="6"/>
  <c r="AD275" i="6"/>
  <c r="AD234" i="6"/>
  <c r="AD175" i="6"/>
  <c r="AC175" i="6"/>
  <c r="AD267" i="6"/>
  <c r="AC184" i="6"/>
  <c r="AC225" i="6"/>
  <c r="AC169" i="6"/>
  <c r="AC194" i="6"/>
  <c r="AD247" i="6"/>
  <c r="AD191" i="6"/>
  <c r="AD239" i="6"/>
  <c r="AC163" i="6"/>
  <c r="AD183" i="6"/>
  <c r="AC165" i="6"/>
  <c r="AC149" i="6"/>
  <c r="AC133" i="6"/>
  <c r="AD213" i="6"/>
  <c r="AC114" i="6"/>
  <c r="AC74" i="6"/>
  <c r="AD74" i="6"/>
  <c r="AD89" i="6"/>
  <c r="AD101" i="6"/>
  <c r="AD136" i="6"/>
  <c r="AC54" i="6"/>
  <c r="AC38" i="6"/>
  <c r="AD98" i="6"/>
  <c r="AD25" i="6"/>
  <c r="AD12" i="6"/>
  <c r="AD374" i="6"/>
  <c r="AD369" i="6"/>
  <c r="AD333" i="6"/>
  <c r="AD295" i="6"/>
  <c r="AC258" i="6"/>
  <c r="AC250" i="6"/>
  <c r="AC224" i="6"/>
  <c r="AC216" i="6"/>
  <c r="AC208" i="6"/>
  <c r="AC200" i="6"/>
  <c r="AC192" i="6"/>
  <c r="AC177" i="6"/>
  <c r="AD177" i="6"/>
  <c r="AC178" i="6"/>
  <c r="AC195" i="6"/>
  <c r="AC212" i="6"/>
  <c r="AD237" i="6"/>
  <c r="AD192" i="6"/>
  <c r="AC150" i="6"/>
  <c r="AD233" i="6"/>
  <c r="AC151" i="6"/>
  <c r="AD231" i="6"/>
  <c r="AC67" i="6"/>
  <c r="AD67" i="6"/>
  <c r="AC92" i="6"/>
  <c r="AC109" i="6"/>
  <c r="AD165" i="6"/>
  <c r="AD125" i="6"/>
  <c r="AD97" i="6"/>
  <c r="AC58" i="6"/>
  <c r="AD85" i="6"/>
  <c r="AC53" i="6"/>
  <c r="AD105" i="6"/>
  <c r="AD7" i="6"/>
  <c r="S54" i="3"/>
  <c r="K54" i="3"/>
  <c r="S62" i="3"/>
  <c r="R75" i="3"/>
  <c r="J75" i="3"/>
  <c r="Q80" i="3"/>
  <c r="J91" i="3"/>
  <c r="Q96" i="3"/>
  <c r="J99" i="3"/>
  <c r="Y109" i="3"/>
  <c r="N159" i="3"/>
  <c r="AA159" i="3"/>
  <c r="AA183" i="3"/>
  <c r="AA191" i="3"/>
  <c r="AB196" i="3"/>
  <c r="M228" i="3"/>
  <c r="U233" i="3"/>
  <c r="U249" i="3"/>
  <c r="Z330" i="3"/>
  <c r="AA343" i="3"/>
  <c r="N367" i="3"/>
  <c r="S381" i="3"/>
  <c r="K381" i="3"/>
  <c r="S389" i="3"/>
  <c r="K389" i="3"/>
  <c r="M395" i="3"/>
  <c r="Q399" i="3"/>
  <c r="U400" i="3"/>
  <c r="Z350" i="3"/>
  <c r="J340" i="3"/>
  <c r="K33" i="3"/>
  <c r="P80" i="3"/>
  <c r="Q99" i="3"/>
  <c r="I109" i="3"/>
  <c r="O109" i="3"/>
  <c r="Z109" i="3"/>
  <c r="I117" i="3"/>
  <c r="O125" i="3"/>
  <c r="O141" i="3"/>
  <c r="AB159" i="3"/>
  <c r="L172" i="3"/>
  <c r="U180" i="3"/>
  <c r="L180" i="3"/>
  <c r="M183" i="3"/>
  <c r="AB183" i="3"/>
  <c r="M191" i="3"/>
  <c r="U196" i="3"/>
  <c r="L196" i="3"/>
  <c r="AB199" i="3"/>
  <c r="U204" i="3"/>
  <c r="AB215" i="3"/>
  <c r="S225" i="3"/>
  <c r="K225" i="3"/>
  <c r="U228" i="3"/>
  <c r="L228" i="3"/>
  <c r="S233" i="3"/>
  <c r="K233" i="3"/>
  <c r="K249" i="3"/>
  <c r="Y288" i="3"/>
  <c r="Z293" i="3"/>
  <c r="AA330" i="3"/>
  <c r="J350" i="3"/>
  <c r="O365" i="3"/>
  <c r="Z365" i="3"/>
  <c r="J381" i="3"/>
  <c r="J389" i="3"/>
  <c r="I412" i="3"/>
  <c r="P411" i="3"/>
  <c r="Z393" i="3"/>
  <c r="AB352" i="3"/>
  <c r="AA322" i="3"/>
  <c r="Q54" i="3"/>
  <c r="Y75" i="3"/>
  <c r="I80" i="3"/>
  <c r="Z80" i="3"/>
  <c r="Y91" i="3"/>
  <c r="Y99" i="3"/>
  <c r="N109" i="3"/>
  <c r="AA109" i="3"/>
  <c r="Z112" i="3"/>
  <c r="Z120" i="3"/>
  <c r="S172" i="3"/>
  <c r="K172" i="3"/>
  <c r="S180" i="3"/>
  <c r="K180" i="3"/>
  <c r="U183" i="3"/>
  <c r="L183" i="3"/>
  <c r="K196" i="3"/>
  <c r="U199" i="3"/>
  <c r="L199" i="3"/>
  <c r="S204" i="3"/>
  <c r="U207" i="3"/>
  <c r="U215" i="3"/>
  <c r="L215" i="3"/>
  <c r="R233" i="3"/>
  <c r="S244" i="3"/>
  <c r="J249" i="3"/>
  <c r="R257" i="3"/>
  <c r="J257" i="3"/>
  <c r="I288" i="3"/>
  <c r="N293" i="3"/>
  <c r="AD354" i="3"/>
  <c r="AA365" i="3"/>
  <c r="Q389" i="3"/>
  <c r="I399" i="3"/>
  <c r="Z399" i="3"/>
  <c r="L349" i="3"/>
  <c r="L269" i="3"/>
  <c r="U32" i="3"/>
  <c r="Y54" i="3"/>
  <c r="O75" i="3"/>
  <c r="N80" i="3"/>
  <c r="AA80" i="3"/>
  <c r="O91" i="3"/>
  <c r="I99" i="3"/>
  <c r="O99" i="3"/>
  <c r="M109" i="3"/>
  <c r="N112" i="3"/>
  <c r="M141" i="3"/>
  <c r="U162" i="3"/>
  <c r="S167" i="3"/>
  <c r="S183" i="3"/>
  <c r="K183" i="3"/>
  <c r="K191" i="3"/>
  <c r="S199" i="3"/>
  <c r="K199" i="3"/>
  <c r="S215" i="3"/>
  <c r="K215" i="3"/>
  <c r="Q241" i="3"/>
  <c r="Q249" i="3"/>
  <c r="Q257" i="3"/>
  <c r="N288" i="3"/>
  <c r="L330" i="3"/>
  <c r="P358" i="3"/>
  <c r="J371" i="3"/>
  <c r="P381" i="3"/>
  <c r="P389" i="3"/>
  <c r="AA399" i="3"/>
  <c r="I410" i="3"/>
  <c r="R405" i="3"/>
  <c r="S382" i="3"/>
  <c r="AA317" i="3"/>
  <c r="J289" i="3"/>
  <c r="K279" i="3"/>
  <c r="L129" i="3"/>
  <c r="Z38" i="3"/>
  <c r="N43" i="3"/>
  <c r="O54" i="3"/>
  <c r="I62" i="3"/>
  <c r="O62" i="3"/>
  <c r="AB80" i="3"/>
  <c r="AA99" i="3"/>
  <c r="U117" i="3"/>
  <c r="L149" i="3"/>
  <c r="R159" i="3"/>
  <c r="J159" i="3"/>
  <c r="S162" i="3"/>
  <c r="R167" i="3"/>
  <c r="R175" i="3"/>
  <c r="R183" i="3"/>
  <c r="J183" i="3"/>
  <c r="R191" i="3"/>
  <c r="R199" i="3"/>
  <c r="J199" i="3"/>
  <c r="R207" i="3"/>
  <c r="J207" i="3"/>
  <c r="R215" i="3"/>
  <c r="J215" i="3"/>
  <c r="Y225" i="3"/>
  <c r="Y233" i="3"/>
  <c r="P257" i="3"/>
  <c r="Z381" i="3"/>
  <c r="Z389" i="3"/>
  <c r="AB399" i="3"/>
  <c r="O9" i="3"/>
  <c r="I33" i="3"/>
  <c r="N38" i="3"/>
  <c r="AA54" i="3"/>
  <c r="M59" i="3"/>
  <c r="AB59" i="3"/>
  <c r="AA62" i="3"/>
  <c r="AB75" i="3"/>
  <c r="U80" i="3"/>
  <c r="L80" i="3"/>
  <c r="U88" i="3"/>
  <c r="M91" i="3"/>
  <c r="AB91" i="3"/>
  <c r="U96" i="3"/>
  <c r="M99" i="3"/>
  <c r="AB99" i="3"/>
  <c r="K109" i="3"/>
  <c r="L128" i="3"/>
  <c r="S141" i="3"/>
  <c r="K141" i="3"/>
  <c r="K149" i="3"/>
  <c r="Q159" i="3"/>
  <c r="J162" i="3"/>
  <c r="P172" i="3"/>
  <c r="P180" i="3"/>
  <c r="Q183" i="3"/>
  <c r="P196" i="3"/>
  <c r="Q199" i="3"/>
  <c r="Q215" i="3"/>
  <c r="P228" i="3"/>
  <c r="O233" i="3"/>
  <c r="O241" i="3"/>
  <c r="I257" i="3"/>
  <c r="Z257" i="3"/>
  <c r="AA262" i="3"/>
  <c r="Z265" i="3"/>
  <c r="R330" i="3"/>
  <c r="N358" i="3"/>
  <c r="N389" i="3"/>
  <c r="AA389" i="3"/>
  <c r="P395" i="3"/>
  <c r="L399" i="3"/>
  <c r="O400" i="3"/>
  <c r="P402" i="3"/>
  <c r="U397" i="3"/>
  <c r="L370" i="3"/>
  <c r="J363" i="3"/>
  <c r="U281" i="3"/>
  <c r="P20" i="3"/>
  <c r="O25" i="3"/>
  <c r="Z12" i="3"/>
  <c r="M38" i="3"/>
  <c r="M54" i="3"/>
  <c r="L59" i="3"/>
  <c r="M62" i="3"/>
  <c r="Y159" i="3"/>
  <c r="Z172" i="3"/>
  <c r="Z180" i="3"/>
  <c r="Y183" i="3"/>
  <c r="Y199" i="3"/>
  <c r="Y215" i="3"/>
  <c r="Z228" i="3"/>
  <c r="N257" i="3"/>
  <c r="AA257" i="3"/>
  <c r="S288" i="3"/>
  <c r="K288" i="3"/>
  <c r="J293" i="3"/>
  <c r="AB350" i="3"/>
  <c r="M358" i="3"/>
  <c r="AB358" i="3"/>
  <c r="M381" i="3"/>
  <c r="Z387" i="3"/>
  <c r="AB389" i="3"/>
  <c r="Z395" i="3"/>
  <c r="P399" i="3"/>
  <c r="R389" i="3"/>
  <c r="M365" i="3"/>
  <c r="O298" i="3"/>
  <c r="P273" i="3"/>
  <c r="I112" i="3"/>
  <c r="R99" i="3"/>
  <c r="J64" i="3"/>
  <c r="Q85" i="3"/>
  <c r="P74" i="3"/>
  <c r="Y74" i="3"/>
  <c r="P53" i="3"/>
  <c r="P61" i="3"/>
  <c r="M386" i="3"/>
  <c r="AB386" i="3"/>
  <c r="I280" i="3"/>
  <c r="I64" i="3"/>
  <c r="AB45" i="3"/>
  <c r="U45" i="3"/>
  <c r="U53" i="3"/>
  <c r="L53" i="3"/>
  <c r="AA77" i="3"/>
  <c r="U48" i="3"/>
  <c r="S53" i="3"/>
  <c r="K53" i="3"/>
  <c r="U56" i="3"/>
  <c r="L56" i="3"/>
  <c r="S61" i="3"/>
  <c r="K61" i="3"/>
  <c r="U64" i="3"/>
  <c r="K333" i="3"/>
  <c r="AB333" i="3"/>
  <c r="N53" i="3"/>
  <c r="N61" i="3"/>
  <c r="AB74" i="3"/>
  <c r="AA85" i="3"/>
  <c r="R45" i="3"/>
  <c r="S48" i="3"/>
  <c r="R53" i="3"/>
  <c r="J53" i="3"/>
  <c r="Q64" i="3"/>
  <c r="O74" i="3"/>
  <c r="Z74" i="3"/>
  <c r="P85" i="3"/>
  <c r="Z90" i="3"/>
  <c r="P93" i="3"/>
  <c r="O98" i="3"/>
  <c r="N103" i="3"/>
  <c r="M108" i="3"/>
  <c r="AB108" i="3"/>
  <c r="AB116" i="3"/>
  <c r="S158" i="3"/>
  <c r="K158" i="3"/>
  <c r="J219" i="3"/>
  <c r="Q224" i="3"/>
  <c r="Y245" i="3"/>
  <c r="I258" i="3"/>
  <c r="O258" i="3"/>
  <c r="P261" i="3"/>
  <c r="R291" i="3"/>
  <c r="I298" i="3"/>
  <c r="I306" i="3"/>
  <c r="Z306" i="3"/>
  <c r="Y333" i="3"/>
  <c r="AB340" i="3"/>
  <c r="AB348" i="3"/>
  <c r="N382" i="3"/>
  <c r="AA382" i="3"/>
  <c r="U384" i="3"/>
  <c r="L384" i="3"/>
  <c r="R386" i="3"/>
  <c r="J386" i="3"/>
  <c r="N390" i="3"/>
  <c r="U392" i="3"/>
  <c r="L392" i="3"/>
  <c r="R394" i="3"/>
  <c r="J394" i="3"/>
  <c r="P396" i="3"/>
  <c r="R402" i="3"/>
  <c r="J402" i="3"/>
  <c r="J410" i="3"/>
  <c r="M411" i="3"/>
  <c r="Z61" i="3"/>
  <c r="I77" i="3"/>
  <c r="I85" i="3"/>
  <c r="Z85" i="3"/>
  <c r="Z93" i="3"/>
  <c r="M103" i="3"/>
  <c r="U108" i="3"/>
  <c r="L108" i="3"/>
  <c r="U116" i="3"/>
  <c r="M119" i="3"/>
  <c r="AB119" i="3"/>
  <c r="S121" i="3"/>
  <c r="K121" i="3"/>
  <c r="U124" i="3"/>
  <c r="L124" i="3"/>
  <c r="K129" i="3"/>
  <c r="K137" i="3"/>
  <c r="U140" i="3"/>
  <c r="L140" i="3"/>
  <c r="U148" i="3"/>
  <c r="J150" i="3"/>
  <c r="Q155" i="3"/>
  <c r="R158" i="3"/>
  <c r="J158" i="3"/>
  <c r="R166" i="3"/>
  <c r="Y216" i="3"/>
  <c r="P224" i="3"/>
  <c r="P232" i="3"/>
  <c r="Y232" i="3"/>
  <c r="I245" i="3"/>
  <c r="O245" i="3"/>
  <c r="Z245" i="3"/>
  <c r="Y248" i="3"/>
  <c r="AA258" i="3"/>
  <c r="Z261" i="3"/>
  <c r="AA266" i="3"/>
  <c r="AA298" i="3"/>
  <c r="AA306" i="3"/>
  <c r="I333" i="3"/>
  <c r="P344" i="3"/>
  <c r="L348" i="3"/>
  <c r="S353" i="3"/>
  <c r="I372" i="3"/>
  <c r="M382" i="3"/>
  <c r="Q386" i="3"/>
  <c r="Q394" i="3"/>
  <c r="Q402" i="3"/>
  <c r="I404" i="3"/>
  <c r="Q410" i="3"/>
  <c r="Z412" i="3"/>
  <c r="O216" i="3"/>
  <c r="P219" i="3"/>
  <c r="Z224" i="3"/>
  <c r="I232" i="3"/>
  <c r="O232" i="3"/>
  <c r="N245" i="3"/>
  <c r="AA245" i="3"/>
  <c r="Z248" i="3"/>
  <c r="M258" i="3"/>
  <c r="N261" i="3"/>
  <c r="R273" i="3"/>
  <c r="J273" i="3"/>
  <c r="L303" i="3"/>
  <c r="AB306" i="3"/>
  <c r="AA333" i="3"/>
  <c r="Z344" i="3"/>
  <c r="AB362" i="3"/>
  <c r="P386" i="3"/>
  <c r="AA396" i="3"/>
  <c r="P410" i="3"/>
  <c r="AB53" i="3"/>
  <c r="AA56" i="3"/>
  <c r="AB61" i="3"/>
  <c r="AA64" i="3"/>
  <c r="U74" i="3"/>
  <c r="M85" i="3"/>
  <c r="R108" i="3"/>
  <c r="J108" i="3"/>
  <c r="R116" i="3"/>
  <c r="J116" i="3"/>
  <c r="S119" i="3"/>
  <c r="K119" i="3"/>
  <c r="J132" i="3"/>
  <c r="R140" i="3"/>
  <c r="J140" i="3"/>
  <c r="J148" i="3"/>
  <c r="Y150" i="3"/>
  <c r="P158" i="3"/>
  <c r="Y158" i="3"/>
  <c r="I163" i="3"/>
  <c r="Z171" i="3"/>
  <c r="O187" i="3"/>
  <c r="N192" i="3"/>
  <c r="I219" i="3"/>
  <c r="Z219" i="3"/>
  <c r="AA232" i="3"/>
  <c r="M245" i="3"/>
  <c r="N248" i="3"/>
  <c r="U258" i="3"/>
  <c r="L258" i="3"/>
  <c r="AB261" i="3"/>
  <c r="U266" i="3"/>
  <c r="L266" i="3"/>
  <c r="Q273" i="3"/>
  <c r="L298" i="3"/>
  <c r="U306" i="3"/>
  <c r="L306" i="3"/>
  <c r="P318" i="3"/>
  <c r="M333" i="3"/>
  <c r="Q337" i="3"/>
  <c r="R348" i="3"/>
  <c r="J348" i="3"/>
  <c r="K382" i="3"/>
  <c r="I386" i="3"/>
  <c r="Z386" i="3"/>
  <c r="I394" i="3"/>
  <c r="Z394" i="3"/>
  <c r="I402" i="3"/>
  <c r="Z402" i="3"/>
  <c r="AB269" i="3"/>
  <c r="Q207" i="3"/>
  <c r="M56" i="3"/>
  <c r="U61" i="3"/>
  <c r="L61" i="3"/>
  <c r="M64" i="3"/>
  <c r="R119" i="3"/>
  <c r="J119" i="3"/>
  <c r="Y121" i="3"/>
  <c r="Y137" i="3"/>
  <c r="Q148" i="3"/>
  <c r="I158" i="3"/>
  <c r="Z166" i="3"/>
  <c r="AA195" i="3"/>
  <c r="M216" i="3"/>
  <c r="AB216" i="3"/>
  <c r="AA219" i="3"/>
  <c r="AB224" i="3"/>
  <c r="AB232" i="3"/>
  <c r="S258" i="3"/>
  <c r="K258" i="3"/>
  <c r="U261" i="3"/>
  <c r="L261" i="3"/>
  <c r="S266" i="3"/>
  <c r="K298" i="3"/>
  <c r="Y337" i="3"/>
  <c r="AB344" i="3"/>
  <c r="R382" i="3"/>
  <c r="Y384" i="3"/>
  <c r="AA386" i="3"/>
  <c r="Y392" i="3"/>
  <c r="AA394" i="3"/>
  <c r="AA402" i="3"/>
  <c r="AA410" i="3"/>
  <c r="R74" i="3"/>
  <c r="J74" i="3"/>
  <c r="P108" i="3"/>
  <c r="P116" i="3"/>
  <c r="Q119" i="3"/>
  <c r="O121" i="3"/>
  <c r="P124" i="3"/>
  <c r="O129" i="3"/>
  <c r="I137" i="3"/>
  <c r="P140" i="3"/>
  <c r="N158" i="3"/>
  <c r="AA158" i="3"/>
  <c r="AA166" i="3"/>
  <c r="M187" i="3"/>
  <c r="U192" i="3"/>
  <c r="U216" i="3"/>
  <c r="L216" i="3"/>
  <c r="AB219" i="3"/>
  <c r="L232" i="3"/>
  <c r="L248" i="3"/>
  <c r="I273" i="3"/>
  <c r="Z273" i="3"/>
  <c r="I289" i="3"/>
  <c r="Z289" i="3"/>
  <c r="R306" i="3"/>
  <c r="J306" i="3"/>
  <c r="N318" i="3"/>
  <c r="S333" i="3"/>
  <c r="I337" i="3"/>
  <c r="O337" i="3"/>
  <c r="P340" i="3"/>
  <c r="Y340" i="3"/>
  <c r="U344" i="3"/>
  <c r="R346" i="3"/>
  <c r="Y348" i="3"/>
  <c r="O353" i="3"/>
  <c r="S372" i="3"/>
  <c r="O384" i="3"/>
  <c r="O392" i="3"/>
  <c r="M394" i="3"/>
  <c r="AB394" i="3"/>
  <c r="M402" i="3"/>
  <c r="AB402" i="3"/>
  <c r="M410" i="3"/>
  <c r="AB410" i="3"/>
  <c r="J61" i="3"/>
  <c r="S64" i="3"/>
  <c r="K64" i="3"/>
  <c r="Y103" i="3"/>
  <c r="Z108" i="3"/>
  <c r="Y119" i="3"/>
  <c r="Z124" i="3"/>
  <c r="AA137" i="3"/>
  <c r="Z140" i="3"/>
  <c r="I148" i="3"/>
  <c r="Z148" i="3"/>
  <c r="AB158" i="3"/>
  <c r="AB166" i="3"/>
  <c r="AD182" i="3"/>
  <c r="Q258" i="3"/>
  <c r="R261" i="3"/>
  <c r="J261" i="3"/>
  <c r="N273" i="3"/>
  <c r="AA273" i="3"/>
  <c r="L275" i="3"/>
  <c r="AA289" i="3"/>
  <c r="U291" i="3"/>
  <c r="S296" i="3"/>
  <c r="Q306" i="3"/>
  <c r="U331" i="3"/>
  <c r="R333" i="3"/>
  <c r="J333" i="3"/>
  <c r="N337" i="3"/>
  <c r="AA337" i="3"/>
  <c r="Q346" i="3"/>
  <c r="O348" i="3"/>
  <c r="Z348" i="3"/>
  <c r="N353" i="3"/>
  <c r="Q362" i="3"/>
  <c r="R372" i="3"/>
  <c r="P382" i="3"/>
  <c r="Y382" i="3"/>
  <c r="Z411" i="3"/>
  <c r="M124" i="3"/>
  <c r="L219" i="3"/>
  <c r="L410" i="3"/>
  <c r="K407" i="3"/>
  <c r="M405" i="3"/>
  <c r="N400" i="3"/>
  <c r="P385" i="3"/>
  <c r="K383" i="3"/>
  <c r="J378" i="3"/>
  <c r="S373" i="3"/>
  <c r="K369" i="3"/>
  <c r="L341" i="3"/>
  <c r="M336" i="3"/>
  <c r="Z332" i="3"/>
  <c r="J324" i="3"/>
  <c r="K322" i="3"/>
  <c r="M320" i="3"/>
  <c r="O315" i="3"/>
  <c r="J313" i="3"/>
  <c r="J295" i="3"/>
  <c r="I294" i="3"/>
  <c r="J280" i="3"/>
  <c r="J236" i="3"/>
  <c r="I204" i="3"/>
  <c r="AA103" i="3"/>
  <c r="AA412" i="3"/>
  <c r="P400" i="3"/>
  <c r="O398" i="3"/>
  <c r="K391" i="3"/>
  <c r="N384" i="3"/>
  <c r="Q375" i="3"/>
  <c r="R365" i="3"/>
  <c r="U364" i="3"/>
  <c r="P341" i="3"/>
  <c r="Z340" i="3"/>
  <c r="L309" i="3"/>
  <c r="L289" i="3"/>
  <c r="N275" i="3"/>
  <c r="J271" i="3"/>
  <c r="O269" i="3"/>
  <c r="K174" i="3"/>
  <c r="L169" i="3"/>
  <c r="L121" i="3"/>
  <c r="J15" i="3"/>
  <c r="O411" i="3"/>
  <c r="N408" i="3"/>
  <c r="P384" i="3"/>
  <c r="I346" i="3"/>
  <c r="M344" i="3"/>
  <c r="L333" i="3"/>
  <c r="L317" i="3"/>
  <c r="R303" i="3"/>
  <c r="J296" i="3"/>
  <c r="U290" i="3"/>
  <c r="I281" i="3"/>
  <c r="J277" i="3"/>
  <c r="K265" i="3"/>
  <c r="K399" i="3"/>
  <c r="I388" i="3"/>
  <c r="L386" i="3"/>
  <c r="P377" i="3"/>
  <c r="U371" i="3"/>
  <c r="P367" i="3"/>
  <c r="I351" i="3"/>
  <c r="L350" i="3"/>
  <c r="Y345" i="3"/>
  <c r="N326" i="3"/>
  <c r="L325" i="3"/>
  <c r="I321" i="3"/>
  <c r="P317" i="3"/>
  <c r="R299" i="3"/>
  <c r="S298" i="3"/>
  <c r="J288" i="3"/>
  <c r="O135" i="3"/>
  <c r="I54" i="3"/>
  <c r="K47" i="3"/>
  <c r="P38" i="3"/>
  <c r="L402" i="3"/>
  <c r="I396" i="3"/>
  <c r="L394" i="3"/>
  <c r="N392" i="3"/>
  <c r="O387" i="3"/>
  <c r="R380" i="3"/>
  <c r="U379" i="3"/>
  <c r="Q374" i="3"/>
  <c r="Q361" i="3"/>
  <c r="Y356" i="3"/>
  <c r="Y335" i="3"/>
  <c r="M328" i="3"/>
  <c r="K306" i="3"/>
  <c r="J233" i="3"/>
  <c r="Q118" i="3"/>
  <c r="Z409" i="3"/>
  <c r="N406" i="3"/>
  <c r="P404" i="3"/>
  <c r="O403" i="3"/>
  <c r="O395" i="3"/>
  <c r="P392" i="3"/>
  <c r="S339" i="3"/>
  <c r="L331" i="3"/>
  <c r="K330" i="3"/>
  <c r="I319" i="3"/>
  <c r="K314" i="3"/>
  <c r="Q282" i="3"/>
  <c r="M276" i="3"/>
  <c r="N268" i="3"/>
  <c r="J242" i="3"/>
  <c r="K127" i="3"/>
  <c r="J49" i="3"/>
  <c r="O6" i="3"/>
  <c r="M397" i="3"/>
  <c r="M389" i="3"/>
  <c r="L357" i="3"/>
  <c r="J352" i="3"/>
  <c r="I343" i="3"/>
  <c r="I338" i="3"/>
  <c r="M312" i="3"/>
  <c r="L292" i="3"/>
  <c r="I286" i="3"/>
  <c r="L284" i="3"/>
  <c r="L274" i="3"/>
  <c r="J134" i="3"/>
  <c r="I74" i="3"/>
  <c r="K263" i="3"/>
  <c r="N258" i="3"/>
  <c r="U252" i="3"/>
  <c r="I246" i="3"/>
  <c r="J244" i="3"/>
  <c r="Q240" i="3"/>
  <c r="P208" i="3"/>
  <c r="J200" i="3"/>
  <c r="R198" i="3"/>
  <c r="S197" i="3"/>
  <c r="R196" i="3"/>
  <c r="O194" i="3"/>
  <c r="K189" i="3"/>
  <c r="K182" i="3"/>
  <c r="O178" i="3"/>
  <c r="N167" i="3"/>
  <c r="K166" i="3"/>
  <c r="S147" i="3"/>
  <c r="L136" i="3"/>
  <c r="J125" i="3"/>
  <c r="O122" i="3"/>
  <c r="P121" i="3"/>
  <c r="P109" i="3"/>
  <c r="K96" i="3"/>
  <c r="K86" i="3"/>
  <c r="L82" i="3"/>
  <c r="Q70" i="3"/>
  <c r="I68" i="3"/>
  <c r="L50" i="3"/>
  <c r="M45" i="3"/>
  <c r="S40" i="3"/>
  <c r="I39" i="3"/>
  <c r="U36" i="3"/>
  <c r="AA31" i="3"/>
  <c r="J19" i="3"/>
  <c r="M16" i="3"/>
  <c r="J254" i="3"/>
  <c r="M230" i="3"/>
  <c r="K221" i="3"/>
  <c r="P187" i="3"/>
  <c r="N183" i="3"/>
  <c r="O162" i="3"/>
  <c r="Q113" i="3"/>
  <c r="J110" i="3"/>
  <c r="O101" i="3"/>
  <c r="L91" i="3"/>
  <c r="M78" i="3"/>
  <c r="L65" i="3"/>
  <c r="Q52" i="3"/>
  <c r="O27" i="3"/>
  <c r="M26" i="3"/>
  <c r="R21" i="3"/>
  <c r="J13" i="3"/>
  <c r="M10" i="3"/>
  <c r="J7" i="3"/>
  <c r="O261" i="3"/>
  <c r="K256" i="3"/>
  <c r="Q232" i="3"/>
  <c r="K217" i="3"/>
  <c r="N212" i="3"/>
  <c r="P210" i="3"/>
  <c r="I205" i="3"/>
  <c r="N203" i="3"/>
  <c r="O192" i="3"/>
  <c r="N191" i="3"/>
  <c r="P183" i="3"/>
  <c r="I179" i="3"/>
  <c r="N175" i="3"/>
  <c r="L168" i="3"/>
  <c r="I153" i="3"/>
  <c r="J141" i="3"/>
  <c r="J131" i="3"/>
  <c r="O130" i="3"/>
  <c r="I111" i="3"/>
  <c r="J106" i="3"/>
  <c r="K88" i="3"/>
  <c r="O84" i="3"/>
  <c r="O76" i="3"/>
  <c r="M66" i="3"/>
  <c r="R61" i="3"/>
  <c r="L58" i="3"/>
  <c r="O46" i="3"/>
  <c r="O43" i="3"/>
  <c r="N33" i="3"/>
  <c r="N29" i="3"/>
  <c r="O223" i="3"/>
  <c r="O186" i="3"/>
  <c r="L177" i="3"/>
  <c r="I171" i="3"/>
  <c r="O170" i="3"/>
  <c r="M163" i="3"/>
  <c r="L161" i="3"/>
  <c r="P120" i="3"/>
  <c r="J98" i="3"/>
  <c r="N97" i="3"/>
  <c r="Y95" i="3"/>
  <c r="I93" i="3"/>
  <c r="K80" i="3"/>
  <c r="J67" i="3"/>
  <c r="P63" i="3"/>
  <c r="P59" i="3"/>
  <c r="U55" i="3"/>
  <c r="L42" i="3"/>
  <c r="L35" i="3"/>
  <c r="M30" i="3"/>
  <c r="O22" i="3"/>
  <c r="J11" i="3"/>
  <c r="M5" i="3"/>
  <c r="M266" i="3"/>
  <c r="K257" i="3"/>
  <c r="Q253" i="3"/>
  <c r="S251" i="3"/>
  <c r="I243" i="3"/>
  <c r="L231" i="3"/>
  <c r="N225" i="3"/>
  <c r="M222" i="3"/>
  <c r="I206" i="3"/>
  <c r="R201" i="3"/>
  <c r="I195" i="3"/>
  <c r="P161" i="3"/>
  <c r="R150" i="3"/>
  <c r="S149" i="3"/>
  <c r="K126" i="3"/>
  <c r="J123" i="3"/>
  <c r="Z117" i="3"/>
  <c r="I97" i="3"/>
  <c r="N81" i="3"/>
  <c r="L75" i="3"/>
  <c r="Y35" i="3"/>
  <c r="M24" i="3"/>
  <c r="M18" i="3"/>
  <c r="Y270" i="3"/>
  <c r="I248" i="3"/>
  <c r="P245" i="3"/>
  <c r="L227" i="3"/>
  <c r="J226" i="3"/>
  <c r="I224" i="3"/>
  <c r="L193" i="3"/>
  <c r="I190" i="3"/>
  <c r="L185" i="3"/>
  <c r="O146" i="3"/>
  <c r="N143" i="3"/>
  <c r="N123" i="3"/>
  <c r="N119" i="3"/>
  <c r="J114" i="3"/>
  <c r="I107" i="3"/>
  <c r="K87" i="3"/>
  <c r="J83" i="3"/>
  <c r="P81" i="3"/>
  <c r="M75" i="3"/>
  <c r="J73" i="3"/>
  <c r="O60" i="3"/>
  <c r="M53" i="3"/>
  <c r="O34" i="3"/>
  <c r="M32" i="3"/>
  <c r="R28" i="3"/>
  <c r="Y25" i="3"/>
  <c r="Z20" i="3"/>
  <c r="P12" i="3"/>
  <c r="J9" i="3"/>
  <c r="K264" i="3"/>
  <c r="AB260" i="3"/>
  <c r="R249" i="3"/>
  <c r="N233" i="3"/>
  <c r="N181" i="3"/>
  <c r="O176" i="3"/>
  <c r="S159" i="3"/>
  <c r="O138" i="3"/>
  <c r="I115" i="3"/>
  <c r="L99" i="3"/>
  <c r="N89" i="3"/>
  <c r="Y79" i="3"/>
  <c r="R64" i="3"/>
  <c r="O56" i="3"/>
  <c r="L48" i="3"/>
  <c r="M34" i="3"/>
  <c r="J23" i="3"/>
  <c r="O14" i="3"/>
  <c r="M8" i="3"/>
  <c r="P4" i="3"/>
  <c r="N3" i="3"/>
  <c r="O409" i="3"/>
  <c r="M408" i="3"/>
  <c r="U407" i="3"/>
  <c r="L408" i="3"/>
  <c r="R407" i="3"/>
  <c r="Q407" i="3"/>
  <c r="P407" i="3"/>
  <c r="R410" i="3"/>
  <c r="Y408" i="3"/>
  <c r="L407" i="3"/>
  <c r="AB407" i="3"/>
  <c r="J407" i="3"/>
  <c r="Q405" i="3"/>
  <c r="Y401" i="3"/>
  <c r="AA405" i="3"/>
  <c r="N405" i="3"/>
  <c r="Z405" i="3"/>
  <c r="L405" i="3"/>
  <c r="K405" i="3"/>
  <c r="U405" i="3"/>
  <c r="J405" i="3"/>
  <c r="AB405" i="3"/>
  <c r="P405" i="3"/>
  <c r="S405" i="3"/>
  <c r="I405" i="3"/>
  <c r="Z396" i="3"/>
  <c r="Q396" i="3"/>
  <c r="U399" i="3"/>
  <c r="Q397" i="3"/>
  <c r="R399" i="3"/>
  <c r="AB397" i="3"/>
  <c r="AD397" i="3" s="1"/>
  <c r="P397" i="3"/>
  <c r="I389" i="3"/>
  <c r="R383" i="3"/>
  <c r="Q383" i="3"/>
  <c r="P383" i="3"/>
  <c r="L383" i="3"/>
  <c r="AB383" i="3"/>
  <c r="J383" i="3"/>
  <c r="R378" i="3"/>
  <c r="Q378" i="3"/>
  <c r="AB378" i="3"/>
  <c r="O378" i="3"/>
  <c r="AA378" i="3"/>
  <c r="M378" i="3"/>
  <c r="Y378" i="3"/>
  <c r="L378" i="3"/>
  <c r="K378" i="3"/>
  <c r="U378" i="3"/>
  <c r="Q377" i="3"/>
  <c r="S374" i="3"/>
  <c r="AB377" i="3"/>
  <c r="R375" i="3"/>
  <c r="U369" i="3"/>
  <c r="S369" i="3"/>
  <c r="Q369" i="3"/>
  <c r="N369" i="3"/>
  <c r="L369" i="3"/>
  <c r="AA369" i="3"/>
  <c r="M367" i="3"/>
  <c r="Z367" i="3"/>
  <c r="K367" i="3"/>
  <c r="Y367" i="3"/>
  <c r="I367" i="3"/>
  <c r="S367" i="3"/>
  <c r="O356" i="3"/>
  <c r="L356" i="3"/>
  <c r="J356" i="3"/>
  <c r="R349" i="3"/>
  <c r="U350" i="3"/>
  <c r="Q349" i="3"/>
  <c r="R350" i="3"/>
  <c r="O349" i="3"/>
  <c r="P350" i="3"/>
  <c r="AB349" i="3"/>
  <c r="M349" i="3"/>
  <c r="N350" i="3"/>
  <c r="AA349" i="3"/>
  <c r="K349" i="3"/>
  <c r="M350" i="3"/>
  <c r="Y349" i="3"/>
  <c r="J349" i="3"/>
  <c r="I349" i="3"/>
  <c r="N344" i="3"/>
  <c r="Z343" i="3"/>
  <c r="L344" i="3"/>
  <c r="S343" i="3"/>
  <c r="K344" i="3"/>
  <c r="P343" i="3"/>
  <c r="J344" i="3"/>
  <c r="O343" i="3"/>
  <c r="K343" i="3"/>
  <c r="S344" i="3"/>
  <c r="R344" i="3"/>
  <c r="S336" i="3"/>
  <c r="R336" i="3"/>
  <c r="P336" i="3"/>
  <c r="N336" i="3"/>
  <c r="Y339" i="3"/>
  <c r="AB336" i="3"/>
  <c r="L336" i="3"/>
  <c r="Z336" i="3"/>
  <c r="K336" i="3"/>
  <c r="P332" i="3"/>
  <c r="Q330" i="3"/>
  <c r="J330" i="3"/>
  <c r="P333" i="3"/>
  <c r="I330" i="3"/>
  <c r="O333" i="3"/>
  <c r="U330" i="3"/>
  <c r="AA325" i="3"/>
  <c r="K325" i="3"/>
  <c r="I325" i="3"/>
  <c r="R325" i="3"/>
  <c r="P325" i="3"/>
  <c r="Y323" i="3"/>
  <c r="Q325" i="3"/>
  <c r="O325" i="3"/>
  <c r="Y321" i="3"/>
  <c r="M318" i="3"/>
  <c r="Q321" i="3"/>
  <c r="O321" i="3"/>
  <c r="J320" i="3"/>
  <c r="N321" i="3"/>
  <c r="Z318" i="3"/>
  <c r="AA321" i="3"/>
  <c r="L315" i="3"/>
  <c r="Y315" i="3"/>
  <c r="Y309" i="3"/>
  <c r="J309" i="3"/>
  <c r="I309" i="3"/>
  <c r="R309" i="3"/>
  <c r="P309" i="3"/>
  <c r="Q309" i="3"/>
  <c r="O309" i="3"/>
  <c r="AB309" i="3"/>
  <c r="M309" i="3"/>
  <c r="AA309" i="3"/>
  <c r="K309" i="3"/>
  <c r="J303" i="3"/>
  <c r="I303" i="3"/>
  <c r="U303" i="3"/>
  <c r="S303" i="3"/>
  <c r="U298" i="3"/>
  <c r="K294" i="3"/>
  <c r="R292" i="3"/>
  <c r="K292" i="3"/>
  <c r="AA294" i="3"/>
  <c r="I292" i="3"/>
  <c r="U289" i="3"/>
  <c r="Q289" i="3"/>
  <c r="N289" i="3"/>
  <c r="S280" i="3"/>
  <c r="Q280" i="3"/>
  <c r="O280" i="3"/>
  <c r="N280" i="3"/>
  <c r="AA280" i="3"/>
  <c r="M280" i="3"/>
  <c r="Y280" i="3"/>
  <c r="K280" i="3"/>
  <c r="AB275" i="3"/>
  <c r="S276" i="3"/>
  <c r="AB276" i="3"/>
  <c r="R276" i="3"/>
  <c r="O276" i="3"/>
  <c r="P275" i="3"/>
  <c r="AB271" i="3"/>
  <c r="Z271" i="3"/>
  <c r="S271" i="3"/>
  <c r="Z270" i="3"/>
  <c r="P271" i="3"/>
  <c r="L271" i="3"/>
  <c r="K271" i="3"/>
  <c r="K266" i="3"/>
  <c r="I266" i="3"/>
  <c r="R265" i="3"/>
  <c r="Q265" i="3"/>
  <c r="N266" i="3"/>
  <c r="P265" i="3"/>
  <c r="Q266" i="3"/>
  <c r="N265" i="3"/>
  <c r="O266" i="3"/>
  <c r="AB265" i="3"/>
  <c r="J265" i="3"/>
  <c r="AA265" i="3"/>
  <c r="I265" i="3"/>
  <c r="Z263" i="3"/>
  <c r="U263" i="3"/>
  <c r="J252" i="3"/>
  <c r="P251" i="3"/>
  <c r="S253" i="3"/>
  <c r="J251" i="3"/>
  <c r="I253" i="3"/>
  <c r="I251" i="3"/>
  <c r="Z254" i="3"/>
  <c r="AB251" i="3"/>
  <c r="O254" i="3"/>
  <c r="Q246" i="3"/>
  <c r="AB246" i="3"/>
  <c r="P246" i="3"/>
  <c r="AA246" i="3"/>
  <c r="N246" i="3"/>
  <c r="Z246" i="3"/>
  <c r="L246" i="3"/>
  <c r="K246" i="3"/>
  <c r="R246" i="3"/>
  <c r="U246" i="3"/>
  <c r="J246" i="3"/>
  <c r="S246" i="3"/>
  <c r="R244" i="3"/>
  <c r="P244" i="3"/>
  <c r="AB244" i="3"/>
  <c r="N244" i="3"/>
  <c r="Z244" i="3"/>
  <c r="M244" i="3"/>
  <c r="L244" i="3"/>
  <c r="K244" i="3"/>
  <c r="U244" i="3"/>
  <c r="AA231" i="3"/>
  <c r="P230" i="3"/>
  <c r="Y231" i="3"/>
  <c r="U231" i="3"/>
  <c r="M231" i="3"/>
  <c r="K230" i="3"/>
  <c r="J230" i="3"/>
  <c r="I223" i="3"/>
  <c r="Y223" i="3"/>
  <c r="I217" i="3"/>
  <c r="R219" i="3"/>
  <c r="S217" i="3"/>
  <c r="Q219" i="3"/>
  <c r="R217" i="3"/>
  <c r="M219" i="3"/>
  <c r="M217" i="3"/>
  <c r="K219" i="3"/>
  <c r="J208" i="3"/>
  <c r="K203" i="3"/>
  <c r="U206" i="3"/>
  <c r="U205" i="3"/>
  <c r="Z204" i="3"/>
  <c r="I203" i="3"/>
  <c r="L205" i="3"/>
  <c r="R204" i="3"/>
  <c r="L204" i="3"/>
  <c r="Z203" i="3"/>
  <c r="J204" i="3"/>
  <c r="S203" i="3"/>
  <c r="K201" i="3"/>
  <c r="J201" i="3"/>
  <c r="U200" i="3"/>
  <c r="O200" i="3"/>
  <c r="M200" i="3"/>
  <c r="S201" i="3"/>
  <c r="L200" i="3"/>
  <c r="AB200" i="3"/>
  <c r="Z195" i="3"/>
  <c r="R194" i="3"/>
  <c r="Y195" i="3"/>
  <c r="Z196" i="3"/>
  <c r="J196" i="3"/>
  <c r="AB194" i="3"/>
  <c r="N194" i="3"/>
  <c r="P194" i="3"/>
  <c r="I196" i="3"/>
  <c r="P195" i="3"/>
  <c r="Z194" i="3"/>
  <c r="M194" i="3"/>
  <c r="N195" i="3"/>
  <c r="L194" i="3"/>
  <c r="S196" i="3"/>
  <c r="M195" i="3"/>
  <c r="K194" i="3"/>
  <c r="U194" i="3"/>
  <c r="J194" i="3"/>
  <c r="L192" i="3"/>
  <c r="U191" i="3"/>
  <c r="J191" i="3"/>
  <c r="Y189" i="3"/>
  <c r="S191" i="3"/>
  <c r="I191" i="3"/>
  <c r="Q191" i="3"/>
  <c r="P191" i="3"/>
  <c r="O189" i="3"/>
  <c r="Z192" i="3"/>
  <c r="AB191" i="3"/>
  <c r="O191" i="3"/>
  <c r="N189" i="3"/>
  <c r="M189" i="3"/>
  <c r="Y191" i="3"/>
  <c r="L191" i="3"/>
  <c r="K186" i="3"/>
  <c r="I187" i="3"/>
  <c r="J186" i="3"/>
  <c r="AA187" i="3"/>
  <c r="R186" i="3"/>
  <c r="Z187" i="3"/>
  <c r="P186" i="3"/>
  <c r="N186" i="3"/>
  <c r="M186" i="3"/>
  <c r="P182" i="3"/>
  <c r="J182" i="3"/>
  <c r="O181" i="3"/>
  <c r="AA182" i="3"/>
  <c r="AC182" i="3" s="1"/>
  <c r="I182" i="3"/>
  <c r="R182" i="3"/>
  <c r="P175" i="3"/>
  <c r="U178" i="3"/>
  <c r="J178" i="3"/>
  <c r="J177" i="3"/>
  <c r="L176" i="3"/>
  <c r="U175" i="3"/>
  <c r="J175" i="3"/>
  <c r="S175" i="3"/>
  <c r="I175" i="3"/>
  <c r="AB178" i="3"/>
  <c r="N178" i="3"/>
  <c r="AB177" i="3"/>
  <c r="Z176" i="3"/>
  <c r="AB175" i="3"/>
  <c r="O175" i="3"/>
  <c r="Z178" i="3"/>
  <c r="M178" i="3"/>
  <c r="S177" i="3"/>
  <c r="U176" i="3"/>
  <c r="AA175" i="3"/>
  <c r="M175" i="3"/>
  <c r="L178" i="3"/>
  <c r="O177" i="3"/>
  <c r="P176" i="3"/>
  <c r="Y175" i="3"/>
  <c r="L175" i="3"/>
  <c r="Q175" i="3"/>
  <c r="K178" i="3"/>
  <c r="K177" i="3"/>
  <c r="K175" i="3"/>
  <c r="K170" i="3"/>
  <c r="U170" i="3"/>
  <c r="J170" i="3"/>
  <c r="R170" i="3"/>
  <c r="P170" i="3"/>
  <c r="AB170" i="3"/>
  <c r="N170" i="3"/>
  <c r="K167" i="3"/>
  <c r="U167" i="3"/>
  <c r="J167" i="3"/>
  <c r="Q167" i="3"/>
  <c r="P167" i="3"/>
  <c r="P166" i="3"/>
  <c r="AB167" i="3"/>
  <c r="O167" i="3"/>
  <c r="N166" i="3"/>
  <c r="AA167" i="3"/>
  <c r="M167" i="3"/>
  <c r="J166" i="3"/>
  <c r="Y167" i="3"/>
  <c r="L167" i="3"/>
  <c r="I166" i="3"/>
  <c r="R162" i="3"/>
  <c r="P162" i="3"/>
  <c r="AB162" i="3"/>
  <c r="N162" i="3"/>
  <c r="Z162" i="3"/>
  <c r="M162" i="3"/>
  <c r="P163" i="3"/>
  <c r="L162" i="3"/>
  <c r="K162" i="3"/>
  <c r="P136" i="3"/>
  <c r="N136" i="3"/>
  <c r="Q135" i="3"/>
  <c r="N135" i="3"/>
  <c r="I131" i="3"/>
  <c r="AA131" i="3"/>
  <c r="N131" i="3"/>
  <c r="Y131" i="3"/>
  <c r="Q131" i="3"/>
  <c r="O131" i="3"/>
  <c r="U127" i="3"/>
  <c r="J127" i="3"/>
  <c r="R126" i="3"/>
  <c r="S127" i="3"/>
  <c r="I127" i="3"/>
  <c r="P126" i="3"/>
  <c r="Q127" i="3"/>
  <c r="N127" i="3"/>
  <c r="J126" i="3"/>
  <c r="AB127" i="3"/>
  <c r="O127" i="3"/>
  <c r="AA127" i="3"/>
  <c r="M127" i="3"/>
  <c r="AB126" i="3"/>
  <c r="Y127" i="3"/>
  <c r="L127" i="3"/>
  <c r="Z126" i="3"/>
  <c r="O123" i="3"/>
  <c r="M123" i="3"/>
  <c r="I123" i="3"/>
  <c r="Y123" i="3"/>
  <c r="R122" i="3"/>
  <c r="P122" i="3"/>
  <c r="AB122" i="3"/>
  <c r="N122" i="3"/>
  <c r="Z122" i="3"/>
  <c r="M122" i="3"/>
  <c r="L122" i="3"/>
  <c r="K122" i="3"/>
  <c r="U122" i="3"/>
  <c r="J122" i="3"/>
  <c r="Q117" i="3"/>
  <c r="O117" i="3"/>
  <c r="P117" i="3"/>
  <c r="R113" i="3"/>
  <c r="Q111" i="3"/>
  <c r="O111" i="3"/>
  <c r="AA111" i="3"/>
  <c r="N111" i="3"/>
  <c r="P110" i="3"/>
  <c r="Y111" i="3"/>
  <c r="M111" i="3"/>
  <c r="L111" i="3"/>
  <c r="S111" i="3"/>
  <c r="K111" i="3"/>
  <c r="U111" i="3"/>
  <c r="S103" i="3"/>
  <c r="Q103" i="3"/>
  <c r="P101" i="3"/>
  <c r="O103" i="3"/>
  <c r="R96" i="3"/>
  <c r="P96" i="3"/>
  <c r="AB96" i="3"/>
  <c r="N96" i="3"/>
  <c r="AA96" i="3"/>
  <c r="L96" i="3"/>
  <c r="Z96" i="3"/>
  <c r="J96" i="3"/>
  <c r="I96" i="3"/>
  <c r="R88" i="3"/>
  <c r="Y89" i="3"/>
  <c r="Q88" i="3"/>
  <c r="P88" i="3"/>
  <c r="Y87" i="3"/>
  <c r="U86" i="3"/>
  <c r="AB88" i="3"/>
  <c r="N88" i="3"/>
  <c r="S87" i="3"/>
  <c r="S86" i="3"/>
  <c r="AA88" i="3"/>
  <c r="L88" i="3"/>
  <c r="O87" i="3"/>
  <c r="P86" i="3"/>
  <c r="Z88" i="3"/>
  <c r="J88" i="3"/>
  <c r="N87" i="3"/>
  <c r="L86" i="3"/>
  <c r="I88" i="3"/>
  <c r="R84" i="3"/>
  <c r="AB83" i="3"/>
  <c r="P84" i="3"/>
  <c r="S83" i="3"/>
  <c r="Z82" i="3"/>
  <c r="R83" i="3"/>
  <c r="Y82" i="3"/>
  <c r="O83" i="3"/>
  <c r="U82" i="3"/>
  <c r="J84" i="3"/>
  <c r="K83" i="3"/>
  <c r="P82" i="3"/>
  <c r="O82" i="3"/>
  <c r="K78" i="3"/>
  <c r="M76" i="3"/>
  <c r="AB76" i="3"/>
  <c r="J76" i="3"/>
  <c r="Z78" i="3"/>
  <c r="U78" i="3"/>
  <c r="S78" i="3"/>
  <c r="R76" i="3"/>
  <c r="P78" i="3"/>
  <c r="P76" i="3"/>
  <c r="L78" i="3"/>
  <c r="N76" i="3"/>
  <c r="U73" i="3"/>
  <c r="S70" i="3"/>
  <c r="S66" i="3"/>
  <c r="R66" i="3"/>
  <c r="P66" i="3"/>
  <c r="U65" i="3"/>
  <c r="P65" i="3"/>
  <c r="N65" i="3"/>
  <c r="J63" i="3"/>
  <c r="Z63" i="3"/>
  <c r="I63" i="3"/>
  <c r="U63" i="3"/>
  <c r="R63" i="3"/>
  <c r="J59" i="3"/>
  <c r="Z59" i="3"/>
  <c r="S60" i="3"/>
  <c r="P60" i="3"/>
  <c r="S58" i="3"/>
  <c r="R58" i="3"/>
  <c r="M58" i="3"/>
  <c r="Y56" i="3"/>
  <c r="K56" i="3"/>
  <c r="I56" i="3"/>
  <c r="S56" i="3"/>
  <c r="Q56" i="3"/>
  <c r="Z52" i="3"/>
  <c r="Y52" i="3"/>
  <c r="P50" i="3"/>
  <c r="M50" i="3"/>
  <c r="K50" i="3"/>
  <c r="I50" i="3"/>
  <c r="L47" i="3"/>
  <c r="J47" i="3"/>
  <c r="I47" i="3"/>
  <c r="N46" i="3"/>
  <c r="I46" i="3"/>
  <c r="S45" i="3"/>
  <c r="P45" i="3"/>
  <c r="AA46" i="3"/>
  <c r="N45" i="3"/>
  <c r="Y46" i="3"/>
  <c r="L45" i="3"/>
  <c r="Q46" i="3"/>
  <c r="Z45" i="3"/>
  <c r="K45" i="3"/>
  <c r="J45" i="3"/>
  <c r="M43" i="3"/>
  <c r="Z43" i="3"/>
  <c r="P43" i="3"/>
  <c r="J42" i="3"/>
  <c r="R42" i="3"/>
  <c r="P42" i="3"/>
  <c r="Q42" i="3"/>
  <c r="O42" i="3"/>
  <c r="AB42" i="3"/>
  <c r="M42" i="3"/>
  <c r="AB38" i="3"/>
  <c r="J38" i="3"/>
  <c r="K37" i="3"/>
  <c r="J37" i="3"/>
  <c r="K39" i="3"/>
  <c r="Y37" i="3"/>
  <c r="U40" i="3"/>
  <c r="R38" i="3"/>
  <c r="AB37" i="3"/>
  <c r="AA35" i="3"/>
  <c r="Q35" i="3"/>
  <c r="M35" i="3"/>
  <c r="Y34" i="3"/>
  <c r="Y33" i="3"/>
  <c r="AA33" i="3"/>
  <c r="Q33" i="3"/>
  <c r="L29" i="3"/>
  <c r="S29" i="3"/>
  <c r="R29" i="3"/>
  <c r="O29" i="3"/>
  <c r="M29" i="3"/>
  <c r="P28" i="3"/>
  <c r="J28" i="3"/>
  <c r="AB28" i="3"/>
  <c r="Y27" i="3"/>
  <c r="Z28" i="3"/>
  <c r="Z26" i="3"/>
  <c r="P26" i="3"/>
  <c r="Y26" i="3"/>
  <c r="O26" i="3"/>
  <c r="N26" i="3"/>
  <c r="L26" i="3"/>
  <c r="U26" i="3"/>
  <c r="K26" i="3"/>
  <c r="S26" i="3"/>
  <c r="J26" i="3"/>
  <c r="K24" i="3"/>
  <c r="U24" i="3"/>
  <c r="S24" i="3"/>
  <c r="N22" i="3"/>
  <c r="Z22" i="3"/>
  <c r="K21" i="3"/>
  <c r="AB21" i="3"/>
  <c r="J21" i="3"/>
  <c r="Y19" i="3"/>
  <c r="L21" i="3"/>
  <c r="N19" i="3"/>
  <c r="S21" i="3"/>
  <c r="O19" i="3"/>
  <c r="M19" i="3"/>
  <c r="Q18" i="3"/>
  <c r="AB18" i="3"/>
  <c r="P18" i="3"/>
  <c r="AA18" i="3"/>
  <c r="N18" i="3"/>
  <c r="K16" i="3"/>
  <c r="P15" i="3"/>
  <c r="K15" i="3"/>
  <c r="I15" i="3"/>
  <c r="L13" i="3"/>
  <c r="S13" i="3"/>
  <c r="R13" i="3"/>
  <c r="Y13" i="3"/>
  <c r="O13" i="3"/>
  <c r="N11" i="3"/>
  <c r="M13" i="3"/>
  <c r="K13" i="3"/>
  <c r="AB13" i="3"/>
  <c r="Y11" i="3"/>
  <c r="Q10" i="3"/>
  <c r="AB10" i="3"/>
  <c r="P10" i="3"/>
  <c r="AA10" i="3"/>
  <c r="N10" i="3"/>
  <c r="Z10" i="3"/>
  <c r="L10" i="3"/>
  <c r="K10" i="3"/>
  <c r="U10" i="3"/>
  <c r="J10" i="3"/>
  <c r="AA7" i="3"/>
  <c r="Z7" i="3"/>
  <c r="S7" i="3"/>
  <c r="Q7" i="3"/>
  <c r="K8" i="3"/>
  <c r="P7" i="3"/>
  <c r="U9" i="3"/>
  <c r="K7" i="3"/>
  <c r="I7" i="3"/>
  <c r="K5" i="3"/>
  <c r="AB5" i="3"/>
  <c r="J5" i="3"/>
  <c r="L5" i="3"/>
  <c r="S5" i="3"/>
  <c r="R5" i="3"/>
  <c r="Z4" i="3"/>
  <c r="O5" i="3"/>
  <c r="P165" i="3"/>
  <c r="Z165" i="3"/>
  <c r="I165" i="3"/>
  <c r="Q165" i="3"/>
  <c r="AA165" i="3"/>
  <c r="J165" i="3"/>
  <c r="R165" i="3"/>
  <c r="AB165" i="3"/>
  <c r="L165" i="3"/>
  <c r="U165" i="3"/>
  <c r="M165" i="3"/>
  <c r="K165" i="3"/>
  <c r="N165" i="3"/>
  <c r="O165" i="3"/>
  <c r="S165" i="3"/>
  <c r="Y165" i="3"/>
  <c r="O92" i="3"/>
  <c r="Y92" i="3"/>
  <c r="I92" i="3"/>
  <c r="Q92" i="3"/>
  <c r="AA92" i="3"/>
  <c r="K92" i="3"/>
  <c r="S92" i="3"/>
  <c r="L92" i="3"/>
  <c r="U92" i="3"/>
  <c r="J92" i="3"/>
  <c r="AB92" i="3"/>
  <c r="M92" i="3"/>
  <c r="N92" i="3"/>
  <c r="P92" i="3"/>
  <c r="R92" i="3"/>
  <c r="Z92" i="3"/>
  <c r="I401" i="3"/>
  <c r="Q401" i="3"/>
  <c r="AA401" i="3"/>
  <c r="J401" i="3"/>
  <c r="R401" i="3"/>
  <c r="AB401" i="3"/>
  <c r="K401" i="3"/>
  <c r="S401" i="3"/>
  <c r="L401" i="3"/>
  <c r="U401" i="3"/>
  <c r="M401" i="3"/>
  <c r="N401" i="3"/>
  <c r="Q388" i="3"/>
  <c r="P376" i="3"/>
  <c r="Z376" i="3"/>
  <c r="AB376" i="3"/>
  <c r="S376" i="3"/>
  <c r="I376" i="3"/>
  <c r="U376" i="3"/>
  <c r="K376" i="3"/>
  <c r="L376" i="3"/>
  <c r="M376" i="3"/>
  <c r="Y376" i="3"/>
  <c r="N376" i="3"/>
  <c r="AA376" i="3"/>
  <c r="N355" i="3"/>
  <c r="P355" i="3"/>
  <c r="Z355" i="3"/>
  <c r="J355" i="3"/>
  <c r="R355" i="3"/>
  <c r="AB355" i="3"/>
  <c r="I355" i="3"/>
  <c r="K355" i="3"/>
  <c r="Y355" i="3"/>
  <c r="L355" i="3"/>
  <c r="AA355" i="3"/>
  <c r="M355" i="3"/>
  <c r="O355" i="3"/>
  <c r="Q355" i="3"/>
  <c r="J374" i="3"/>
  <c r="R374" i="3"/>
  <c r="AB374" i="3"/>
  <c r="L374" i="3"/>
  <c r="U374" i="3"/>
  <c r="I374" i="3"/>
  <c r="K374" i="3"/>
  <c r="M374" i="3"/>
  <c r="Y374" i="3"/>
  <c r="N374" i="3"/>
  <c r="Z374" i="3"/>
  <c r="O374" i="3"/>
  <c r="AA374" i="3"/>
  <c r="P374" i="3"/>
  <c r="J311" i="3"/>
  <c r="R311" i="3"/>
  <c r="AB311" i="3"/>
  <c r="L311" i="3"/>
  <c r="U311" i="3"/>
  <c r="M311" i="3"/>
  <c r="N311" i="3"/>
  <c r="O311" i="3"/>
  <c r="Y311" i="3"/>
  <c r="I311" i="3"/>
  <c r="K311" i="3"/>
  <c r="P311" i="3"/>
  <c r="Q311" i="3"/>
  <c r="S311" i="3"/>
  <c r="AA311" i="3"/>
  <c r="Z311" i="3"/>
  <c r="P406" i="3"/>
  <c r="Z406" i="3"/>
  <c r="I406" i="3"/>
  <c r="Q406" i="3"/>
  <c r="AA406" i="3"/>
  <c r="J406" i="3"/>
  <c r="R406" i="3"/>
  <c r="AB406" i="3"/>
  <c r="K406" i="3"/>
  <c r="S406" i="3"/>
  <c r="L406" i="3"/>
  <c r="U406" i="3"/>
  <c r="M406" i="3"/>
  <c r="J404" i="3"/>
  <c r="R404" i="3"/>
  <c r="AB404" i="3"/>
  <c r="K404" i="3"/>
  <c r="S404" i="3"/>
  <c r="L404" i="3"/>
  <c r="U404" i="3"/>
  <c r="M404" i="3"/>
  <c r="N404" i="3"/>
  <c r="O404" i="3"/>
  <c r="Y404" i="3"/>
  <c r="I385" i="3"/>
  <c r="Q385" i="3"/>
  <c r="AA385" i="3"/>
  <c r="J385" i="3"/>
  <c r="R385" i="3"/>
  <c r="AB385" i="3"/>
  <c r="K385" i="3"/>
  <c r="S385" i="3"/>
  <c r="L385" i="3"/>
  <c r="U385" i="3"/>
  <c r="M385" i="3"/>
  <c r="N385" i="3"/>
  <c r="I371" i="3"/>
  <c r="Q371" i="3"/>
  <c r="AA371" i="3"/>
  <c r="K371" i="3"/>
  <c r="S371" i="3"/>
  <c r="L371" i="3"/>
  <c r="M371" i="3"/>
  <c r="Y371" i="3"/>
  <c r="N371" i="3"/>
  <c r="Z371" i="3"/>
  <c r="O371" i="3"/>
  <c r="AB371" i="3"/>
  <c r="P371" i="3"/>
  <c r="R371" i="3"/>
  <c r="I316" i="3"/>
  <c r="Q316" i="3"/>
  <c r="AA316" i="3"/>
  <c r="K316" i="3"/>
  <c r="S316" i="3"/>
  <c r="L316" i="3"/>
  <c r="U316" i="3"/>
  <c r="M316" i="3"/>
  <c r="N316" i="3"/>
  <c r="J316" i="3"/>
  <c r="O316" i="3"/>
  <c r="P316" i="3"/>
  <c r="R316" i="3"/>
  <c r="AB316" i="3"/>
  <c r="Y316" i="3"/>
  <c r="Z316" i="3"/>
  <c r="S278" i="3"/>
  <c r="P390" i="3"/>
  <c r="Z390" i="3"/>
  <c r="I390" i="3"/>
  <c r="Q390" i="3"/>
  <c r="AA390" i="3"/>
  <c r="J390" i="3"/>
  <c r="R390" i="3"/>
  <c r="AB390" i="3"/>
  <c r="K390" i="3"/>
  <c r="S390" i="3"/>
  <c r="L390" i="3"/>
  <c r="U390" i="3"/>
  <c r="M390" i="3"/>
  <c r="J388" i="3"/>
  <c r="R388" i="3"/>
  <c r="AB388" i="3"/>
  <c r="AD388" i="3" s="1"/>
  <c r="K388" i="3"/>
  <c r="S388" i="3"/>
  <c r="L388" i="3"/>
  <c r="U388" i="3"/>
  <c r="M388" i="3"/>
  <c r="N388" i="3"/>
  <c r="O388" i="3"/>
  <c r="Y388" i="3"/>
  <c r="R377" i="3"/>
  <c r="I377" i="3"/>
  <c r="U377" i="3"/>
  <c r="J377" i="3"/>
  <c r="L377" i="3"/>
  <c r="Y377" i="3"/>
  <c r="N377" i="3"/>
  <c r="Z377" i="3"/>
  <c r="O377" i="3"/>
  <c r="AA377" i="3"/>
  <c r="P361" i="3"/>
  <c r="Z361" i="3"/>
  <c r="R361" i="3"/>
  <c r="AB361" i="3"/>
  <c r="S361" i="3"/>
  <c r="I361" i="3"/>
  <c r="U361" i="3"/>
  <c r="K361" i="3"/>
  <c r="L361" i="3"/>
  <c r="M361" i="3"/>
  <c r="Y361" i="3"/>
  <c r="N361" i="3"/>
  <c r="AA361" i="3"/>
  <c r="P305" i="3"/>
  <c r="Z305" i="3"/>
  <c r="I305" i="3"/>
  <c r="Q305" i="3"/>
  <c r="AA305" i="3"/>
  <c r="K305" i="3"/>
  <c r="S305" i="3"/>
  <c r="L305" i="3"/>
  <c r="U305" i="3"/>
  <c r="M305" i="3"/>
  <c r="N305" i="3"/>
  <c r="O305" i="3"/>
  <c r="Y305" i="3"/>
  <c r="M360" i="3"/>
  <c r="O360" i="3"/>
  <c r="Y360" i="3"/>
  <c r="I360" i="3"/>
  <c r="S360" i="3"/>
  <c r="J360" i="3"/>
  <c r="U360" i="3"/>
  <c r="K360" i="3"/>
  <c r="L360" i="3"/>
  <c r="Z360" i="3"/>
  <c r="N360" i="3"/>
  <c r="AA360" i="3"/>
  <c r="P360" i="3"/>
  <c r="AB360" i="3"/>
  <c r="I409" i="3"/>
  <c r="Q409" i="3"/>
  <c r="AA409" i="3"/>
  <c r="J409" i="3"/>
  <c r="R409" i="3"/>
  <c r="AB409" i="3"/>
  <c r="K409" i="3"/>
  <c r="S409" i="3"/>
  <c r="L409" i="3"/>
  <c r="U409" i="3"/>
  <c r="M409" i="3"/>
  <c r="N409" i="3"/>
  <c r="Z401" i="3"/>
  <c r="M375" i="3"/>
  <c r="O375" i="3"/>
  <c r="Y375" i="3"/>
  <c r="I375" i="3"/>
  <c r="S375" i="3"/>
  <c r="J375" i="3"/>
  <c r="U375" i="3"/>
  <c r="K375" i="3"/>
  <c r="L375" i="3"/>
  <c r="Z375" i="3"/>
  <c r="N375" i="3"/>
  <c r="AA375" i="3"/>
  <c r="P375" i="3"/>
  <c r="AB375" i="3"/>
  <c r="L372" i="3"/>
  <c r="U372" i="3"/>
  <c r="N372" i="3"/>
  <c r="J372" i="3"/>
  <c r="K372" i="3"/>
  <c r="Y372" i="3"/>
  <c r="M372" i="3"/>
  <c r="Z372" i="3"/>
  <c r="O372" i="3"/>
  <c r="AA372" i="3"/>
  <c r="P372" i="3"/>
  <c r="AB372" i="3"/>
  <c r="Q372" i="3"/>
  <c r="U355" i="3"/>
  <c r="J351" i="3"/>
  <c r="R351" i="3"/>
  <c r="AB351" i="3"/>
  <c r="L351" i="3"/>
  <c r="U351" i="3"/>
  <c r="N351" i="3"/>
  <c r="K351" i="3"/>
  <c r="Z351" i="3"/>
  <c r="M351" i="3"/>
  <c r="AA351" i="3"/>
  <c r="O351" i="3"/>
  <c r="P351" i="3"/>
  <c r="Q351" i="3"/>
  <c r="S351" i="3"/>
  <c r="J412" i="3"/>
  <c r="R412" i="3"/>
  <c r="AB412" i="3"/>
  <c r="S412" i="3"/>
  <c r="K412" i="3"/>
  <c r="L412" i="3"/>
  <c r="U412" i="3"/>
  <c r="M412" i="3"/>
  <c r="N412" i="3"/>
  <c r="O412" i="3"/>
  <c r="Y412" i="3"/>
  <c r="Y406" i="3"/>
  <c r="AA404" i="3"/>
  <c r="I393" i="3"/>
  <c r="Q393" i="3"/>
  <c r="AA393" i="3"/>
  <c r="J393" i="3"/>
  <c r="AB393" i="3"/>
  <c r="R393" i="3"/>
  <c r="K393" i="3"/>
  <c r="S393" i="3"/>
  <c r="L393" i="3"/>
  <c r="U393" i="3"/>
  <c r="M393" i="3"/>
  <c r="N393" i="3"/>
  <c r="Q376" i="3"/>
  <c r="R360" i="3"/>
  <c r="I359" i="3"/>
  <c r="K359" i="3"/>
  <c r="Y359" i="3"/>
  <c r="M359" i="3"/>
  <c r="Z359" i="3"/>
  <c r="O359" i="3"/>
  <c r="AA359" i="3"/>
  <c r="P359" i="3"/>
  <c r="S355" i="3"/>
  <c r="J335" i="3"/>
  <c r="R335" i="3"/>
  <c r="AB335" i="3"/>
  <c r="L335" i="3"/>
  <c r="U335" i="3"/>
  <c r="M335" i="3"/>
  <c r="N335" i="3"/>
  <c r="I335" i="3"/>
  <c r="AA335" i="3"/>
  <c r="K335" i="3"/>
  <c r="O335" i="3"/>
  <c r="P335" i="3"/>
  <c r="Q335" i="3"/>
  <c r="S335" i="3"/>
  <c r="Z404" i="3"/>
  <c r="P401" i="3"/>
  <c r="P398" i="3"/>
  <c r="Z398" i="3"/>
  <c r="I398" i="3"/>
  <c r="Q398" i="3"/>
  <c r="AA398" i="3"/>
  <c r="J398" i="3"/>
  <c r="R398" i="3"/>
  <c r="AB398" i="3"/>
  <c r="K398" i="3"/>
  <c r="S398" i="3"/>
  <c r="L398" i="3"/>
  <c r="U398" i="3"/>
  <c r="M398" i="3"/>
  <c r="J396" i="3"/>
  <c r="R396" i="3"/>
  <c r="AB396" i="3"/>
  <c r="K396" i="3"/>
  <c r="S396" i="3"/>
  <c r="L396" i="3"/>
  <c r="U396" i="3"/>
  <c r="M396" i="3"/>
  <c r="N396" i="3"/>
  <c r="O396" i="3"/>
  <c r="Y396" i="3"/>
  <c r="Y390" i="3"/>
  <c r="AA388" i="3"/>
  <c r="AC388" i="3" s="1"/>
  <c r="Z385" i="3"/>
  <c r="O376" i="3"/>
  <c r="O373" i="3"/>
  <c r="Y373" i="3"/>
  <c r="I373" i="3"/>
  <c r="Q373" i="3"/>
  <c r="AA373" i="3"/>
  <c r="J373" i="3"/>
  <c r="U373" i="3"/>
  <c r="K373" i="3"/>
  <c r="L373" i="3"/>
  <c r="M373" i="3"/>
  <c r="Z373" i="3"/>
  <c r="N373" i="3"/>
  <c r="AB373" i="3"/>
  <c r="P373" i="3"/>
  <c r="R362" i="3"/>
  <c r="I362" i="3"/>
  <c r="U362" i="3"/>
  <c r="J362" i="3"/>
  <c r="L362" i="3"/>
  <c r="Y362" i="3"/>
  <c r="N362" i="3"/>
  <c r="Z362" i="3"/>
  <c r="O362" i="3"/>
  <c r="AA362" i="3"/>
  <c r="Q360" i="3"/>
  <c r="N323" i="3"/>
  <c r="P323" i="3"/>
  <c r="Z323" i="3"/>
  <c r="I323" i="3"/>
  <c r="Q323" i="3"/>
  <c r="AA323" i="3"/>
  <c r="J323" i="3"/>
  <c r="R323" i="3"/>
  <c r="AB323" i="3"/>
  <c r="K323" i="3"/>
  <c r="S323" i="3"/>
  <c r="L323" i="3"/>
  <c r="M323" i="3"/>
  <c r="O323" i="3"/>
  <c r="U323" i="3"/>
  <c r="I283" i="3"/>
  <c r="Q283" i="3"/>
  <c r="AA283" i="3"/>
  <c r="K283" i="3"/>
  <c r="S283" i="3"/>
  <c r="M283" i="3"/>
  <c r="L283" i="3"/>
  <c r="Z283" i="3"/>
  <c r="N283" i="3"/>
  <c r="AB283" i="3"/>
  <c r="O283" i="3"/>
  <c r="P283" i="3"/>
  <c r="R283" i="3"/>
  <c r="U283" i="3"/>
  <c r="J283" i="3"/>
  <c r="Y283" i="3"/>
  <c r="P313" i="3"/>
  <c r="Z313" i="3"/>
  <c r="K313" i="3"/>
  <c r="S313" i="3"/>
  <c r="L313" i="3"/>
  <c r="U313" i="3"/>
  <c r="M313" i="3"/>
  <c r="O310" i="3"/>
  <c r="Y310" i="3"/>
  <c r="I310" i="3"/>
  <c r="Q310" i="3"/>
  <c r="AA310" i="3"/>
  <c r="J310" i="3"/>
  <c r="R310" i="3"/>
  <c r="AB310" i="3"/>
  <c r="K310" i="3"/>
  <c r="S310" i="3"/>
  <c r="L310" i="3"/>
  <c r="U310" i="3"/>
  <c r="N139" i="3"/>
  <c r="P139" i="3"/>
  <c r="Z139" i="3"/>
  <c r="I139" i="3"/>
  <c r="M139" i="3"/>
  <c r="O139" i="3"/>
  <c r="Q139" i="3"/>
  <c r="Y139" i="3"/>
  <c r="AA139" i="3"/>
  <c r="P133" i="3"/>
  <c r="Z133" i="3"/>
  <c r="I133" i="3"/>
  <c r="Q133" i="3"/>
  <c r="AA133" i="3"/>
  <c r="L133" i="3"/>
  <c r="U133" i="3"/>
  <c r="N133" i="3"/>
  <c r="K133" i="3"/>
  <c r="M133" i="3"/>
  <c r="O133" i="3"/>
  <c r="S133" i="3"/>
  <c r="Y133" i="3"/>
  <c r="U411" i="3"/>
  <c r="L411" i="3"/>
  <c r="S408" i="3"/>
  <c r="K408" i="3"/>
  <c r="U403" i="3"/>
  <c r="L403" i="3"/>
  <c r="S400" i="3"/>
  <c r="K400" i="3"/>
  <c r="U395" i="3"/>
  <c r="L395" i="3"/>
  <c r="S392" i="3"/>
  <c r="K392" i="3"/>
  <c r="U387" i="3"/>
  <c r="L387" i="3"/>
  <c r="S384" i="3"/>
  <c r="K384" i="3"/>
  <c r="Y380" i="3"/>
  <c r="K380" i="3"/>
  <c r="Y379" i="3"/>
  <c r="M379" i="3"/>
  <c r="Y365" i="3"/>
  <c r="K365" i="3"/>
  <c r="Y364" i="3"/>
  <c r="M364" i="3"/>
  <c r="I356" i="3"/>
  <c r="Q356" i="3"/>
  <c r="AA356" i="3"/>
  <c r="K356" i="3"/>
  <c r="S356" i="3"/>
  <c r="M356" i="3"/>
  <c r="AA353" i="3"/>
  <c r="M353" i="3"/>
  <c r="N347" i="3"/>
  <c r="P347" i="3"/>
  <c r="Z347" i="3"/>
  <c r="I347" i="3"/>
  <c r="J347" i="3"/>
  <c r="R347" i="3"/>
  <c r="AB347" i="3"/>
  <c r="P346" i="3"/>
  <c r="I340" i="3"/>
  <c r="Q340" i="3"/>
  <c r="AA340" i="3"/>
  <c r="K340" i="3"/>
  <c r="S340" i="3"/>
  <c r="L340" i="3"/>
  <c r="U340" i="3"/>
  <c r="M340" i="3"/>
  <c r="M339" i="3"/>
  <c r="K338" i="3"/>
  <c r="S338" i="3"/>
  <c r="M338" i="3"/>
  <c r="N338" i="3"/>
  <c r="O338" i="3"/>
  <c r="Y338" i="3"/>
  <c r="O331" i="3"/>
  <c r="R324" i="3"/>
  <c r="Q319" i="3"/>
  <c r="N315" i="3"/>
  <c r="P315" i="3"/>
  <c r="Z315" i="3"/>
  <c r="I315" i="3"/>
  <c r="Q315" i="3"/>
  <c r="AA315" i="3"/>
  <c r="J315" i="3"/>
  <c r="R315" i="3"/>
  <c r="AB315" i="3"/>
  <c r="K315" i="3"/>
  <c r="S315" i="3"/>
  <c r="Y313" i="3"/>
  <c r="I308" i="3"/>
  <c r="Q308" i="3"/>
  <c r="AA308" i="3"/>
  <c r="K308" i="3"/>
  <c r="S308" i="3"/>
  <c r="L308" i="3"/>
  <c r="U308" i="3"/>
  <c r="M308" i="3"/>
  <c r="N308" i="3"/>
  <c r="L291" i="3"/>
  <c r="I267" i="3"/>
  <c r="Q267" i="3"/>
  <c r="AA267" i="3"/>
  <c r="J267" i="3"/>
  <c r="R267" i="3"/>
  <c r="AB267" i="3"/>
  <c r="K267" i="3"/>
  <c r="S267" i="3"/>
  <c r="M267" i="3"/>
  <c r="N267" i="3"/>
  <c r="O267" i="3"/>
  <c r="P267" i="3"/>
  <c r="U267" i="3"/>
  <c r="Y267" i="3"/>
  <c r="Z267" i="3"/>
  <c r="J237" i="3"/>
  <c r="R237" i="3"/>
  <c r="AB237" i="3"/>
  <c r="L237" i="3"/>
  <c r="U237" i="3"/>
  <c r="K237" i="3"/>
  <c r="M237" i="3"/>
  <c r="Y237" i="3"/>
  <c r="N237" i="3"/>
  <c r="Z237" i="3"/>
  <c r="O237" i="3"/>
  <c r="AA237" i="3"/>
  <c r="P237" i="3"/>
  <c r="Q237" i="3"/>
  <c r="I237" i="3"/>
  <c r="S237" i="3"/>
  <c r="I218" i="3"/>
  <c r="Q218" i="3"/>
  <c r="AA218" i="3"/>
  <c r="K218" i="3"/>
  <c r="S218" i="3"/>
  <c r="L218" i="3"/>
  <c r="U218" i="3"/>
  <c r="M218" i="3"/>
  <c r="N218" i="3"/>
  <c r="O218" i="3"/>
  <c r="P218" i="3"/>
  <c r="R218" i="3"/>
  <c r="Y218" i="3"/>
  <c r="Z218" i="3"/>
  <c r="AB218" i="3"/>
  <c r="J218" i="3"/>
  <c r="J211" i="3"/>
  <c r="R211" i="3"/>
  <c r="AB211" i="3"/>
  <c r="L211" i="3"/>
  <c r="U211" i="3"/>
  <c r="Q211" i="3"/>
  <c r="I211" i="3"/>
  <c r="K211" i="3"/>
  <c r="M211" i="3"/>
  <c r="Y211" i="3"/>
  <c r="N211" i="3"/>
  <c r="Z211" i="3"/>
  <c r="O211" i="3"/>
  <c r="P211" i="3"/>
  <c r="S211" i="3"/>
  <c r="AA211" i="3"/>
  <c r="AA313" i="3"/>
  <c r="O154" i="3"/>
  <c r="Y154" i="3"/>
  <c r="I154" i="3"/>
  <c r="Q154" i="3"/>
  <c r="AA154" i="3"/>
  <c r="J154" i="3"/>
  <c r="U154" i="3"/>
  <c r="K154" i="3"/>
  <c r="L154" i="3"/>
  <c r="M154" i="3"/>
  <c r="Z154" i="3"/>
  <c r="N154" i="3"/>
  <c r="AB154" i="3"/>
  <c r="P154" i="3"/>
  <c r="R154" i="3"/>
  <c r="S154" i="3"/>
  <c r="P105" i="3"/>
  <c r="Z105" i="3"/>
  <c r="R105" i="3"/>
  <c r="I105" i="3"/>
  <c r="S105" i="3"/>
  <c r="J105" i="3"/>
  <c r="U105" i="3"/>
  <c r="K105" i="3"/>
  <c r="L105" i="3"/>
  <c r="Y105" i="3"/>
  <c r="M105" i="3"/>
  <c r="AA105" i="3"/>
  <c r="O105" i="3"/>
  <c r="AB105" i="3"/>
  <c r="Q105" i="3"/>
  <c r="S411" i="3"/>
  <c r="K411" i="3"/>
  <c r="AB408" i="3"/>
  <c r="R408" i="3"/>
  <c r="J408" i="3"/>
  <c r="Y407" i="3"/>
  <c r="O407" i="3"/>
  <c r="S403" i="3"/>
  <c r="K403" i="3"/>
  <c r="AB400" i="3"/>
  <c r="R400" i="3"/>
  <c r="J400" i="3"/>
  <c r="Y399" i="3"/>
  <c r="O399" i="3"/>
  <c r="S395" i="3"/>
  <c r="K395" i="3"/>
  <c r="AB392" i="3"/>
  <c r="R392" i="3"/>
  <c r="J392" i="3"/>
  <c r="Y391" i="3"/>
  <c r="O391" i="3"/>
  <c r="S387" i="3"/>
  <c r="K387" i="3"/>
  <c r="AB384" i="3"/>
  <c r="R384" i="3"/>
  <c r="J384" i="3"/>
  <c r="Y383" i="3"/>
  <c r="O383" i="3"/>
  <c r="J380" i="3"/>
  <c r="L379" i="3"/>
  <c r="K370" i="3"/>
  <c r="S370" i="3"/>
  <c r="M370" i="3"/>
  <c r="J365" i="3"/>
  <c r="L364" i="3"/>
  <c r="Y353" i="3"/>
  <c r="K353" i="3"/>
  <c r="M352" i="3"/>
  <c r="O352" i="3"/>
  <c r="Y352" i="3"/>
  <c r="I352" i="3"/>
  <c r="Q352" i="3"/>
  <c r="AA352" i="3"/>
  <c r="L346" i="3"/>
  <c r="P345" i="3"/>
  <c r="Z345" i="3"/>
  <c r="J345" i="3"/>
  <c r="R345" i="3"/>
  <c r="AB345" i="3"/>
  <c r="K345" i="3"/>
  <c r="S345" i="3"/>
  <c r="L345" i="3"/>
  <c r="U345" i="3"/>
  <c r="L339" i="3"/>
  <c r="O334" i="3"/>
  <c r="Y334" i="3"/>
  <c r="I334" i="3"/>
  <c r="Q334" i="3"/>
  <c r="AA334" i="3"/>
  <c r="J334" i="3"/>
  <c r="R334" i="3"/>
  <c r="AB334" i="3"/>
  <c r="K334" i="3"/>
  <c r="S334" i="3"/>
  <c r="M331" i="3"/>
  <c r="P324" i="3"/>
  <c r="P319" i="3"/>
  <c r="Z310" i="3"/>
  <c r="J291" i="3"/>
  <c r="Y291" i="3"/>
  <c r="N291" i="3"/>
  <c r="AB291" i="3"/>
  <c r="O291" i="3"/>
  <c r="P291" i="3"/>
  <c r="S282" i="3"/>
  <c r="Y272" i="3"/>
  <c r="J262" i="3"/>
  <c r="R262" i="3"/>
  <c r="AB262" i="3"/>
  <c r="K262" i="3"/>
  <c r="S262" i="3"/>
  <c r="L262" i="3"/>
  <c r="U262" i="3"/>
  <c r="N262" i="3"/>
  <c r="O262" i="3"/>
  <c r="Y262" i="3"/>
  <c r="I262" i="3"/>
  <c r="M262" i="3"/>
  <c r="P262" i="3"/>
  <c r="Q262" i="3"/>
  <c r="Z262" i="3"/>
  <c r="J229" i="3"/>
  <c r="R229" i="3"/>
  <c r="AB229" i="3"/>
  <c r="L229" i="3"/>
  <c r="U229" i="3"/>
  <c r="M229" i="3"/>
  <c r="N229" i="3"/>
  <c r="I229" i="3"/>
  <c r="AA229" i="3"/>
  <c r="K229" i="3"/>
  <c r="O229" i="3"/>
  <c r="P229" i="3"/>
  <c r="Q229" i="3"/>
  <c r="S229" i="3"/>
  <c r="Y229" i="3"/>
  <c r="Z229" i="3"/>
  <c r="I259" i="3"/>
  <c r="Q259" i="3"/>
  <c r="AA259" i="3"/>
  <c r="J259" i="3"/>
  <c r="R259" i="3"/>
  <c r="AB259" i="3"/>
  <c r="K259" i="3"/>
  <c r="S259" i="3"/>
  <c r="M259" i="3"/>
  <c r="N259" i="3"/>
  <c r="O259" i="3"/>
  <c r="P259" i="3"/>
  <c r="U259" i="3"/>
  <c r="Y259" i="3"/>
  <c r="Z259" i="3"/>
  <c r="AB411" i="3"/>
  <c r="R411" i="3"/>
  <c r="J411" i="3"/>
  <c r="Y410" i="3"/>
  <c r="O410" i="3"/>
  <c r="AA408" i="3"/>
  <c r="Q408" i="3"/>
  <c r="I408" i="3"/>
  <c r="N407" i="3"/>
  <c r="AB403" i="3"/>
  <c r="R403" i="3"/>
  <c r="J403" i="3"/>
  <c r="Y402" i="3"/>
  <c r="O402" i="3"/>
  <c r="AA400" i="3"/>
  <c r="Q400" i="3"/>
  <c r="I400" i="3"/>
  <c r="N399" i="3"/>
  <c r="AB395" i="3"/>
  <c r="R395" i="3"/>
  <c r="J395" i="3"/>
  <c r="Y394" i="3"/>
  <c r="O394" i="3"/>
  <c r="AA392" i="3"/>
  <c r="Q392" i="3"/>
  <c r="I392" i="3"/>
  <c r="N391" i="3"/>
  <c r="AB387" i="3"/>
  <c r="R387" i="3"/>
  <c r="J387" i="3"/>
  <c r="Y386" i="3"/>
  <c r="O386" i="3"/>
  <c r="AA384" i="3"/>
  <c r="Q384" i="3"/>
  <c r="I384" i="3"/>
  <c r="N383" i="3"/>
  <c r="J382" i="3"/>
  <c r="L382" i="3"/>
  <c r="U382" i="3"/>
  <c r="O381" i="3"/>
  <c r="Y381" i="3"/>
  <c r="I381" i="3"/>
  <c r="Q381" i="3"/>
  <c r="AA381" i="3"/>
  <c r="S380" i="3"/>
  <c r="I380" i="3"/>
  <c r="J379" i="3"/>
  <c r="Q370" i="3"/>
  <c r="P369" i="3"/>
  <c r="Z369" i="3"/>
  <c r="J369" i="3"/>
  <c r="R369" i="3"/>
  <c r="AB369" i="3"/>
  <c r="M368" i="3"/>
  <c r="O368" i="3"/>
  <c r="Y368" i="3"/>
  <c r="J367" i="3"/>
  <c r="R367" i="3"/>
  <c r="AB367" i="3"/>
  <c r="L367" i="3"/>
  <c r="U367" i="3"/>
  <c r="O366" i="3"/>
  <c r="Y366" i="3"/>
  <c r="I366" i="3"/>
  <c r="Q366" i="3"/>
  <c r="AA366" i="3"/>
  <c r="S365" i="3"/>
  <c r="I365" i="3"/>
  <c r="J364" i="3"/>
  <c r="R356" i="3"/>
  <c r="I353" i="3"/>
  <c r="S352" i="3"/>
  <c r="I348" i="3"/>
  <c r="Q348" i="3"/>
  <c r="AA348" i="3"/>
  <c r="K348" i="3"/>
  <c r="S348" i="3"/>
  <c r="M348" i="3"/>
  <c r="Q347" i="3"/>
  <c r="AB346" i="3"/>
  <c r="J346" i="3"/>
  <c r="J343" i="3"/>
  <c r="R343" i="3"/>
  <c r="AB343" i="3"/>
  <c r="L343" i="3"/>
  <c r="U343" i="3"/>
  <c r="M343" i="3"/>
  <c r="N343" i="3"/>
  <c r="K339" i="3"/>
  <c r="R338" i="3"/>
  <c r="I332" i="3"/>
  <c r="Q332" i="3"/>
  <c r="AA332" i="3"/>
  <c r="K332" i="3"/>
  <c r="S332" i="3"/>
  <c r="L332" i="3"/>
  <c r="U332" i="3"/>
  <c r="M332" i="3"/>
  <c r="N332" i="3"/>
  <c r="J327" i="3"/>
  <c r="R327" i="3"/>
  <c r="AB327" i="3"/>
  <c r="AD327" i="3" s="1"/>
  <c r="L327" i="3"/>
  <c r="U327" i="3"/>
  <c r="M327" i="3"/>
  <c r="N327" i="3"/>
  <c r="O327" i="3"/>
  <c r="Y327" i="3"/>
  <c r="O324" i="3"/>
  <c r="K319" i="3"/>
  <c r="Q313" i="3"/>
  <c r="Z308" i="3"/>
  <c r="N307" i="3"/>
  <c r="P307" i="3"/>
  <c r="Z307" i="3"/>
  <c r="I307" i="3"/>
  <c r="Q307" i="3"/>
  <c r="AA307" i="3"/>
  <c r="J307" i="3"/>
  <c r="R307" i="3"/>
  <c r="AB307" i="3"/>
  <c r="K307" i="3"/>
  <c r="S307" i="3"/>
  <c r="P300" i="3"/>
  <c r="Z300" i="3"/>
  <c r="S300" i="3"/>
  <c r="I300" i="3"/>
  <c r="J300" i="3"/>
  <c r="Y300" i="3"/>
  <c r="K300" i="3"/>
  <c r="AA300" i="3"/>
  <c r="M300" i="3"/>
  <c r="AB300" i="3"/>
  <c r="O300" i="3"/>
  <c r="P296" i="3"/>
  <c r="Z296" i="3"/>
  <c r="L296" i="3"/>
  <c r="U296" i="3"/>
  <c r="I296" i="3"/>
  <c r="K296" i="3"/>
  <c r="Y296" i="3"/>
  <c r="M296" i="3"/>
  <c r="AA296" i="3"/>
  <c r="N296" i="3"/>
  <c r="O296" i="3"/>
  <c r="Q296" i="3"/>
  <c r="M287" i="3"/>
  <c r="O287" i="3"/>
  <c r="Y287" i="3"/>
  <c r="I287" i="3"/>
  <c r="Q287" i="3"/>
  <c r="AA287" i="3"/>
  <c r="J287" i="3"/>
  <c r="K287" i="3"/>
  <c r="Z287" i="3"/>
  <c r="L287" i="3"/>
  <c r="AB287" i="3"/>
  <c r="N287" i="3"/>
  <c r="P287" i="3"/>
  <c r="R287" i="3"/>
  <c r="J270" i="3"/>
  <c r="R270" i="3"/>
  <c r="AB270" i="3"/>
  <c r="K270" i="3"/>
  <c r="S270" i="3"/>
  <c r="L270" i="3"/>
  <c r="U270" i="3"/>
  <c r="N270" i="3"/>
  <c r="I270" i="3"/>
  <c r="AA270" i="3"/>
  <c r="M270" i="3"/>
  <c r="O270" i="3"/>
  <c r="P270" i="3"/>
  <c r="Q270" i="3"/>
  <c r="AA411" i="3"/>
  <c r="Q411" i="3"/>
  <c r="I411" i="3"/>
  <c r="N410" i="3"/>
  <c r="Z408" i="3"/>
  <c r="P408" i="3"/>
  <c r="M407" i="3"/>
  <c r="Y405" i="3"/>
  <c r="O405" i="3"/>
  <c r="AA403" i="3"/>
  <c r="Q403" i="3"/>
  <c r="I403" i="3"/>
  <c r="N402" i="3"/>
  <c r="Z400" i="3"/>
  <c r="M399" i="3"/>
  <c r="Y397" i="3"/>
  <c r="O397" i="3"/>
  <c r="AA395" i="3"/>
  <c r="Q395" i="3"/>
  <c r="I395" i="3"/>
  <c r="N394" i="3"/>
  <c r="Z392" i="3"/>
  <c r="M391" i="3"/>
  <c r="Y389" i="3"/>
  <c r="O389" i="3"/>
  <c r="AA387" i="3"/>
  <c r="Q387" i="3"/>
  <c r="I387" i="3"/>
  <c r="N386" i="3"/>
  <c r="Z384" i="3"/>
  <c r="M383" i="3"/>
  <c r="AB382" i="3"/>
  <c r="Q382" i="3"/>
  <c r="R381" i="3"/>
  <c r="L380" i="3"/>
  <c r="U380" i="3"/>
  <c r="N380" i="3"/>
  <c r="I379" i="3"/>
  <c r="Q379" i="3"/>
  <c r="AA379" i="3"/>
  <c r="K379" i="3"/>
  <c r="S379" i="3"/>
  <c r="AB370" i="3"/>
  <c r="P370" i="3"/>
  <c r="O369" i="3"/>
  <c r="Q368" i="3"/>
  <c r="Q367" i="3"/>
  <c r="R366" i="3"/>
  <c r="L365" i="3"/>
  <c r="U365" i="3"/>
  <c r="N365" i="3"/>
  <c r="I364" i="3"/>
  <c r="Q364" i="3"/>
  <c r="AA364" i="3"/>
  <c r="AC364" i="3" s="1"/>
  <c r="K364" i="3"/>
  <c r="S364" i="3"/>
  <c r="O358" i="3"/>
  <c r="Y358" i="3"/>
  <c r="I358" i="3"/>
  <c r="Q358" i="3"/>
  <c r="AA358" i="3"/>
  <c r="K358" i="3"/>
  <c r="S358" i="3"/>
  <c r="P357" i="3"/>
  <c r="Z357" i="3"/>
  <c r="P356" i="3"/>
  <c r="R352" i="3"/>
  <c r="U348" i="3"/>
  <c r="O347" i="3"/>
  <c r="AA346" i="3"/>
  <c r="Q345" i="3"/>
  <c r="Y343" i="3"/>
  <c r="R340" i="3"/>
  <c r="Q338" i="3"/>
  <c r="AB332" i="3"/>
  <c r="P329" i="3"/>
  <c r="Z329" i="3"/>
  <c r="J329" i="3"/>
  <c r="R329" i="3"/>
  <c r="AB329" i="3"/>
  <c r="K329" i="3"/>
  <c r="S329" i="3"/>
  <c r="L329" i="3"/>
  <c r="U329" i="3"/>
  <c r="M329" i="3"/>
  <c r="AA327" i="3"/>
  <c r="O326" i="3"/>
  <c r="Y326" i="3"/>
  <c r="I326" i="3"/>
  <c r="Q326" i="3"/>
  <c r="AA326" i="3"/>
  <c r="J326" i="3"/>
  <c r="R326" i="3"/>
  <c r="AB326" i="3"/>
  <c r="K326" i="3"/>
  <c r="S326" i="3"/>
  <c r="L326" i="3"/>
  <c r="U326" i="3"/>
  <c r="U315" i="3"/>
  <c r="O313" i="3"/>
  <c r="Y308" i="3"/>
  <c r="Y307" i="3"/>
  <c r="J304" i="3"/>
  <c r="R304" i="3"/>
  <c r="AB304" i="3"/>
  <c r="K304" i="3"/>
  <c r="U304" i="3"/>
  <c r="L304" i="3"/>
  <c r="M304" i="3"/>
  <c r="N304" i="3"/>
  <c r="Y304" i="3"/>
  <c r="O304" i="3"/>
  <c r="Z304" i="3"/>
  <c r="P304" i="3"/>
  <c r="AA304" i="3"/>
  <c r="J272" i="3"/>
  <c r="N260" i="3"/>
  <c r="R240" i="3"/>
  <c r="P353" i="3"/>
  <c r="Z353" i="3"/>
  <c r="J353" i="3"/>
  <c r="R353" i="3"/>
  <c r="AB353" i="3"/>
  <c r="L353" i="3"/>
  <c r="U353" i="3"/>
  <c r="K346" i="3"/>
  <c r="S346" i="3"/>
  <c r="M346" i="3"/>
  <c r="N346" i="3"/>
  <c r="O346" i="3"/>
  <c r="Y346" i="3"/>
  <c r="N339" i="3"/>
  <c r="P339" i="3"/>
  <c r="Z339" i="3"/>
  <c r="I339" i="3"/>
  <c r="Q339" i="3"/>
  <c r="AA339" i="3"/>
  <c r="J339" i="3"/>
  <c r="R339" i="3"/>
  <c r="AB339" i="3"/>
  <c r="N331" i="3"/>
  <c r="P331" i="3"/>
  <c r="Z331" i="3"/>
  <c r="I331" i="3"/>
  <c r="Q331" i="3"/>
  <c r="AA331" i="3"/>
  <c r="J331" i="3"/>
  <c r="R331" i="3"/>
  <c r="AB331" i="3"/>
  <c r="K331" i="3"/>
  <c r="S331" i="3"/>
  <c r="I324" i="3"/>
  <c r="Q324" i="3"/>
  <c r="AA324" i="3"/>
  <c r="AC324" i="3" s="1"/>
  <c r="K324" i="3"/>
  <c r="S324" i="3"/>
  <c r="L324" i="3"/>
  <c r="U324" i="3"/>
  <c r="M324" i="3"/>
  <c r="N324" i="3"/>
  <c r="J319" i="3"/>
  <c r="R319" i="3"/>
  <c r="AB319" i="3"/>
  <c r="AD319" i="3" s="1"/>
  <c r="L319" i="3"/>
  <c r="U319" i="3"/>
  <c r="M319" i="3"/>
  <c r="N319" i="3"/>
  <c r="O319" i="3"/>
  <c r="Y319" i="3"/>
  <c r="N313" i="3"/>
  <c r="P310" i="3"/>
  <c r="O301" i="3"/>
  <c r="Y301" i="3"/>
  <c r="I301" i="3"/>
  <c r="Q301" i="3"/>
  <c r="AA301" i="3"/>
  <c r="K301" i="3"/>
  <c r="S301" i="3"/>
  <c r="J301" i="3"/>
  <c r="L301" i="3"/>
  <c r="Z301" i="3"/>
  <c r="M301" i="3"/>
  <c r="AB301" i="3"/>
  <c r="N301" i="3"/>
  <c r="P301" i="3"/>
  <c r="R301" i="3"/>
  <c r="N282" i="3"/>
  <c r="P282" i="3"/>
  <c r="Z282" i="3"/>
  <c r="J282" i="3"/>
  <c r="R282" i="3"/>
  <c r="AB282" i="3"/>
  <c r="U282" i="3"/>
  <c r="I282" i="3"/>
  <c r="K282" i="3"/>
  <c r="Y282" i="3"/>
  <c r="L282" i="3"/>
  <c r="AA282" i="3"/>
  <c r="M282" i="3"/>
  <c r="O282" i="3"/>
  <c r="P272" i="3"/>
  <c r="Z272" i="3"/>
  <c r="I272" i="3"/>
  <c r="Q272" i="3"/>
  <c r="AA272" i="3"/>
  <c r="K272" i="3"/>
  <c r="M272" i="3"/>
  <c r="N272" i="3"/>
  <c r="O272" i="3"/>
  <c r="S272" i="3"/>
  <c r="L260" i="3"/>
  <c r="U260" i="3"/>
  <c r="M260" i="3"/>
  <c r="P260" i="3"/>
  <c r="Z260" i="3"/>
  <c r="I260" i="3"/>
  <c r="Q260" i="3"/>
  <c r="AA260" i="3"/>
  <c r="J260" i="3"/>
  <c r="K260" i="3"/>
  <c r="O260" i="3"/>
  <c r="R260" i="3"/>
  <c r="S260" i="3"/>
  <c r="Y260" i="3"/>
  <c r="P403" i="3"/>
  <c r="Y411" i="3"/>
  <c r="U410" i="3"/>
  <c r="S407" i="3"/>
  <c r="Y403" i="3"/>
  <c r="U402" i="3"/>
  <c r="S399" i="3"/>
  <c r="Y395" i="3"/>
  <c r="U394" i="3"/>
  <c r="S391" i="3"/>
  <c r="Y387" i="3"/>
  <c r="U386" i="3"/>
  <c r="S383" i="3"/>
  <c r="Z382" i="3"/>
  <c r="O382" i="3"/>
  <c r="AB381" i="3"/>
  <c r="N381" i="3"/>
  <c r="AB380" i="3"/>
  <c r="P380" i="3"/>
  <c r="P379" i="3"/>
  <c r="N378" i="3"/>
  <c r="P378" i="3"/>
  <c r="Z378" i="3"/>
  <c r="K377" i="3"/>
  <c r="S377" i="3"/>
  <c r="M377" i="3"/>
  <c r="J376" i="3"/>
  <c r="Z370" i="3"/>
  <c r="N370" i="3"/>
  <c r="Y369" i="3"/>
  <c r="M369" i="3"/>
  <c r="AA368" i="3"/>
  <c r="N368" i="3"/>
  <c r="AA367" i="3"/>
  <c r="O367" i="3"/>
  <c r="AB366" i="3"/>
  <c r="N366" i="3"/>
  <c r="AB365" i="3"/>
  <c r="P365" i="3"/>
  <c r="P364" i="3"/>
  <c r="N363" i="3"/>
  <c r="P363" i="3"/>
  <c r="Z363" i="3"/>
  <c r="K362" i="3"/>
  <c r="S362" i="3"/>
  <c r="M362" i="3"/>
  <c r="J361" i="3"/>
  <c r="J359" i="3"/>
  <c r="R359" i="3"/>
  <c r="AB359" i="3"/>
  <c r="L359" i="3"/>
  <c r="U359" i="3"/>
  <c r="N359" i="3"/>
  <c r="R358" i="3"/>
  <c r="O357" i="3"/>
  <c r="AB356" i="3"/>
  <c r="AD356" i="3" s="1"/>
  <c r="N356" i="3"/>
  <c r="K354" i="3"/>
  <c r="S354" i="3"/>
  <c r="M354" i="3"/>
  <c r="O354" i="3"/>
  <c r="Y354" i="3"/>
  <c r="Q353" i="3"/>
  <c r="N352" i="3"/>
  <c r="O350" i="3"/>
  <c r="Y350" i="3"/>
  <c r="I350" i="3"/>
  <c r="Q350" i="3"/>
  <c r="AA350" i="3"/>
  <c r="K350" i="3"/>
  <c r="S350" i="3"/>
  <c r="P349" i="3"/>
  <c r="Z349" i="3"/>
  <c r="P348" i="3"/>
  <c r="AA347" i="3"/>
  <c r="L347" i="3"/>
  <c r="U346" i="3"/>
  <c r="N345" i="3"/>
  <c r="Q343" i="3"/>
  <c r="O342" i="3"/>
  <c r="Y342" i="3"/>
  <c r="I342" i="3"/>
  <c r="Q342" i="3"/>
  <c r="AA342" i="3"/>
  <c r="J342" i="3"/>
  <c r="R342" i="3"/>
  <c r="AB342" i="3"/>
  <c r="K342" i="3"/>
  <c r="S342" i="3"/>
  <c r="O340" i="3"/>
  <c r="U339" i="3"/>
  <c r="L338" i="3"/>
  <c r="P337" i="3"/>
  <c r="Z337" i="3"/>
  <c r="J337" i="3"/>
  <c r="R337" i="3"/>
  <c r="AB337" i="3"/>
  <c r="K337" i="3"/>
  <c r="S337" i="3"/>
  <c r="L337" i="3"/>
  <c r="U337" i="3"/>
  <c r="P334" i="3"/>
  <c r="Y332" i="3"/>
  <c r="Y331" i="3"/>
  <c r="S327" i="3"/>
  <c r="Z326" i="3"/>
  <c r="AB324" i="3"/>
  <c r="AD324" i="3" s="1"/>
  <c r="P321" i="3"/>
  <c r="Z321" i="3"/>
  <c r="J321" i="3"/>
  <c r="R321" i="3"/>
  <c r="AB321" i="3"/>
  <c r="K321" i="3"/>
  <c r="S321" i="3"/>
  <c r="L321" i="3"/>
  <c r="U321" i="3"/>
  <c r="M321" i="3"/>
  <c r="AA319" i="3"/>
  <c r="O318" i="3"/>
  <c r="Y318" i="3"/>
  <c r="I318" i="3"/>
  <c r="Q318" i="3"/>
  <c r="AA318" i="3"/>
  <c r="J318" i="3"/>
  <c r="R318" i="3"/>
  <c r="AB318" i="3"/>
  <c r="K318" i="3"/>
  <c r="S318" i="3"/>
  <c r="L318" i="3"/>
  <c r="U318" i="3"/>
  <c r="M315" i="3"/>
  <c r="I313" i="3"/>
  <c r="N310" i="3"/>
  <c r="P308" i="3"/>
  <c r="U307" i="3"/>
  <c r="J305" i="3"/>
  <c r="J278" i="3"/>
  <c r="R278" i="3"/>
  <c r="AB278" i="3"/>
  <c r="L278" i="3"/>
  <c r="U278" i="3"/>
  <c r="N278" i="3"/>
  <c r="I278" i="3"/>
  <c r="Y278" i="3"/>
  <c r="K278" i="3"/>
  <c r="Z278" i="3"/>
  <c r="M278" i="3"/>
  <c r="AA278" i="3"/>
  <c r="O278" i="3"/>
  <c r="P278" i="3"/>
  <c r="Q278" i="3"/>
  <c r="L268" i="3"/>
  <c r="U268" i="3"/>
  <c r="M268" i="3"/>
  <c r="P268" i="3"/>
  <c r="Z268" i="3"/>
  <c r="I268" i="3"/>
  <c r="Q268" i="3"/>
  <c r="AA268" i="3"/>
  <c r="J268" i="3"/>
  <c r="K268" i="3"/>
  <c r="O268" i="3"/>
  <c r="R268" i="3"/>
  <c r="S268" i="3"/>
  <c r="Y268" i="3"/>
  <c r="M303" i="3"/>
  <c r="O303" i="3"/>
  <c r="Y303" i="3"/>
  <c r="J302" i="3"/>
  <c r="R302" i="3"/>
  <c r="AB302" i="3"/>
  <c r="L302" i="3"/>
  <c r="U302" i="3"/>
  <c r="AB299" i="3"/>
  <c r="N299" i="3"/>
  <c r="K297" i="3"/>
  <c r="S297" i="3"/>
  <c r="M297" i="3"/>
  <c r="O297" i="3"/>
  <c r="Y297" i="3"/>
  <c r="N295" i="3"/>
  <c r="O293" i="3"/>
  <c r="Y293" i="3"/>
  <c r="I293" i="3"/>
  <c r="Q293" i="3"/>
  <c r="AA293" i="3"/>
  <c r="K293" i="3"/>
  <c r="S293" i="3"/>
  <c r="P292" i="3"/>
  <c r="Z292" i="3"/>
  <c r="AA290" i="3"/>
  <c r="L290" i="3"/>
  <c r="O286" i="3"/>
  <c r="AB281" i="3"/>
  <c r="N281" i="3"/>
  <c r="M279" i="3"/>
  <c r="O279" i="3"/>
  <c r="Y279" i="3"/>
  <c r="I279" i="3"/>
  <c r="Q279" i="3"/>
  <c r="AA279" i="3"/>
  <c r="AC279" i="3" s="1"/>
  <c r="N277" i="3"/>
  <c r="AA276" i="3"/>
  <c r="K276" i="3"/>
  <c r="I275" i="3"/>
  <c r="Q275" i="3"/>
  <c r="AA275" i="3"/>
  <c r="J275" i="3"/>
  <c r="K275" i="3"/>
  <c r="S275" i="3"/>
  <c r="M275" i="3"/>
  <c r="O264" i="3"/>
  <c r="S263" i="3"/>
  <c r="O256" i="3"/>
  <c r="Q254" i="3"/>
  <c r="AB254" i="3"/>
  <c r="I254" i="3"/>
  <c r="R254" i="3"/>
  <c r="K254" i="3"/>
  <c r="U254" i="3"/>
  <c r="N254" i="3"/>
  <c r="Y254" i="3"/>
  <c r="M238" i="3"/>
  <c r="O238" i="3"/>
  <c r="Y238" i="3"/>
  <c r="J238" i="3"/>
  <c r="U238" i="3"/>
  <c r="K238" i="3"/>
  <c r="L238" i="3"/>
  <c r="Z238" i="3"/>
  <c r="N238" i="3"/>
  <c r="AA238" i="3"/>
  <c r="P238" i="3"/>
  <c r="AB238" i="3"/>
  <c r="Q238" i="3"/>
  <c r="R209" i="3"/>
  <c r="J209" i="3"/>
  <c r="K209" i="3"/>
  <c r="Y209" i="3"/>
  <c r="M209" i="3"/>
  <c r="Z209" i="3"/>
  <c r="O209" i="3"/>
  <c r="AA209" i="3"/>
  <c r="I209" i="3"/>
  <c r="P209" i="3"/>
  <c r="Q209" i="3"/>
  <c r="S209" i="3"/>
  <c r="AB209" i="3"/>
  <c r="AA344" i="3"/>
  <c r="Q344" i="3"/>
  <c r="I344" i="3"/>
  <c r="Z341" i="3"/>
  <c r="AA336" i="3"/>
  <c r="Q336" i="3"/>
  <c r="I336" i="3"/>
  <c r="Z333" i="3"/>
  <c r="Y330" i="3"/>
  <c r="O330" i="3"/>
  <c r="AA328" i="3"/>
  <c r="AC328" i="3" s="1"/>
  <c r="Q328" i="3"/>
  <c r="I328" i="3"/>
  <c r="Z325" i="3"/>
  <c r="Y322" i="3"/>
  <c r="O322" i="3"/>
  <c r="AA320" i="3"/>
  <c r="Q320" i="3"/>
  <c r="I320" i="3"/>
  <c r="Z317" i="3"/>
  <c r="Y314" i="3"/>
  <c r="O314" i="3"/>
  <c r="AA312" i="3"/>
  <c r="AC312" i="3" s="1"/>
  <c r="Q312" i="3"/>
  <c r="I312" i="3"/>
  <c r="Z309" i="3"/>
  <c r="Y306" i="3"/>
  <c r="O306" i="3"/>
  <c r="Q303" i="3"/>
  <c r="Q302" i="3"/>
  <c r="Z299" i="3"/>
  <c r="L299" i="3"/>
  <c r="R297" i="3"/>
  <c r="AB295" i="3"/>
  <c r="L295" i="3"/>
  <c r="Y294" i="3"/>
  <c r="U293" i="3"/>
  <c r="Q292" i="3"/>
  <c r="Y290" i="3"/>
  <c r="K290" i="3"/>
  <c r="P288" i="3"/>
  <c r="Z288" i="3"/>
  <c r="U288" i="3"/>
  <c r="AA286" i="3"/>
  <c r="M286" i="3"/>
  <c r="AA281" i="3"/>
  <c r="L281" i="3"/>
  <c r="S279" i="3"/>
  <c r="AB277" i="3"/>
  <c r="M277" i="3"/>
  <c r="Y276" i="3"/>
  <c r="J276" i="3"/>
  <c r="N264" i="3"/>
  <c r="P263" i="3"/>
  <c r="N256" i="3"/>
  <c r="P241" i="3"/>
  <c r="Z241" i="3"/>
  <c r="R241" i="3"/>
  <c r="I241" i="3"/>
  <c r="S241" i="3"/>
  <c r="J241" i="3"/>
  <c r="U241" i="3"/>
  <c r="K241" i="3"/>
  <c r="L241" i="3"/>
  <c r="Y241" i="3"/>
  <c r="M241" i="3"/>
  <c r="AA241" i="3"/>
  <c r="U236" i="3"/>
  <c r="Z221" i="3"/>
  <c r="I221" i="3"/>
  <c r="AA221" i="3"/>
  <c r="O221" i="3"/>
  <c r="Q221" i="3"/>
  <c r="M188" i="3"/>
  <c r="N188" i="3"/>
  <c r="O188" i="3"/>
  <c r="Y188" i="3"/>
  <c r="I188" i="3"/>
  <c r="Q188" i="3"/>
  <c r="AA188" i="3"/>
  <c r="J188" i="3"/>
  <c r="AB188" i="3"/>
  <c r="K188" i="3"/>
  <c r="L188" i="3"/>
  <c r="P188" i="3"/>
  <c r="R188" i="3"/>
  <c r="S188" i="3"/>
  <c r="U188" i="3"/>
  <c r="Z188" i="3"/>
  <c r="L184" i="3"/>
  <c r="O184" i="3"/>
  <c r="P184" i="3"/>
  <c r="U184" i="3"/>
  <c r="Y184" i="3"/>
  <c r="Z184" i="3"/>
  <c r="N330" i="3"/>
  <c r="N322" i="3"/>
  <c r="N314" i="3"/>
  <c r="N306" i="3"/>
  <c r="AB303" i="3"/>
  <c r="AD303" i="3" s="1"/>
  <c r="P303" i="3"/>
  <c r="P302" i="3"/>
  <c r="Y299" i="3"/>
  <c r="J299" i="3"/>
  <c r="N298" i="3"/>
  <c r="P298" i="3"/>
  <c r="Z298" i="3"/>
  <c r="J298" i="3"/>
  <c r="R298" i="3"/>
  <c r="AB298" i="3"/>
  <c r="Q297" i="3"/>
  <c r="Z295" i="3"/>
  <c r="K295" i="3"/>
  <c r="J294" i="3"/>
  <c r="R294" i="3"/>
  <c r="AB294" i="3"/>
  <c r="L294" i="3"/>
  <c r="U294" i="3"/>
  <c r="N294" i="3"/>
  <c r="R293" i="3"/>
  <c r="O292" i="3"/>
  <c r="I290" i="3"/>
  <c r="K289" i="3"/>
  <c r="S289" i="3"/>
  <c r="M289" i="3"/>
  <c r="O289" i="3"/>
  <c r="Y289" i="3"/>
  <c r="Q288" i="3"/>
  <c r="Z286" i="3"/>
  <c r="K286" i="3"/>
  <c r="O285" i="3"/>
  <c r="Y285" i="3"/>
  <c r="I285" i="3"/>
  <c r="Q285" i="3"/>
  <c r="AA285" i="3"/>
  <c r="K285" i="3"/>
  <c r="S285" i="3"/>
  <c r="P284" i="3"/>
  <c r="Z284" i="3"/>
  <c r="Z281" i="3"/>
  <c r="J281" i="3"/>
  <c r="R279" i="3"/>
  <c r="Z277" i="3"/>
  <c r="L277" i="3"/>
  <c r="I276" i="3"/>
  <c r="U275" i="3"/>
  <c r="M271" i="3"/>
  <c r="N271" i="3"/>
  <c r="O271" i="3"/>
  <c r="Y271" i="3"/>
  <c r="I271" i="3"/>
  <c r="Q271" i="3"/>
  <c r="AA271" i="3"/>
  <c r="L263" i="3"/>
  <c r="S236" i="3"/>
  <c r="R376" i="3"/>
  <c r="N357" i="3"/>
  <c r="N349" i="3"/>
  <c r="Y344" i="3"/>
  <c r="O344" i="3"/>
  <c r="N341" i="3"/>
  <c r="Y336" i="3"/>
  <c r="O336" i="3"/>
  <c r="N333" i="3"/>
  <c r="M330" i="3"/>
  <c r="Y328" i="3"/>
  <c r="O328" i="3"/>
  <c r="N325" i="3"/>
  <c r="M322" i="3"/>
  <c r="Y320" i="3"/>
  <c r="O320" i="3"/>
  <c r="N317" i="3"/>
  <c r="M314" i="3"/>
  <c r="AB313" i="3"/>
  <c r="R313" i="3"/>
  <c r="Y312" i="3"/>
  <c r="O312" i="3"/>
  <c r="N309" i="3"/>
  <c r="M306" i="3"/>
  <c r="AB305" i="3"/>
  <c r="R305" i="3"/>
  <c r="AA303" i="3"/>
  <c r="N303" i="3"/>
  <c r="AA302" i="3"/>
  <c r="O302" i="3"/>
  <c r="I299" i="3"/>
  <c r="Q299" i="3"/>
  <c r="AA299" i="3"/>
  <c r="K299" i="3"/>
  <c r="S299" i="3"/>
  <c r="M299" i="3"/>
  <c r="Q298" i="3"/>
  <c r="P297" i="3"/>
  <c r="S294" i="3"/>
  <c r="P293" i="3"/>
  <c r="AB292" i="3"/>
  <c r="M292" i="3"/>
  <c r="Z291" i="3"/>
  <c r="R289" i="3"/>
  <c r="O288" i="3"/>
  <c r="Y286" i="3"/>
  <c r="U285" i="3"/>
  <c r="Q284" i="3"/>
  <c r="P280" i="3"/>
  <c r="Z280" i="3"/>
  <c r="L280" i="3"/>
  <c r="U280" i="3"/>
  <c r="P279" i="3"/>
  <c r="L276" i="3"/>
  <c r="R275" i="3"/>
  <c r="K273" i="3"/>
  <c r="S273" i="3"/>
  <c r="L273" i="3"/>
  <c r="U273" i="3"/>
  <c r="M273" i="3"/>
  <c r="O273" i="3"/>
  <c r="Y273" i="3"/>
  <c r="U271" i="3"/>
  <c r="J264" i="3"/>
  <c r="J256" i="3"/>
  <c r="AA254" i="3"/>
  <c r="O252" i="3"/>
  <c r="Y252" i="3"/>
  <c r="I252" i="3"/>
  <c r="Q252" i="3"/>
  <c r="AA252" i="3"/>
  <c r="K252" i="3"/>
  <c r="L252" i="3"/>
  <c r="M252" i="3"/>
  <c r="Z252" i="3"/>
  <c r="N252" i="3"/>
  <c r="AB252" i="3"/>
  <c r="P252" i="3"/>
  <c r="R252" i="3"/>
  <c r="P239" i="3"/>
  <c r="Z239" i="3"/>
  <c r="J239" i="3"/>
  <c r="R239" i="3"/>
  <c r="AB239" i="3"/>
  <c r="I239" i="3"/>
  <c r="U239" i="3"/>
  <c r="K239" i="3"/>
  <c r="L239" i="3"/>
  <c r="M239" i="3"/>
  <c r="Y239" i="3"/>
  <c r="N239" i="3"/>
  <c r="AA239" i="3"/>
  <c r="O239" i="3"/>
  <c r="I234" i="3"/>
  <c r="Q234" i="3"/>
  <c r="AA234" i="3"/>
  <c r="K234" i="3"/>
  <c r="S234" i="3"/>
  <c r="L234" i="3"/>
  <c r="U234" i="3"/>
  <c r="J234" i="3"/>
  <c r="Y234" i="3"/>
  <c r="M234" i="3"/>
  <c r="Z234" i="3"/>
  <c r="N234" i="3"/>
  <c r="AB234" i="3"/>
  <c r="O234" i="3"/>
  <c r="P234" i="3"/>
  <c r="R234" i="3"/>
  <c r="O220" i="3"/>
  <c r="Y220" i="3"/>
  <c r="I220" i="3"/>
  <c r="Q220" i="3"/>
  <c r="AA220" i="3"/>
  <c r="J220" i="3"/>
  <c r="R220" i="3"/>
  <c r="AB220" i="3"/>
  <c r="K220" i="3"/>
  <c r="S220" i="3"/>
  <c r="L220" i="3"/>
  <c r="U220" i="3"/>
  <c r="M220" i="3"/>
  <c r="N220" i="3"/>
  <c r="P220" i="3"/>
  <c r="Z220" i="3"/>
  <c r="M295" i="3"/>
  <c r="O295" i="3"/>
  <c r="Y295" i="3"/>
  <c r="I295" i="3"/>
  <c r="Q295" i="3"/>
  <c r="AA295" i="3"/>
  <c r="N290" i="3"/>
  <c r="P290" i="3"/>
  <c r="Z290" i="3"/>
  <c r="J290" i="3"/>
  <c r="R290" i="3"/>
  <c r="AB290" i="3"/>
  <c r="J286" i="3"/>
  <c r="R286" i="3"/>
  <c r="AB286" i="3"/>
  <c r="L286" i="3"/>
  <c r="U286" i="3"/>
  <c r="N286" i="3"/>
  <c r="K281" i="3"/>
  <c r="S281" i="3"/>
  <c r="M281" i="3"/>
  <c r="O281" i="3"/>
  <c r="Y281" i="3"/>
  <c r="O277" i="3"/>
  <c r="Y277" i="3"/>
  <c r="I277" i="3"/>
  <c r="Q277" i="3"/>
  <c r="AA277" i="3"/>
  <c r="K277" i="3"/>
  <c r="S277" i="3"/>
  <c r="U276" i="3"/>
  <c r="P276" i="3"/>
  <c r="Z276" i="3"/>
  <c r="P264" i="3"/>
  <c r="Z264" i="3"/>
  <c r="I264" i="3"/>
  <c r="Q264" i="3"/>
  <c r="AA264" i="3"/>
  <c r="M264" i="3"/>
  <c r="M263" i="3"/>
  <c r="N263" i="3"/>
  <c r="O263" i="3"/>
  <c r="Y263" i="3"/>
  <c r="I263" i="3"/>
  <c r="Q263" i="3"/>
  <c r="AA263" i="3"/>
  <c r="J263" i="3"/>
  <c r="R263" i="3"/>
  <c r="AB263" i="3"/>
  <c r="P256" i="3"/>
  <c r="Z256" i="3"/>
  <c r="I256" i="3"/>
  <c r="Q256" i="3"/>
  <c r="AA256" i="3"/>
  <c r="M256" i="3"/>
  <c r="O236" i="3"/>
  <c r="Y236" i="3"/>
  <c r="I236" i="3"/>
  <c r="Q236" i="3"/>
  <c r="AA236" i="3"/>
  <c r="K236" i="3"/>
  <c r="L236" i="3"/>
  <c r="M236" i="3"/>
  <c r="Z236" i="3"/>
  <c r="N236" i="3"/>
  <c r="AB236" i="3"/>
  <c r="P236" i="3"/>
  <c r="R236" i="3"/>
  <c r="M212" i="3"/>
  <c r="O212" i="3"/>
  <c r="Y212" i="3"/>
  <c r="Q212" i="3"/>
  <c r="I212" i="3"/>
  <c r="S212" i="3"/>
  <c r="J212" i="3"/>
  <c r="U212" i="3"/>
  <c r="K212" i="3"/>
  <c r="L212" i="3"/>
  <c r="Z212" i="3"/>
  <c r="P212" i="3"/>
  <c r="R212" i="3"/>
  <c r="AA212" i="3"/>
  <c r="AB212" i="3"/>
  <c r="K190" i="3"/>
  <c r="S190" i="3"/>
  <c r="L190" i="3"/>
  <c r="U190" i="3"/>
  <c r="M190" i="3"/>
  <c r="O190" i="3"/>
  <c r="Y190" i="3"/>
  <c r="J190" i="3"/>
  <c r="AB190" i="3"/>
  <c r="N190" i="3"/>
  <c r="P190" i="3"/>
  <c r="Q190" i="3"/>
  <c r="R190" i="3"/>
  <c r="Z190" i="3"/>
  <c r="AA190" i="3"/>
  <c r="U357" i="3"/>
  <c r="U349" i="3"/>
  <c r="U341" i="3"/>
  <c r="U333" i="3"/>
  <c r="S330" i="3"/>
  <c r="U325" i="3"/>
  <c r="S322" i="3"/>
  <c r="U317" i="3"/>
  <c r="S314" i="3"/>
  <c r="U309" i="3"/>
  <c r="S306" i="3"/>
  <c r="K303" i="3"/>
  <c r="Y302" i="3"/>
  <c r="M302" i="3"/>
  <c r="L300" i="3"/>
  <c r="M298" i="3"/>
  <c r="AA297" i="3"/>
  <c r="L297" i="3"/>
  <c r="S295" i="3"/>
  <c r="P294" i="3"/>
  <c r="AB293" i="3"/>
  <c r="M293" i="3"/>
  <c r="Y292" i="3"/>
  <c r="J292" i="3"/>
  <c r="I291" i="3"/>
  <c r="Q291" i="3"/>
  <c r="AA291" i="3"/>
  <c r="K291" i="3"/>
  <c r="S291" i="3"/>
  <c r="M291" i="3"/>
  <c r="Q290" i="3"/>
  <c r="P289" i="3"/>
  <c r="AA288" i="3"/>
  <c r="M288" i="3"/>
  <c r="S286" i="3"/>
  <c r="P285" i="3"/>
  <c r="AB284" i="3"/>
  <c r="M284" i="3"/>
  <c r="R281" i="3"/>
  <c r="AB279" i="3"/>
  <c r="AD279" i="3" s="1"/>
  <c r="L279" i="3"/>
  <c r="U277" i="3"/>
  <c r="Q276" i="3"/>
  <c r="O275" i="3"/>
  <c r="R271" i="3"/>
  <c r="Y264" i="3"/>
  <c r="Y256" i="3"/>
  <c r="P254" i="3"/>
  <c r="J253" i="3"/>
  <c r="R253" i="3"/>
  <c r="AB253" i="3"/>
  <c r="K253" i="3"/>
  <c r="U253" i="3"/>
  <c r="L253" i="3"/>
  <c r="M253" i="3"/>
  <c r="N253" i="3"/>
  <c r="Y253" i="3"/>
  <c r="O253" i="3"/>
  <c r="Z253" i="3"/>
  <c r="P253" i="3"/>
  <c r="AA253" i="3"/>
  <c r="AB241" i="3"/>
  <c r="K240" i="3"/>
  <c r="S240" i="3"/>
  <c r="M240" i="3"/>
  <c r="I240" i="3"/>
  <c r="U240" i="3"/>
  <c r="J240" i="3"/>
  <c r="L240" i="3"/>
  <c r="Y240" i="3"/>
  <c r="N240" i="3"/>
  <c r="Z240" i="3"/>
  <c r="O240" i="3"/>
  <c r="AA240" i="3"/>
  <c r="P240" i="3"/>
  <c r="AB240" i="3"/>
  <c r="S238" i="3"/>
  <c r="L251" i="3"/>
  <c r="U251" i="3"/>
  <c r="N251" i="3"/>
  <c r="I250" i="3"/>
  <c r="Q250" i="3"/>
  <c r="AA250" i="3"/>
  <c r="K250" i="3"/>
  <c r="S250" i="3"/>
  <c r="S249" i="3"/>
  <c r="I249" i="3"/>
  <c r="J248" i="3"/>
  <c r="L235" i="3"/>
  <c r="U235" i="3"/>
  <c r="N235" i="3"/>
  <c r="I231" i="3"/>
  <c r="P225" i="3"/>
  <c r="Z225" i="3"/>
  <c r="I225" i="3"/>
  <c r="Q225" i="3"/>
  <c r="AA225" i="3"/>
  <c r="J225" i="3"/>
  <c r="R225" i="3"/>
  <c r="AB225" i="3"/>
  <c r="R214" i="3"/>
  <c r="I214" i="3"/>
  <c r="U214" i="3"/>
  <c r="J214" i="3"/>
  <c r="L214" i="3"/>
  <c r="Y214" i="3"/>
  <c r="P213" i="3"/>
  <c r="Z213" i="3"/>
  <c r="J213" i="3"/>
  <c r="R213" i="3"/>
  <c r="AB213" i="3"/>
  <c r="O213" i="3"/>
  <c r="S213" i="3"/>
  <c r="I213" i="3"/>
  <c r="U213" i="3"/>
  <c r="K213" i="3"/>
  <c r="L213" i="3"/>
  <c r="L288" i="3"/>
  <c r="AB274" i="3"/>
  <c r="R274" i="3"/>
  <c r="J274" i="3"/>
  <c r="U272" i="3"/>
  <c r="L272" i="3"/>
  <c r="S269" i="3"/>
  <c r="K269" i="3"/>
  <c r="AB266" i="3"/>
  <c r="R266" i="3"/>
  <c r="J266" i="3"/>
  <c r="Y265" i="3"/>
  <c r="O265" i="3"/>
  <c r="U264" i="3"/>
  <c r="L264" i="3"/>
  <c r="S261" i="3"/>
  <c r="K261" i="3"/>
  <c r="AB258" i="3"/>
  <c r="R258" i="3"/>
  <c r="J258" i="3"/>
  <c r="Y257" i="3"/>
  <c r="O257" i="3"/>
  <c r="U256" i="3"/>
  <c r="L256" i="3"/>
  <c r="L254" i="3"/>
  <c r="Q251" i="3"/>
  <c r="R250" i="3"/>
  <c r="N249" i="3"/>
  <c r="U248" i="3"/>
  <c r="K245" i="3"/>
  <c r="Y243" i="3"/>
  <c r="K243" i="3"/>
  <c r="Y242" i="3"/>
  <c r="M242" i="3"/>
  <c r="Q235" i="3"/>
  <c r="AB233" i="3"/>
  <c r="L233" i="3"/>
  <c r="Z232" i="3"/>
  <c r="J232" i="3"/>
  <c r="O228" i="3"/>
  <c r="Y228" i="3"/>
  <c r="I228" i="3"/>
  <c r="Q228" i="3"/>
  <c r="AA228" i="3"/>
  <c r="J228" i="3"/>
  <c r="R228" i="3"/>
  <c r="AB228" i="3"/>
  <c r="K228" i="3"/>
  <c r="S228" i="3"/>
  <c r="O226" i="3"/>
  <c r="U225" i="3"/>
  <c r="L224" i="3"/>
  <c r="P223" i="3"/>
  <c r="Z223" i="3"/>
  <c r="J223" i="3"/>
  <c r="R223" i="3"/>
  <c r="AB223" i="3"/>
  <c r="K223" i="3"/>
  <c r="S223" i="3"/>
  <c r="L223" i="3"/>
  <c r="U223" i="3"/>
  <c r="P221" i="3"/>
  <c r="AB210" i="3"/>
  <c r="R208" i="3"/>
  <c r="P193" i="3"/>
  <c r="Z193" i="3"/>
  <c r="I193" i="3"/>
  <c r="AA193" i="3"/>
  <c r="J193" i="3"/>
  <c r="AB193" i="3"/>
  <c r="K193" i="3"/>
  <c r="O193" i="3"/>
  <c r="Q193" i="3"/>
  <c r="R193" i="3"/>
  <c r="P169" i="3"/>
  <c r="Z169" i="3"/>
  <c r="I169" i="3"/>
  <c r="Q169" i="3"/>
  <c r="AA169" i="3"/>
  <c r="J169" i="3"/>
  <c r="K169" i="3"/>
  <c r="O169" i="3"/>
  <c r="R169" i="3"/>
  <c r="S169" i="3"/>
  <c r="Y169" i="3"/>
  <c r="M164" i="3"/>
  <c r="N164" i="3"/>
  <c r="O164" i="3"/>
  <c r="Y164" i="3"/>
  <c r="I164" i="3"/>
  <c r="Q164" i="3"/>
  <c r="AA164" i="3"/>
  <c r="J164" i="3"/>
  <c r="R164" i="3"/>
  <c r="AB164" i="3"/>
  <c r="L164" i="3"/>
  <c r="P164" i="3"/>
  <c r="S164" i="3"/>
  <c r="U164" i="3"/>
  <c r="Z164" i="3"/>
  <c r="P145" i="3"/>
  <c r="Z145" i="3"/>
  <c r="I145" i="3"/>
  <c r="K145" i="3"/>
  <c r="O145" i="3"/>
  <c r="Q145" i="3"/>
  <c r="S145" i="3"/>
  <c r="Y145" i="3"/>
  <c r="AA145" i="3"/>
  <c r="P249" i="3"/>
  <c r="Z249" i="3"/>
  <c r="K248" i="3"/>
  <c r="S248" i="3"/>
  <c r="M248" i="3"/>
  <c r="P231" i="3"/>
  <c r="Z231" i="3"/>
  <c r="J231" i="3"/>
  <c r="R231" i="3"/>
  <c r="AB231" i="3"/>
  <c r="K231" i="3"/>
  <c r="S231" i="3"/>
  <c r="J179" i="3"/>
  <c r="R179" i="3"/>
  <c r="AB179" i="3"/>
  <c r="K179" i="3"/>
  <c r="S179" i="3"/>
  <c r="L179" i="3"/>
  <c r="U179" i="3"/>
  <c r="N179" i="3"/>
  <c r="O179" i="3"/>
  <c r="Y179" i="3"/>
  <c r="M179" i="3"/>
  <c r="P179" i="3"/>
  <c r="Q179" i="3"/>
  <c r="Z179" i="3"/>
  <c r="AA179" i="3"/>
  <c r="N300" i="3"/>
  <c r="AB296" i="3"/>
  <c r="R296" i="3"/>
  <c r="N292" i="3"/>
  <c r="AB288" i="3"/>
  <c r="R288" i="3"/>
  <c r="N284" i="3"/>
  <c r="AB280" i="3"/>
  <c r="R280" i="3"/>
  <c r="N276" i="3"/>
  <c r="Z274" i="3"/>
  <c r="P274" i="3"/>
  <c r="AB272" i="3"/>
  <c r="R272" i="3"/>
  <c r="AA269" i="3"/>
  <c r="Q269" i="3"/>
  <c r="I269" i="3"/>
  <c r="Z266" i="3"/>
  <c r="P266" i="3"/>
  <c r="M265" i="3"/>
  <c r="AB264" i="3"/>
  <c r="R264" i="3"/>
  <c r="AA261" i="3"/>
  <c r="Q261" i="3"/>
  <c r="I261" i="3"/>
  <c r="Z258" i="3"/>
  <c r="P258" i="3"/>
  <c r="M257" i="3"/>
  <c r="AB256" i="3"/>
  <c r="R256" i="3"/>
  <c r="S254" i="3"/>
  <c r="AA251" i="3"/>
  <c r="O251" i="3"/>
  <c r="AB250" i="3"/>
  <c r="O250" i="3"/>
  <c r="AB249" i="3"/>
  <c r="O249" i="3"/>
  <c r="Q248" i="3"/>
  <c r="P247" i="3"/>
  <c r="Z247" i="3"/>
  <c r="J247" i="3"/>
  <c r="R247" i="3"/>
  <c r="AB247" i="3"/>
  <c r="M246" i="3"/>
  <c r="O246" i="3"/>
  <c r="Y246" i="3"/>
  <c r="S245" i="3"/>
  <c r="J245" i="3"/>
  <c r="R245" i="3"/>
  <c r="AB245" i="3"/>
  <c r="L245" i="3"/>
  <c r="U245" i="3"/>
  <c r="O244" i="3"/>
  <c r="Y244" i="3"/>
  <c r="I244" i="3"/>
  <c r="Q244" i="3"/>
  <c r="AA244" i="3"/>
  <c r="S243" i="3"/>
  <c r="AA235" i="3"/>
  <c r="O235" i="3"/>
  <c r="U232" i="3"/>
  <c r="K232" i="3"/>
  <c r="S232" i="3"/>
  <c r="M232" i="3"/>
  <c r="N232" i="3"/>
  <c r="Q231" i="3"/>
  <c r="AB226" i="3"/>
  <c r="O225" i="3"/>
  <c r="AA224" i="3"/>
  <c r="Q223" i="3"/>
  <c r="Z214" i="3"/>
  <c r="Y213" i="3"/>
  <c r="K206" i="3"/>
  <c r="S206" i="3"/>
  <c r="M206" i="3"/>
  <c r="J206" i="3"/>
  <c r="N206" i="3"/>
  <c r="Z206" i="3"/>
  <c r="O206" i="3"/>
  <c r="AA206" i="3"/>
  <c r="P206" i="3"/>
  <c r="AB206" i="3"/>
  <c r="Q206" i="3"/>
  <c r="U265" i="3"/>
  <c r="L265" i="3"/>
  <c r="U257" i="3"/>
  <c r="L257" i="3"/>
  <c r="Z251" i="3"/>
  <c r="M251" i="3"/>
  <c r="Z250" i="3"/>
  <c r="N250" i="3"/>
  <c r="AA249" i="3"/>
  <c r="M249" i="3"/>
  <c r="AB248" i="3"/>
  <c r="P248" i="3"/>
  <c r="L243" i="3"/>
  <c r="U243" i="3"/>
  <c r="N243" i="3"/>
  <c r="I242" i="3"/>
  <c r="Q242" i="3"/>
  <c r="AA242" i="3"/>
  <c r="K242" i="3"/>
  <c r="S242" i="3"/>
  <c r="Z235" i="3"/>
  <c r="M235" i="3"/>
  <c r="O231" i="3"/>
  <c r="I226" i="3"/>
  <c r="Q226" i="3"/>
  <c r="AA226" i="3"/>
  <c r="K226" i="3"/>
  <c r="S226" i="3"/>
  <c r="L226" i="3"/>
  <c r="U226" i="3"/>
  <c r="M226" i="3"/>
  <c r="M225" i="3"/>
  <c r="K224" i="3"/>
  <c r="S224" i="3"/>
  <c r="M224" i="3"/>
  <c r="N224" i="3"/>
  <c r="O224" i="3"/>
  <c r="Y224" i="3"/>
  <c r="Q214" i="3"/>
  <c r="Q213" i="3"/>
  <c r="N207" i="3"/>
  <c r="P207" i="3"/>
  <c r="Z207" i="3"/>
  <c r="I207" i="3"/>
  <c r="S207" i="3"/>
  <c r="K207" i="3"/>
  <c r="L207" i="3"/>
  <c r="Y207" i="3"/>
  <c r="M207" i="3"/>
  <c r="AA207" i="3"/>
  <c r="O207" i="3"/>
  <c r="AB207" i="3"/>
  <c r="I168" i="3"/>
  <c r="Q168" i="3"/>
  <c r="AA168" i="3"/>
  <c r="J168" i="3"/>
  <c r="R168" i="3"/>
  <c r="AB168" i="3"/>
  <c r="K168" i="3"/>
  <c r="S168" i="3"/>
  <c r="M168" i="3"/>
  <c r="N168" i="3"/>
  <c r="O168" i="3"/>
  <c r="P168" i="3"/>
  <c r="U168" i="3"/>
  <c r="Y168" i="3"/>
  <c r="Z168" i="3"/>
  <c r="U300" i="3"/>
  <c r="U292" i="3"/>
  <c r="U284" i="3"/>
  <c r="Y269" i="3"/>
  <c r="S265" i="3"/>
  <c r="Y261" i="3"/>
  <c r="S257" i="3"/>
  <c r="M254" i="3"/>
  <c r="Y251" i="3"/>
  <c r="K251" i="3"/>
  <c r="Y250" i="3"/>
  <c r="M250" i="3"/>
  <c r="Y249" i="3"/>
  <c r="L249" i="3"/>
  <c r="AA248" i="3"/>
  <c r="O248" i="3"/>
  <c r="Q243" i="3"/>
  <c r="R242" i="3"/>
  <c r="N241" i="3"/>
  <c r="Y235" i="3"/>
  <c r="K235" i="3"/>
  <c r="P233" i="3"/>
  <c r="Z233" i="3"/>
  <c r="I233" i="3"/>
  <c r="Q233" i="3"/>
  <c r="AA233" i="3"/>
  <c r="N231" i="3"/>
  <c r="Y226" i="3"/>
  <c r="L225" i="3"/>
  <c r="U224" i="3"/>
  <c r="J221" i="3"/>
  <c r="R221" i="3"/>
  <c r="AB221" i="3"/>
  <c r="L221" i="3"/>
  <c r="U221" i="3"/>
  <c r="M221" i="3"/>
  <c r="N221" i="3"/>
  <c r="O214" i="3"/>
  <c r="N213" i="3"/>
  <c r="O210" i="3"/>
  <c r="Y210" i="3"/>
  <c r="I210" i="3"/>
  <c r="Q210" i="3"/>
  <c r="AA210" i="3"/>
  <c r="R210" i="3"/>
  <c r="J210" i="3"/>
  <c r="U210" i="3"/>
  <c r="K210" i="3"/>
  <c r="L210" i="3"/>
  <c r="M210" i="3"/>
  <c r="Z210" i="3"/>
  <c r="U208" i="3"/>
  <c r="L208" i="3"/>
  <c r="M208" i="3"/>
  <c r="Y208" i="3"/>
  <c r="N208" i="3"/>
  <c r="Z208" i="3"/>
  <c r="O208" i="3"/>
  <c r="AB208" i="3"/>
  <c r="P205" i="3"/>
  <c r="Z205" i="3"/>
  <c r="J205" i="3"/>
  <c r="R205" i="3"/>
  <c r="AB205" i="3"/>
  <c r="M204" i="3"/>
  <c r="O204" i="3"/>
  <c r="Y204" i="3"/>
  <c r="J203" i="3"/>
  <c r="R203" i="3"/>
  <c r="AB203" i="3"/>
  <c r="AD203" i="3" s="1"/>
  <c r="L203" i="3"/>
  <c r="U203" i="3"/>
  <c r="O202" i="3"/>
  <c r="Y202" i="3"/>
  <c r="I202" i="3"/>
  <c r="Q202" i="3"/>
  <c r="AA202" i="3"/>
  <c r="Y198" i="3"/>
  <c r="L198" i="3"/>
  <c r="L197" i="3"/>
  <c r="Q171" i="3"/>
  <c r="Q157" i="3"/>
  <c r="I157" i="3"/>
  <c r="S157" i="3"/>
  <c r="K157" i="3"/>
  <c r="U157" i="3"/>
  <c r="L157" i="3"/>
  <c r="M157" i="3"/>
  <c r="N157" i="3"/>
  <c r="Y157" i="3"/>
  <c r="N217" i="3"/>
  <c r="I216" i="3"/>
  <c r="Q216" i="3"/>
  <c r="AA216" i="3"/>
  <c r="K216" i="3"/>
  <c r="S216" i="3"/>
  <c r="O205" i="3"/>
  <c r="Q204" i="3"/>
  <c r="Q203" i="3"/>
  <c r="R202" i="3"/>
  <c r="L201" i="3"/>
  <c r="U201" i="3"/>
  <c r="N201" i="3"/>
  <c r="I200" i="3"/>
  <c r="Q200" i="3"/>
  <c r="AA200" i="3"/>
  <c r="K200" i="3"/>
  <c r="S200" i="3"/>
  <c r="J198" i="3"/>
  <c r="K197" i="3"/>
  <c r="J195" i="3"/>
  <c r="R195" i="3"/>
  <c r="AB195" i="3"/>
  <c r="K195" i="3"/>
  <c r="S195" i="3"/>
  <c r="L195" i="3"/>
  <c r="U195" i="3"/>
  <c r="I192" i="3"/>
  <c r="Q192" i="3"/>
  <c r="AA192" i="3"/>
  <c r="J192" i="3"/>
  <c r="R192" i="3"/>
  <c r="AB192" i="3"/>
  <c r="K192" i="3"/>
  <c r="S192" i="3"/>
  <c r="M192" i="3"/>
  <c r="P171" i="3"/>
  <c r="J163" i="3"/>
  <c r="R163" i="3"/>
  <c r="AB163" i="3"/>
  <c r="K163" i="3"/>
  <c r="S163" i="3"/>
  <c r="L163" i="3"/>
  <c r="U163" i="3"/>
  <c r="N163" i="3"/>
  <c r="O163" i="3"/>
  <c r="Y163" i="3"/>
  <c r="J155" i="3"/>
  <c r="R155" i="3"/>
  <c r="AB155" i="3"/>
  <c r="L155" i="3"/>
  <c r="U155" i="3"/>
  <c r="I155" i="3"/>
  <c r="K155" i="3"/>
  <c r="M155" i="3"/>
  <c r="Y155" i="3"/>
  <c r="N155" i="3"/>
  <c r="Z155" i="3"/>
  <c r="O155" i="3"/>
  <c r="AA155" i="3"/>
  <c r="P155" i="3"/>
  <c r="S153" i="3"/>
  <c r="I144" i="3"/>
  <c r="Q144" i="3"/>
  <c r="AA144" i="3"/>
  <c r="J144" i="3"/>
  <c r="R144" i="3"/>
  <c r="AB144" i="3"/>
  <c r="K144" i="3"/>
  <c r="S144" i="3"/>
  <c r="M144" i="3"/>
  <c r="O144" i="3"/>
  <c r="Y144" i="3"/>
  <c r="L144" i="3"/>
  <c r="N144" i="3"/>
  <c r="P144" i="3"/>
  <c r="U144" i="3"/>
  <c r="Z144" i="3"/>
  <c r="Y227" i="3"/>
  <c r="O227" i="3"/>
  <c r="Y219" i="3"/>
  <c r="O219" i="3"/>
  <c r="AA217" i="3"/>
  <c r="P217" i="3"/>
  <c r="R216" i="3"/>
  <c r="AA205" i="3"/>
  <c r="N205" i="3"/>
  <c r="AB204" i="3"/>
  <c r="P204" i="3"/>
  <c r="P203" i="3"/>
  <c r="P202" i="3"/>
  <c r="Q201" i="3"/>
  <c r="R200" i="3"/>
  <c r="U198" i="3"/>
  <c r="I198" i="3"/>
  <c r="U197" i="3"/>
  <c r="I197" i="3"/>
  <c r="Y192" i="3"/>
  <c r="J187" i="3"/>
  <c r="R187" i="3"/>
  <c r="AB187" i="3"/>
  <c r="K187" i="3"/>
  <c r="S187" i="3"/>
  <c r="L187" i="3"/>
  <c r="U187" i="3"/>
  <c r="N187" i="3"/>
  <c r="P177" i="3"/>
  <c r="Z177" i="3"/>
  <c r="I177" i="3"/>
  <c r="Q177" i="3"/>
  <c r="AA177" i="3"/>
  <c r="I176" i="3"/>
  <c r="Q176" i="3"/>
  <c r="AA176" i="3"/>
  <c r="J176" i="3"/>
  <c r="R176" i="3"/>
  <c r="AB176" i="3"/>
  <c r="K176" i="3"/>
  <c r="S176" i="3"/>
  <c r="M176" i="3"/>
  <c r="N176" i="3"/>
  <c r="P173" i="3"/>
  <c r="Z173" i="3"/>
  <c r="I173" i="3"/>
  <c r="Q173" i="3"/>
  <c r="AA173" i="3"/>
  <c r="J173" i="3"/>
  <c r="R173" i="3"/>
  <c r="AB173" i="3"/>
  <c r="L173" i="3"/>
  <c r="U173" i="3"/>
  <c r="M173" i="3"/>
  <c r="M172" i="3"/>
  <c r="N172" i="3"/>
  <c r="O172" i="3"/>
  <c r="Y172" i="3"/>
  <c r="I172" i="3"/>
  <c r="Q172" i="3"/>
  <c r="AA172" i="3"/>
  <c r="J172" i="3"/>
  <c r="R172" i="3"/>
  <c r="AB172" i="3"/>
  <c r="M171" i="3"/>
  <c r="AA163" i="3"/>
  <c r="R156" i="3"/>
  <c r="R153" i="3"/>
  <c r="I152" i="3"/>
  <c r="Q152" i="3"/>
  <c r="AA152" i="3"/>
  <c r="K152" i="3"/>
  <c r="S152" i="3"/>
  <c r="L152" i="3"/>
  <c r="M152" i="3"/>
  <c r="Y152" i="3"/>
  <c r="N152" i="3"/>
  <c r="Z152" i="3"/>
  <c r="O152" i="3"/>
  <c r="AB152" i="3"/>
  <c r="P152" i="3"/>
  <c r="R152" i="3"/>
  <c r="M132" i="3"/>
  <c r="N132" i="3"/>
  <c r="O132" i="3"/>
  <c r="Y132" i="3"/>
  <c r="I132" i="3"/>
  <c r="Q132" i="3"/>
  <c r="AA132" i="3"/>
  <c r="K132" i="3"/>
  <c r="S132" i="3"/>
  <c r="L132" i="3"/>
  <c r="P132" i="3"/>
  <c r="R132" i="3"/>
  <c r="U132" i="3"/>
  <c r="Z132" i="3"/>
  <c r="AB132" i="3"/>
  <c r="Y230" i="3"/>
  <c r="O230" i="3"/>
  <c r="N227" i="3"/>
  <c r="Y222" i="3"/>
  <c r="O222" i="3"/>
  <c r="N219" i="3"/>
  <c r="Z217" i="3"/>
  <c r="O217" i="3"/>
  <c r="P216" i="3"/>
  <c r="N215" i="3"/>
  <c r="P215" i="3"/>
  <c r="Z215" i="3"/>
  <c r="K214" i="3"/>
  <c r="S214" i="3"/>
  <c r="M214" i="3"/>
  <c r="Y205" i="3"/>
  <c r="M205" i="3"/>
  <c r="AA204" i="3"/>
  <c r="N204" i="3"/>
  <c r="AA203" i="3"/>
  <c r="O203" i="3"/>
  <c r="AB202" i="3"/>
  <c r="N202" i="3"/>
  <c r="AB201" i="3"/>
  <c r="P201" i="3"/>
  <c r="P200" i="3"/>
  <c r="N199" i="3"/>
  <c r="P199" i="3"/>
  <c r="Z199" i="3"/>
  <c r="K198" i="3"/>
  <c r="S198" i="3"/>
  <c r="M198" i="3"/>
  <c r="M196" i="3"/>
  <c r="N196" i="3"/>
  <c r="O196" i="3"/>
  <c r="Y196" i="3"/>
  <c r="Q195" i="3"/>
  <c r="P189" i="3"/>
  <c r="Z189" i="3"/>
  <c r="I189" i="3"/>
  <c r="Q189" i="3"/>
  <c r="AA189" i="3"/>
  <c r="J189" i="3"/>
  <c r="R189" i="3"/>
  <c r="AB189" i="3"/>
  <c r="L189" i="3"/>
  <c r="U189" i="3"/>
  <c r="Y187" i="3"/>
  <c r="Y177" i="3"/>
  <c r="Y173" i="3"/>
  <c r="Z163" i="3"/>
  <c r="Q160" i="3"/>
  <c r="AA160" i="3"/>
  <c r="I160" i="3"/>
  <c r="R160" i="3"/>
  <c r="AB160" i="3"/>
  <c r="J160" i="3"/>
  <c r="S160" i="3"/>
  <c r="L160" i="3"/>
  <c r="U160" i="3"/>
  <c r="M160" i="3"/>
  <c r="N160" i="3"/>
  <c r="AA157" i="3"/>
  <c r="P197" i="3"/>
  <c r="Z197" i="3"/>
  <c r="J197" i="3"/>
  <c r="R197" i="3"/>
  <c r="AB197" i="3"/>
  <c r="J171" i="3"/>
  <c r="R171" i="3"/>
  <c r="AB171" i="3"/>
  <c r="K171" i="3"/>
  <c r="S171" i="3"/>
  <c r="L171" i="3"/>
  <c r="U171" i="3"/>
  <c r="N171" i="3"/>
  <c r="O171" i="3"/>
  <c r="Y171" i="3"/>
  <c r="M156" i="3"/>
  <c r="O156" i="3"/>
  <c r="Y156" i="3"/>
  <c r="I156" i="3"/>
  <c r="S156" i="3"/>
  <c r="J156" i="3"/>
  <c r="U156" i="3"/>
  <c r="K156" i="3"/>
  <c r="L156" i="3"/>
  <c r="Z156" i="3"/>
  <c r="N156" i="3"/>
  <c r="AA156" i="3"/>
  <c r="P156" i="3"/>
  <c r="AB156" i="3"/>
  <c r="L153" i="3"/>
  <c r="U153" i="3"/>
  <c r="N153" i="3"/>
  <c r="J153" i="3"/>
  <c r="K153" i="3"/>
  <c r="Y153" i="3"/>
  <c r="M153" i="3"/>
  <c r="Z153" i="3"/>
  <c r="O153" i="3"/>
  <c r="AA153" i="3"/>
  <c r="P153" i="3"/>
  <c r="AB153" i="3"/>
  <c r="Q153" i="3"/>
  <c r="K147" i="3"/>
  <c r="P147" i="3"/>
  <c r="Z147" i="3"/>
  <c r="I147" i="3"/>
  <c r="Y147" i="3"/>
  <c r="M147" i="3"/>
  <c r="AA147" i="3"/>
  <c r="N147" i="3"/>
  <c r="O147" i="3"/>
  <c r="Q147" i="3"/>
  <c r="U227" i="3"/>
  <c r="U219" i="3"/>
  <c r="L217" i="3"/>
  <c r="Z216" i="3"/>
  <c r="N216" i="3"/>
  <c r="AA215" i="3"/>
  <c r="M215" i="3"/>
  <c r="AB214" i="3"/>
  <c r="P214" i="3"/>
  <c r="L209" i="3"/>
  <c r="U209" i="3"/>
  <c r="N209" i="3"/>
  <c r="I208" i="3"/>
  <c r="Q208" i="3"/>
  <c r="AA208" i="3"/>
  <c r="K208" i="3"/>
  <c r="S208" i="3"/>
  <c r="K205" i="3"/>
  <c r="K204" i="3"/>
  <c r="Y203" i="3"/>
  <c r="M203" i="3"/>
  <c r="L202" i="3"/>
  <c r="Z201" i="3"/>
  <c r="M201" i="3"/>
  <c r="N200" i="3"/>
  <c r="AA199" i="3"/>
  <c r="M199" i="3"/>
  <c r="AB198" i="3"/>
  <c r="P198" i="3"/>
  <c r="O197" i="3"/>
  <c r="Q196" i="3"/>
  <c r="O195" i="3"/>
  <c r="P192" i="3"/>
  <c r="S189" i="3"/>
  <c r="Q187" i="3"/>
  <c r="P185" i="3"/>
  <c r="Z185" i="3"/>
  <c r="I185" i="3"/>
  <c r="Q185" i="3"/>
  <c r="AA185" i="3"/>
  <c r="I184" i="3"/>
  <c r="Q184" i="3"/>
  <c r="AA184" i="3"/>
  <c r="J184" i="3"/>
  <c r="R184" i="3"/>
  <c r="AB184" i="3"/>
  <c r="K184" i="3"/>
  <c r="S184" i="3"/>
  <c r="M184" i="3"/>
  <c r="N184" i="3"/>
  <c r="P181" i="3"/>
  <c r="Z181" i="3"/>
  <c r="I181" i="3"/>
  <c r="Q181" i="3"/>
  <c r="AA181" i="3"/>
  <c r="J181" i="3"/>
  <c r="R181" i="3"/>
  <c r="AB181" i="3"/>
  <c r="L181" i="3"/>
  <c r="U181" i="3"/>
  <c r="M181" i="3"/>
  <c r="M180" i="3"/>
  <c r="N180" i="3"/>
  <c r="O180" i="3"/>
  <c r="Y180" i="3"/>
  <c r="I180" i="3"/>
  <c r="Q180" i="3"/>
  <c r="AA180" i="3"/>
  <c r="J180" i="3"/>
  <c r="R180" i="3"/>
  <c r="AB180" i="3"/>
  <c r="R177" i="3"/>
  <c r="Y176" i="3"/>
  <c r="S173" i="3"/>
  <c r="U172" i="3"/>
  <c r="AA171" i="3"/>
  <c r="Q163" i="3"/>
  <c r="P157" i="3"/>
  <c r="J139" i="3"/>
  <c r="I128" i="3"/>
  <c r="Q128" i="3"/>
  <c r="AA128" i="3"/>
  <c r="J128" i="3"/>
  <c r="R128" i="3"/>
  <c r="AB128" i="3"/>
  <c r="K128" i="3"/>
  <c r="S128" i="3"/>
  <c r="M128" i="3"/>
  <c r="N128" i="3"/>
  <c r="O128" i="3"/>
  <c r="Y128" i="3"/>
  <c r="P128" i="3"/>
  <c r="U128" i="3"/>
  <c r="Z128" i="3"/>
  <c r="AA161" i="3"/>
  <c r="Q161" i="3"/>
  <c r="I161" i="3"/>
  <c r="U150" i="3"/>
  <c r="I150" i="3"/>
  <c r="U149" i="3"/>
  <c r="I149" i="3"/>
  <c r="M148" i="3"/>
  <c r="O148" i="3"/>
  <c r="Y148" i="3"/>
  <c r="K148" i="3"/>
  <c r="S148" i="3"/>
  <c r="L137" i="3"/>
  <c r="P125" i="3"/>
  <c r="Z125" i="3"/>
  <c r="I125" i="3"/>
  <c r="Q125" i="3"/>
  <c r="AA125" i="3"/>
  <c r="K125" i="3"/>
  <c r="S125" i="3"/>
  <c r="L125" i="3"/>
  <c r="U125" i="3"/>
  <c r="M125" i="3"/>
  <c r="N125" i="3"/>
  <c r="AB118" i="3"/>
  <c r="Y182" i="3"/>
  <c r="O182" i="3"/>
  <c r="Y174" i="3"/>
  <c r="O174" i="3"/>
  <c r="Y166" i="3"/>
  <c r="O166" i="3"/>
  <c r="Z161" i="3"/>
  <c r="P159" i="3"/>
  <c r="Z159" i="3"/>
  <c r="N151" i="3"/>
  <c r="P151" i="3"/>
  <c r="Z151" i="3"/>
  <c r="K150" i="3"/>
  <c r="S150" i="3"/>
  <c r="M150" i="3"/>
  <c r="J149" i="3"/>
  <c r="R148" i="3"/>
  <c r="K142" i="3"/>
  <c r="S142" i="3"/>
  <c r="L142" i="3"/>
  <c r="U142" i="3"/>
  <c r="M142" i="3"/>
  <c r="O142" i="3"/>
  <c r="Y142" i="3"/>
  <c r="I142" i="3"/>
  <c r="Q142" i="3"/>
  <c r="AA142" i="3"/>
  <c r="P137" i="3"/>
  <c r="Z137" i="3"/>
  <c r="I136" i="3"/>
  <c r="Q136" i="3"/>
  <c r="AA136" i="3"/>
  <c r="J136" i="3"/>
  <c r="R136" i="3"/>
  <c r="AB136" i="3"/>
  <c r="K136" i="3"/>
  <c r="S136" i="3"/>
  <c r="M136" i="3"/>
  <c r="O136" i="3"/>
  <c r="Y136" i="3"/>
  <c r="P129" i="3"/>
  <c r="Z129" i="3"/>
  <c r="I129" i="3"/>
  <c r="Q129" i="3"/>
  <c r="AA129" i="3"/>
  <c r="K104" i="3"/>
  <c r="S104" i="3"/>
  <c r="M104" i="3"/>
  <c r="I104" i="3"/>
  <c r="U104" i="3"/>
  <c r="J104" i="3"/>
  <c r="L104" i="3"/>
  <c r="Y104" i="3"/>
  <c r="N104" i="3"/>
  <c r="Z104" i="3"/>
  <c r="O104" i="3"/>
  <c r="AA104" i="3"/>
  <c r="P104" i="3"/>
  <c r="AB104" i="3"/>
  <c r="Q104" i="3"/>
  <c r="P149" i="3"/>
  <c r="Z149" i="3"/>
  <c r="M118" i="3"/>
  <c r="I118" i="3"/>
  <c r="R118" i="3"/>
  <c r="J118" i="3"/>
  <c r="S118" i="3"/>
  <c r="K118" i="3"/>
  <c r="U118" i="3"/>
  <c r="L118" i="3"/>
  <c r="N118" i="3"/>
  <c r="Y118" i="3"/>
  <c r="O118" i="3"/>
  <c r="Z118" i="3"/>
  <c r="P118" i="3"/>
  <c r="AA118" i="3"/>
  <c r="AA194" i="3"/>
  <c r="Q194" i="3"/>
  <c r="I194" i="3"/>
  <c r="N193" i="3"/>
  <c r="Z191" i="3"/>
  <c r="AA186" i="3"/>
  <c r="Q186" i="3"/>
  <c r="I186" i="3"/>
  <c r="N185" i="3"/>
  <c r="Z183" i="3"/>
  <c r="M182" i="3"/>
  <c r="AA178" i="3"/>
  <c r="Q178" i="3"/>
  <c r="I178" i="3"/>
  <c r="N177" i="3"/>
  <c r="Z175" i="3"/>
  <c r="M174" i="3"/>
  <c r="AA170" i="3"/>
  <c r="Q170" i="3"/>
  <c r="I170" i="3"/>
  <c r="N169" i="3"/>
  <c r="Z167" i="3"/>
  <c r="M166" i="3"/>
  <c r="AA162" i="3"/>
  <c r="Q162" i="3"/>
  <c r="I162" i="3"/>
  <c r="N161" i="3"/>
  <c r="M159" i="3"/>
  <c r="M158" i="3"/>
  <c r="AA151" i="3"/>
  <c r="M151" i="3"/>
  <c r="AB150" i="3"/>
  <c r="P150" i="3"/>
  <c r="O149" i="3"/>
  <c r="P148" i="3"/>
  <c r="Z142" i="3"/>
  <c r="P141" i="3"/>
  <c r="Z141" i="3"/>
  <c r="I141" i="3"/>
  <c r="Q141" i="3"/>
  <c r="AA141" i="3"/>
  <c r="L141" i="3"/>
  <c r="U141" i="3"/>
  <c r="N141" i="3"/>
  <c r="S137" i="3"/>
  <c r="Z136" i="3"/>
  <c r="M193" i="3"/>
  <c r="M185" i="3"/>
  <c r="U182" i="3"/>
  <c r="L182" i="3"/>
  <c r="M177" i="3"/>
  <c r="U174" i="3"/>
  <c r="L174" i="3"/>
  <c r="M169" i="3"/>
  <c r="U166" i="3"/>
  <c r="L166" i="3"/>
  <c r="M161" i="3"/>
  <c r="L159" i="3"/>
  <c r="Y151" i="3"/>
  <c r="L151" i="3"/>
  <c r="AA150" i="3"/>
  <c r="O150" i="3"/>
  <c r="AA149" i="3"/>
  <c r="N149" i="3"/>
  <c r="AB148" i="3"/>
  <c r="N148" i="3"/>
  <c r="Y141" i="3"/>
  <c r="M140" i="3"/>
  <c r="N140" i="3"/>
  <c r="O140" i="3"/>
  <c r="Y140" i="3"/>
  <c r="I140" i="3"/>
  <c r="Q140" i="3"/>
  <c r="AA140" i="3"/>
  <c r="K140" i="3"/>
  <c r="S140" i="3"/>
  <c r="Q137" i="3"/>
  <c r="K134" i="3"/>
  <c r="S134" i="3"/>
  <c r="L134" i="3"/>
  <c r="U134" i="3"/>
  <c r="M134" i="3"/>
  <c r="O134" i="3"/>
  <c r="Y134" i="3"/>
  <c r="I134" i="3"/>
  <c r="Q134" i="3"/>
  <c r="AA134" i="3"/>
  <c r="Y129" i="3"/>
  <c r="I120" i="3"/>
  <c r="Q120" i="3"/>
  <c r="AA120" i="3"/>
  <c r="J120" i="3"/>
  <c r="R120" i="3"/>
  <c r="AB120" i="3"/>
  <c r="K120" i="3"/>
  <c r="S120" i="3"/>
  <c r="L120" i="3"/>
  <c r="U120" i="3"/>
  <c r="M120" i="3"/>
  <c r="N120" i="3"/>
  <c r="O120" i="3"/>
  <c r="Y120" i="3"/>
  <c r="M69" i="3"/>
  <c r="O69" i="3"/>
  <c r="Y69" i="3"/>
  <c r="J69" i="3"/>
  <c r="U69" i="3"/>
  <c r="K69" i="3"/>
  <c r="L69" i="3"/>
  <c r="Z69" i="3"/>
  <c r="N69" i="3"/>
  <c r="AA69" i="3"/>
  <c r="P69" i="3"/>
  <c r="AB69" i="3"/>
  <c r="Q69" i="3"/>
  <c r="I69" i="3"/>
  <c r="R69" i="3"/>
  <c r="S69" i="3"/>
  <c r="Y194" i="3"/>
  <c r="U193" i="3"/>
  <c r="Y186" i="3"/>
  <c r="U185" i="3"/>
  <c r="S182" i="3"/>
  <c r="Y178" i="3"/>
  <c r="U177" i="3"/>
  <c r="S174" i="3"/>
  <c r="Y170" i="3"/>
  <c r="U169" i="3"/>
  <c r="S166" i="3"/>
  <c r="Y162" i="3"/>
  <c r="U161" i="3"/>
  <c r="K160" i="3"/>
  <c r="U159" i="3"/>
  <c r="K159" i="3"/>
  <c r="Z158" i="3"/>
  <c r="O158" i="3"/>
  <c r="J157" i="3"/>
  <c r="K151" i="3"/>
  <c r="Z150" i="3"/>
  <c r="N150" i="3"/>
  <c r="Y149" i="3"/>
  <c r="M149" i="3"/>
  <c r="AA148" i="3"/>
  <c r="L148" i="3"/>
  <c r="J147" i="3"/>
  <c r="L145" i="3"/>
  <c r="R142" i="3"/>
  <c r="AB140" i="3"/>
  <c r="O137" i="3"/>
  <c r="U136" i="3"/>
  <c r="AB134" i="3"/>
  <c r="J133" i="3"/>
  <c r="S129" i="3"/>
  <c r="Y125" i="3"/>
  <c r="M94" i="3"/>
  <c r="O94" i="3"/>
  <c r="Y94" i="3"/>
  <c r="I94" i="3"/>
  <c r="Q94" i="3"/>
  <c r="AA94" i="3"/>
  <c r="J94" i="3"/>
  <c r="R94" i="3"/>
  <c r="AB94" i="3"/>
  <c r="K94" i="3"/>
  <c r="L94" i="3"/>
  <c r="N94" i="3"/>
  <c r="P94" i="3"/>
  <c r="S94" i="3"/>
  <c r="U94" i="3"/>
  <c r="I90" i="3"/>
  <c r="Q90" i="3"/>
  <c r="AA90" i="3"/>
  <c r="K90" i="3"/>
  <c r="S90" i="3"/>
  <c r="M90" i="3"/>
  <c r="N90" i="3"/>
  <c r="J90" i="3"/>
  <c r="AB90" i="3"/>
  <c r="L90" i="3"/>
  <c r="O90" i="3"/>
  <c r="P90" i="3"/>
  <c r="R90" i="3"/>
  <c r="U90" i="3"/>
  <c r="Y90" i="3"/>
  <c r="M146" i="3"/>
  <c r="AB145" i="3"/>
  <c r="R145" i="3"/>
  <c r="J145" i="3"/>
  <c r="AB137" i="3"/>
  <c r="R137" i="3"/>
  <c r="J137" i="3"/>
  <c r="Z131" i="3"/>
  <c r="P131" i="3"/>
  <c r="AB129" i="3"/>
  <c r="R129" i="3"/>
  <c r="J129" i="3"/>
  <c r="AA126" i="3"/>
  <c r="Q126" i="3"/>
  <c r="I126" i="3"/>
  <c r="S124" i="3"/>
  <c r="K124" i="3"/>
  <c r="Z123" i="3"/>
  <c r="P123" i="3"/>
  <c r="AB121" i="3"/>
  <c r="R121" i="3"/>
  <c r="J121" i="3"/>
  <c r="S117" i="3"/>
  <c r="J117" i="3"/>
  <c r="R117" i="3"/>
  <c r="AB117" i="3"/>
  <c r="L117" i="3"/>
  <c r="O116" i="3"/>
  <c r="Y116" i="3"/>
  <c r="I116" i="3"/>
  <c r="Q116" i="3"/>
  <c r="AA116" i="3"/>
  <c r="S115" i="3"/>
  <c r="U113" i="3"/>
  <c r="J113" i="3"/>
  <c r="Y112" i="3"/>
  <c r="L112" i="3"/>
  <c r="P103" i="3"/>
  <c r="Z103" i="3"/>
  <c r="J103" i="3"/>
  <c r="R103" i="3"/>
  <c r="AB103" i="3"/>
  <c r="M102" i="3"/>
  <c r="O102" i="3"/>
  <c r="Y102" i="3"/>
  <c r="S101" i="3"/>
  <c r="J101" i="3"/>
  <c r="R101" i="3"/>
  <c r="AB101" i="3"/>
  <c r="L101" i="3"/>
  <c r="U101" i="3"/>
  <c r="AB98" i="3"/>
  <c r="N98" i="3"/>
  <c r="M93" i="3"/>
  <c r="P79" i="3"/>
  <c r="Z79" i="3"/>
  <c r="I79" i="3"/>
  <c r="Q79" i="3"/>
  <c r="AA79" i="3"/>
  <c r="J79" i="3"/>
  <c r="R79" i="3"/>
  <c r="AB79" i="3"/>
  <c r="K79" i="3"/>
  <c r="S79" i="3"/>
  <c r="L79" i="3"/>
  <c r="U79" i="3"/>
  <c r="M79" i="3"/>
  <c r="J77" i="3"/>
  <c r="R77" i="3"/>
  <c r="AB77" i="3"/>
  <c r="K77" i="3"/>
  <c r="S77" i="3"/>
  <c r="L77" i="3"/>
  <c r="U77" i="3"/>
  <c r="M77" i="3"/>
  <c r="N77" i="3"/>
  <c r="O77" i="3"/>
  <c r="Y77" i="3"/>
  <c r="N72" i="3"/>
  <c r="P72" i="3"/>
  <c r="Z72" i="3"/>
  <c r="R72" i="3"/>
  <c r="I72" i="3"/>
  <c r="S72" i="3"/>
  <c r="J72" i="3"/>
  <c r="U72" i="3"/>
  <c r="K72" i="3"/>
  <c r="L72" i="3"/>
  <c r="Y72" i="3"/>
  <c r="M72" i="3"/>
  <c r="AA72" i="3"/>
  <c r="U67" i="3"/>
  <c r="AB124" i="3"/>
  <c r="R124" i="3"/>
  <c r="J124" i="3"/>
  <c r="AA121" i="3"/>
  <c r="Q121" i="3"/>
  <c r="I121" i="3"/>
  <c r="L115" i="3"/>
  <c r="U115" i="3"/>
  <c r="N115" i="3"/>
  <c r="I114" i="3"/>
  <c r="Q114" i="3"/>
  <c r="AA114" i="3"/>
  <c r="K114" i="3"/>
  <c r="S114" i="3"/>
  <c r="S113" i="3"/>
  <c r="I113" i="3"/>
  <c r="J112" i="3"/>
  <c r="Z98" i="3"/>
  <c r="L98" i="3"/>
  <c r="K93" i="3"/>
  <c r="S67" i="3"/>
  <c r="Y126" i="3"/>
  <c r="O126" i="3"/>
  <c r="AA124" i="3"/>
  <c r="Q124" i="3"/>
  <c r="I124" i="3"/>
  <c r="Z121" i="3"/>
  <c r="AA117" i="3"/>
  <c r="Q115" i="3"/>
  <c r="R114" i="3"/>
  <c r="N113" i="3"/>
  <c r="U112" i="3"/>
  <c r="Y98" i="3"/>
  <c r="P97" i="3"/>
  <c r="Z97" i="3"/>
  <c r="J97" i="3"/>
  <c r="R97" i="3"/>
  <c r="AB97" i="3"/>
  <c r="AA93" i="3"/>
  <c r="P70" i="3"/>
  <c r="Z70" i="3"/>
  <c r="J70" i="3"/>
  <c r="R70" i="3"/>
  <c r="AB70" i="3"/>
  <c r="I70" i="3"/>
  <c r="U70" i="3"/>
  <c r="K70" i="3"/>
  <c r="L70" i="3"/>
  <c r="M70" i="3"/>
  <c r="Y70" i="3"/>
  <c r="N70" i="3"/>
  <c r="AA70" i="3"/>
  <c r="O70" i="3"/>
  <c r="P113" i="3"/>
  <c r="Z113" i="3"/>
  <c r="K112" i="3"/>
  <c r="S112" i="3"/>
  <c r="M112" i="3"/>
  <c r="I98" i="3"/>
  <c r="Q98" i="3"/>
  <c r="AA98" i="3"/>
  <c r="K98" i="3"/>
  <c r="S98" i="3"/>
  <c r="M98" i="3"/>
  <c r="J93" i="3"/>
  <c r="R93" i="3"/>
  <c r="AB93" i="3"/>
  <c r="L93" i="3"/>
  <c r="U93" i="3"/>
  <c r="N93" i="3"/>
  <c r="O93" i="3"/>
  <c r="Y93" i="3"/>
  <c r="O67" i="3"/>
  <c r="Y67" i="3"/>
  <c r="I67" i="3"/>
  <c r="Q67" i="3"/>
  <c r="AA67" i="3"/>
  <c r="K67" i="3"/>
  <c r="L67" i="3"/>
  <c r="M67" i="3"/>
  <c r="Z67" i="3"/>
  <c r="N67" i="3"/>
  <c r="AB67" i="3"/>
  <c r="P67" i="3"/>
  <c r="R67" i="3"/>
  <c r="AB157" i="3"/>
  <c r="AD157" i="3" s="1"/>
  <c r="R157" i="3"/>
  <c r="AB149" i="3"/>
  <c r="R149" i="3"/>
  <c r="U147" i="3"/>
  <c r="L147" i="3"/>
  <c r="AA146" i="3"/>
  <c r="Q146" i="3"/>
  <c r="I146" i="3"/>
  <c r="N145" i="3"/>
  <c r="Z143" i="3"/>
  <c r="P143" i="3"/>
  <c r="AB141" i="3"/>
  <c r="R141" i="3"/>
  <c r="U139" i="3"/>
  <c r="L139" i="3"/>
  <c r="AA138" i="3"/>
  <c r="Q138" i="3"/>
  <c r="I138" i="3"/>
  <c r="N137" i="3"/>
  <c r="Z135" i="3"/>
  <c r="P135" i="3"/>
  <c r="AB133" i="3"/>
  <c r="R133" i="3"/>
  <c r="U131" i="3"/>
  <c r="L131" i="3"/>
  <c r="AA130" i="3"/>
  <c r="Q130" i="3"/>
  <c r="I130" i="3"/>
  <c r="N129" i="3"/>
  <c r="Z127" i="3"/>
  <c r="P127" i="3"/>
  <c r="M126" i="3"/>
  <c r="AB125" i="3"/>
  <c r="R125" i="3"/>
  <c r="Y124" i="3"/>
  <c r="O124" i="3"/>
  <c r="U123" i="3"/>
  <c r="L123" i="3"/>
  <c r="AA122" i="3"/>
  <c r="Q122" i="3"/>
  <c r="I122" i="3"/>
  <c r="N121" i="3"/>
  <c r="Z119" i="3"/>
  <c r="P119" i="3"/>
  <c r="Y117" i="3"/>
  <c r="N117" i="3"/>
  <c r="Z116" i="3"/>
  <c r="M116" i="3"/>
  <c r="AA115" i="3"/>
  <c r="O115" i="3"/>
  <c r="AB114" i="3"/>
  <c r="O114" i="3"/>
  <c r="AB113" i="3"/>
  <c r="O113" i="3"/>
  <c r="Q112" i="3"/>
  <c r="P111" i="3"/>
  <c r="Z111" i="3"/>
  <c r="J111" i="3"/>
  <c r="R111" i="3"/>
  <c r="AB111" i="3"/>
  <c r="M110" i="3"/>
  <c r="O110" i="3"/>
  <c r="Y110" i="3"/>
  <c r="S109" i="3"/>
  <c r="J109" i="3"/>
  <c r="R109" i="3"/>
  <c r="AB109" i="3"/>
  <c r="L109" i="3"/>
  <c r="U109" i="3"/>
  <c r="O108" i="3"/>
  <c r="Y108" i="3"/>
  <c r="I108" i="3"/>
  <c r="Q108" i="3"/>
  <c r="AA108" i="3"/>
  <c r="S107" i="3"/>
  <c r="L103" i="3"/>
  <c r="Z102" i="3"/>
  <c r="L102" i="3"/>
  <c r="Z101" i="3"/>
  <c r="N101" i="3"/>
  <c r="U98" i="3"/>
  <c r="O97" i="3"/>
  <c r="P91" i="3"/>
  <c r="Z91" i="3"/>
  <c r="I91" i="3"/>
  <c r="Q91" i="3"/>
  <c r="AA91" i="3"/>
  <c r="P89" i="3"/>
  <c r="Z89" i="3"/>
  <c r="J89" i="3"/>
  <c r="R89" i="3"/>
  <c r="AB89" i="3"/>
  <c r="K89" i="3"/>
  <c r="S89" i="3"/>
  <c r="P87" i="3"/>
  <c r="Z87" i="3"/>
  <c r="I87" i="3"/>
  <c r="Q87" i="3"/>
  <c r="AA87" i="3"/>
  <c r="J87" i="3"/>
  <c r="R87" i="3"/>
  <c r="AB87" i="3"/>
  <c r="L87" i="3"/>
  <c r="U87" i="3"/>
  <c r="M87" i="3"/>
  <c r="M86" i="3"/>
  <c r="N86" i="3"/>
  <c r="O86" i="3"/>
  <c r="Y86" i="3"/>
  <c r="I86" i="3"/>
  <c r="Q86" i="3"/>
  <c r="AA86" i="3"/>
  <c r="J86" i="3"/>
  <c r="R86" i="3"/>
  <c r="AB86" i="3"/>
  <c r="L83" i="3"/>
  <c r="Z77" i="3"/>
  <c r="AB72" i="3"/>
  <c r="K71" i="3"/>
  <c r="S71" i="3"/>
  <c r="M71" i="3"/>
  <c r="I71" i="3"/>
  <c r="U71" i="3"/>
  <c r="J71" i="3"/>
  <c r="L71" i="3"/>
  <c r="Y71" i="3"/>
  <c r="N71" i="3"/>
  <c r="Z71" i="3"/>
  <c r="O71" i="3"/>
  <c r="AA71" i="3"/>
  <c r="P71" i="3"/>
  <c r="AB71" i="3"/>
  <c r="I57" i="3"/>
  <c r="Q57" i="3"/>
  <c r="AA57" i="3"/>
  <c r="K57" i="3"/>
  <c r="S57" i="3"/>
  <c r="M57" i="3"/>
  <c r="J57" i="3"/>
  <c r="Y57" i="3"/>
  <c r="L57" i="3"/>
  <c r="Z57" i="3"/>
  <c r="N57" i="3"/>
  <c r="AB57" i="3"/>
  <c r="O57" i="3"/>
  <c r="P57" i="3"/>
  <c r="R57" i="3"/>
  <c r="Z51" i="3"/>
  <c r="M145" i="3"/>
  <c r="S139" i="3"/>
  <c r="K139" i="3"/>
  <c r="M137" i="3"/>
  <c r="S131" i="3"/>
  <c r="K131" i="3"/>
  <c r="M129" i="3"/>
  <c r="U126" i="3"/>
  <c r="L126" i="3"/>
  <c r="N124" i="3"/>
  <c r="S123" i="3"/>
  <c r="K123" i="3"/>
  <c r="M121" i="3"/>
  <c r="M117" i="3"/>
  <c r="L116" i="3"/>
  <c r="Z115" i="3"/>
  <c r="M115" i="3"/>
  <c r="Z114" i="3"/>
  <c r="N114" i="3"/>
  <c r="AA113" i="3"/>
  <c r="M113" i="3"/>
  <c r="AB112" i="3"/>
  <c r="P112" i="3"/>
  <c r="L107" i="3"/>
  <c r="U107" i="3"/>
  <c r="N107" i="3"/>
  <c r="I106" i="3"/>
  <c r="Q106" i="3"/>
  <c r="AA106" i="3"/>
  <c r="K106" i="3"/>
  <c r="S106" i="3"/>
  <c r="K103" i="3"/>
  <c r="K102" i="3"/>
  <c r="Y101" i="3"/>
  <c r="M101" i="3"/>
  <c r="R98" i="3"/>
  <c r="M97" i="3"/>
  <c r="P95" i="3"/>
  <c r="Z95" i="3"/>
  <c r="J95" i="3"/>
  <c r="R95" i="3"/>
  <c r="AB95" i="3"/>
  <c r="L95" i="3"/>
  <c r="U95" i="3"/>
  <c r="M95" i="3"/>
  <c r="S93" i="3"/>
  <c r="M83" i="3"/>
  <c r="P83" i="3"/>
  <c r="Z83" i="3"/>
  <c r="I83" i="3"/>
  <c r="Q83" i="3"/>
  <c r="AA83" i="3"/>
  <c r="I82" i="3"/>
  <c r="Q82" i="3"/>
  <c r="AA82" i="3"/>
  <c r="J82" i="3"/>
  <c r="R82" i="3"/>
  <c r="AB82" i="3"/>
  <c r="K82" i="3"/>
  <c r="S82" i="3"/>
  <c r="M82" i="3"/>
  <c r="N82" i="3"/>
  <c r="O79" i="3"/>
  <c r="Q77" i="3"/>
  <c r="Q72" i="3"/>
  <c r="J68" i="3"/>
  <c r="R68" i="3"/>
  <c r="AB68" i="3"/>
  <c r="L68" i="3"/>
  <c r="U68" i="3"/>
  <c r="K68" i="3"/>
  <c r="M68" i="3"/>
  <c r="Y68" i="3"/>
  <c r="N68" i="3"/>
  <c r="Z68" i="3"/>
  <c r="O68" i="3"/>
  <c r="AA68" i="3"/>
  <c r="P68" i="3"/>
  <c r="Q68" i="3"/>
  <c r="AB147" i="3"/>
  <c r="R147" i="3"/>
  <c r="Y146" i="3"/>
  <c r="U145" i="3"/>
  <c r="AB139" i="3"/>
  <c r="R139" i="3"/>
  <c r="Y138" i="3"/>
  <c r="U137" i="3"/>
  <c r="AB131" i="3"/>
  <c r="R131" i="3"/>
  <c r="Y130" i="3"/>
  <c r="U129" i="3"/>
  <c r="S126" i="3"/>
  <c r="AB123" i="3"/>
  <c r="R123" i="3"/>
  <c r="Y122" i="3"/>
  <c r="U121" i="3"/>
  <c r="K117" i="3"/>
  <c r="K116" i="3"/>
  <c r="Y115" i="3"/>
  <c r="K115" i="3"/>
  <c r="Y114" i="3"/>
  <c r="M114" i="3"/>
  <c r="Y113" i="3"/>
  <c r="L113" i="3"/>
  <c r="AA112" i="3"/>
  <c r="O112" i="3"/>
  <c r="Q107" i="3"/>
  <c r="R106" i="3"/>
  <c r="N105" i="3"/>
  <c r="U103" i="3"/>
  <c r="I103" i="3"/>
  <c r="U102" i="3"/>
  <c r="J102" i="3"/>
  <c r="K101" i="3"/>
  <c r="O100" i="3"/>
  <c r="Y100" i="3"/>
  <c r="I100" i="3"/>
  <c r="Q100" i="3"/>
  <c r="AA100" i="3"/>
  <c r="K100" i="3"/>
  <c r="S100" i="3"/>
  <c r="P99" i="3"/>
  <c r="Z99" i="3"/>
  <c r="P98" i="3"/>
  <c r="AA97" i="3"/>
  <c r="L97" i="3"/>
  <c r="S95" i="3"/>
  <c r="Q93" i="3"/>
  <c r="R91" i="3"/>
  <c r="Q89" i="3"/>
  <c r="Z86" i="3"/>
  <c r="J85" i="3"/>
  <c r="R85" i="3"/>
  <c r="AB85" i="3"/>
  <c r="K85" i="3"/>
  <c r="S85" i="3"/>
  <c r="L85" i="3"/>
  <c r="U85" i="3"/>
  <c r="N85" i="3"/>
  <c r="O85" i="3"/>
  <c r="Y85" i="3"/>
  <c r="Y83" i="3"/>
  <c r="N79" i="3"/>
  <c r="P77" i="3"/>
  <c r="O72" i="3"/>
  <c r="O51" i="3"/>
  <c r="Y51" i="3"/>
  <c r="I51" i="3"/>
  <c r="Q51" i="3"/>
  <c r="AA51" i="3"/>
  <c r="J51" i="3"/>
  <c r="R51" i="3"/>
  <c r="AB51" i="3"/>
  <c r="K51" i="3"/>
  <c r="S51" i="3"/>
  <c r="L51" i="3"/>
  <c r="M51" i="3"/>
  <c r="N51" i="3"/>
  <c r="P51" i="3"/>
  <c r="U51" i="3"/>
  <c r="U84" i="3"/>
  <c r="L84" i="3"/>
  <c r="S81" i="3"/>
  <c r="K81" i="3"/>
  <c r="AB78" i="3"/>
  <c r="R78" i="3"/>
  <c r="J78" i="3"/>
  <c r="U76" i="3"/>
  <c r="L76" i="3"/>
  <c r="AA75" i="3"/>
  <c r="Q75" i="3"/>
  <c r="I75" i="3"/>
  <c r="M74" i="3"/>
  <c r="Z73" i="3"/>
  <c r="N73" i="3"/>
  <c r="L66" i="3"/>
  <c r="U66" i="3"/>
  <c r="N66" i="3"/>
  <c r="I65" i="3"/>
  <c r="Q65" i="3"/>
  <c r="AA65" i="3"/>
  <c r="K65" i="3"/>
  <c r="S65" i="3"/>
  <c r="P62" i="3"/>
  <c r="Z62" i="3"/>
  <c r="J62" i="3"/>
  <c r="R62" i="3"/>
  <c r="AB62" i="3"/>
  <c r="L62" i="3"/>
  <c r="U62" i="3"/>
  <c r="AA60" i="3"/>
  <c r="M60" i="3"/>
  <c r="O52" i="3"/>
  <c r="AB49" i="3"/>
  <c r="O48" i="3"/>
  <c r="J44" i="3"/>
  <c r="R44" i="3"/>
  <c r="AB44" i="3"/>
  <c r="K44" i="3"/>
  <c r="S44" i="3"/>
  <c r="L44" i="3"/>
  <c r="U44" i="3"/>
  <c r="M44" i="3"/>
  <c r="N44" i="3"/>
  <c r="O44" i="3"/>
  <c r="Y44" i="3"/>
  <c r="J31" i="3"/>
  <c r="R31" i="3"/>
  <c r="AB31" i="3"/>
  <c r="L31" i="3"/>
  <c r="U31" i="3"/>
  <c r="M31" i="3"/>
  <c r="N31" i="3"/>
  <c r="O31" i="3"/>
  <c r="Y31" i="3"/>
  <c r="I31" i="3"/>
  <c r="K31" i="3"/>
  <c r="P31" i="3"/>
  <c r="Q31" i="3"/>
  <c r="S31" i="3"/>
  <c r="Z31" i="3"/>
  <c r="Y96" i="3"/>
  <c r="O96" i="3"/>
  <c r="Y88" i="3"/>
  <c r="O88" i="3"/>
  <c r="S84" i="3"/>
  <c r="K84" i="3"/>
  <c r="AB81" i="3"/>
  <c r="R81" i="3"/>
  <c r="J81" i="3"/>
  <c r="Y80" i="3"/>
  <c r="O80" i="3"/>
  <c r="AA78" i="3"/>
  <c r="Q78" i="3"/>
  <c r="I78" i="3"/>
  <c r="S76" i="3"/>
  <c r="K76" i="3"/>
  <c r="Z75" i="3"/>
  <c r="P75" i="3"/>
  <c r="K74" i="3"/>
  <c r="Y73" i="3"/>
  <c r="M73" i="3"/>
  <c r="Q66" i="3"/>
  <c r="R65" i="3"/>
  <c r="K63" i="3"/>
  <c r="S63" i="3"/>
  <c r="M63" i="3"/>
  <c r="O63" i="3"/>
  <c r="Q62" i="3"/>
  <c r="Z60" i="3"/>
  <c r="K60" i="3"/>
  <c r="O59" i="3"/>
  <c r="Y59" i="3"/>
  <c r="I59" i="3"/>
  <c r="Q59" i="3"/>
  <c r="AA59" i="3"/>
  <c r="K59" i="3"/>
  <c r="S59" i="3"/>
  <c r="P58" i="3"/>
  <c r="Z58" i="3"/>
  <c r="K52" i="3"/>
  <c r="I49" i="3"/>
  <c r="Q49" i="3"/>
  <c r="AA49" i="3"/>
  <c r="K49" i="3"/>
  <c r="S49" i="3"/>
  <c r="L49" i="3"/>
  <c r="U49" i="3"/>
  <c r="M49" i="3"/>
  <c r="M48" i="3"/>
  <c r="Y36" i="3"/>
  <c r="P17" i="3"/>
  <c r="Z17" i="3"/>
  <c r="I17" i="3"/>
  <c r="Q17" i="3"/>
  <c r="AA17" i="3"/>
  <c r="K17" i="3"/>
  <c r="S17" i="3"/>
  <c r="N17" i="3"/>
  <c r="O17" i="3"/>
  <c r="Y17" i="3"/>
  <c r="L73" i="3"/>
  <c r="N64" i="3"/>
  <c r="P64" i="3"/>
  <c r="Z64" i="3"/>
  <c r="Y60" i="3"/>
  <c r="I60" i="3"/>
  <c r="U59" i="3"/>
  <c r="Q58" i="3"/>
  <c r="P54" i="3"/>
  <c r="Z54" i="3"/>
  <c r="J54" i="3"/>
  <c r="R54" i="3"/>
  <c r="AB54" i="3"/>
  <c r="L54" i="3"/>
  <c r="U54" i="3"/>
  <c r="AA52" i="3"/>
  <c r="I52" i="3"/>
  <c r="Y49" i="3"/>
  <c r="J46" i="3"/>
  <c r="N99" i="3"/>
  <c r="M96" i="3"/>
  <c r="N91" i="3"/>
  <c r="M88" i="3"/>
  <c r="AA84" i="3"/>
  <c r="Q84" i="3"/>
  <c r="I84" i="3"/>
  <c r="N83" i="3"/>
  <c r="Z81" i="3"/>
  <c r="M80" i="3"/>
  <c r="Y78" i="3"/>
  <c r="O78" i="3"/>
  <c r="AA76" i="3"/>
  <c r="Q76" i="3"/>
  <c r="I76" i="3"/>
  <c r="N75" i="3"/>
  <c r="S74" i="3"/>
  <c r="AA66" i="3"/>
  <c r="O66" i="3"/>
  <c r="AB65" i="3"/>
  <c r="AD65" i="3" s="1"/>
  <c r="O65" i="3"/>
  <c r="AB64" i="3"/>
  <c r="O64" i="3"/>
  <c r="Q63" i="3"/>
  <c r="N62" i="3"/>
  <c r="J60" i="3"/>
  <c r="R60" i="3"/>
  <c r="AB60" i="3"/>
  <c r="L60" i="3"/>
  <c r="U60" i="3"/>
  <c r="N60" i="3"/>
  <c r="R59" i="3"/>
  <c r="O58" i="3"/>
  <c r="K55" i="3"/>
  <c r="S55" i="3"/>
  <c r="M55" i="3"/>
  <c r="O55" i="3"/>
  <c r="Y55" i="3"/>
  <c r="J52" i="3"/>
  <c r="R52" i="3"/>
  <c r="AB52" i="3"/>
  <c r="L52" i="3"/>
  <c r="U52" i="3"/>
  <c r="M52" i="3"/>
  <c r="N52" i="3"/>
  <c r="P46" i="3"/>
  <c r="Z46" i="3"/>
  <c r="R46" i="3"/>
  <c r="AB46" i="3"/>
  <c r="K46" i="3"/>
  <c r="S46" i="3"/>
  <c r="L46" i="3"/>
  <c r="U46" i="3"/>
  <c r="M46" i="3"/>
  <c r="AA44" i="3"/>
  <c r="N78" i="3"/>
  <c r="L74" i="3"/>
  <c r="N74" i="3"/>
  <c r="I73" i="3"/>
  <c r="Q73" i="3"/>
  <c r="AA73" i="3"/>
  <c r="K73" i="3"/>
  <c r="S73" i="3"/>
  <c r="N48" i="3"/>
  <c r="P48" i="3"/>
  <c r="Z48" i="3"/>
  <c r="I48" i="3"/>
  <c r="Q48" i="3"/>
  <c r="AA48" i="3"/>
  <c r="J48" i="3"/>
  <c r="R48" i="3"/>
  <c r="AB48" i="3"/>
  <c r="K48" i="3"/>
  <c r="Z36" i="3"/>
  <c r="J36" i="3"/>
  <c r="AB36" i="3"/>
  <c r="L36" i="3"/>
  <c r="O36" i="3"/>
  <c r="P36" i="3"/>
  <c r="R36" i="3"/>
  <c r="O30" i="3"/>
  <c r="Y30" i="3"/>
  <c r="I30" i="3"/>
  <c r="Q30" i="3"/>
  <c r="AA30" i="3"/>
  <c r="J30" i="3"/>
  <c r="R30" i="3"/>
  <c r="AB30" i="3"/>
  <c r="K30" i="3"/>
  <c r="S30" i="3"/>
  <c r="L30" i="3"/>
  <c r="U30" i="3"/>
  <c r="N30" i="3"/>
  <c r="P30" i="3"/>
  <c r="Z30" i="3"/>
  <c r="U99" i="3"/>
  <c r="S96" i="3"/>
  <c r="U91" i="3"/>
  <c r="S88" i="3"/>
  <c r="Y84" i="3"/>
  <c r="U83" i="3"/>
  <c r="S80" i="3"/>
  <c r="Y76" i="3"/>
  <c r="U75" i="3"/>
  <c r="AA74" i="3"/>
  <c r="Q74" i="3"/>
  <c r="R73" i="3"/>
  <c r="Y66" i="3"/>
  <c r="K66" i="3"/>
  <c r="Y65" i="3"/>
  <c r="M65" i="3"/>
  <c r="Y64" i="3"/>
  <c r="L64" i="3"/>
  <c r="AA63" i="3"/>
  <c r="N63" i="3"/>
  <c r="Y62" i="3"/>
  <c r="K62" i="3"/>
  <c r="M61" i="3"/>
  <c r="O61" i="3"/>
  <c r="Y61" i="3"/>
  <c r="I61" i="3"/>
  <c r="Q61" i="3"/>
  <c r="AA61" i="3"/>
  <c r="Q60" i="3"/>
  <c r="N59" i="3"/>
  <c r="AA58" i="3"/>
  <c r="K58" i="3"/>
  <c r="N56" i="3"/>
  <c r="P56" i="3"/>
  <c r="Z56" i="3"/>
  <c r="J56" i="3"/>
  <c r="R56" i="3"/>
  <c r="AB56" i="3"/>
  <c r="Q55" i="3"/>
  <c r="N54" i="3"/>
  <c r="S52" i="3"/>
  <c r="P49" i="3"/>
  <c r="Q44" i="3"/>
  <c r="U43" i="3"/>
  <c r="L43" i="3"/>
  <c r="J41" i="3"/>
  <c r="R41" i="3"/>
  <c r="L41" i="3"/>
  <c r="U41" i="3"/>
  <c r="M41" i="3"/>
  <c r="I20" i="3"/>
  <c r="Q20" i="3"/>
  <c r="AA20" i="3"/>
  <c r="J20" i="3"/>
  <c r="R20" i="3"/>
  <c r="AB20" i="3"/>
  <c r="K20" i="3"/>
  <c r="S20" i="3"/>
  <c r="L20" i="3"/>
  <c r="U20" i="3"/>
  <c r="M20" i="3"/>
  <c r="N20" i="3"/>
  <c r="O20" i="3"/>
  <c r="Y20" i="3"/>
  <c r="P9" i="3"/>
  <c r="Z9" i="3"/>
  <c r="I9" i="3"/>
  <c r="Q9" i="3"/>
  <c r="AA9" i="3"/>
  <c r="K9" i="3"/>
  <c r="S9" i="3"/>
  <c r="N9" i="3"/>
  <c r="AA53" i="3"/>
  <c r="Q53" i="3"/>
  <c r="I53" i="3"/>
  <c r="Z50" i="3"/>
  <c r="Y47" i="3"/>
  <c r="O47" i="3"/>
  <c r="AA45" i="3"/>
  <c r="Q45" i="3"/>
  <c r="I45" i="3"/>
  <c r="S43" i="3"/>
  <c r="K43" i="3"/>
  <c r="Z42" i="3"/>
  <c r="S41" i="3"/>
  <c r="J39" i="3"/>
  <c r="R39" i="3"/>
  <c r="AB39" i="3"/>
  <c r="AD39" i="3" s="1"/>
  <c r="L39" i="3"/>
  <c r="U39" i="3"/>
  <c r="N39" i="3"/>
  <c r="O39" i="3"/>
  <c r="Y39" i="3"/>
  <c r="J33" i="3"/>
  <c r="N47" i="3"/>
  <c r="AB43" i="3"/>
  <c r="R43" i="3"/>
  <c r="J43" i="3"/>
  <c r="Q41" i="3"/>
  <c r="L37" i="3"/>
  <c r="U37" i="3"/>
  <c r="N37" i="3"/>
  <c r="P37" i="3"/>
  <c r="Z37" i="3"/>
  <c r="I37" i="3"/>
  <c r="Q37" i="3"/>
  <c r="AA37" i="3"/>
  <c r="N35" i="3"/>
  <c r="P35" i="3"/>
  <c r="Z35" i="3"/>
  <c r="J35" i="3"/>
  <c r="R35" i="3"/>
  <c r="AB35" i="3"/>
  <c r="K35" i="3"/>
  <c r="S35" i="3"/>
  <c r="P33" i="3"/>
  <c r="Z33" i="3"/>
  <c r="I12" i="3"/>
  <c r="Q12" i="3"/>
  <c r="AA12" i="3"/>
  <c r="J12" i="3"/>
  <c r="R12" i="3"/>
  <c r="AB12" i="3"/>
  <c r="K12" i="3"/>
  <c r="S12" i="3"/>
  <c r="L12" i="3"/>
  <c r="U12" i="3"/>
  <c r="M12" i="3"/>
  <c r="N12" i="3"/>
  <c r="O12" i="3"/>
  <c r="Y12" i="3"/>
  <c r="N58" i="3"/>
  <c r="Y53" i="3"/>
  <c r="O53" i="3"/>
  <c r="N50" i="3"/>
  <c r="M47" i="3"/>
  <c r="Y45" i="3"/>
  <c r="O45" i="3"/>
  <c r="AA43" i="3"/>
  <c r="Q43" i="3"/>
  <c r="I43" i="3"/>
  <c r="N42" i="3"/>
  <c r="P41" i="3"/>
  <c r="S39" i="3"/>
  <c r="S37" i="3"/>
  <c r="U35" i="3"/>
  <c r="S33" i="3"/>
  <c r="I28" i="3"/>
  <c r="Q28" i="3"/>
  <c r="AA28" i="3"/>
  <c r="K28" i="3"/>
  <c r="S28" i="3"/>
  <c r="L28" i="3"/>
  <c r="U28" i="3"/>
  <c r="M28" i="3"/>
  <c r="N28" i="3"/>
  <c r="O28" i="3"/>
  <c r="Y28" i="3"/>
  <c r="N27" i="3"/>
  <c r="P27" i="3"/>
  <c r="Z27" i="3"/>
  <c r="I27" i="3"/>
  <c r="Q27" i="3"/>
  <c r="AA27" i="3"/>
  <c r="J27" i="3"/>
  <c r="R27" i="3"/>
  <c r="AB27" i="3"/>
  <c r="K27" i="3"/>
  <c r="S27" i="3"/>
  <c r="L27" i="3"/>
  <c r="U27" i="3"/>
  <c r="J25" i="3"/>
  <c r="P25" i="3"/>
  <c r="Z25" i="3"/>
  <c r="I25" i="3"/>
  <c r="Q25" i="3"/>
  <c r="AA25" i="3"/>
  <c r="K25" i="3"/>
  <c r="S25" i="3"/>
  <c r="N25" i="3"/>
  <c r="I4" i="3"/>
  <c r="Q4" i="3"/>
  <c r="AA4" i="3"/>
  <c r="J4" i="3"/>
  <c r="R4" i="3"/>
  <c r="AB4" i="3"/>
  <c r="K4" i="3"/>
  <c r="S4" i="3"/>
  <c r="L4" i="3"/>
  <c r="U4" i="3"/>
  <c r="M4" i="3"/>
  <c r="N4" i="3"/>
  <c r="O4" i="3"/>
  <c r="Y4" i="3"/>
  <c r="U58" i="3"/>
  <c r="U50" i="3"/>
  <c r="S47" i="3"/>
  <c r="Y43" i="3"/>
  <c r="U42" i="3"/>
  <c r="AA41" i="3"/>
  <c r="N41" i="3"/>
  <c r="O40" i="3"/>
  <c r="Y40" i="3"/>
  <c r="Q40" i="3"/>
  <c r="AA40" i="3"/>
  <c r="J40" i="3"/>
  <c r="R40" i="3"/>
  <c r="AB40" i="3"/>
  <c r="P39" i="3"/>
  <c r="O38" i="3"/>
  <c r="Y38" i="3"/>
  <c r="I38" i="3"/>
  <c r="Q38" i="3"/>
  <c r="AA38" i="3"/>
  <c r="K38" i="3"/>
  <c r="S38" i="3"/>
  <c r="L38" i="3"/>
  <c r="U38" i="3"/>
  <c r="O37" i="3"/>
  <c r="I36" i="3"/>
  <c r="Q36" i="3"/>
  <c r="AA36" i="3"/>
  <c r="K36" i="3"/>
  <c r="S36" i="3"/>
  <c r="M36" i="3"/>
  <c r="N36" i="3"/>
  <c r="O35" i="3"/>
  <c r="O33" i="3"/>
  <c r="J17" i="3"/>
  <c r="Y9" i="3"/>
  <c r="M22" i="3"/>
  <c r="U19" i="3"/>
  <c r="L19" i="3"/>
  <c r="M14" i="3"/>
  <c r="U11" i="3"/>
  <c r="L11" i="3"/>
  <c r="M6" i="3"/>
  <c r="U3" i="3"/>
  <c r="L3" i="3"/>
  <c r="M33" i="3"/>
  <c r="AB32" i="3"/>
  <c r="R32" i="3"/>
  <c r="J32" i="3"/>
  <c r="AA29" i="3"/>
  <c r="Q29" i="3"/>
  <c r="I29" i="3"/>
  <c r="M25" i="3"/>
  <c r="AB24" i="3"/>
  <c r="R24" i="3"/>
  <c r="J24" i="3"/>
  <c r="Y23" i="3"/>
  <c r="O23" i="3"/>
  <c r="U22" i="3"/>
  <c r="L22" i="3"/>
  <c r="AA21" i="3"/>
  <c r="Q21" i="3"/>
  <c r="I21" i="3"/>
  <c r="S19" i="3"/>
  <c r="K19" i="3"/>
  <c r="M17" i="3"/>
  <c r="AB16" i="3"/>
  <c r="AD16" i="3" s="1"/>
  <c r="R16" i="3"/>
  <c r="J16" i="3"/>
  <c r="Y15" i="3"/>
  <c r="O15" i="3"/>
  <c r="U14" i="3"/>
  <c r="L14" i="3"/>
  <c r="AA13" i="3"/>
  <c r="Q13" i="3"/>
  <c r="I13" i="3"/>
  <c r="S11" i="3"/>
  <c r="K11" i="3"/>
  <c r="M9" i="3"/>
  <c r="AB8" i="3"/>
  <c r="R8" i="3"/>
  <c r="O7" i="3"/>
  <c r="U6" i="3"/>
  <c r="L6" i="3"/>
  <c r="AA5" i="3"/>
  <c r="Q5" i="3"/>
  <c r="I5" i="3"/>
  <c r="S3" i="3"/>
  <c r="K3" i="3"/>
  <c r="U33" i="3"/>
  <c r="L33" i="3"/>
  <c r="AA32" i="3"/>
  <c r="Q32" i="3"/>
  <c r="I32" i="3"/>
  <c r="Z29" i="3"/>
  <c r="P29" i="3"/>
  <c r="U25" i="3"/>
  <c r="L25" i="3"/>
  <c r="AA24" i="3"/>
  <c r="Q24" i="3"/>
  <c r="I24" i="3"/>
  <c r="N23" i="3"/>
  <c r="S22" i="3"/>
  <c r="K22" i="3"/>
  <c r="Z21" i="3"/>
  <c r="P21" i="3"/>
  <c r="AB19" i="3"/>
  <c r="R19" i="3"/>
  <c r="Y18" i="3"/>
  <c r="O18" i="3"/>
  <c r="U17" i="3"/>
  <c r="L17" i="3"/>
  <c r="AA16" i="3"/>
  <c r="AC16" i="3" s="1"/>
  <c r="Q16" i="3"/>
  <c r="I16" i="3"/>
  <c r="N15" i="3"/>
  <c r="S14" i="3"/>
  <c r="K14" i="3"/>
  <c r="Z13" i="3"/>
  <c r="P13" i="3"/>
  <c r="AB11" i="3"/>
  <c r="R11" i="3"/>
  <c r="Y10" i="3"/>
  <c r="O10" i="3"/>
  <c r="L9" i="3"/>
  <c r="AA8" i="3"/>
  <c r="Q8" i="3"/>
  <c r="I8" i="3"/>
  <c r="N7" i="3"/>
  <c r="S6" i="3"/>
  <c r="K6" i="3"/>
  <c r="Z5" i="3"/>
  <c r="P5" i="3"/>
  <c r="AB3" i="3"/>
  <c r="R3" i="3"/>
  <c r="J3" i="3"/>
  <c r="M23" i="3"/>
  <c r="AB22" i="3"/>
  <c r="R22" i="3"/>
  <c r="J22" i="3"/>
  <c r="AA19" i="3"/>
  <c r="Q19" i="3"/>
  <c r="I19" i="3"/>
  <c r="M15" i="3"/>
  <c r="AB14" i="3"/>
  <c r="R14" i="3"/>
  <c r="J14" i="3"/>
  <c r="AA11" i="3"/>
  <c r="Q11" i="3"/>
  <c r="I11" i="3"/>
  <c r="M7" i="3"/>
  <c r="AB6" i="3"/>
  <c r="R6" i="3"/>
  <c r="J6" i="3"/>
  <c r="AA3" i="3"/>
  <c r="Q3" i="3"/>
  <c r="I3" i="3"/>
  <c r="AB33" i="3"/>
  <c r="R33" i="3"/>
  <c r="Y32" i="3"/>
  <c r="O32" i="3"/>
  <c r="AB25" i="3"/>
  <c r="R25" i="3"/>
  <c r="Y24" i="3"/>
  <c r="O24" i="3"/>
  <c r="U23" i="3"/>
  <c r="L23" i="3"/>
  <c r="AA22" i="3"/>
  <c r="Q22" i="3"/>
  <c r="I22" i="3"/>
  <c r="N21" i="3"/>
  <c r="Z19" i="3"/>
  <c r="P19" i="3"/>
  <c r="AB17" i="3"/>
  <c r="R17" i="3"/>
  <c r="Y16" i="3"/>
  <c r="O16" i="3"/>
  <c r="U15" i="3"/>
  <c r="L15" i="3"/>
  <c r="AA14" i="3"/>
  <c r="Q14" i="3"/>
  <c r="I14" i="3"/>
  <c r="N13" i="3"/>
  <c r="Z11" i="3"/>
  <c r="P11" i="3"/>
  <c r="AB9" i="3"/>
  <c r="R9" i="3"/>
  <c r="Y8" i="3"/>
  <c r="O8" i="3"/>
  <c r="L7" i="3"/>
  <c r="AA6" i="3"/>
  <c r="Q6" i="3"/>
  <c r="I6" i="3"/>
  <c r="N5" i="3"/>
  <c r="Z3" i="3"/>
  <c r="P3" i="3"/>
  <c r="U29" i="3"/>
  <c r="AB23" i="3"/>
  <c r="R23" i="3"/>
  <c r="Y22" i="3"/>
  <c r="U21" i="3"/>
  <c r="AB15" i="3"/>
  <c r="AD15" i="3" s="1"/>
  <c r="R15" i="3"/>
  <c r="Y14" i="3"/>
  <c r="U13" i="3"/>
  <c r="AB7" i="3"/>
  <c r="R7" i="3"/>
  <c r="Y6" i="3"/>
  <c r="U5" i="3"/>
  <c r="AD328" i="3" l="1"/>
  <c r="AC24" i="3"/>
  <c r="AC84" i="3"/>
  <c r="AC334" i="3"/>
  <c r="AD23" i="3"/>
  <c r="AD383" i="3"/>
  <c r="AC358" i="3"/>
  <c r="AD221" i="3"/>
  <c r="AC269" i="3"/>
  <c r="AC18" i="6"/>
  <c r="AD72" i="3"/>
  <c r="AC327" i="3"/>
  <c r="AD322" i="3"/>
  <c r="AD47" i="3"/>
  <c r="AC110" i="6"/>
  <c r="AC410" i="6"/>
  <c r="AD338" i="3"/>
  <c r="AD358" i="3"/>
  <c r="AC18" i="3"/>
  <c r="AD334" i="3"/>
  <c r="AC130" i="3"/>
  <c r="AC379" i="3"/>
  <c r="AD160" i="3"/>
  <c r="AD226" i="3"/>
  <c r="AC335" i="3"/>
  <c r="AD335" i="3"/>
  <c r="AC352" i="3"/>
  <c r="AD269" i="3"/>
  <c r="AC50" i="6"/>
  <c r="AC66" i="3"/>
  <c r="AC222" i="3"/>
  <c r="AD109" i="3"/>
  <c r="AD146" i="6"/>
  <c r="AD365" i="3"/>
  <c r="AC319" i="3"/>
  <c r="AC34" i="3"/>
  <c r="AC12" i="3"/>
  <c r="AD332" i="3"/>
  <c r="AD124" i="3"/>
  <c r="AD142" i="6"/>
  <c r="AD82" i="3"/>
  <c r="AD352" i="3"/>
  <c r="AD139" i="3"/>
  <c r="AD172" i="3"/>
  <c r="AC389" i="3"/>
  <c r="AC172" i="3"/>
  <c r="AD366" i="6"/>
  <c r="AD22" i="3"/>
  <c r="AC198" i="3"/>
  <c r="AD342" i="3"/>
  <c r="AC265" i="3"/>
  <c r="AC342" i="3"/>
  <c r="AD53" i="3"/>
  <c r="AD265" i="3"/>
  <c r="AD364" i="3"/>
  <c r="AC110" i="3"/>
  <c r="AD96" i="3"/>
  <c r="AC297" i="3"/>
  <c r="AC409" i="6"/>
  <c r="AC101" i="6"/>
  <c r="AD269" i="6"/>
  <c r="AD335" i="6"/>
  <c r="AC154" i="3"/>
  <c r="AD8" i="6"/>
  <c r="AC197" i="3"/>
  <c r="AC357" i="3"/>
  <c r="AC26" i="3"/>
  <c r="AD49" i="6"/>
  <c r="AC95" i="3"/>
  <c r="AC152" i="3"/>
  <c r="AC54" i="3"/>
  <c r="AC234" i="3"/>
  <c r="AC284" i="3"/>
  <c r="AC345" i="3"/>
  <c r="AD44" i="6"/>
  <c r="AC81" i="3"/>
  <c r="AC56" i="3"/>
  <c r="AD94" i="3"/>
  <c r="AC164" i="3"/>
  <c r="AC223" i="3"/>
  <c r="AC370" i="3"/>
  <c r="AC329" i="3"/>
  <c r="AC342" i="6"/>
  <c r="AD242" i="3"/>
  <c r="AD379" i="3"/>
  <c r="AD65" i="6"/>
  <c r="AD412" i="6"/>
  <c r="AC354" i="3"/>
  <c r="AC44" i="3"/>
  <c r="AC42" i="3"/>
  <c r="AC46" i="3"/>
  <c r="AC31" i="3"/>
  <c r="AD161" i="3"/>
  <c r="AD215" i="3"/>
  <c r="AC251" i="3"/>
  <c r="AC247" i="3"/>
  <c r="AD268" i="3"/>
  <c r="AC102" i="6"/>
  <c r="AD303" i="6"/>
  <c r="AD279" i="6"/>
  <c r="AD110" i="3"/>
  <c r="AC371" i="3"/>
  <c r="AC160" i="6"/>
  <c r="AC274" i="3"/>
  <c r="AC317" i="3"/>
  <c r="AC341" i="3"/>
  <c r="AC157" i="6"/>
  <c r="AC143" i="3"/>
  <c r="AC94" i="3"/>
  <c r="AC196" i="3"/>
  <c r="AD134" i="6"/>
  <c r="AD411" i="6"/>
  <c r="AC158" i="3"/>
  <c r="AC159" i="3"/>
  <c r="AD217" i="3"/>
  <c r="AC119" i="3"/>
  <c r="AC33" i="3"/>
  <c r="AD44" i="3"/>
  <c r="AC99" i="3"/>
  <c r="AC57" i="3"/>
  <c r="AC135" i="3"/>
  <c r="AC214" i="3"/>
  <c r="AC290" i="3"/>
  <c r="AC373" i="3"/>
  <c r="AD257" i="3"/>
  <c r="AC314" i="3"/>
  <c r="AC364" i="6"/>
  <c r="AC319" i="6"/>
  <c r="AD319" i="6"/>
  <c r="AC338" i="6"/>
  <c r="AD397" i="6"/>
  <c r="AD41" i="6"/>
  <c r="AD15" i="6"/>
  <c r="AD257" i="6"/>
  <c r="AD202" i="6"/>
  <c r="AC40" i="3"/>
  <c r="AD40" i="3"/>
  <c r="AD6" i="3"/>
  <c r="AC6" i="3"/>
  <c r="AD11" i="3"/>
  <c r="AC60" i="3"/>
  <c r="AD133" i="3"/>
  <c r="AC280" i="3"/>
  <c r="AD293" i="3"/>
  <c r="AC380" i="3"/>
  <c r="AC227" i="6"/>
  <c r="AD198" i="6"/>
  <c r="AD410" i="6"/>
  <c r="AC242" i="6"/>
  <c r="AC370" i="6"/>
  <c r="AC312" i="6"/>
  <c r="AD312" i="6"/>
  <c r="AD95" i="3"/>
  <c r="AD114" i="3"/>
  <c r="AD197" i="3"/>
  <c r="AD176" i="3"/>
  <c r="AD205" i="3"/>
  <c r="AC266" i="3"/>
  <c r="AC291" i="3"/>
  <c r="AC227" i="3"/>
  <c r="AC257" i="3"/>
  <c r="AD243" i="3"/>
  <c r="AD49" i="3"/>
  <c r="AC382" i="3"/>
  <c r="AC32" i="3"/>
  <c r="AC106" i="3"/>
  <c r="AD112" i="3"/>
  <c r="AD195" i="3"/>
  <c r="AC293" i="3"/>
  <c r="AD396" i="3"/>
  <c r="AC196" i="6"/>
  <c r="AD148" i="3"/>
  <c r="AD336" i="3"/>
  <c r="AD405" i="3"/>
  <c r="AC94" i="6"/>
  <c r="AD73" i="6"/>
  <c r="AC379" i="6"/>
  <c r="AD146" i="3"/>
  <c r="AD137" i="3"/>
  <c r="AC155" i="3"/>
  <c r="AD233" i="3"/>
  <c r="AC375" i="3"/>
  <c r="AC160" i="3"/>
  <c r="AC226" i="3"/>
  <c r="AC242" i="3"/>
  <c r="AC213" i="3"/>
  <c r="AD284" i="3"/>
  <c r="AC321" i="3"/>
  <c r="AC353" i="3"/>
  <c r="AC400" i="3"/>
  <c r="AC218" i="3"/>
  <c r="AC315" i="3"/>
  <c r="AC133" i="3"/>
  <c r="AC323" i="3"/>
  <c r="AC404" i="3"/>
  <c r="AC406" i="3"/>
  <c r="AD344" i="3"/>
  <c r="AC322" i="3"/>
  <c r="AC362" i="3"/>
  <c r="AD398" i="3"/>
  <c r="AC350" i="3"/>
  <c r="AD273" i="6"/>
  <c r="AC357" i="6"/>
  <c r="AD106" i="3"/>
  <c r="AD34" i="3"/>
  <c r="AD52" i="3"/>
  <c r="AC76" i="3"/>
  <c r="AD331" i="3"/>
  <c r="AC374" i="3"/>
  <c r="AD32" i="3"/>
  <c r="AC49" i="3"/>
  <c r="AC146" i="3"/>
  <c r="AC202" i="3"/>
  <c r="AC8" i="3"/>
  <c r="AD117" i="3"/>
  <c r="AC281" i="3"/>
  <c r="AD76" i="3"/>
  <c r="AD406" i="6"/>
  <c r="AC130" i="6"/>
  <c r="AC407" i="3"/>
  <c r="AD55" i="3"/>
  <c r="AC29" i="3"/>
  <c r="AD245" i="3"/>
  <c r="AD286" i="3"/>
  <c r="AD380" i="3"/>
  <c r="AC96" i="3"/>
  <c r="AD407" i="3"/>
  <c r="AC5" i="3"/>
  <c r="AD202" i="3"/>
  <c r="AD264" i="3"/>
  <c r="AD8" i="3"/>
  <c r="AC112" i="3"/>
  <c r="AD192" i="3"/>
  <c r="AC250" i="3"/>
  <c r="AC26" i="6"/>
  <c r="AD350" i="3"/>
  <c r="AD249" i="3"/>
  <c r="AC365" i="3"/>
  <c r="AD368" i="3"/>
  <c r="AC384" i="3"/>
  <c r="AD80" i="3"/>
  <c r="AC392" i="3"/>
  <c r="AC23" i="3"/>
  <c r="AD136" i="3"/>
  <c r="AD218" i="3"/>
  <c r="AD376" i="3"/>
  <c r="AD66" i="3"/>
  <c r="AC107" i="3"/>
  <c r="AC228" i="3"/>
  <c r="AD395" i="3"/>
  <c r="AD341" i="6"/>
  <c r="AD407" i="6"/>
  <c r="AC411" i="6"/>
  <c r="AC403" i="3"/>
  <c r="AC41" i="3"/>
  <c r="AD7" i="3"/>
  <c r="AC53" i="3"/>
  <c r="AC111" i="3"/>
  <c r="AD256" i="3"/>
  <c r="AD292" i="3"/>
  <c r="AC309" i="3"/>
  <c r="AC368" i="3"/>
  <c r="AC243" i="6"/>
  <c r="AC407" i="6"/>
  <c r="AD106" i="6"/>
  <c r="AC201" i="6"/>
  <c r="AD409" i="6"/>
  <c r="AC274" i="6"/>
  <c r="AD185" i="6"/>
  <c r="AD135" i="6"/>
  <c r="AC101" i="3"/>
  <c r="AD289" i="3"/>
  <c r="AC356" i="6"/>
  <c r="AC179" i="3"/>
  <c r="AD24" i="3"/>
  <c r="AC303" i="3"/>
  <c r="AD367" i="3"/>
  <c r="AD90" i="3"/>
  <c r="AC395" i="3"/>
  <c r="AD166" i="3"/>
  <c r="AD107" i="6"/>
  <c r="AC403" i="6"/>
  <c r="AD338" i="6"/>
  <c r="AD84" i="3"/>
  <c r="AC170" i="3"/>
  <c r="AD14" i="3"/>
  <c r="AD46" i="3"/>
  <c r="AD78" i="3"/>
  <c r="AD147" i="3"/>
  <c r="AC157" i="3"/>
  <c r="AD228" i="3"/>
  <c r="AC369" i="3"/>
  <c r="AD411" i="3"/>
  <c r="AD409" i="3"/>
  <c r="AD361" i="3"/>
  <c r="AD383" i="6"/>
  <c r="AD43" i="3"/>
  <c r="AC356" i="3"/>
  <c r="AD4" i="3"/>
  <c r="AC102" i="3"/>
  <c r="AC123" i="3"/>
  <c r="AC115" i="3"/>
  <c r="AC103" i="3"/>
  <c r="AC131" i="3"/>
  <c r="AC134" i="3"/>
  <c r="AD208" i="3"/>
  <c r="AC231" i="3"/>
  <c r="AD287" i="3"/>
  <c r="AD154" i="3"/>
  <c r="AD170" i="3"/>
  <c r="AC14" i="3"/>
  <c r="AD85" i="3"/>
  <c r="AC89" i="3"/>
  <c r="AD140" i="3"/>
  <c r="AC175" i="3"/>
  <c r="AC183" i="3"/>
  <c r="AD381" i="3"/>
  <c r="AC381" i="3"/>
  <c r="AC109" i="3"/>
  <c r="AD354" i="6"/>
  <c r="AD379" i="6"/>
  <c r="AD308" i="6"/>
  <c r="AD130" i="3"/>
  <c r="AD57" i="3"/>
  <c r="AC322" i="6"/>
  <c r="AD363" i="6"/>
  <c r="AD320" i="6"/>
  <c r="AD66" i="6"/>
  <c r="AD55" i="6"/>
  <c r="AD47" i="6"/>
  <c r="AC23" i="6"/>
  <c r="AC100" i="6"/>
  <c r="AC408" i="6"/>
  <c r="AD243" i="6"/>
  <c r="AC36" i="3"/>
  <c r="AD288" i="3"/>
  <c r="AC285" i="3"/>
  <c r="AC187" i="3"/>
  <c r="AD194" i="3"/>
  <c r="AC11" i="3"/>
  <c r="AC21" i="3"/>
  <c r="AC35" i="3"/>
  <c r="AD87" i="3"/>
  <c r="AC120" i="3"/>
  <c r="AC136" i="3"/>
  <c r="AC201" i="3"/>
  <c r="AC156" i="3"/>
  <c r="AD189" i="3"/>
  <c r="AC168" i="3"/>
  <c r="AC302" i="3"/>
  <c r="AD314" i="3"/>
  <c r="AC324" i="6"/>
  <c r="AC34" i="6"/>
  <c r="AC226" i="6"/>
  <c r="AC341" i="6"/>
  <c r="AD342" i="6"/>
  <c r="AD325" i="6"/>
  <c r="AD255" i="6"/>
  <c r="AC314" i="6"/>
  <c r="AC24" i="6"/>
  <c r="AC143" i="6"/>
  <c r="AC292" i="6"/>
  <c r="AC284" i="6"/>
  <c r="AD76" i="6"/>
  <c r="AD115" i="6"/>
  <c r="AC49" i="6"/>
  <c r="AC182" i="6"/>
  <c r="AC6" i="6"/>
  <c r="AC406" i="6"/>
  <c r="AD357" i="6"/>
  <c r="AD224" i="3"/>
  <c r="AD368" i="6"/>
  <c r="AC391" i="3"/>
  <c r="AC388" i="6"/>
  <c r="AC247" i="6"/>
  <c r="AD186" i="3"/>
  <c r="AD14" i="6"/>
  <c r="AC170" i="6"/>
  <c r="AC255" i="3"/>
  <c r="AD174" i="6"/>
  <c r="AC44" i="6"/>
  <c r="AD246" i="6"/>
  <c r="AC412" i="6"/>
  <c r="AC380" i="6"/>
  <c r="AC387" i="3"/>
  <c r="AD141" i="3"/>
  <c r="AC186" i="3"/>
  <c r="AD198" i="3"/>
  <c r="AD347" i="3"/>
  <c r="AC294" i="3"/>
  <c r="AD410" i="3"/>
  <c r="AD100" i="6"/>
  <c r="AD138" i="6"/>
  <c r="AC329" i="6"/>
  <c r="AC214" i="6"/>
  <c r="AC352" i="6"/>
  <c r="AC197" i="6"/>
  <c r="AC16" i="6"/>
  <c r="AD157" i="6"/>
  <c r="AC303" i="6"/>
  <c r="AD289" i="6"/>
  <c r="AD169" i="6"/>
  <c r="AC279" i="6"/>
  <c r="AC89" i="6"/>
  <c r="AC14" i="6"/>
  <c r="AD285" i="6"/>
  <c r="AD324" i="6"/>
  <c r="AC3" i="3"/>
  <c r="AC65" i="3"/>
  <c r="AD125" i="3"/>
  <c r="AD12" i="3"/>
  <c r="AD123" i="3"/>
  <c r="AD79" i="3"/>
  <c r="AC118" i="3"/>
  <c r="AD214" i="3"/>
  <c r="AD168" i="3"/>
  <c r="AD247" i="3"/>
  <c r="AC221" i="3"/>
  <c r="AD209" i="3"/>
  <c r="AC326" i="3"/>
  <c r="AC366" i="3"/>
  <c r="AC401" i="3"/>
  <c r="AC165" i="3"/>
  <c r="AC396" i="3"/>
  <c r="AC410" i="3"/>
  <c r="AD389" i="3"/>
  <c r="AD391" i="3"/>
  <c r="AC397" i="6"/>
  <c r="AC366" i="6"/>
  <c r="AC302" i="6"/>
  <c r="AC294" i="6"/>
  <c r="AD226" i="6"/>
  <c r="AC285" i="6"/>
  <c r="AC186" i="6"/>
  <c r="AC138" i="6"/>
  <c r="AC55" i="6"/>
  <c r="AD110" i="6"/>
  <c r="AC65" i="6"/>
  <c r="AC134" i="6"/>
  <c r="AC32" i="6"/>
  <c r="AC8" i="6"/>
  <c r="AC95" i="6"/>
  <c r="AC335" i="6"/>
  <c r="AD217" i="6"/>
  <c r="AD161" i="6"/>
  <c r="AC345" i="6"/>
  <c r="AC123" i="6"/>
  <c r="AD9" i="3"/>
  <c r="AD149" i="3"/>
  <c r="AD120" i="3"/>
  <c r="AD132" i="3"/>
  <c r="AC210" i="3"/>
  <c r="AC235" i="3"/>
  <c r="AD272" i="3"/>
  <c r="AD241" i="3"/>
  <c r="AD294" i="3"/>
  <c r="AC188" i="3"/>
  <c r="AC349" i="3"/>
  <c r="AD359" i="3"/>
  <c r="AD366" i="3"/>
  <c r="AC378" i="3"/>
  <c r="AD343" i="3"/>
  <c r="AD372" i="3"/>
  <c r="AC195" i="3"/>
  <c r="AD402" i="3"/>
  <c r="AD261" i="3"/>
  <c r="AD322" i="6"/>
  <c r="AD227" i="6"/>
  <c r="AC354" i="6"/>
  <c r="AC363" i="6"/>
  <c r="AD328" i="6"/>
  <c r="AC230" i="3"/>
  <c r="AD285" i="3"/>
  <c r="AC269" i="6"/>
  <c r="AD268" i="6"/>
  <c r="AD138" i="3"/>
  <c r="AD143" i="6"/>
  <c r="AD63" i="6"/>
  <c r="AC135" i="6"/>
  <c r="AC174" i="3"/>
  <c r="AD408" i="6"/>
  <c r="AD160" i="6"/>
  <c r="AD33" i="3"/>
  <c r="AC50" i="3"/>
  <c r="AC62" i="3"/>
  <c r="AC138" i="3"/>
  <c r="AD204" i="3"/>
  <c r="AD302" i="3"/>
  <c r="AD270" i="3"/>
  <c r="AD387" i="3"/>
  <c r="AC343" i="3"/>
  <c r="AC15" i="6"/>
  <c r="AC84" i="6"/>
  <c r="AD29" i="6"/>
  <c r="AD364" i="6"/>
  <c r="AD242" i="6"/>
  <c r="AD320" i="3"/>
  <c r="AD317" i="6"/>
  <c r="AC368" i="6"/>
  <c r="AC223" i="6"/>
  <c r="AD130" i="6"/>
  <c r="AD58" i="6"/>
  <c r="AC40" i="6"/>
  <c r="AD26" i="6"/>
  <c r="AD53" i="6"/>
  <c r="AC146" i="6"/>
  <c r="AD297" i="6"/>
  <c r="AD182" i="6"/>
  <c r="AC81" i="6"/>
  <c r="AC246" i="6"/>
  <c r="AC39" i="6"/>
  <c r="AD75" i="3"/>
  <c r="AC100" i="3"/>
  <c r="AC137" i="3"/>
  <c r="AD213" i="3"/>
  <c r="AC325" i="3"/>
  <c r="AD321" i="3"/>
  <c r="AD337" i="3"/>
  <c r="AC363" i="3"/>
  <c r="AD353" i="3"/>
  <c r="AC398" i="3"/>
  <c r="AD126" i="3"/>
  <c r="AC74" i="3"/>
  <c r="AD6" i="6"/>
  <c r="AC39" i="3"/>
  <c r="AD222" i="6"/>
  <c r="AD230" i="3"/>
  <c r="AD318" i="3"/>
  <c r="AD18" i="3"/>
  <c r="AD174" i="3"/>
  <c r="AD227" i="3"/>
  <c r="AC76" i="6"/>
  <c r="AD352" i="6"/>
  <c r="AD186" i="6"/>
  <c r="AD39" i="6"/>
  <c r="AD100" i="3"/>
  <c r="AD34" i="6"/>
  <c r="AD222" i="3"/>
  <c r="AC129" i="3"/>
  <c r="AC225" i="3"/>
  <c r="AC276" i="3"/>
  <c r="AC277" i="3"/>
  <c r="AC184" i="3"/>
  <c r="AC339" i="3"/>
  <c r="AC304" i="3"/>
  <c r="AC346" i="3"/>
  <c r="AD300" i="3"/>
  <c r="AC308" i="3"/>
  <c r="AD400" i="3"/>
  <c r="AC105" i="3"/>
  <c r="AC237" i="3"/>
  <c r="AC313" i="3"/>
  <c r="AC305" i="3"/>
  <c r="AC122" i="3"/>
  <c r="AD162" i="3"/>
  <c r="AC176" i="3"/>
  <c r="AC254" i="3"/>
  <c r="AC20" i="3"/>
  <c r="AD219" i="3"/>
  <c r="AD59" i="3"/>
  <c r="AD399" i="3"/>
  <c r="AC80" i="3"/>
  <c r="AD314" i="6"/>
  <c r="AC338" i="3"/>
  <c r="AC55" i="3"/>
  <c r="AC15" i="3"/>
  <c r="AD302" i="6"/>
  <c r="AD16" i="6"/>
  <c r="AC37" i="3"/>
  <c r="AC48" i="3"/>
  <c r="AC17" i="3"/>
  <c r="AD81" i="3"/>
  <c r="AC150" i="3"/>
  <c r="AC169" i="3"/>
  <c r="AC86" i="3"/>
  <c r="AD283" i="3"/>
  <c r="AD351" i="3"/>
  <c r="AD92" i="3"/>
  <c r="AD28" i="3"/>
  <c r="AD273" i="3"/>
  <c r="AC243" i="3"/>
  <c r="AC107" i="6"/>
  <c r="AC47" i="6"/>
  <c r="AD294" i="6"/>
  <c r="AD84" i="6"/>
  <c r="AD107" i="3"/>
  <c r="AD40" i="6"/>
  <c r="AC25" i="3"/>
  <c r="AC216" i="3"/>
  <c r="AC173" i="3"/>
  <c r="AC38" i="3"/>
  <c r="AD51" i="3"/>
  <c r="AC385" i="3"/>
  <c r="AC92" i="3"/>
  <c r="AD255" i="3"/>
  <c r="AC222" i="6"/>
  <c r="AD391" i="6"/>
  <c r="AC391" i="6"/>
  <c r="AD41" i="3"/>
  <c r="AC47" i="3"/>
  <c r="AD32" i="6"/>
  <c r="AD56" i="3"/>
  <c r="AD131" i="3"/>
  <c r="AC114" i="3"/>
  <c r="AD89" i="3"/>
  <c r="AD145" i="3"/>
  <c r="AD134" i="3"/>
  <c r="AD181" i="3"/>
  <c r="AD164" i="3"/>
  <c r="AD223" i="3"/>
  <c r="AD253" i="3"/>
  <c r="AC236" i="3"/>
  <c r="AC252" i="3"/>
  <c r="AC320" i="3"/>
  <c r="AC209" i="3"/>
  <c r="AD238" i="3"/>
  <c r="AC292" i="3"/>
  <c r="AC301" i="3"/>
  <c r="AD346" i="3"/>
  <c r="AD403" i="3"/>
  <c r="AC310" i="3"/>
  <c r="AD297" i="3"/>
  <c r="AD388" i="6"/>
  <c r="AC198" i="6"/>
  <c r="AD24" i="6"/>
  <c r="AC116" i="3"/>
  <c r="AD296" i="3"/>
  <c r="AC333" i="3"/>
  <c r="AC272" i="3"/>
  <c r="AC307" i="3"/>
  <c r="AD38" i="3"/>
  <c r="AC383" i="6"/>
  <c r="AC230" i="6"/>
  <c r="AD23" i="6"/>
  <c r="AC255" i="6"/>
  <c r="AD230" i="6"/>
  <c r="AC174" i="6"/>
  <c r="AC30" i="3"/>
  <c r="AC71" i="3"/>
  <c r="AC104" i="3"/>
  <c r="AC181" i="3"/>
  <c r="AC177" i="3"/>
  <c r="AC206" i="3"/>
  <c r="AC253" i="3"/>
  <c r="AC262" i="3"/>
  <c r="AC211" i="3"/>
  <c r="AD393" i="3"/>
  <c r="AC376" i="3"/>
  <c r="AC88" i="3"/>
  <c r="AC9" i="3"/>
  <c r="AD30" i="3"/>
  <c r="AC121" i="3"/>
  <c r="AC79" i="3"/>
  <c r="AD103" i="3"/>
  <c r="AC141" i="3"/>
  <c r="AC125" i="3"/>
  <c r="AC185" i="3"/>
  <c r="AD231" i="3"/>
  <c r="AC212" i="3"/>
  <c r="AD239" i="3"/>
  <c r="AC241" i="3"/>
  <c r="AD369" i="3"/>
  <c r="AD363" i="3"/>
  <c r="AC306" i="3"/>
  <c r="AD67" i="3"/>
  <c r="AD180" i="3"/>
  <c r="AC147" i="3"/>
  <c r="AC153" i="3"/>
  <c r="AC267" i="3"/>
  <c r="AD315" i="3"/>
  <c r="AC283" i="3"/>
  <c r="AC393" i="3"/>
  <c r="AD360" i="3"/>
  <c r="AD178" i="3"/>
  <c r="AD246" i="3"/>
  <c r="AD394" i="3"/>
  <c r="AD61" i="3"/>
  <c r="AC399" i="3"/>
  <c r="AC330" i="3"/>
  <c r="AD62" i="3"/>
  <c r="AC51" i="3"/>
  <c r="AC70" i="3"/>
  <c r="AC191" i="3"/>
  <c r="AC199" i="3"/>
  <c r="AC145" i="3"/>
  <c r="AD190" i="3"/>
  <c r="AD298" i="3"/>
  <c r="AD211" i="3"/>
  <c r="AC93" i="3"/>
  <c r="AD171" i="3"/>
  <c r="AD357" i="3"/>
  <c r="AC85" i="3"/>
  <c r="AD35" i="3"/>
  <c r="AC180" i="3"/>
  <c r="AC258" i="3"/>
  <c r="AC190" i="3"/>
  <c r="AD229" i="3"/>
  <c r="AC402" i="3"/>
  <c r="AC248" i="3"/>
  <c r="AC412" i="3"/>
  <c r="AD27" i="3"/>
  <c r="AC238" i="3"/>
  <c r="AC359" i="3"/>
  <c r="AC360" i="3"/>
  <c r="AD390" i="3"/>
  <c r="AD330" i="3"/>
  <c r="AD150" i="3"/>
  <c r="AD54" i="3"/>
  <c r="AD86" i="3"/>
  <c r="AD70" i="3"/>
  <c r="AD121" i="3"/>
  <c r="AC151" i="3"/>
  <c r="AD184" i="3"/>
  <c r="AD152" i="3"/>
  <c r="AD187" i="3"/>
  <c r="AC144" i="3"/>
  <c r="AD248" i="3"/>
  <c r="AD236" i="3"/>
  <c r="AD252" i="3"/>
  <c r="AC337" i="3"/>
  <c r="AD301" i="3"/>
  <c r="AC300" i="3"/>
  <c r="AD259" i="3"/>
  <c r="AD392" i="3"/>
  <c r="AC316" i="3"/>
  <c r="AC355" i="3"/>
  <c r="AC78" i="3"/>
  <c r="AD83" i="3"/>
  <c r="AD88" i="3"/>
  <c r="AD177" i="3"/>
  <c r="AD309" i="3"/>
  <c r="AC367" i="3"/>
  <c r="AD377" i="3"/>
  <c r="AC409" i="3"/>
  <c r="AD158" i="3"/>
  <c r="AD232" i="3"/>
  <c r="AD317" i="3"/>
  <c r="AC219" i="3"/>
  <c r="AD362" i="3"/>
  <c r="AC245" i="3"/>
  <c r="AD135" i="3"/>
  <c r="AD26" i="3"/>
  <c r="AD185" i="3"/>
  <c r="AC263" i="3"/>
  <c r="AD25" i="3"/>
  <c r="AD3" i="3"/>
  <c r="AC13" i="3"/>
  <c r="AD48" i="3"/>
  <c r="AC64" i="3"/>
  <c r="AC68" i="3"/>
  <c r="AD68" i="3"/>
  <c r="AC97" i="3"/>
  <c r="AD101" i="3"/>
  <c r="AC69" i="3"/>
  <c r="AC149" i="3"/>
  <c r="AC128" i="3"/>
  <c r="AD201" i="3"/>
  <c r="AD173" i="3"/>
  <c r="AD155" i="3"/>
  <c r="AD207" i="3"/>
  <c r="AC193" i="3"/>
  <c r="AD225" i="3"/>
  <c r="AC240" i="3"/>
  <c r="AD234" i="3"/>
  <c r="AC295" i="3"/>
  <c r="AC288" i="3"/>
  <c r="AD295" i="3"/>
  <c r="AC278" i="3"/>
  <c r="AD278" i="3"/>
  <c r="AC282" i="3"/>
  <c r="AD339" i="3"/>
  <c r="AD304" i="3"/>
  <c r="AD382" i="3"/>
  <c r="AD384" i="3"/>
  <c r="AC139" i="3"/>
  <c r="AD310" i="3"/>
  <c r="AD373" i="3"/>
  <c r="AD412" i="3"/>
  <c r="AC372" i="3"/>
  <c r="AD385" i="3"/>
  <c r="AD404" i="3"/>
  <c r="AD311" i="3"/>
  <c r="AD374" i="3"/>
  <c r="AD10" i="3"/>
  <c r="AD21" i="3"/>
  <c r="AD122" i="3"/>
  <c r="AD127" i="3"/>
  <c r="AC194" i="3"/>
  <c r="AC204" i="3"/>
  <c r="AC270" i="3"/>
  <c r="AC275" i="3"/>
  <c r="AD349" i="3"/>
  <c r="AC332" i="3"/>
  <c r="AC148" i="3"/>
  <c r="AC108" i="3"/>
  <c r="AD199" i="3"/>
  <c r="AD151" i="3"/>
  <c r="AD333" i="3"/>
  <c r="AD50" i="3"/>
  <c r="AD169" i="3"/>
  <c r="AC73" i="3"/>
  <c r="AC91" i="3"/>
  <c r="AD77" i="3"/>
  <c r="AD129" i="3"/>
  <c r="AC163" i="3"/>
  <c r="AC205" i="3"/>
  <c r="AC249" i="3"/>
  <c r="AC256" i="3"/>
  <c r="AD277" i="3"/>
  <c r="AD105" i="3"/>
  <c r="AD323" i="3"/>
  <c r="AC351" i="3"/>
  <c r="AC377" i="3"/>
  <c r="AD316" i="3"/>
  <c r="AD406" i="3"/>
  <c r="AC311" i="3"/>
  <c r="AD37" i="3"/>
  <c r="AC126" i="3"/>
  <c r="AD167" i="3"/>
  <c r="AD191" i="3"/>
  <c r="AC203" i="3"/>
  <c r="AC244" i="3"/>
  <c r="AD276" i="3"/>
  <c r="AC394" i="3"/>
  <c r="AD341" i="3"/>
  <c r="AC344" i="3"/>
  <c r="AD183" i="3"/>
  <c r="AD348" i="3"/>
  <c r="AD45" i="3"/>
  <c r="AC113" i="3"/>
  <c r="AC142" i="3"/>
  <c r="AC207" i="3"/>
  <c r="AD280" i="3"/>
  <c r="AD258" i="3"/>
  <c r="AD274" i="3"/>
  <c r="AD299" i="3"/>
  <c r="AD370" i="3"/>
  <c r="AC408" i="3"/>
  <c r="AD375" i="3"/>
  <c r="AD401" i="3"/>
  <c r="AC22" i="3"/>
  <c r="AC45" i="3"/>
  <c r="AC63" i="3"/>
  <c r="AC192" i="3"/>
  <c r="AC271" i="3"/>
  <c r="AD378" i="3"/>
  <c r="AD260" i="3"/>
  <c r="AC117" i="3"/>
  <c r="AD142" i="3"/>
  <c r="AD102" i="3"/>
  <c r="AD115" i="3"/>
  <c r="AD63" i="3"/>
  <c r="AD340" i="3"/>
  <c r="AD74" i="3"/>
  <c r="AD386" i="3"/>
  <c r="AD237" i="3"/>
  <c r="AC27" i="3"/>
  <c r="AD64" i="3"/>
  <c r="AD31" i="3"/>
  <c r="AD71" i="3"/>
  <c r="AC67" i="3"/>
  <c r="AC98" i="3"/>
  <c r="AC72" i="3"/>
  <c r="AD104" i="3"/>
  <c r="AD128" i="3"/>
  <c r="AD156" i="3"/>
  <c r="AC217" i="3"/>
  <c r="AD144" i="3"/>
  <c r="AD163" i="3"/>
  <c r="AD206" i="3"/>
  <c r="AD250" i="3"/>
  <c r="AD179" i="3"/>
  <c r="AD210" i="3"/>
  <c r="AD266" i="3"/>
  <c r="AD263" i="3"/>
  <c r="AC220" i="3"/>
  <c r="AC239" i="3"/>
  <c r="AD305" i="3"/>
  <c r="AD313" i="3"/>
  <c r="AD188" i="3"/>
  <c r="AC299" i="3"/>
  <c r="AC260" i="3"/>
  <c r="AD329" i="3"/>
  <c r="AC296" i="3"/>
  <c r="AC390" i="3"/>
  <c r="AD371" i="3"/>
  <c r="AD5" i="3"/>
  <c r="AD13" i="3"/>
  <c r="AC59" i="3"/>
  <c r="AC162" i="3"/>
  <c r="AC178" i="3"/>
  <c r="AD244" i="3"/>
  <c r="AD271" i="3"/>
  <c r="AD275" i="3"/>
  <c r="AC318" i="3"/>
  <c r="AC340" i="3"/>
  <c r="AC348" i="3"/>
  <c r="AC140" i="3"/>
  <c r="AC289" i="3"/>
  <c r="AD235" i="3"/>
  <c r="AC166" i="3"/>
  <c r="AC386" i="3"/>
  <c r="AC224" i="3"/>
  <c r="AC261" i="3"/>
  <c r="AD159" i="3"/>
  <c r="AD143" i="3"/>
  <c r="AC61" i="3"/>
  <c r="AD29" i="3"/>
  <c r="AD20" i="3"/>
  <c r="AD36" i="3"/>
  <c r="AC58" i="3"/>
  <c r="AC75" i="3"/>
  <c r="AC77" i="3"/>
  <c r="AD113" i="3"/>
  <c r="AD93" i="3"/>
  <c r="AD69" i="3"/>
  <c r="AC167" i="3"/>
  <c r="AD118" i="3"/>
  <c r="AC233" i="3"/>
  <c r="AD193" i="3"/>
  <c r="AC232" i="3"/>
  <c r="AD240" i="3"/>
  <c r="AD212" i="3"/>
  <c r="AC264" i="3"/>
  <c r="AC286" i="3"/>
  <c r="AC331" i="3"/>
  <c r="AD326" i="3"/>
  <c r="AD307" i="3"/>
  <c r="AC259" i="3"/>
  <c r="AD291" i="3"/>
  <c r="AD267" i="3"/>
  <c r="AD355" i="3"/>
  <c r="AD165" i="3"/>
  <c r="AC10" i="3"/>
  <c r="AD42" i="3"/>
  <c r="AC52" i="3"/>
  <c r="AC82" i="3"/>
  <c r="AC336" i="3"/>
  <c r="AC405" i="3"/>
  <c r="AD99" i="3"/>
  <c r="AD216" i="3"/>
  <c r="AC171" i="3"/>
  <c r="AD196" i="3"/>
  <c r="AD116" i="3"/>
  <c r="AC90" i="3"/>
  <c r="AD73" i="3"/>
  <c r="AD17" i="3"/>
  <c r="AC19" i="3"/>
  <c r="AD19" i="3"/>
  <c r="AD60" i="3"/>
  <c r="AC83" i="3"/>
  <c r="AC87" i="3"/>
  <c r="AD111" i="3"/>
  <c r="AC127" i="3"/>
  <c r="AD97" i="3"/>
  <c r="AD98" i="3"/>
  <c r="AC161" i="3"/>
  <c r="AC200" i="3"/>
  <c r="AD153" i="3"/>
  <c r="AC189" i="3"/>
  <c r="AC215" i="3"/>
  <c r="AC132" i="3"/>
  <c r="AC208" i="3"/>
  <c r="AD290" i="3"/>
  <c r="AD220" i="3"/>
  <c r="AC298" i="3"/>
  <c r="AD254" i="3"/>
  <c r="AD281" i="3"/>
  <c r="AC268" i="3"/>
  <c r="AD282" i="3"/>
  <c r="AC287" i="3"/>
  <c r="AC229" i="3"/>
  <c r="AD262" i="3"/>
  <c r="AD345" i="3"/>
  <c r="AD408" i="3"/>
  <c r="AC347" i="3"/>
  <c r="AC361" i="3"/>
  <c r="AC4" i="3"/>
  <c r="AC7" i="3"/>
  <c r="AC28" i="3"/>
  <c r="AC43" i="3"/>
  <c r="AD175" i="3"/>
  <c r="AD200" i="3"/>
  <c r="AC246" i="3"/>
  <c r="AD251" i="3"/>
  <c r="AC411" i="3"/>
  <c r="AC124" i="3"/>
  <c r="AC273" i="3"/>
  <c r="AD91" i="3"/>
  <c r="AD325" i="3"/>
  <c r="AD306" i="3"/>
  <c r="AD119" i="3"/>
  <c r="AD308" i="3"/>
  <c r="AD108" i="3"/>
  <c r="AD58" i="3"/>
  <c r="A2" i="3"/>
  <c r="C2" i="3" l="1"/>
  <c r="U2" i="3" l="1"/>
  <c r="V2" i="3"/>
  <c r="W2" i="3"/>
  <c r="I2" i="3"/>
  <c r="Y2" i="3"/>
  <c r="P2" i="3"/>
  <c r="Z2" i="3"/>
  <c r="K2" i="3"/>
  <c r="Q2" i="3"/>
  <c r="AA2" i="3"/>
  <c r="S2" i="3"/>
  <c r="J2" i="3"/>
  <c r="R2" i="3"/>
  <c r="AB2" i="3"/>
  <c r="L2" i="3"/>
  <c r="N2" i="3"/>
  <c r="O2" i="3"/>
  <c r="M2" i="3"/>
  <c r="AD2" i="3" l="1"/>
  <c r="AC2" i="3"/>
</calcChain>
</file>

<file path=xl/sharedStrings.xml><?xml version="1.0" encoding="utf-8"?>
<sst xmlns="http://schemas.openxmlformats.org/spreadsheetml/2006/main" count="1355" uniqueCount="873">
  <si>
    <t>Profile MC CI High</t>
  </si>
  <si>
    <t>Profile MC CI Low</t>
  </si>
  <si>
    <t>Profile MC Avg</t>
  </si>
  <si>
    <t>Profile MC Median</t>
  </si>
  <si>
    <t>Median</t>
  </si>
  <si>
    <t>Average</t>
  </si>
  <si>
    <t>Profile (Avg)</t>
  </si>
  <si>
    <t>Profile 11</t>
  </si>
  <si>
    <t>Profile 10</t>
  </si>
  <si>
    <t>Profile 9</t>
  </si>
  <si>
    <t>Profile 8</t>
  </si>
  <si>
    <t>Profile 7</t>
  </si>
  <si>
    <t>Profile 6</t>
  </si>
  <si>
    <t>Profile 5</t>
  </si>
  <si>
    <t>Profile 4</t>
  </si>
  <si>
    <t>Profile 3</t>
  </si>
  <si>
    <t>Profile 2</t>
  </si>
  <si>
    <t>Profile 1</t>
  </si>
  <si>
    <t>CGI001-qtz01-CL-fit-1-offset</t>
  </si>
  <si>
    <t>CGI001-qtz01-CL-fit-2</t>
  </si>
  <si>
    <t>CGI001-qtz01-CL-fit-3</t>
  </si>
  <si>
    <t>CGI001-qtz01-CL-fit-4</t>
  </si>
  <si>
    <t>CGI001-qtz02-CL-fit-1-offset</t>
  </si>
  <si>
    <t>CGI001-qtz02-CL-fit-2</t>
  </si>
  <si>
    <t>CGI001-qtz02-CL-fit-3-offset</t>
  </si>
  <si>
    <t>CGI001-qtz02-CL-fit-4-offset</t>
  </si>
  <si>
    <t>CGI001-qtz03-CL-fit-1</t>
  </si>
  <si>
    <t>CGI001-qtz03-CL-fit-2</t>
  </si>
  <si>
    <t>CGI001-qtz03-CL-fit-3</t>
  </si>
  <si>
    <t>CGI001-qtz03-CL-fit-4-offset</t>
  </si>
  <si>
    <t>CGI001-qtz04-CL-fit-1-offset</t>
  </si>
  <si>
    <t>CGI001-qtz04-CL-fit-2-offset</t>
  </si>
  <si>
    <t>CGI001-qtz04-CL-fit-3-offset</t>
  </si>
  <si>
    <t>CGI001-qtz04-CL-fit-4-offset</t>
  </si>
  <si>
    <t>CGI001-qtz05-CL-fit-1-offset</t>
  </si>
  <si>
    <t>CGI001-qtz05-CL-fit-2-offset</t>
  </si>
  <si>
    <t>CGI001-qtz05-CL-fit-3-offset</t>
  </si>
  <si>
    <t>CGI001-qtz05-CL-fit-4-offset</t>
  </si>
  <si>
    <t>CGI001-qtz06-CL-fit-1-offset</t>
  </si>
  <si>
    <t>CGI001-qtz06-CL-fit-2-offset</t>
  </si>
  <si>
    <t>CGI001-qtz06-CL-fit-3-offset</t>
  </si>
  <si>
    <t>CGI001-qtz06-CL-fit-4-offset</t>
  </si>
  <si>
    <t>CGI001-qtz07-CL-fit-1</t>
  </si>
  <si>
    <t>CGI001-qtz07-CL-fit-2-offset</t>
  </si>
  <si>
    <t>CGI001-qtz07-CL-fit-3-offset</t>
  </si>
  <si>
    <t>CGI001-qtz08-CL-fit-1-offset</t>
  </si>
  <si>
    <t>CGI001-qtz08-CL-fit-2-offset</t>
  </si>
  <si>
    <t>CGI001-qtz08-CL-fit-3</t>
  </si>
  <si>
    <t>CGI001-qtz08-CL-fit-4-offset</t>
  </si>
  <si>
    <t>CGI001-qtz09-CL-fit-1-offset</t>
  </si>
  <si>
    <t>CGI001-qtz09-CL-fit-2-offset</t>
  </si>
  <si>
    <t>CGI001-qtz09-CL-fit-3-offset</t>
  </si>
  <si>
    <t>CGI001-qtz10-CL-fit-1-offset</t>
  </si>
  <si>
    <t>CGI001-qtz10-CL-fit-2</t>
  </si>
  <si>
    <t>CGI001-qtz10-CL-fit-3-offset</t>
  </si>
  <si>
    <t>CGI001-qtz10-CL-fit-4</t>
  </si>
  <si>
    <t>CGI001-qtz10-CL-fit-5-offset</t>
  </si>
  <si>
    <t>CGI001-qtz11-CL-fit-1</t>
  </si>
  <si>
    <t>CGI001-qtz11-CL-fit-2-offset</t>
  </si>
  <si>
    <t>CGI001-qtz12-CL-fit-1</t>
  </si>
  <si>
    <t>CGI001-qtz12-CL-fit-2-offset</t>
  </si>
  <si>
    <t>CGI001-qtz12-CL-fit-3-offset</t>
  </si>
  <si>
    <t>CGI001-qtz12-CL-fit-4-offset</t>
  </si>
  <si>
    <t>CGI005-qtz01-CL-fit-1-offset</t>
  </si>
  <si>
    <t>CGI005-qtz01-CL-fit-2</t>
  </si>
  <si>
    <t>CGI005-qtz01-CL-fit-3-offset</t>
  </si>
  <si>
    <t>CGI005-qtz01-CL-fit-4-offset</t>
  </si>
  <si>
    <t>CGI005-qtz01-CL-fit-5-offset</t>
  </si>
  <si>
    <t>CGI005-qtz03-CL-fit-1-offset</t>
  </si>
  <si>
    <t>CGI005-qtz03-CL-fit-2-offset</t>
  </si>
  <si>
    <t>CGI005-qtz03-CL-fit-3</t>
  </si>
  <si>
    <t>CGI005-qtz03-CL-fit-4-offset</t>
  </si>
  <si>
    <t>CGI005-qtz03-CL-fit-5-offset</t>
  </si>
  <si>
    <t>CGI005-qtz03-CL-fit-6-offset</t>
  </si>
  <si>
    <t>CGI005-qtz04-CL-fit-1-offset</t>
  </si>
  <si>
    <t>CGI005-qtz04-CL-fit-2-offset</t>
  </si>
  <si>
    <t>CGI005-qtz04-CL-fit-3</t>
  </si>
  <si>
    <t>CGI005-qtz04-CL-fit-4-offset</t>
  </si>
  <si>
    <t>CGI005-qtz04-CL-fit-5-offset</t>
  </si>
  <si>
    <t>CGI005-qtz05-CL-fit-1-offset</t>
  </si>
  <si>
    <t>CGI005-qtz05-CL-fit-2-offset</t>
  </si>
  <si>
    <t>CGI005-qtz05-CL-fit-3-offset</t>
  </si>
  <si>
    <t>CGI005-qtz06-CL-fit-1-offset</t>
  </si>
  <si>
    <t>CGI005-qtz06-CL-fit-2-offset</t>
  </si>
  <si>
    <t>CGI005-qtz06-CL-fit-3-offset</t>
  </si>
  <si>
    <t>CGI005-qtz06-CL-fit-4</t>
  </si>
  <si>
    <t>CGI005-qtz07-CL-fit-1-offset</t>
  </si>
  <si>
    <t>CGI005-qtz07-CL-fit-2-offset</t>
  </si>
  <si>
    <t>CGI005-qtz07-CL-fit-3-offset</t>
  </si>
  <si>
    <t>CGI005-qtz07-CL-fit-4-offset</t>
  </si>
  <si>
    <t>CGI005-qtz08-CL-fit-1-offset</t>
  </si>
  <si>
    <t>CGI005-qtz08-CL-fit-2-offset</t>
  </si>
  <si>
    <t>CGI005-qtz08-CL-fit-3</t>
  </si>
  <si>
    <t>CGI005-qtz08-CL-fit-4-offset</t>
  </si>
  <si>
    <t>CGI005-qtz08-CL-fit-5-offset</t>
  </si>
  <si>
    <t>CGI005-qtz08-CL-fit-6-offset</t>
  </si>
  <si>
    <t>CGI005-qtz09-CL-fit-1-offset</t>
  </si>
  <si>
    <t>CGI005-qtz09-CL-fit-2-offset</t>
  </si>
  <si>
    <t>CGI005-qtz09-CL-fit-3-offset</t>
  </si>
  <si>
    <t>CGI005-qtz09-CL-fit-4-offset</t>
  </si>
  <si>
    <t>CGI005-qtz09-CL-fit-5-offset</t>
  </si>
  <si>
    <t>CGI005-qtz10-CL-fit-1</t>
  </si>
  <si>
    <t>CGI005-qtz10-CL-fit-2</t>
  </si>
  <si>
    <t>CGI005-qtz10-CL-fit-3-offset</t>
  </si>
  <si>
    <t>CGI005-qtz10-CL-fit-4-offset</t>
  </si>
  <si>
    <t>CGI005-qtz10-CL-fit-5-offset</t>
  </si>
  <si>
    <t>CGI005-qtz10-CL-fit-6-offset</t>
  </si>
  <si>
    <t>CGI005-qtz11-CL-fit-1-offset</t>
  </si>
  <si>
    <t>CGI005-qtz11-CL-fit-2-offset</t>
  </si>
  <si>
    <t>CGI005-qtz11-CL-fit-3</t>
  </si>
  <si>
    <t>CGI005-qtz11-CL-fit-4-offset</t>
  </si>
  <si>
    <t>CGI005-qtz12-CL-fit-1-offset</t>
  </si>
  <si>
    <t>CGI005-qtz12-CL-fit-2-offset</t>
  </si>
  <si>
    <t>CGI005-qtz12-CL-fit-3</t>
  </si>
  <si>
    <t>CGI005-qtz12-CL-fit-4-offset</t>
  </si>
  <si>
    <t>CGI008-qtz01-CL-fit-1-offset</t>
  </si>
  <si>
    <t>CGI008-qtz01-CL-fit-2-offset</t>
  </si>
  <si>
    <t>CGI008-qtz01-CL-fit-3-offset</t>
  </si>
  <si>
    <t>CGI008-qtz01-CL-fit-4-offset</t>
  </si>
  <si>
    <t>CGI008-qtz01-CL-fit-5-offset</t>
  </si>
  <si>
    <t>CGI008-qtz02-CL-fit-1-offset</t>
  </si>
  <si>
    <t>CGI008-qtz02-CL-fit-2-offset</t>
  </si>
  <si>
    <t>CGI008-qtz02-CL-fit-3-offset</t>
  </si>
  <si>
    <t>CGI008-qtz02-CL-fit-4-offset</t>
  </si>
  <si>
    <t>CGI008-qtz03-CL-fit-1-offset</t>
  </si>
  <si>
    <t>CGI008-qtz03-CL-fit-2-offset</t>
  </si>
  <si>
    <t>CGI008-qtz03-CL-fit-3-offset</t>
  </si>
  <si>
    <t>CGI008-qtz03-CL-fit-4-offset</t>
  </si>
  <si>
    <t>CGI008-qtz04-CL-fit-1-offset</t>
  </si>
  <si>
    <t>CGI008-qtz04-CL-fit-2-offset</t>
  </si>
  <si>
    <t>CGI008-qtz04-CL-fit-3-offset</t>
  </si>
  <si>
    <t>CGI008-qtz05-CL-fit-1-offset</t>
  </si>
  <si>
    <t>CGI008-qtz05-CL-fit-2-offset</t>
  </si>
  <si>
    <t>CGI008-qtz05-CL-fit-3-offset</t>
  </si>
  <si>
    <t>CGI008-qtz05-CL-fit-4-offset</t>
  </si>
  <si>
    <t>CGI008-qtz06-CL-fit-1-offset</t>
  </si>
  <si>
    <t>CGI008-qtz06-CL-fit-2-offset</t>
  </si>
  <si>
    <t>CGI008-qtz06-CL-fit-3-offset</t>
  </si>
  <si>
    <t>CGI008-qtz06-CL-fit-4-offset</t>
  </si>
  <si>
    <t>CGI008-qtz07-CL-fit-1-offset</t>
  </si>
  <si>
    <t>CGI008-qtz07-CL-fit-2-offset</t>
  </si>
  <si>
    <t>CGI008-qtz07-CL-fit-3-offset</t>
  </si>
  <si>
    <t>CGI008-qtz07-CL-fit-4-offset</t>
  </si>
  <si>
    <t>CGI008-qtz07-CL-fit-5-offset</t>
  </si>
  <si>
    <t>CGI008-qtz08-CL-fit-2-offset</t>
  </si>
  <si>
    <t>CGI008-qtz08-CL-fit-3-offset</t>
  </si>
  <si>
    <t>CGI008-qtz09-CL-fit-1-offset</t>
  </si>
  <si>
    <t>CGI008-qtz09-CL-fit-2-offset</t>
  </si>
  <si>
    <t>CGI008-qtz10-CL-fit-1-offset</t>
  </si>
  <si>
    <t>CGI008-qtz10-CL-fit-2-offset</t>
  </si>
  <si>
    <t>CGI008-qtz10-CL-fit-3-offset</t>
  </si>
  <si>
    <t>CGI008-qtz10-CL-fit-4-offset</t>
  </si>
  <si>
    <t>CGI008-qtz11-CL-fit-1-offset</t>
  </si>
  <si>
    <t>CGI008-qtz11-CL-fit-2-offset</t>
  </si>
  <si>
    <t>CGI008-qtz11-CL-fit-3-offset</t>
  </si>
  <si>
    <t>CGI008-qtz11-CL-fit-4-offset</t>
  </si>
  <si>
    <t>CGI008-qtz12-CL-fit-1-offset</t>
  </si>
  <si>
    <t>CGI008-qtz12-CL-fit-2-offset</t>
  </si>
  <si>
    <t>CGI008-qtz12-CL-fit-3-offset</t>
  </si>
  <si>
    <t>CGI009-qtz01-CL-fit-1-offset</t>
  </si>
  <si>
    <t>CGI009-qtz01-CL-fit-2-offset</t>
  </si>
  <si>
    <t>CGI009-qtz01-CL-fit-3-offset</t>
  </si>
  <si>
    <t>CGI009-qtz01-CL-fit-4-offset</t>
  </si>
  <si>
    <t>CGI009-qtz01-CL-fit-5-offset</t>
  </si>
  <si>
    <t>CGI009-qtz02-CL-fit-1-offset</t>
  </si>
  <si>
    <t>CGI009-qtz02-CL-fit-2-offset</t>
  </si>
  <si>
    <t>CGI009-qtz02-CL-fit-3-offset</t>
  </si>
  <si>
    <t>CGI009-qtz03-CL-fit-1-offset</t>
  </si>
  <si>
    <t>CGI009-qtz03-CL-fit-2-offset</t>
  </si>
  <si>
    <t>CGI009-qtz03-CL-fit-3-offset</t>
  </si>
  <si>
    <t>CGI009-qtz03-CL-fit-4-offset</t>
  </si>
  <si>
    <t>CGI009-qtz03-CL-fit-5-offset</t>
  </si>
  <si>
    <t>CGI009-qtz04-CL-fit-1-offset</t>
  </si>
  <si>
    <t>CGI009-qtz04-CL-fit-2-offset</t>
  </si>
  <si>
    <t>CGI009-qtz04-CL-fit-3-offset</t>
  </si>
  <si>
    <t>CGI009-qtz04-CL-fit-4-offset</t>
  </si>
  <si>
    <t>CGI009-qtz05-CL-fit-1-offset</t>
  </si>
  <si>
    <t>CGI009-qtz05-CL-fit-2-offset</t>
  </si>
  <si>
    <t>CGI009-qtz05-CL-fit-3-offset</t>
  </si>
  <si>
    <t>CGI009-qtz05-CL-fit-4-offset</t>
  </si>
  <si>
    <t>CGI009-qtz05-CL-fit-5-offset</t>
  </si>
  <si>
    <t>CGI009-qtz06-CL-fit-1-offset</t>
  </si>
  <si>
    <t>CGI009-qtz06-CL-fit-2-offset</t>
  </si>
  <si>
    <t>CGI009-qtz06-CL-fit-3-offset</t>
  </si>
  <si>
    <t>CGI009-qtz06-CL-fit-4-offset</t>
  </si>
  <si>
    <t>CGI009-qtz06-CL-fit-5-offset</t>
  </si>
  <si>
    <t>CGI009-qtz07-CL-fit-1-offset</t>
  </si>
  <si>
    <t>CGI009-qtz07-CL-fit-2-offset</t>
  </si>
  <si>
    <t>CGI009-qtz07-CL-fit-3-offset</t>
  </si>
  <si>
    <t>CGI009-qtz07-CL-fit-4-offset</t>
  </si>
  <si>
    <t>CGI009-qtz08-CL-fit-1-offset</t>
  </si>
  <si>
    <t>CGI009-qtz08-CL-fit-2-offset</t>
  </si>
  <si>
    <t>CGI009-qtz08-CL-fit-3-offset</t>
  </si>
  <si>
    <t>CGI009-qtz08-CL-fit-4-offset</t>
  </si>
  <si>
    <t>CGI009-qtz08-CL-fit-5-offset</t>
  </si>
  <si>
    <t>CGI009-qtz09-CL-fit-1-offset</t>
  </si>
  <si>
    <t>CGI009-qtz09-CL-fit-2-offset</t>
  </si>
  <si>
    <t>CGI009-qtz09-CL-fit-3-offset</t>
  </si>
  <si>
    <t>CGI009-qtz09-CL-fit-4-offset</t>
  </si>
  <si>
    <t>CGI009-qtz10-CL-fit-1-offset</t>
  </si>
  <si>
    <t>CGI009-qtz10-CL-fit-2-offset</t>
  </si>
  <si>
    <t>CGI009-qtz10-CL-fit-3-offset</t>
  </si>
  <si>
    <t>CGI009-qtz10-CL-fit-4-offset</t>
  </si>
  <si>
    <t>CGI009-qtz10-CL-fit-5-offset</t>
  </si>
  <si>
    <t>CGI009-qtz11-CL-fit-1-offset</t>
  </si>
  <si>
    <t>CGI009-qtz11-CL-fit-2-offset</t>
  </si>
  <si>
    <t>CGI009-qtz11-CL-fit-3-offset</t>
  </si>
  <si>
    <t>CGI009-qtz11-CL-fit-4-offset</t>
  </si>
  <si>
    <t>CGI009-qtz11-CL-fit-5-offset</t>
  </si>
  <si>
    <t>CGI009-qtz12-CL-fit-1-offset</t>
  </si>
  <si>
    <t>CGI009-qtz12-CL-fit-2-offset</t>
  </si>
  <si>
    <t>CGI009-qtz12-CL-fit-3-offset</t>
  </si>
  <si>
    <t>CGI009-qtz12-CL-fit-4-offset</t>
  </si>
  <si>
    <t>CGI011-qtz01-CL-fit-1-offset</t>
  </si>
  <si>
    <t>CGI011-qtz01-CL-fit-2-offset</t>
  </si>
  <si>
    <t>CGI011-qtz01-CL-fit-3-offset</t>
  </si>
  <si>
    <t>CGI011-qtz01-CL-fit-4-offset</t>
  </si>
  <si>
    <t>CGI011-qtz01-CL-fit-5-offset</t>
  </si>
  <si>
    <t>CGI011-qtz02-CL-fit-1-offset</t>
  </si>
  <si>
    <t>CGI011-qtz02-CL-fit-2-offset</t>
  </si>
  <si>
    <t>CGI011-qtz02-CL-fit-3-offset</t>
  </si>
  <si>
    <t>CGI011-qtz02-CL-fit-4-offset</t>
  </si>
  <si>
    <t>CGI011-qtz02-CL-fit-5-offset</t>
  </si>
  <si>
    <t>CGI011-qtz03-CL-fit-1-offset</t>
  </si>
  <si>
    <t>CGI011-qtz03-CL-fit-2-offset</t>
  </si>
  <si>
    <t>CGI011-qtz03-CL-fit-3-offset</t>
  </si>
  <si>
    <t>CGI011-qtz04-CL-fit-1-offset</t>
  </si>
  <si>
    <t>CGI011-qtz04-CL-fit-2-offset</t>
  </si>
  <si>
    <t>CGI011-qtz04-CL-fit-3-offset</t>
  </si>
  <si>
    <t>CGI011-qtz04-CL-fit-4-offset</t>
  </si>
  <si>
    <t>CGI011-qtz04-CL-fit-5-offset</t>
  </si>
  <si>
    <t>CGI011-qtz05-CL-fit-1-offset</t>
  </si>
  <si>
    <t>CGI011-qtz05-CL-fit-2-offset</t>
  </si>
  <si>
    <t>CGI011-qtz05-CL-fit-3-offset</t>
  </si>
  <si>
    <t>CGI011-qtz05-CL-fit-4-offset</t>
  </si>
  <si>
    <t>CGI011-qtz05-CL-fit-5-offset</t>
  </si>
  <si>
    <t>CGI011-qtz06-CL-fit-1-offset</t>
  </si>
  <si>
    <t>CGI011-qtz06-CL-fit-2-offset</t>
  </si>
  <si>
    <t>CGI011-qtz06-CL-fit-3-offset</t>
  </si>
  <si>
    <t>CGI011-qtz06-CL-fit-4-offset</t>
  </si>
  <si>
    <t>CGI011-qtz07-CL-fit-1-offset</t>
  </si>
  <si>
    <t>CGI011-qtz07-CL-fit-2-offset</t>
  </si>
  <si>
    <t>CGI011-qtz07-CL-fit-3-offset</t>
  </si>
  <si>
    <t>CGI011-qtz08-CL-fit-1-offset</t>
  </si>
  <si>
    <t>CGI011-qtz08-CL-fit-2-offset</t>
  </si>
  <si>
    <t>CGI011-qtz08-CL-fit-3-offset</t>
  </si>
  <si>
    <t>CGI011-qtz08-CL-fit-4-offset</t>
  </si>
  <si>
    <t>CGI011-qtz08-CL-fit-5-offset</t>
  </si>
  <si>
    <t>CGI011-qtz09-CL-fit-1-offset</t>
  </si>
  <si>
    <t>CGI011-qtz09-CL-fit-2-offset</t>
  </si>
  <si>
    <t>CGI011-qtz09-CL-fit-3-offset</t>
  </si>
  <si>
    <t>CGI011-qtz09-CL-fit-4-offset</t>
  </si>
  <si>
    <t>CGI011-qtz11-CL-fit-1-offset</t>
  </si>
  <si>
    <t>CGI011-qtz11-CL-fit-2-offset</t>
  </si>
  <si>
    <t>CGI011-qtz11-CL-fit-3-offset</t>
  </si>
  <si>
    <t>CGI011-qtz11-CL-fit-4-offset</t>
  </si>
  <si>
    <t>CGI011-qtz12-CL-fit-1-offset</t>
  </si>
  <si>
    <t>CGI011-qtz12-CL-fit-2-offset</t>
  </si>
  <si>
    <t>CGI011-qtz12-CL-fit-3-offset</t>
  </si>
  <si>
    <t>CGI011-qtz12-CL-fit-4-offset</t>
  </si>
  <si>
    <t>CGI014-qtz01-CL-fit-1-offset</t>
  </si>
  <si>
    <t>CGI014-qtz01-CL-fit-2-offset</t>
  </si>
  <si>
    <t>CGI014-qtz02-CL-fit-1-offset</t>
  </si>
  <si>
    <t>CGI014-qtz02-CL-fit-2-offset</t>
  </si>
  <si>
    <t>CGI014-qtz02-CL-fit-3-offset</t>
  </si>
  <si>
    <t>CGI014-qtz02-CL-fit-4-offset</t>
  </si>
  <si>
    <t>CGI014-qtz03-CL-fit-1-offset</t>
  </si>
  <si>
    <t>CGI014-qtz03-CL-fit-2-offset</t>
  </si>
  <si>
    <t>CGI014-qtz03-CL-fit-3-offset</t>
  </si>
  <si>
    <t>CGI014-qtz03-CL-fit-4-offset</t>
  </si>
  <si>
    <t>CGI014-qtz03-CL-fit-5-offset</t>
  </si>
  <si>
    <t>CGI014-qtz04-CL-fit-1-offset</t>
  </si>
  <si>
    <t>CGI014-qtz04-CL-fit-2-offset</t>
  </si>
  <si>
    <t>CGI014-qtz04-CL-fit-3-offset</t>
  </si>
  <si>
    <t>CGI014-qtz05-CL-fit-1-offset</t>
  </si>
  <si>
    <t>CGI014-qtz05-CL-fit-2-offset</t>
  </si>
  <si>
    <t>CGI014-qtz05-CL-fit-3-offset</t>
  </si>
  <si>
    <t>CGI014-qtz05-CL-fit-4-offset</t>
  </si>
  <si>
    <t>CGI014-qtz05-CL-fit-5-offset</t>
  </si>
  <si>
    <t>CGI014-qtz05-CL-fit-6-offset</t>
  </si>
  <si>
    <t>CGI014-qtz07-CL-fit-1-offset</t>
  </si>
  <si>
    <t>CGI014-qtz07-CL-fit-2-offset</t>
  </si>
  <si>
    <t>CGI014-qtz07-CL-fit-3-offset</t>
  </si>
  <si>
    <t>CGI014-qtz07-CL-fit-4-offset</t>
  </si>
  <si>
    <t>CGI014-qtz08-CL-fit-1-offset</t>
  </si>
  <si>
    <t>CGI014-qtz08-CL-fit-2-offset</t>
  </si>
  <si>
    <t>CGI014-qtz08-CL-fit-3-offset</t>
  </si>
  <si>
    <t>CGI014-qtz08-CL-fit-4-offset</t>
  </si>
  <si>
    <t>CGI014-qtz09-CL-fit-1-offset</t>
  </si>
  <si>
    <t>CGI014-qtz09-CL-fit-2-offset</t>
  </si>
  <si>
    <t>CGI014-qtz09-CL-fit-3-offset</t>
  </si>
  <si>
    <t>CGI014-qtz09-CL-fit-4-offset</t>
  </si>
  <si>
    <t>CGI014-qtz09-CL-fit-5-offset</t>
  </si>
  <si>
    <t>CGI014-qtz10-CL-fit-1-offset</t>
  </si>
  <si>
    <t>CGI014-qtz10-CL-fit-2-offset</t>
  </si>
  <si>
    <t>CGI014-qtz10-CL-fit-3-offset</t>
  </si>
  <si>
    <t>CGI014-qtz10-CL-fit-4-offset</t>
  </si>
  <si>
    <t>CGI014-qtz11-CL-fit-1-offset</t>
  </si>
  <si>
    <t>CGI014-qtz11-CL-fit-2-offset</t>
  </si>
  <si>
    <t>CGI014-qtz11-CL-fit-3-offset</t>
  </si>
  <si>
    <t>CGI014-qtz11-CL-fit-4-offset</t>
  </si>
  <si>
    <t>CGI014-qtz11-CL-fit-5-offset</t>
  </si>
  <si>
    <t>CGI014-qtz12-CL-fit-1-offset</t>
  </si>
  <si>
    <t>CGI014-qtz12-CL-fit-2-offset</t>
  </si>
  <si>
    <t>CGI014-qtz12-CL-fit-3-offset</t>
  </si>
  <si>
    <t>CGI015-qtz01-CL-fit-1-offset</t>
  </si>
  <si>
    <t>CGI015-qtz01-CL-fit-2-offset</t>
  </si>
  <si>
    <t>CGI015-qtz01-CL-fit-3-offset</t>
  </si>
  <si>
    <t>CGI015-qtz01-CL-fit-4-offset</t>
  </si>
  <si>
    <t>CGI015-qtz01-CL-fit-5-offset</t>
  </si>
  <si>
    <t>CGI015-qtz01-CL-fit-6-offset</t>
  </si>
  <si>
    <t>CGI015-qtz02-CL-fit-1-offset</t>
  </si>
  <si>
    <t>CGI015-qtz02-CL-fit-2-offset</t>
  </si>
  <si>
    <t>CGI015-qtz02-CL-fit-3-offset</t>
  </si>
  <si>
    <t>CGI015-qtz02-CL-fit-4-offset</t>
  </si>
  <si>
    <t>CGI015-qtz03-CL-fit-1-offset</t>
  </si>
  <si>
    <t>CGI015-qtz03-CL-fit-2-offset</t>
  </si>
  <si>
    <t>CGI015-qtz03-CL-fit-3-offset</t>
  </si>
  <si>
    <t>CGI015-qtz03-CL-fit-4-offset</t>
  </si>
  <si>
    <t>CGI015-qtz03-CL-fit-5-offset</t>
  </si>
  <si>
    <t>CGI015-qtz04-CL-fit-1-offset</t>
  </si>
  <si>
    <t>CGI015-qtz04-CL-fit-2-offset</t>
  </si>
  <si>
    <t>CGI015-qtz04-CL-fit-3-offset</t>
  </si>
  <si>
    <t>CGI015-qtz04-CL-fit-4-offset</t>
  </si>
  <si>
    <t>CGI015-qtz05-CL-fit-1-offset</t>
  </si>
  <si>
    <t>CGI015-qtz05-CL-fit-2-offset</t>
  </si>
  <si>
    <t>CGI015-qtz05-CL-fit-3-offset</t>
  </si>
  <si>
    <t>CGI015-qtz05-CL-fit-4-offset</t>
  </si>
  <si>
    <t>CGI015-qtz06-CL-fit-1-offset</t>
  </si>
  <si>
    <t>CGI015-qtz06-CL-fit-2-offset</t>
  </si>
  <si>
    <t>CGI015-qtz06-CL-fit-3-offset</t>
  </si>
  <si>
    <t>CGI015-qtz06-CL-fit-4-offset</t>
  </si>
  <si>
    <t>CGI015-qtz07-CL-fit-1-offset</t>
  </si>
  <si>
    <t>CGI015-qtz07-CL-fit-2-offset</t>
  </si>
  <si>
    <t>CGI015-qtz07-CL-fit-3-offset</t>
  </si>
  <si>
    <t>CGI015-qtz07-CL-fit-4-offset</t>
  </si>
  <si>
    <t>CGI015-qtz07-CL-fit-5-offset</t>
  </si>
  <si>
    <t>CGI015-qtz07-CL-fit-6-offset</t>
  </si>
  <si>
    <t>CGI015-qtz08-CL-fit-1-offset</t>
  </si>
  <si>
    <t>CGI015-qtz08-CL-fit-2-offset</t>
  </si>
  <si>
    <t>CGI015-qtz08-CL-fit-3-offset</t>
  </si>
  <si>
    <t>CGI015-qtz08-CL-fit-4-offset</t>
  </si>
  <si>
    <t>CGI015-qtz08-CL-fit-5-offset</t>
  </si>
  <si>
    <t>CGI015-qtz08-CL-fit-6-offset</t>
  </si>
  <si>
    <t>CGI015-qtz09-CL-fit-1-offset</t>
  </si>
  <si>
    <t>CGI015-qtz09-CL-fit-2-offset</t>
  </si>
  <si>
    <t>CGI015-qtz09-CL-fit-3-offset</t>
  </si>
  <si>
    <t>CGI015-qtz09-CL-fit-4-offset</t>
  </si>
  <si>
    <t>CGI015-qtz09-CL-fit-5-offset</t>
  </si>
  <si>
    <t>CGI015-qtz09-CL-fit-6-offset</t>
  </si>
  <si>
    <t>CGI015-qtz10-CL-fit-1-offset</t>
  </si>
  <si>
    <t>CGI015-qtz10-CL-fit-2-offset</t>
  </si>
  <si>
    <t>CGI015-qtz10-CL-fit-3-offset</t>
  </si>
  <si>
    <t>CGI015-qtz10-CL-fit-4-offset</t>
  </si>
  <si>
    <t>CGI015-qtz10-CL-fit-5-offset</t>
  </si>
  <si>
    <t>CGI015-qtz10-CL-fit-6-offset</t>
  </si>
  <si>
    <t>CGI015-qtz10-CL-fit-7-offset</t>
  </si>
  <si>
    <t>CGI015-qtz11-CL-fit-1-offset</t>
  </si>
  <si>
    <t>CGI015-qtz11-CL-fit-2-offset</t>
  </si>
  <si>
    <t>CGI015-qtz11-CL-fit-3-offset</t>
  </si>
  <si>
    <t>CGI015-qtz11-CL-fit-4-offset</t>
  </si>
  <si>
    <t>CGI015-qtz11-CL-fit-5-offset</t>
  </si>
  <si>
    <t>CGI015-qtz11-CL-fit-6-offset</t>
  </si>
  <si>
    <t>CGI015-qtz11-CL-fit-7-offset</t>
  </si>
  <si>
    <t>CGI015-qtz12-CL-fit-1-offset</t>
  </si>
  <si>
    <t>CGI015-qtz12-CL-fit-2-offset</t>
  </si>
  <si>
    <t>CGI015-qtz12-CL-fit-3-offset</t>
  </si>
  <si>
    <t>CGI015-qtz12-CL-fit-4-offset</t>
  </si>
  <si>
    <t>CGI015-qtz12-CL-fit-5-offset</t>
  </si>
  <si>
    <t>CGI018-qtz01-CL-fit-1-offset</t>
  </si>
  <si>
    <t>CGI018-qtz01-CL-fit-2-offset</t>
  </si>
  <si>
    <t>CGI018-qtz01-CL-fit-3-offset</t>
  </si>
  <si>
    <t>CGI018-qtz01-CL-fit-4-offset</t>
  </si>
  <si>
    <t>CGI018-qtz01-CL-fit-5-offset</t>
  </si>
  <si>
    <t>CGI018-qtz02-CL-fit-1-offset</t>
  </si>
  <si>
    <t>CGI018-qtz02-CL-fit-2-offset</t>
  </si>
  <si>
    <t>CGI018-qtz02-CL-fit-3-offset</t>
  </si>
  <si>
    <t>CGI018-qtz02-CL-fit-4-offset</t>
  </si>
  <si>
    <t>CGI018-qtz02-CL-fit-5-offset</t>
  </si>
  <si>
    <t>CGI018-qtz03-CL-fit-1-offset</t>
  </si>
  <si>
    <t>CGI018-qtz03-CL-fit-2-offset</t>
  </si>
  <si>
    <t>CGI018-qtz03-CL-fit-3-offset</t>
  </si>
  <si>
    <t>CGI018-qtz03-CL-fit-4-offset</t>
  </si>
  <si>
    <t>CGI018-qtz04-CL-fit-1-offset</t>
  </si>
  <si>
    <t>CGI018-qtz04-CL-fit-2-offset</t>
  </si>
  <si>
    <t>CGI018-qtz04-CL-fit-3-offset</t>
  </si>
  <si>
    <t>CGI018-qtz04-CL-fit-4-offset</t>
  </si>
  <si>
    <t>CGI018-qtz05-CL-fit-1-offset</t>
  </si>
  <si>
    <t>CGI018-qtz05-CL-fit-2-offset</t>
  </si>
  <si>
    <t>CGI018-qtz05-CL-fit-3-offset</t>
  </si>
  <si>
    <t>CGI018-qtz05-CL-fit-4-offset</t>
  </si>
  <si>
    <t>CGI018-qtz05-CL-fit-5-offset</t>
  </si>
  <si>
    <t>CGI018-qtz05-CL-fit-6-offset</t>
  </si>
  <si>
    <t>CGI018-qtz05-CL-fit-7-offset</t>
  </si>
  <si>
    <t>CGI018-qtz06-CL-fit-2-offset</t>
  </si>
  <si>
    <t>CGI018-qtz06-CL-fit-3-offset</t>
  </si>
  <si>
    <t>CGI018-qtz06-CL-fit-4-offset</t>
  </si>
  <si>
    <t>CGI018-qtz07-CL-fit-1-offset</t>
  </si>
  <si>
    <t>CGI018-qtz07-CL-fit-2-offset</t>
  </si>
  <si>
    <t>CGI018-qtz07-CL-fit-3-offset</t>
  </si>
  <si>
    <t>CGI018-qtz08-CL-fit-1-offset</t>
  </si>
  <si>
    <t>CGI018-qtz08-CL-fit-2-offset</t>
  </si>
  <si>
    <t>CGI018-qtz08-CL-fit-3-offset</t>
  </si>
  <si>
    <t>CGI018-qtz08-CL-fit-4-offset</t>
  </si>
  <si>
    <t>CGI018-qtz08-CL-fit-5-offset</t>
  </si>
  <si>
    <t>CGI018-qtz08-CL-fit-6-offset</t>
  </si>
  <si>
    <t>CGI018-qtz08-CL-fit-7-offset</t>
  </si>
  <si>
    <t>CGI018-qtz09-CL-fit-2-offset</t>
  </si>
  <si>
    <t>CGI018-qtz09-CL-fit-3-offset</t>
  </si>
  <si>
    <t>CGI018-qtz09-CL-fit-4-offset</t>
  </si>
  <si>
    <t>CGI018-qtz10-CL-fit-1-offset</t>
  </si>
  <si>
    <t>CGI018-qtz10-CL-fit-2-offset</t>
  </si>
  <si>
    <t>CGI018-qtz10-CL-fit-3-offset</t>
  </si>
  <si>
    <t>CGI018-qtz10-CL-fit-4-offset</t>
  </si>
  <si>
    <t>CGI018-qtz10-CL-fit-5-offset</t>
  </si>
  <si>
    <t>CGI018-qtz10-CL-fit-6-offset</t>
  </si>
  <si>
    <t>CGI018-qtz11-CL-fit-1-offset</t>
  </si>
  <si>
    <t>CGI018-qtz11-CL-fit-2-offset</t>
  </si>
  <si>
    <t>CGI018-qtz11-CL-fit-3-offset</t>
  </si>
  <si>
    <t>CGI018-qtz11-CL-fit-4-offset</t>
  </si>
  <si>
    <t>CGI018-qtz11-CL-fit-5-offset</t>
  </si>
  <si>
    <t>CGI018-qtz11-CL-fit-6-offset</t>
  </si>
  <si>
    <t>CGI018-qtz12-CL-fit-1-offset</t>
  </si>
  <si>
    <t>CGI018-qtz12-CL-fit-2-offset</t>
  </si>
  <si>
    <t>CGI018-qtz12-CL-fit-3-offset</t>
  </si>
  <si>
    <t>CGI018-qtz12-CL-fit-4-offset</t>
  </si>
  <si>
    <t>CGI018-qtz12-CL-fit-5-offset</t>
  </si>
  <si>
    <t>CGI018-qtz12-CL-fit-6-offset</t>
  </si>
  <si>
    <t>CGI018-qtz12-CL-fit-7-offset</t>
  </si>
  <si>
    <t>Error (-)</t>
  </si>
  <si>
    <t>Error (+)</t>
  </si>
  <si>
    <t>why do error bars go to zero? Pattern?</t>
  </si>
  <si>
    <t>Category</t>
  </si>
  <si>
    <t>Rim</t>
  </si>
  <si>
    <t>Core</t>
  </si>
  <si>
    <t>Interior</t>
  </si>
  <si>
    <t>COre</t>
  </si>
  <si>
    <t>RIm</t>
  </si>
  <si>
    <t xml:space="preserve"> </t>
  </si>
  <si>
    <t>Sample Name</t>
  </si>
  <si>
    <t>Temperature (˚C)</t>
  </si>
  <si>
    <t>Img Width (pxl)</t>
  </si>
  <si>
    <t>View Field (um)</t>
  </si>
  <si>
    <t>Resolution (um/pxl)</t>
  </si>
  <si>
    <t>Profile MC Low Error</t>
  </si>
  <si>
    <t>Profile MC High Error</t>
  </si>
  <si>
    <t>D(Ti_Jollands)</t>
  </si>
  <si>
    <t>D(Ti_Cherniak)</t>
  </si>
  <si>
    <t>Growth Rate (C) [um/yr]</t>
  </si>
  <si>
    <t>[m/s]</t>
  </si>
  <si>
    <t>Growth Rate (J) [um/yr]</t>
  </si>
  <si>
    <t>CGI001-qtz01-CL-dist-1</t>
  </si>
  <si>
    <t>CGI001-qtz01-CL-dist-2</t>
  </si>
  <si>
    <t>CGI001-qtz01-CL-dist-3</t>
  </si>
  <si>
    <t>CGI001-qtz01-CL-dist-4</t>
  </si>
  <si>
    <t>CGI001-qtz02-CL-dist-1</t>
  </si>
  <si>
    <t>CGI001-qtz02-CL-dist-2</t>
  </si>
  <si>
    <t>CGI001-qtz02-CL-dist-3</t>
  </si>
  <si>
    <t>CGI001-qtz02-CL-dist-4</t>
  </si>
  <si>
    <t>CGI001-qtz03-CL-dist-1</t>
  </si>
  <si>
    <t>CGI001-qtz03-CL-dist-2</t>
  </si>
  <si>
    <t>CGI001-qtz03-CL-dist-3</t>
  </si>
  <si>
    <t>CGI001-qtz03-CL-dist-4</t>
  </si>
  <si>
    <t>CGI001-qtz04-CL-dist-1</t>
  </si>
  <si>
    <t>CGI001-qtz04-CL-dist-2</t>
  </si>
  <si>
    <t>CGI001-qtz04-CL-dist-3</t>
  </si>
  <si>
    <t>CGI001-qtz04-CL-dist-4</t>
  </si>
  <si>
    <t>CGI001-qtz05-CL-dist-1</t>
  </si>
  <si>
    <t>CGI001-qtz05-CL-dist-2</t>
  </si>
  <si>
    <t>CGI001-qtz05-CL-dist-3</t>
  </si>
  <si>
    <t>CGI001-qtz05-CL-dist-4</t>
  </si>
  <si>
    <t>CGI001-qtz06-CL-dist-1</t>
  </si>
  <si>
    <t>CGI001-qtz06-CL-dist-2</t>
  </si>
  <si>
    <t>CGI001-qtz06-CL-dist-3</t>
  </si>
  <si>
    <t>CGI001-qtz06-CL-dist-4</t>
  </si>
  <si>
    <t>CGI001-qtz07-CL-dist-1</t>
  </si>
  <si>
    <t>CGI001-qtz07-CL-dist-2</t>
  </si>
  <si>
    <t>CGI001-qtz07-CL-dist-3</t>
  </si>
  <si>
    <t>CGI001-qtz08-CL-dist-1</t>
  </si>
  <si>
    <t>CGI001-qtz08-CL-dist-2</t>
  </si>
  <si>
    <t>CGI001-qtz08-CL-dist-3</t>
  </si>
  <si>
    <t>CGI001-qtz08-CL-dist-4</t>
  </si>
  <si>
    <t>CGI001-qtz09-CL-dist-1</t>
  </si>
  <si>
    <t>CGI001-qtz09-CL-dist-2</t>
  </si>
  <si>
    <t>CGI001-qtz09-CL-dist-3</t>
  </si>
  <si>
    <t>CGI001-qtz10-CL-dist-1</t>
  </si>
  <si>
    <t>CGI001-qtz10-CL-dist-2</t>
  </si>
  <si>
    <t>CGI001-qtz10-CL-dist-3</t>
  </si>
  <si>
    <t>CGI001-qtz10-CL-dist-4</t>
  </si>
  <si>
    <t>CGI001-qtz10-CL-dist-5</t>
  </si>
  <si>
    <t>CGI001-qtz11-CL-dist-1</t>
  </si>
  <si>
    <t>CGI001-qtz11-CL-dist-2</t>
  </si>
  <si>
    <t>CGI001-qtz12-CL-dist-1</t>
  </si>
  <si>
    <t>CGI001-qtz12-CL-dist-2</t>
  </si>
  <si>
    <t>CGI001-qtz12-CL-dist-3</t>
  </si>
  <si>
    <t>CGI001-qtz12-CL-dist-4</t>
  </si>
  <si>
    <t>CGI005-qtz01-CL-dist-1</t>
  </si>
  <si>
    <t>CGI005-qtz01-CL-dist-2</t>
  </si>
  <si>
    <t>CGI005-qtz01-CL-dist-3</t>
  </si>
  <si>
    <t>CGI005-qtz01-CL-dist-4</t>
  </si>
  <si>
    <t>CGI005-qtz01-CL-dist-5</t>
  </si>
  <si>
    <t>CGI005-qtz03-CL-dist-1</t>
  </si>
  <si>
    <t>CGI005-qtz03-CL-dist-2</t>
  </si>
  <si>
    <t>CGI005-qtz03-CL-dist-3</t>
  </si>
  <si>
    <t>CGI005-qtz03-CL-dist-4</t>
  </si>
  <si>
    <t>CGI005-qtz03-CL-dist-5</t>
  </si>
  <si>
    <t>CGI005-qtz03-CL-dist-6</t>
  </si>
  <si>
    <t>CGI005-qtz04-CL-dist-1</t>
  </si>
  <si>
    <t>CGI005-qtz04-CL-dist-2</t>
  </si>
  <si>
    <t>CGI005-qtz04-CL-dist-3</t>
  </si>
  <si>
    <t>CGI005-qtz04-CL-dist-4</t>
  </si>
  <si>
    <t>CGI005-qtz04-CL-dist-5</t>
  </si>
  <si>
    <t>CGI005-qtz05-CL-dist-1</t>
  </si>
  <si>
    <t>CGI005-qtz05-CL-dist-2</t>
  </si>
  <si>
    <t>CGI005-qtz05-CL-dist-3</t>
  </si>
  <si>
    <t>CGI005-qtz06-CL-dist-1</t>
  </si>
  <si>
    <t>CGI005-qtz06-CL-dist-2</t>
  </si>
  <si>
    <t>CGI005-qtz06-CL-dist-3</t>
  </si>
  <si>
    <t>CGI005-qtz06-CL-dist-4</t>
  </si>
  <si>
    <t>CGI005-qtz07-CL-dist-1</t>
  </si>
  <si>
    <t>CGI005-qtz07-CL-dist-2</t>
  </si>
  <si>
    <t>CGI005-qtz07-CL-dist-3</t>
  </si>
  <si>
    <t>CGI005-qtz07-CL-dist-4</t>
  </si>
  <si>
    <t>CGI005-qtz08-CL-dist-1</t>
  </si>
  <si>
    <t>CGI005-qtz08-CL-dist-2</t>
  </si>
  <si>
    <t>CGI005-qtz08-CL-dist-3</t>
  </si>
  <si>
    <t>CGI005-qtz08-CL-dist-4</t>
  </si>
  <si>
    <t>CGI005-qtz08-CL-dist-5</t>
  </si>
  <si>
    <t>CGI005-qtz08-CL-dist-6</t>
  </si>
  <si>
    <t>CGI005-qtz09-CL-dist-1</t>
  </si>
  <si>
    <t>CGI005-qtz09-CL-dist-2</t>
  </si>
  <si>
    <t>CGI005-qtz09-CL-dist-3</t>
  </si>
  <si>
    <t>CGI005-qtz09-CL-dist-4</t>
  </si>
  <si>
    <t>CGI005-qtz09-CL-dist-5</t>
  </si>
  <si>
    <t>CGI005-qtz10-CL-dist-1</t>
  </si>
  <si>
    <t>CGI005-qtz10-CL-dist-2</t>
  </si>
  <si>
    <t>CGI005-qtz10-CL-dist-3</t>
  </si>
  <si>
    <t>CGI005-qtz10-CL-dist-4</t>
  </si>
  <si>
    <t>CGI005-qtz10-CL-dist-5</t>
  </si>
  <si>
    <t>CGI005-qtz10-CL-dist-6</t>
  </si>
  <si>
    <t>CGI005-qtz11-CL-dist-1</t>
  </si>
  <si>
    <t>CGI005-qtz11-CL-dist-2</t>
  </si>
  <si>
    <t>CGI005-qtz11-CL-dist-3</t>
  </si>
  <si>
    <t>CGI005-qtz11-CL-dist-4</t>
  </si>
  <si>
    <t>CGI005-qtz12-CL-dist-1</t>
  </si>
  <si>
    <t>CGI005-qtz12-CL-dist-2</t>
  </si>
  <si>
    <t>CGI005-qtz12-CL-dist-3</t>
  </si>
  <si>
    <t>CGI005-qtz12-CL-dist-4</t>
  </si>
  <si>
    <t>CGI008-qtz01-CL-dist-1</t>
  </si>
  <si>
    <t>CGI008-qtz01-CL-dist-2</t>
  </si>
  <si>
    <t>CGI008-qtz01-CL-dist-3</t>
  </si>
  <si>
    <t>CGI008-qtz01-CL-dist-4</t>
  </si>
  <si>
    <t>CGI008-qtz01-CL-dist-5</t>
  </si>
  <si>
    <t>CGI008-qtz02-CL-dist-1</t>
  </si>
  <si>
    <t>CGI008-qtz02-CL-dist-2</t>
  </si>
  <si>
    <t>CGI008-qtz02-CL-dist-3</t>
  </si>
  <si>
    <t>CGI008-qtz02-CL-dist-4</t>
  </si>
  <si>
    <t>CGI008-qtz03-CL-dist-1</t>
  </si>
  <si>
    <t>CGI008-qtz03-CL-dist-2</t>
  </si>
  <si>
    <t>CGI008-qtz03-CL-dist-3</t>
  </si>
  <si>
    <t>CGI008-qtz03-CL-dist-4</t>
  </si>
  <si>
    <t>CGI008-qtz04-CL-dist-1</t>
  </si>
  <si>
    <t>CGI008-qtz04-CL-dist-2</t>
  </si>
  <si>
    <t>CGI008-qtz04-CL-dist-3</t>
  </si>
  <si>
    <t>CGI008-qtz05-CL-dist-1</t>
  </si>
  <si>
    <t>CGI008-qtz05-CL-dist-2</t>
  </si>
  <si>
    <t>CGI008-qtz05-CL-dist-3</t>
  </si>
  <si>
    <t>CGI008-qtz05-CL-dist-4</t>
  </si>
  <si>
    <t>CGI008-qtz06-CL-dist-1</t>
  </si>
  <si>
    <t>CGI008-qtz06-CL-dist-2</t>
  </si>
  <si>
    <t>CGI008-qtz06-CL-dist-3</t>
  </si>
  <si>
    <t>CGI008-qtz06-CL-dist-4</t>
  </si>
  <si>
    <t>CGI008-qtz07-CL-dist-1</t>
  </si>
  <si>
    <t>CGI008-qtz07-CL-dist-2</t>
  </si>
  <si>
    <t>CGI008-qtz07-CL-dist-3</t>
  </si>
  <si>
    <t>CGI008-qtz07-CL-dist-4</t>
  </si>
  <si>
    <t>CGI008-qtz07-CL-dist-5</t>
  </si>
  <si>
    <t>CGI008-qtz08-CL-dist-2</t>
  </si>
  <si>
    <t>CGI008-qtz08-CL-dist-3</t>
  </si>
  <si>
    <t>CGI008-qtz09-CL-dist-1</t>
  </si>
  <si>
    <t>CGI008-qtz09-CL-dist-2</t>
  </si>
  <si>
    <t>CGI008-qtz10-CL-dist-1</t>
  </si>
  <si>
    <t>CGI008-qtz10-CL-dist-2</t>
  </si>
  <si>
    <t>CGI008-qtz10-CL-dist-3</t>
  </si>
  <si>
    <t>CGI008-qtz10-CL-dist-4</t>
  </si>
  <si>
    <t>CGI008-qtz11-CL-dist-1</t>
  </si>
  <si>
    <t>CGI008-qtz11-CL-dist-2</t>
  </si>
  <si>
    <t>CGI008-qtz11-CL-dist-3</t>
  </si>
  <si>
    <t>CGI008-qtz11-CL-dist-4</t>
  </si>
  <si>
    <t>CGI008-qtz12-CL-dist-1</t>
  </si>
  <si>
    <t>CGI008-qtz12-CL-dist-2</t>
  </si>
  <si>
    <t>CGI008-qtz12-CL-dist-3</t>
  </si>
  <si>
    <t>CGI009-qtz01-CL-dist-1</t>
  </si>
  <si>
    <t>CGI009-qtz01-CL-dist-2</t>
  </si>
  <si>
    <t>CGI009-qtz01-CL-dist-3</t>
  </si>
  <si>
    <t>CGI009-qtz01-CL-dist-4</t>
  </si>
  <si>
    <t>CGI009-qtz01-CL-dist-5</t>
  </si>
  <si>
    <t>CGI009-qtz02-CL-dist-1</t>
  </si>
  <si>
    <t>CGI009-qtz02-CL-dist-2</t>
  </si>
  <si>
    <t>CGI009-qtz02-CL-dist-3</t>
  </si>
  <si>
    <t>CGI009-qtz03-CL-dist-1</t>
  </si>
  <si>
    <t>CGI009-qtz03-CL-dist-2</t>
  </si>
  <si>
    <t>CGI009-qtz03-CL-dist-3</t>
  </si>
  <si>
    <t>CGI009-qtz03-CL-dist-4</t>
  </si>
  <si>
    <t>CGI009-qtz03-CL-dist-5</t>
  </si>
  <si>
    <t>CGI009-qtz04-CL-dist-1</t>
  </si>
  <si>
    <t>CGI009-qtz04-CL-dist-2</t>
  </si>
  <si>
    <t>CGI009-qtz04-CL-dist-3</t>
  </si>
  <si>
    <t>CGI009-qtz04-CL-dist-4</t>
  </si>
  <si>
    <t>CGI009-qtz05-CL-dist-1</t>
  </si>
  <si>
    <t>CGI009-qtz05-CL-dist-2</t>
  </si>
  <si>
    <t>CGI009-qtz05-CL-dist-3</t>
  </si>
  <si>
    <t>CGI009-qtz05-CL-dist-4</t>
  </si>
  <si>
    <t>CGI009-qtz05-CL-dist-5</t>
  </si>
  <si>
    <t>CGI009-qtz06-CL-dist-1</t>
  </si>
  <si>
    <t>CGI009-qtz06-CL-dist-2</t>
  </si>
  <si>
    <t>CGI009-qtz06-CL-dist-3</t>
  </si>
  <si>
    <t>CGI009-qtz06-CL-dist-4</t>
  </si>
  <si>
    <t>CGI009-qtz06-CL-dist-5</t>
  </si>
  <si>
    <t>CGI009-qtz07-CL-dist-1</t>
  </si>
  <si>
    <t>CGI009-qtz07-CL-dist-2</t>
  </si>
  <si>
    <t>CGI009-qtz07-CL-dist-3</t>
  </si>
  <si>
    <t>CGI009-qtz07-CL-dist-4</t>
  </si>
  <si>
    <t>CGI009-qtz08-CL-dist-1</t>
  </si>
  <si>
    <t>CGI009-qtz08-CL-dist-2</t>
  </si>
  <si>
    <t>CGI009-qtz08-CL-dist-3</t>
  </si>
  <si>
    <t>CGI009-qtz08-CL-dist-4</t>
  </si>
  <si>
    <t>CGI009-qtz08-CL-dist-5</t>
  </si>
  <si>
    <t>CGI009-qtz09-CL-dist-1</t>
  </si>
  <si>
    <t>CGI009-qtz09-CL-dist-2</t>
  </si>
  <si>
    <t>CGI009-qtz09-CL-dist-3</t>
  </si>
  <si>
    <t>CGI009-qtz09-CL-dist-4</t>
  </si>
  <si>
    <t>CGI009-qtz10-CL-dist-1</t>
  </si>
  <si>
    <t>CGI009-qtz10-CL-dist-2</t>
  </si>
  <si>
    <t>CGI009-qtz10-CL-dist-3</t>
  </si>
  <si>
    <t>CGI009-qtz10-CL-dist-4</t>
  </si>
  <si>
    <t>CGI009-qtz10-CL-dist-5</t>
  </si>
  <si>
    <t>CGI009-qtz11-CL-dist-1</t>
  </si>
  <si>
    <t>CGI009-qtz11-CL-dist-2</t>
  </si>
  <si>
    <t>CGI009-qtz11-CL-dist-3</t>
  </si>
  <si>
    <t>CGI009-qtz11-CL-dist-4</t>
  </si>
  <si>
    <t>CGI009-qtz11-CL-dist-5</t>
  </si>
  <si>
    <t>CGI009-qtz12-CL-dist-1</t>
  </si>
  <si>
    <t>CGI009-qtz12-CL-dist-2</t>
  </si>
  <si>
    <t>CGI009-qtz12-CL-dist-3</t>
  </si>
  <si>
    <t>CGI009-qtz12-CL-dist-4</t>
  </si>
  <si>
    <t>CGI011-qtz01-CL-dist-1</t>
  </si>
  <si>
    <t>CGI011-qtz01-CL-dist-2</t>
  </si>
  <si>
    <t>CGI011-qtz01-CL-dist-3</t>
  </si>
  <si>
    <t>CGI011-qtz01-CL-dist-4</t>
  </si>
  <si>
    <t>CGI011-qtz01-CL-dist-5</t>
  </si>
  <si>
    <t>CGI011-qtz02-CL-dist-1</t>
  </si>
  <si>
    <t>CGI011-qtz02-CL-dist-2</t>
  </si>
  <si>
    <t>CGI011-qtz02-CL-dist-3</t>
  </si>
  <si>
    <t>CGI011-qtz02-CL-dist-4</t>
  </si>
  <si>
    <t>CGI011-qtz02-CL-dist-5</t>
  </si>
  <si>
    <t>CGI011-qtz03-CL-dist-1</t>
  </si>
  <si>
    <t>CGI011-qtz03-CL-dist-2</t>
  </si>
  <si>
    <t>CGI011-qtz03-CL-dist-3</t>
  </si>
  <si>
    <t>CGI011-qtz04-CL-dist-1</t>
  </si>
  <si>
    <t>CGI011-qtz04-CL-dist-2</t>
  </si>
  <si>
    <t>CGI011-qtz04-CL-dist-3</t>
  </si>
  <si>
    <t>CGI011-qtz04-CL-dist-4</t>
  </si>
  <si>
    <t>CGI011-qtz04-CL-dist-5</t>
  </si>
  <si>
    <t>CGI011-qtz05-CL-dist-1</t>
  </si>
  <si>
    <t>CGI011-qtz05-CL-dist-2</t>
  </si>
  <si>
    <t>CGI011-qtz05-CL-dist-3</t>
  </si>
  <si>
    <t>CGI011-qtz05-CL-dist-4</t>
  </si>
  <si>
    <t>CGI011-qtz05-CL-dist-5</t>
  </si>
  <si>
    <t>CGI011-qtz06-CL-dist-1</t>
  </si>
  <si>
    <t>CGI011-qtz06-CL-dist-2</t>
  </si>
  <si>
    <t>CGI011-qtz06-CL-dist-3</t>
  </si>
  <si>
    <t>CGI011-qtz06-CL-dist-4</t>
  </si>
  <si>
    <t>CGI011-qtz07-CL-dist-1</t>
  </si>
  <si>
    <t>CGI011-qtz07-CL-dist-2</t>
  </si>
  <si>
    <t>CGI011-qtz07-CL-dist-3</t>
  </si>
  <si>
    <t>CGI011-qtz08-CL-dist-1</t>
  </si>
  <si>
    <t>CGI011-qtz08-CL-dist-2</t>
  </si>
  <si>
    <t>CGI011-qtz08-CL-dist-3</t>
  </si>
  <si>
    <t>CGI011-qtz08-CL-dist-4</t>
  </si>
  <si>
    <t>CGI011-qtz08-CL-dist-5</t>
  </si>
  <si>
    <t>CGI011-qtz09-CL-dist-1</t>
  </si>
  <si>
    <t>CGI011-qtz09-CL-dist-2</t>
  </si>
  <si>
    <t>CGI011-qtz09-CL-dist-3</t>
  </si>
  <si>
    <t>CGI011-qtz09-CL-dist-4</t>
  </si>
  <si>
    <t>CGI011-qtz11-CL-dist-1</t>
  </si>
  <si>
    <t>CGI011-qtz11-CL-dist-2</t>
  </si>
  <si>
    <t>CGI011-qtz11-CL-dist-3</t>
  </si>
  <si>
    <t>CGI011-qtz11-CL-dist-4</t>
  </si>
  <si>
    <t>CGI011-qtz12-CL-dist-1</t>
  </si>
  <si>
    <t>CGI011-qtz12-CL-dist-2</t>
  </si>
  <si>
    <t>CGI011-qtz12-CL-dist-3</t>
  </si>
  <si>
    <t>CGI011-qtz12-CL-dist-4</t>
  </si>
  <si>
    <t>CGI014-qtz01-CL-dist-1</t>
  </si>
  <si>
    <t>CGI014-qtz01-CL-dist-2</t>
  </si>
  <si>
    <t>CGI014-qtz02-CL-dist-1</t>
  </si>
  <si>
    <t>CGI014-qtz02-CL-dist-2</t>
  </si>
  <si>
    <t>CGI014-qtz02-CL-dist-3</t>
  </si>
  <si>
    <t>CGI014-qtz02-CL-dist-4</t>
  </si>
  <si>
    <t>CGI014-qtz03-CL-dist-1</t>
  </si>
  <si>
    <t>CGI014-qtz03-CL-dist-2</t>
  </si>
  <si>
    <t>CGI014-qtz03-CL-dist-3</t>
  </si>
  <si>
    <t>CGI014-qtz03-CL-dist-4</t>
  </si>
  <si>
    <t>CGI014-qtz03-CL-dist-5</t>
  </si>
  <si>
    <t>CGI014-qtz04-CL-dist-1</t>
  </si>
  <si>
    <t>CGI014-qtz04-CL-dist-2</t>
  </si>
  <si>
    <t>CGI014-qtz04-CL-dist-3</t>
  </si>
  <si>
    <t>CGI014-qtz05-CL-dist-1</t>
  </si>
  <si>
    <t>CGI014-qtz05-CL-dist-2</t>
  </si>
  <si>
    <t>CGI014-qtz05-CL-dist-3</t>
  </si>
  <si>
    <t>CGI014-qtz05-CL-dist-4</t>
  </si>
  <si>
    <t>CGI014-qtz05-CL-dist-5</t>
  </si>
  <si>
    <t>CGI014-qtz05-CL-dist-6</t>
  </si>
  <si>
    <t>CGI014-qtz07-CL-dist-1</t>
  </si>
  <si>
    <t>CGI014-qtz07-CL-dist-2</t>
  </si>
  <si>
    <t>CGI014-qtz07-CL-dist-3</t>
  </si>
  <si>
    <t>CGI014-qtz07-CL-dist-4</t>
  </si>
  <si>
    <t>CGI014-qtz08-CL-dist-1</t>
  </si>
  <si>
    <t>CGI014-qtz08-CL-dist-2</t>
  </si>
  <si>
    <t>CGI014-qtz08-CL-dist-3</t>
  </si>
  <si>
    <t>CGI014-qtz08-CL-dist-4</t>
  </si>
  <si>
    <t>CGI014-qtz09-CL-dist-1</t>
  </si>
  <si>
    <t>CGI014-qtz09-CL-dist-2</t>
  </si>
  <si>
    <t>CGI014-qtz09-CL-dist-3</t>
  </si>
  <si>
    <t>CGI014-qtz09-CL-dist-4</t>
  </si>
  <si>
    <t>CGI014-qtz09-CL-dist-5</t>
  </si>
  <si>
    <t>CGI014-qtz10-CL-dist-1</t>
  </si>
  <si>
    <t>CGI014-qtz10-CL-dist-2</t>
  </si>
  <si>
    <t>CGI014-qtz10-CL-dist-3</t>
  </si>
  <si>
    <t>CGI014-qtz10-CL-dist-4</t>
  </si>
  <si>
    <t>CGI014-qtz11-CL-dist-1</t>
  </si>
  <si>
    <t>CGI014-qtz11-CL-dist-2</t>
  </si>
  <si>
    <t>CGI014-qtz11-CL-dist-3</t>
  </si>
  <si>
    <t>CGI014-qtz11-CL-dist-4</t>
  </si>
  <si>
    <t>CGI014-qtz11-CL-dist-5</t>
  </si>
  <si>
    <t>CGI014-qtz12-CL-dist-1</t>
  </si>
  <si>
    <t>CGI014-qtz12-CL-dist-2</t>
  </si>
  <si>
    <t>CGI014-qtz12-CL-dist-3</t>
  </si>
  <si>
    <t>CGI015-qtz01-CL-dist-1</t>
  </si>
  <si>
    <t>CGI015-qtz01-CL-dist-2</t>
  </si>
  <si>
    <t>CGI015-qtz01-CL-dist-3</t>
  </si>
  <si>
    <t>CGI015-qtz01-CL-dist-4</t>
  </si>
  <si>
    <t>CGI015-qtz01-CL-dist-5</t>
  </si>
  <si>
    <t>CGI015-qtz01-CL-dist-6</t>
  </si>
  <si>
    <t>CGI015-qtz02-CL-dist-1</t>
  </si>
  <si>
    <t>CGI015-qtz02-CL-dist-2</t>
  </si>
  <si>
    <t>CGI015-qtz02-CL-dist-3</t>
  </si>
  <si>
    <t>CGI015-qtz02-CL-dist-4</t>
  </si>
  <si>
    <t>CGI015-qtz03-CL-dist-1</t>
  </si>
  <si>
    <t>CGI015-qtz03-CL-dist-2</t>
  </si>
  <si>
    <t>CGI015-qtz03-CL-dist-3</t>
  </si>
  <si>
    <t>CGI015-qtz03-CL-dist-4</t>
  </si>
  <si>
    <t>CGI015-qtz03-CL-dist-5</t>
  </si>
  <si>
    <t>CGI015-qtz04-CL-dist-1</t>
  </si>
  <si>
    <t>CGI015-qtz04-CL-dist-2</t>
  </si>
  <si>
    <t>CGI015-qtz04-CL-dist-3</t>
  </si>
  <si>
    <t>CGI015-qtz04-CL-dist-4</t>
  </si>
  <si>
    <t>CGI015-qtz05-CL-dist-1</t>
  </si>
  <si>
    <t>CGI015-qtz05-CL-dist-2</t>
  </si>
  <si>
    <t>CGI015-qtz05-CL-dist-3</t>
  </si>
  <si>
    <t>CGI015-qtz05-CL-dist-4</t>
  </si>
  <si>
    <t>CGI015-qtz06-CL-dist-1</t>
  </si>
  <si>
    <t>CGI015-qtz06-CL-dist-2</t>
  </si>
  <si>
    <t>CGI015-qtz06-CL-dist-3</t>
  </si>
  <si>
    <t>CGI015-qtz06-CL-dist-4</t>
  </si>
  <si>
    <t>CGI015-qtz07-CL-dist-1</t>
  </si>
  <si>
    <t>CGI015-qtz07-CL-dist-2</t>
  </si>
  <si>
    <t>CGI015-qtz07-CL-dist-3</t>
  </si>
  <si>
    <t>CGI015-qtz07-CL-dist-4</t>
  </si>
  <si>
    <t>CGI015-qtz07-CL-dist-5</t>
  </si>
  <si>
    <t>CGI015-qtz07-CL-dist-6</t>
  </si>
  <si>
    <t>CGI015-qtz08-CL-dist-1</t>
  </si>
  <si>
    <t>CGI015-qtz08-CL-dist-2</t>
  </si>
  <si>
    <t>CGI015-qtz08-CL-dist-3</t>
  </si>
  <si>
    <t>CGI015-qtz08-CL-dist-4</t>
  </si>
  <si>
    <t>CGI015-qtz08-CL-dist-5</t>
  </si>
  <si>
    <t>CGI015-qtz08-CL-dist-6</t>
  </si>
  <si>
    <t>CGI015-qtz09-CL-dist-1</t>
  </si>
  <si>
    <t>CGI015-qtz09-CL-dist-2</t>
  </si>
  <si>
    <t>CGI015-qtz09-CL-dist-3</t>
  </si>
  <si>
    <t>CGI015-qtz09-CL-dist-4</t>
  </si>
  <si>
    <t>CGI015-qtz09-CL-dist-5</t>
  </si>
  <si>
    <t>CGI015-qtz09-CL-dist-6</t>
  </si>
  <si>
    <t>CGI015-qtz10-CL-dist-1</t>
  </si>
  <si>
    <t>CGI015-qtz10-CL-dist-2</t>
  </si>
  <si>
    <t>CGI015-qtz10-CL-dist-3</t>
  </si>
  <si>
    <t>CGI015-qtz10-CL-dist-4</t>
  </si>
  <si>
    <t>CGI015-qtz10-CL-dist-5</t>
  </si>
  <si>
    <t>CGI015-qtz10-CL-dist-6</t>
  </si>
  <si>
    <t>CGI015-qtz10-CL-dist-7</t>
  </si>
  <si>
    <t>CGI015-qtz11-CL-dist-1</t>
  </si>
  <si>
    <t>CGI015-qtz11-CL-dist-2</t>
  </si>
  <si>
    <t>CGI015-qtz11-CL-dist-3</t>
  </si>
  <si>
    <t>CGI015-qtz11-CL-dist-4</t>
  </si>
  <si>
    <t>CGI015-qtz11-CL-dist-5</t>
  </si>
  <si>
    <t>CGI015-qtz11-CL-dist-6</t>
  </si>
  <si>
    <t>CGI015-qtz11-CL-dist-7</t>
  </si>
  <si>
    <t>CGI015-qtz12-CL-dist-1</t>
  </si>
  <si>
    <t>CGI015-qtz12-CL-dist-2</t>
  </si>
  <si>
    <t>CGI015-qtz12-CL-dist-3</t>
  </si>
  <si>
    <t>CGI015-qtz12-CL-dist-4</t>
  </si>
  <si>
    <t>CGI015-qtz12-CL-dist-5</t>
  </si>
  <si>
    <t>CGI018-qtz01-CL-dist-1</t>
  </si>
  <si>
    <t>CGI018-qtz01-CL-dist-2</t>
  </si>
  <si>
    <t>CGI018-qtz01-CL-dist-3</t>
  </si>
  <si>
    <t>CGI018-qtz01-CL-dist-4</t>
  </si>
  <si>
    <t>CGI018-qtz01-CL-dist-5</t>
  </si>
  <si>
    <t>CGI018-qtz02-CL-dist-1</t>
  </si>
  <si>
    <t>CGI018-qtz02-CL-dist-2</t>
  </si>
  <si>
    <t>CGI018-qtz02-CL-dist-3</t>
  </si>
  <si>
    <t>CGI018-qtz02-CL-dist-4</t>
  </si>
  <si>
    <t>CGI018-qtz02-CL-dist-5</t>
  </si>
  <si>
    <t>CGI018-qtz03-CL-dist-1</t>
  </si>
  <si>
    <t>CGI018-qtz03-CL-dist-2</t>
  </si>
  <si>
    <t>CGI018-qtz03-CL-dist-3</t>
  </si>
  <si>
    <t>CGI018-qtz03-CL-dist-4</t>
  </si>
  <si>
    <t>CGI018-qtz04-CL-dist-1</t>
  </si>
  <si>
    <t>CGI018-qtz04-CL-dist-2</t>
  </si>
  <si>
    <t>CGI018-qtz04-CL-dist-3</t>
  </si>
  <si>
    <t>CGI018-qtz04-CL-dist-4</t>
  </si>
  <si>
    <t>CGI018-qtz05-CL-dist-1</t>
  </si>
  <si>
    <t>CGI018-qtz05-CL-dist-2</t>
  </si>
  <si>
    <t>CGI018-qtz05-CL-dist-3</t>
  </si>
  <si>
    <t>CGI018-qtz05-CL-dist-4</t>
  </si>
  <si>
    <t>CGI018-qtz05-CL-dist-5</t>
  </si>
  <si>
    <t>CGI018-qtz05-CL-dist-6</t>
  </si>
  <si>
    <t>CGI018-qtz05-CL-dist-7</t>
  </si>
  <si>
    <t>CGI018-qtz06-CL-dist-2</t>
  </si>
  <si>
    <t>CGI018-qtz06-CL-dist-3</t>
  </si>
  <si>
    <t>CGI018-qtz06-CL-dist-4</t>
  </si>
  <si>
    <t>CGI018-qtz07-CL-dist-1</t>
  </si>
  <si>
    <t>CGI018-qtz07-CL-dist-2</t>
  </si>
  <si>
    <t>CGI018-qtz07-CL-dist-3</t>
  </si>
  <si>
    <t>CGI018-qtz08-CL-dist-1</t>
  </si>
  <si>
    <t>CGI018-qtz08-CL-dist-2</t>
  </si>
  <si>
    <t>CGI018-qtz08-CL-dist-3</t>
  </si>
  <si>
    <t>CGI018-qtz08-CL-dist-4</t>
  </si>
  <si>
    <t>CGI018-qtz08-CL-dist-5</t>
  </si>
  <si>
    <t>CGI018-qtz08-CL-dist-6</t>
  </si>
  <si>
    <t>CGI018-qtz08-CL-dist-7</t>
  </si>
  <si>
    <t>CGI018-qtz09-CL-dist-2</t>
  </si>
  <si>
    <t>CGI018-qtz09-CL-dist-3</t>
  </si>
  <si>
    <t>CGI018-qtz09-CL-dist-4</t>
  </si>
  <si>
    <t>CGI018-qtz10-CL-dist-1</t>
  </si>
  <si>
    <t>CGI018-qtz10-CL-dist-2</t>
  </si>
  <si>
    <t>CGI018-qtz10-CL-dist-3</t>
  </si>
  <si>
    <t>CGI018-qtz10-CL-dist-4</t>
  </si>
  <si>
    <t>CGI018-qtz10-CL-dist-5</t>
  </si>
  <si>
    <t>CGI018-qtz10-CL-dist-6</t>
  </si>
  <si>
    <t>CGI018-qtz11-CL-dist-1</t>
  </si>
  <si>
    <t>CGI018-qtz11-CL-dist-2</t>
  </si>
  <si>
    <t>CGI018-qtz11-CL-dist-3</t>
  </si>
  <si>
    <t>CGI018-qtz11-CL-dist-4</t>
  </si>
  <si>
    <t>CGI018-qtz11-CL-dist-5</t>
  </si>
  <si>
    <t>CGI018-qtz11-CL-dist-6</t>
  </si>
  <si>
    <t>CGI018-qtz12-CL-dist-1</t>
  </si>
  <si>
    <t>CGI018-qtz12-CL-dist-2</t>
  </si>
  <si>
    <t>CGI018-qtz12-CL-dist-3</t>
  </si>
  <si>
    <t>CGI018-qtz12-CL-dist-4</t>
  </si>
  <si>
    <t>CGI018-qtz12-CL-dist-5</t>
  </si>
  <si>
    <t>CGI018-qtz12-CL-dist-6</t>
  </si>
  <si>
    <t>CGI018-qtz12-CL-dist-7</t>
  </si>
  <si>
    <t>D(Ti_Audétat23)</t>
  </si>
  <si>
    <t>In years (yrs):</t>
  </si>
  <si>
    <t>View Field (μm)</t>
  </si>
  <si>
    <t>Distance (μm)</t>
  </si>
  <si>
    <t>Resolution (μm/pxl)</t>
  </si>
  <si>
    <t>Distance (pxl)</t>
  </si>
  <si>
    <t>Profile MC Avg (C) (yrs)</t>
  </si>
  <si>
    <t>Profile MC Avg (J) (yrs)</t>
  </si>
  <si>
    <t>Profile MC Avg (A23) (yrs)</t>
  </si>
  <si>
    <t>Growth Rate (A23) [um/yr]</t>
  </si>
  <si>
    <t>Image Width (pxl)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</si>
</sst>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6" x14ac:knownFonts="1">
    <font>
      <sz val="11"/>
      <color theme="1"/>
      <name val="Calibri"/>
      <family val="2"/>
      <scheme val="minor"/>
    </font>
    <font>
      <sz val="10"/>
      <name val="Arial"/>
      <family val="2"/>
    </font>
    <font>
      <sz val="11"/>
      <name val="Calibri"/>
      <family val="2"/>
      <scheme val="minor"/>
    </font>
    <font>
      <b/>
      <sz val="11"/>
      <color theme="1"/>
      <name val="Calibri"/>
      <family val="2"/>
      <scheme val="minor"/>
    </font>
    <font>
      <b/>
      <sz val="11"/>
      <name val="Calibri"/>
      <family val="2"/>
      <scheme val="minor"/>
    </font>
    <font>
      <b/>
      <i/>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2">
    <xf numFmtId="0" fontId="0" fillId="0" borderId="0" xfId="0"/>
    <xf numFmtId="2" fontId="0" fillId="0" borderId="0" xfId="0" applyNumberFormat="1"/>
    <xf numFmtId="1" fontId="2" fillId="0" borderId="0" xfId="1" applyNumberFormat="1" applyFont="1" applyAlignment="1">
      <alignment horizontal="center" vertical="center"/>
    </xf>
    <xf numFmtId="11" fontId="0" fillId="0" borderId="0" xfId="0" applyNumberFormat="1"/>
    <xf numFmtId="1" fontId="0" fillId="0" borderId="0" xfId="0" applyNumberFormat="1"/>
    <xf numFmtId="0" fontId="3" fillId="0" borderId="0" xfId="0" applyFont="1"/>
    <xf numFmtId="2" fontId="3" fillId="0" borderId="0" xfId="0" applyNumberFormat="1" applyFont="1"/>
    <xf numFmtId="2" fontId="4" fillId="0" borderId="0" xfId="1" applyNumberFormat="1" applyFont="1" applyAlignment="1" applyProtection="1">
      <alignment horizontal="center" vertical="center"/>
      <protection locked="0"/>
    </xf>
    <xf numFmtId="0" fontId="4" fillId="0" borderId="0" xfId="1" applyFont="1" applyAlignment="1">
      <alignment horizontal="center" vertical="center"/>
    </xf>
    <xf numFmtId="164" fontId="0" fillId="0" borderId="0" xfId="0" applyNumberFormat="1"/>
    <xf numFmtId="0" fontId="5" fillId="0" borderId="0" xfId="0" applyFont="1"/>
    <xf numFmtId="165" fontId="0" fillId="0" borderId="0" xfId="0" applyNumberFormat="1"/>
  </cellXfs>
  <cellStyles count="2">
    <cellStyle name="Normal" xfId="0" builtinId="0"/>
    <cellStyle name="Normal 2" xfId="1" xr:uid="{00000000-0005-0000-0000-000001000000}"/>
  </cellStyles>
  <dxfs count="0"/>
  <tableStyles count="0" defaultTableStyle="TableStyleMedium2" defaultPivotStyle="PivotStyleLight16"/>
  <colors>
    <mruColors>
      <color rgb="FFFA989A"/>
      <color rgb="FF92D2A3"/>
      <color rgb="FF83CB96"/>
      <color rgb="FFA3D9B1"/>
      <color rgb="FFA5F737"/>
      <color rgb="FF8FFF75"/>
      <color rgb="FFD7FFCD"/>
      <color rgb="FFFFFF00"/>
      <color rgb="FFF57777"/>
      <color rgb="FFF8F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1.xml"/><Relationship Id="rId671" Type="http://schemas.openxmlformats.org/officeDocument/2006/relationships/externalLink" Target="externalLinks/externalLink665.xml"/><Relationship Id="rId769" Type="http://schemas.openxmlformats.org/officeDocument/2006/relationships/externalLink" Target="externalLinks/externalLink763.xml"/><Relationship Id="rId21" Type="http://schemas.openxmlformats.org/officeDocument/2006/relationships/externalLink" Target="externalLinks/externalLink15.xml"/><Relationship Id="rId324" Type="http://schemas.openxmlformats.org/officeDocument/2006/relationships/externalLink" Target="externalLinks/externalLink318.xml"/><Relationship Id="rId531" Type="http://schemas.openxmlformats.org/officeDocument/2006/relationships/externalLink" Target="externalLinks/externalLink525.xml"/><Relationship Id="rId629" Type="http://schemas.openxmlformats.org/officeDocument/2006/relationships/externalLink" Target="externalLinks/externalLink623.xml"/><Relationship Id="rId170" Type="http://schemas.openxmlformats.org/officeDocument/2006/relationships/externalLink" Target="externalLinks/externalLink164.xml"/><Relationship Id="rId268" Type="http://schemas.openxmlformats.org/officeDocument/2006/relationships/externalLink" Target="externalLinks/externalLink262.xml"/><Relationship Id="rId475" Type="http://schemas.openxmlformats.org/officeDocument/2006/relationships/externalLink" Target="externalLinks/externalLink469.xml"/><Relationship Id="rId682" Type="http://schemas.openxmlformats.org/officeDocument/2006/relationships/externalLink" Target="externalLinks/externalLink676.xml"/><Relationship Id="rId32" Type="http://schemas.openxmlformats.org/officeDocument/2006/relationships/externalLink" Target="externalLinks/externalLink26.xml"/><Relationship Id="rId128" Type="http://schemas.openxmlformats.org/officeDocument/2006/relationships/externalLink" Target="externalLinks/externalLink122.xml"/><Relationship Id="rId335" Type="http://schemas.openxmlformats.org/officeDocument/2006/relationships/externalLink" Target="externalLinks/externalLink329.xml"/><Relationship Id="rId542" Type="http://schemas.openxmlformats.org/officeDocument/2006/relationships/externalLink" Target="externalLinks/externalLink536.xml"/><Relationship Id="rId181" Type="http://schemas.openxmlformats.org/officeDocument/2006/relationships/externalLink" Target="externalLinks/externalLink175.xml"/><Relationship Id="rId402" Type="http://schemas.openxmlformats.org/officeDocument/2006/relationships/externalLink" Target="externalLinks/externalLink396.xml"/><Relationship Id="rId279" Type="http://schemas.openxmlformats.org/officeDocument/2006/relationships/externalLink" Target="externalLinks/externalLink273.xml"/><Relationship Id="rId486" Type="http://schemas.openxmlformats.org/officeDocument/2006/relationships/externalLink" Target="externalLinks/externalLink480.xml"/><Relationship Id="rId693" Type="http://schemas.openxmlformats.org/officeDocument/2006/relationships/externalLink" Target="externalLinks/externalLink687.xml"/><Relationship Id="rId707" Type="http://schemas.openxmlformats.org/officeDocument/2006/relationships/externalLink" Target="externalLinks/externalLink701.xml"/><Relationship Id="rId43" Type="http://schemas.openxmlformats.org/officeDocument/2006/relationships/externalLink" Target="externalLinks/externalLink37.xml"/><Relationship Id="rId139" Type="http://schemas.openxmlformats.org/officeDocument/2006/relationships/externalLink" Target="externalLinks/externalLink133.xml"/><Relationship Id="rId346" Type="http://schemas.openxmlformats.org/officeDocument/2006/relationships/externalLink" Target="externalLinks/externalLink340.xml"/><Relationship Id="rId553" Type="http://schemas.openxmlformats.org/officeDocument/2006/relationships/externalLink" Target="externalLinks/externalLink547.xml"/><Relationship Id="rId760" Type="http://schemas.openxmlformats.org/officeDocument/2006/relationships/externalLink" Target="externalLinks/externalLink754.xml"/><Relationship Id="rId192" Type="http://schemas.openxmlformats.org/officeDocument/2006/relationships/externalLink" Target="externalLinks/externalLink186.xml"/><Relationship Id="rId206" Type="http://schemas.openxmlformats.org/officeDocument/2006/relationships/externalLink" Target="externalLinks/externalLink200.xml"/><Relationship Id="rId413" Type="http://schemas.openxmlformats.org/officeDocument/2006/relationships/externalLink" Target="externalLinks/externalLink407.xml"/><Relationship Id="rId497" Type="http://schemas.openxmlformats.org/officeDocument/2006/relationships/externalLink" Target="externalLinks/externalLink491.xml"/><Relationship Id="rId620" Type="http://schemas.openxmlformats.org/officeDocument/2006/relationships/externalLink" Target="externalLinks/externalLink614.xml"/><Relationship Id="rId718" Type="http://schemas.openxmlformats.org/officeDocument/2006/relationships/externalLink" Target="externalLinks/externalLink712.xml"/><Relationship Id="rId357" Type="http://schemas.openxmlformats.org/officeDocument/2006/relationships/externalLink" Target="externalLinks/externalLink351.xml"/><Relationship Id="rId54" Type="http://schemas.openxmlformats.org/officeDocument/2006/relationships/externalLink" Target="externalLinks/externalLink48.xml"/><Relationship Id="rId217" Type="http://schemas.openxmlformats.org/officeDocument/2006/relationships/externalLink" Target="externalLinks/externalLink211.xml"/><Relationship Id="rId564" Type="http://schemas.openxmlformats.org/officeDocument/2006/relationships/externalLink" Target="externalLinks/externalLink558.xml"/><Relationship Id="rId771" Type="http://schemas.openxmlformats.org/officeDocument/2006/relationships/externalLink" Target="externalLinks/externalLink765.xml"/><Relationship Id="rId424" Type="http://schemas.openxmlformats.org/officeDocument/2006/relationships/externalLink" Target="externalLinks/externalLink418.xml"/><Relationship Id="rId631" Type="http://schemas.openxmlformats.org/officeDocument/2006/relationships/externalLink" Target="externalLinks/externalLink625.xml"/><Relationship Id="rId729" Type="http://schemas.openxmlformats.org/officeDocument/2006/relationships/externalLink" Target="externalLinks/externalLink723.xml"/><Relationship Id="rId270" Type="http://schemas.openxmlformats.org/officeDocument/2006/relationships/externalLink" Target="externalLinks/externalLink264.xml"/><Relationship Id="rId65" Type="http://schemas.openxmlformats.org/officeDocument/2006/relationships/externalLink" Target="externalLinks/externalLink59.xml"/><Relationship Id="rId130" Type="http://schemas.openxmlformats.org/officeDocument/2006/relationships/externalLink" Target="externalLinks/externalLink124.xml"/><Relationship Id="rId368" Type="http://schemas.openxmlformats.org/officeDocument/2006/relationships/externalLink" Target="externalLinks/externalLink362.xml"/><Relationship Id="rId575" Type="http://schemas.openxmlformats.org/officeDocument/2006/relationships/externalLink" Target="externalLinks/externalLink569.xml"/><Relationship Id="rId782" Type="http://schemas.openxmlformats.org/officeDocument/2006/relationships/externalLink" Target="externalLinks/externalLink776.xml"/><Relationship Id="rId228" Type="http://schemas.openxmlformats.org/officeDocument/2006/relationships/externalLink" Target="externalLinks/externalLink222.xml"/><Relationship Id="rId435" Type="http://schemas.openxmlformats.org/officeDocument/2006/relationships/externalLink" Target="externalLinks/externalLink429.xml"/><Relationship Id="rId642" Type="http://schemas.openxmlformats.org/officeDocument/2006/relationships/externalLink" Target="externalLinks/externalLink636.xml"/><Relationship Id="rId281" Type="http://schemas.openxmlformats.org/officeDocument/2006/relationships/externalLink" Target="externalLinks/externalLink275.xml"/><Relationship Id="rId502" Type="http://schemas.openxmlformats.org/officeDocument/2006/relationships/externalLink" Target="externalLinks/externalLink496.xml"/><Relationship Id="rId76" Type="http://schemas.openxmlformats.org/officeDocument/2006/relationships/externalLink" Target="externalLinks/externalLink70.xml"/><Relationship Id="rId141" Type="http://schemas.openxmlformats.org/officeDocument/2006/relationships/externalLink" Target="externalLinks/externalLink135.xml"/><Relationship Id="rId379" Type="http://schemas.openxmlformats.org/officeDocument/2006/relationships/externalLink" Target="externalLinks/externalLink373.xml"/><Relationship Id="rId586" Type="http://schemas.openxmlformats.org/officeDocument/2006/relationships/externalLink" Target="externalLinks/externalLink580.xml"/><Relationship Id="rId793" Type="http://schemas.openxmlformats.org/officeDocument/2006/relationships/externalLink" Target="externalLinks/externalLink787.xml"/><Relationship Id="rId807" Type="http://schemas.openxmlformats.org/officeDocument/2006/relationships/externalLink" Target="externalLinks/externalLink801.xml"/><Relationship Id="rId7" Type="http://schemas.openxmlformats.org/officeDocument/2006/relationships/externalLink" Target="externalLinks/externalLink1.xml"/><Relationship Id="rId239" Type="http://schemas.openxmlformats.org/officeDocument/2006/relationships/externalLink" Target="externalLinks/externalLink233.xml"/><Relationship Id="rId446" Type="http://schemas.openxmlformats.org/officeDocument/2006/relationships/externalLink" Target="externalLinks/externalLink440.xml"/><Relationship Id="rId653" Type="http://schemas.openxmlformats.org/officeDocument/2006/relationships/externalLink" Target="externalLinks/externalLink647.xml"/><Relationship Id="rId292" Type="http://schemas.openxmlformats.org/officeDocument/2006/relationships/externalLink" Target="externalLinks/externalLink286.xml"/><Relationship Id="rId306" Type="http://schemas.openxmlformats.org/officeDocument/2006/relationships/externalLink" Target="externalLinks/externalLink300.xml"/><Relationship Id="rId87" Type="http://schemas.openxmlformats.org/officeDocument/2006/relationships/externalLink" Target="externalLinks/externalLink81.xml"/><Relationship Id="rId513" Type="http://schemas.openxmlformats.org/officeDocument/2006/relationships/externalLink" Target="externalLinks/externalLink507.xml"/><Relationship Id="rId597" Type="http://schemas.openxmlformats.org/officeDocument/2006/relationships/externalLink" Target="externalLinks/externalLink591.xml"/><Relationship Id="rId720" Type="http://schemas.openxmlformats.org/officeDocument/2006/relationships/externalLink" Target="externalLinks/externalLink714.xml"/><Relationship Id="rId818" Type="http://schemas.openxmlformats.org/officeDocument/2006/relationships/externalLink" Target="externalLinks/externalLink812.xml"/><Relationship Id="rId152" Type="http://schemas.openxmlformats.org/officeDocument/2006/relationships/externalLink" Target="externalLinks/externalLink146.xml"/><Relationship Id="rId457" Type="http://schemas.openxmlformats.org/officeDocument/2006/relationships/externalLink" Target="externalLinks/externalLink451.xml"/><Relationship Id="rId664" Type="http://schemas.openxmlformats.org/officeDocument/2006/relationships/externalLink" Target="externalLinks/externalLink658.xml"/><Relationship Id="rId14" Type="http://schemas.openxmlformats.org/officeDocument/2006/relationships/externalLink" Target="externalLinks/externalLink8.xml"/><Relationship Id="rId317" Type="http://schemas.openxmlformats.org/officeDocument/2006/relationships/externalLink" Target="externalLinks/externalLink311.xml"/><Relationship Id="rId524" Type="http://schemas.openxmlformats.org/officeDocument/2006/relationships/externalLink" Target="externalLinks/externalLink518.xml"/><Relationship Id="rId731" Type="http://schemas.openxmlformats.org/officeDocument/2006/relationships/externalLink" Target="externalLinks/externalLink725.xml"/><Relationship Id="rId98" Type="http://schemas.openxmlformats.org/officeDocument/2006/relationships/externalLink" Target="externalLinks/externalLink92.xml"/><Relationship Id="rId163" Type="http://schemas.openxmlformats.org/officeDocument/2006/relationships/externalLink" Target="externalLinks/externalLink157.xml"/><Relationship Id="rId370" Type="http://schemas.openxmlformats.org/officeDocument/2006/relationships/externalLink" Target="externalLinks/externalLink364.xml"/><Relationship Id="rId829" Type="http://schemas.openxmlformats.org/officeDocument/2006/relationships/externalLink" Target="externalLinks/externalLink823.xml"/><Relationship Id="rId230" Type="http://schemas.openxmlformats.org/officeDocument/2006/relationships/externalLink" Target="externalLinks/externalLink224.xml"/><Relationship Id="rId468" Type="http://schemas.openxmlformats.org/officeDocument/2006/relationships/externalLink" Target="externalLinks/externalLink462.xml"/><Relationship Id="rId675" Type="http://schemas.openxmlformats.org/officeDocument/2006/relationships/externalLink" Target="externalLinks/externalLink669.xml"/><Relationship Id="rId25" Type="http://schemas.openxmlformats.org/officeDocument/2006/relationships/externalLink" Target="externalLinks/externalLink19.xml"/><Relationship Id="rId328" Type="http://schemas.openxmlformats.org/officeDocument/2006/relationships/externalLink" Target="externalLinks/externalLink322.xml"/><Relationship Id="rId535" Type="http://schemas.openxmlformats.org/officeDocument/2006/relationships/externalLink" Target="externalLinks/externalLink529.xml"/><Relationship Id="rId742" Type="http://schemas.openxmlformats.org/officeDocument/2006/relationships/externalLink" Target="externalLinks/externalLink736.xml"/><Relationship Id="rId174" Type="http://schemas.openxmlformats.org/officeDocument/2006/relationships/externalLink" Target="externalLinks/externalLink168.xml"/><Relationship Id="rId381" Type="http://schemas.openxmlformats.org/officeDocument/2006/relationships/externalLink" Target="externalLinks/externalLink375.xml"/><Relationship Id="rId602" Type="http://schemas.openxmlformats.org/officeDocument/2006/relationships/externalLink" Target="externalLinks/externalLink596.xml"/><Relationship Id="rId241" Type="http://schemas.openxmlformats.org/officeDocument/2006/relationships/externalLink" Target="externalLinks/externalLink235.xml"/><Relationship Id="rId479" Type="http://schemas.openxmlformats.org/officeDocument/2006/relationships/externalLink" Target="externalLinks/externalLink473.xml"/><Relationship Id="rId686" Type="http://schemas.openxmlformats.org/officeDocument/2006/relationships/externalLink" Target="externalLinks/externalLink680.xml"/><Relationship Id="rId36" Type="http://schemas.openxmlformats.org/officeDocument/2006/relationships/externalLink" Target="externalLinks/externalLink30.xml"/><Relationship Id="rId339" Type="http://schemas.openxmlformats.org/officeDocument/2006/relationships/externalLink" Target="externalLinks/externalLink333.xml"/><Relationship Id="rId546" Type="http://schemas.openxmlformats.org/officeDocument/2006/relationships/externalLink" Target="externalLinks/externalLink540.xml"/><Relationship Id="rId753" Type="http://schemas.openxmlformats.org/officeDocument/2006/relationships/externalLink" Target="externalLinks/externalLink747.xml"/><Relationship Id="rId101" Type="http://schemas.openxmlformats.org/officeDocument/2006/relationships/externalLink" Target="externalLinks/externalLink95.xml"/><Relationship Id="rId185" Type="http://schemas.openxmlformats.org/officeDocument/2006/relationships/externalLink" Target="externalLinks/externalLink179.xml"/><Relationship Id="rId406" Type="http://schemas.openxmlformats.org/officeDocument/2006/relationships/externalLink" Target="externalLinks/externalLink400.xml"/><Relationship Id="rId392" Type="http://schemas.openxmlformats.org/officeDocument/2006/relationships/externalLink" Target="externalLinks/externalLink386.xml"/><Relationship Id="rId613" Type="http://schemas.openxmlformats.org/officeDocument/2006/relationships/externalLink" Target="externalLinks/externalLink607.xml"/><Relationship Id="rId697" Type="http://schemas.openxmlformats.org/officeDocument/2006/relationships/externalLink" Target="externalLinks/externalLink691.xml"/><Relationship Id="rId820" Type="http://schemas.openxmlformats.org/officeDocument/2006/relationships/externalLink" Target="externalLinks/externalLink814.xml"/><Relationship Id="rId252" Type="http://schemas.openxmlformats.org/officeDocument/2006/relationships/externalLink" Target="externalLinks/externalLink246.xml"/><Relationship Id="rId47" Type="http://schemas.openxmlformats.org/officeDocument/2006/relationships/externalLink" Target="externalLinks/externalLink41.xml"/><Relationship Id="rId112" Type="http://schemas.openxmlformats.org/officeDocument/2006/relationships/externalLink" Target="externalLinks/externalLink106.xml"/><Relationship Id="rId557" Type="http://schemas.openxmlformats.org/officeDocument/2006/relationships/externalLink" Target="externalLinks/externalLink551.xml"/><Relationship Id="rId764" Type="http://schemas.openxmlformats.org/officeDocument/2006/relationships/externalLink" Target="externalLinks/externalLink758.xml"/><Relationship Id="rId196" Type="http://schemas.openxmlformats.org/officeDocument/2006/relationships/externalLink" Target="externalLinks/externalLink190.xml"/><Relationship Id="rId417" Type="http://schemas.openxmlformats.org/officeDocument/2006/relationships/externalLink" Target="externalLinks/externalLink411.xml"/><Relationship Id="rId624" Type="http://schemas.openxmlformats.org/officeDocument/2006/relationships/externalLink" Target="externalLinks/externalLink618.xml"/><Relationship Id="rId831" Type="http://schemas.openxmlformats.org/officeDocument/2006/relationships/externalLink" Target="externalLinks/externalLink825.xml"/><Relationship Id="rId263" Type="http://schemas.openxmlformats.org/officeDocument/2006/relationships/externalLink" Target="externalLinks/externalLink257.xml"/><Relationship Id="rId470" Type="http://schemas.openxmlformats.org/officeDocument/2006/relationships/externalLink" Target="externalLinks/externalLink464.xml"/><Relationship Id="rId58" Type="http://schemas.openxmlformats.org/officeDocument/2006/relationships/externalLink" Target="externalLinks/externalLink52.xml"/><Relationship Id="rId123" Type="http://schemas.openxmlformats.org/officeDocument/2006/relationships/externalLink" Target="externalLinks/externalLink117.xml"/><Relationship Id="rId330" Type="http://schemas.openxmlformats.org/officeDocument/2006/relationships/externalLink" Target="externalLinks/externalLink324.xml"/><Relationship Id="rId568" Type="http://schemas.openxmlformats.org/officeDocument/2006/relationships/externalLink" Target="externalLinks/externalLink562.xml"/><Relationship Id="rId775" Type="http://schemas.openxmlformats.org/officeDocument/2006/relationships/externalLink" Target="externalLinks/externalLink769.xml"/><Relationship Id="rId428" Type="http://schemas.openxmlformats.org/officeDocument/2006/relationships/externalLink" Target="externalLinks/externalLink422.xml"/><Relationship Id="rId635" Type="http://schemas.openxmlformats.org/officeDocument/2006/relationships/externalLink" Target="externalLinks/externalLink629.xml"/><Relationship Id="rId274" Type="http://schemas.openxmlformats.org/officeDocument/2006/relationships/externalLink" Target="externalLinks/externalLink268.xml"/><Relationship Id="rId481" Type="http://schemas.openxmlformats.org/officeDocument/2006/relationships/externalLink" Target="externalLinks/externalLink475.xml"/><Relationship Id="rId702" Type="http://schemas.openxmlformats.org/officeDocument/2006/relationships/externalLink" Target="externalLinks/externalLink696.xml"/><Relationship Id="rId69" Type="http://schemas.openxmlformats.org/officeDocument/2006/relationships/externalLink" Target="externalLinks/externalLink63.xml"/><Relationship Id="rId134" Type="http://schemas.openxmlformats.org/officeDocument/2006/relationships/externalLink" Target="externalLinks/externalLink128.xml"/><Relationship Id="rId579" Type="http://schemas.openxmlformats.org/officeDocument/2006/relationships/externalLink" Target="externalLinks/externalLink573.xml"/><Relationship Id="rId786" Type="http://schemas.openxmlformats.org/officeDocument/2006/relationships/externalLink" Target="externalLinks/externalLink780.xml"/><Relationship Id="rId341" Type="http://schemas.openxmlformats.org/officeDocument/2006/relationships/externalLink" Target="externalLinks/externalLink335.xml"/><Relationship Id="rId439" Type="http://schemas.openxmlformats.org/officeDocument/2006/relationships/externalLink" Target="externalLinks/externalLink433.xml"/><Relationship Id="rId646" Type="http://schemas.openxmlformats.org/officeDocument/2006/relationships/externalLink" Target="externalLinks/externalLink640.xml"/><Relationship Id="rId201" Type="http://schemas.openxmlformats.org/officeDocument/2006/relationships/externalLink" Target="externalLinks/externalLink195.xml"/><Relationship Id="rId285" Type="http://schemas.openxmlformats.org/officeDocument/2006/relationships/externalLink" Target="externalLinks/externalLink279.xml"/><Relationship Id="rId506" Type="http://schemas.openxmlformats.org/officeDocument/2006/relationships/externalLink" Target="externalLinks/externalLink500.xml"/><Relationship Id="rId492" Type="http://schemas.openxmlformats.org/officeDocument/2006/relationships/externalLink" Target="externalLinks/externalLink486.xml"/><Relationship Id="rId713" Type="http://schemas.openxmlformats.org/officeDocument/2006/relationships/externalLink" Target="externalLinks/externalLink707.xml"/><Relationship Id="rId797" Type="http://schemas.openxmlformats.org/officeDocument/2006/relationships/externalLink" Target="externalLinks/externalLink791.xml"/><Relationship Id="rId145" Type="http://schemas.openxmlformats.org/officeDocument/2006/relationships/externalLink" Target="externalLinks/externalLink139.xml"/><Relationship Id="rId352" Type="http://schemas.openxmlformats.org/officeDocument/2006/relationships/externalLink" Target="externalLinks/externalLink346.xml"/><Relationship Id="rId212" Type="http://schemas.openxmlformats.org/officeDocument/2006/relationships/externalLink" Target="externalLinks/externalLink206.xml"/><Relationship Id="rId657" Type="http://schemas.openxmlformats.org/officeDocument/2006/relationships/externalLink" Target="externalLinks/externalLink651.xml"/><Relationship Id="rId296" Type="http://schemas.openxmlformats.org/officeDocument/2006/relationships/externalLink" Target="externalLinks/externalLink290.xml"/><Relationship Id="rId517" Type="http://schemas.openxmlformats.org/officeDocument/2006/relationships/externalLink" Target="externalLinks/externalLink511.xml"/><Relationship Id="rId724" Type="http://schemas.openxmlformats.org/officeDocument/2006/relationships/externalLink" Target="externalLinks/externalLink718.xml"/><Relationship Id="rId60" Type="http://schemas.openxmlformats.org/officeDocument/2006/relationships/externalLink" Target="externalLinks/externalLink54.xml"/><Relationship Id="rId156" Type="http://schemas.openxmlformats.org/officeDocument/2006/relationships/externalLink" Target="externalLinks/externalLink150.xml"/><Relationship Id="rId363" Type="http://schemas.openxmlformats.org/officeDocument/2006/relationships/externalLink" Target="externalLinks/externalLink357.xml"/><Relationship Id="rId570" Type="http://schemas.openxmlformats.org/officeDocument/2006/relationships/externalLink" Target="externalLinks/externalLink564.xml"/><Relationship Id="rId223" Type="http://schemas.openxmlformats.org/officeDocument/2006/relationships/externalLink" Target="externalLinks/externalLink217.xml"/><Relationship Id="rId430" Type="http://schemas.openxmlformats.org/officeDocument/2006/relationships/externalLink" Target="externalLinks/externalLink424.xml"/><Relationship Id="rId668" Type="http://schemas.openxmlformats.org/officeDocument/2006/relationships/externalLink" Target="externalLinks/externalLink662.xml"/><Relationship Id="rId18" Type="http://schemas.openxmlformats.org/officeDocument/2006/relationships/externalLink" Target="externalLinks/externalLink12.xml"/><Relationship Id="rId528" Type="http://schemas.openxmlformats.org/officeDocument/2006/relationships/externalLink" Target="externalLinks/externalLink522.xml"/><Relationship Id="rId735" Type="http://schemas.openxmlformats.org/officeDocument/2006/relationships/externalLink" Target="externalLinks/externalLink729.xml"/><Relationship Id="rId167" Type="http://schemas.openxmlformats.org/officeDocument/2006/relationships/externalLink" Target="externalLinks/externalLink161.xml"/><Relationship Id="rId374" Type="http://schemas.openxmlformats.org/officeDocument/2006/relationships/externalLink" Target="externalLinks/externalLink368.xml"/><Relationship Id="rId581" Type="http://schemas.openxmlformats.org/officeDocument/2006/relationships/externalLink" Target="externalLinks/externalLink575.xml"/><Relationship Id="rId71" Type="http://schemas.openxmlformats.org/officeDocument/2006/relationships/externalLink" Target="externalLinks/externalLink65.xml"/><Relationship Id="rId234" Type="http://schemas.openxmlformats.org/officeDocument/2006/relationships/externalLink" Target="externalLinks/externalLink228.xml"/><Relationship Id="rId679" Type="http://schemas.openxmlformats.org/officeDocument/2006/relationships/externalLink" Target="externalLinks/externalLink673.xml"/><Relationship Id="rId802" Type="http://schemas.openxmlformats.org/officeDocument/2006/relationships/externalLink" Target="externalLinks/externalLink796.xml"/><Relationship Id="rId2" Type="http://schemas.openxmlformats.org/officeDocument/2006/relationships/worksheet" Target="worksheets/sheet2.xml"/><Relationship Id="rId29" Type="http://schemas.openxmlformats.org/officeDocument/2006/relationships/externalLink" Target="externalLinks/externalLink23.xml"/><Relationship Id="rId441" Type="http://schemas.openxmlformats.org/officeDocument/2006/relationships/externalLink" Target="externalLinks/externalLink435.xml"/><Relationship Id="rId539" Type="http://schemas.openxmlformats.org/officeDocument/2006/relationships/externalLink" Target="externalLinks/externalLink533.xml"/><Relationship Id="rId746" Type="http://schemas.openxmlformats.org/officeDocument/2006/relationships/externalLink" Target="externalLinks/externalLink740.xml"/><Relationship Id="rId178" Type="http://schemas.openxmlformats.org/officeDocument/2006/relationships/externalLink" Target="externalLinks/externalLink172.xml"/><Relationship Id="rId301" Type="http://schemas.openxmlformats.org/officeDocument/2006/relationships/externalLink" Target="externalLinks/externalLink295.xml"/><Relationship Id="rId82" Type="http://schemas.openxmlformats.org/officeDocument/2006/relationships/externalLink" Target="externalLinks/externalLink76.xml"/><Relationship Id="rId385" Type="http://schemas.openxmlformats.org/officeDocument/2006/relationships/externalLink" Target="externalLinks/externalLink379.xml"/><Relationship Id="rId592" Type="http://schemas.openxmlformats.org/officeDocument/2006/relationships/externalLink" Target="externalLinks/externalLink586.xml"/><Relationship Id="rId606" Type="http://schemas.openxmlformats.org/officeDocument/2006/relationships/externalLink" Target="externalLinks/externalLink600.xml"/><Relationship Id="rId813" Type="http://schemas.openxmlformats.org/officeDocument/2006/relationships/externalLink" Target="externalLinks/externalLink807.xml"/><Relationship Id="rId245" Type="http://schemas.openxmlformats.org/officeDocument/2006/relationships/externalLink" Target="externalLinks/externalLink239.xml"/><Relationship Id="rId452" Type="http://schemas.openxmlformats.org/officeDocument/2006/relationships/externalLink" Target="externalLinks/externalLink446.xml"/><Relationship Id="rId105" Type="http://schemas.openxmlformats.org/officeDocument/2006/relationships/externalLink" Target="externalLinks/externalLink99.xml"/><Relationship Id="rId312" Type="http://schemas.openxmlformats.org/officeDocument/2006/relationships/externalLink" Target="externalLinks/externalLink306.xml"/><Relationship Id="rId757" Type="http://schemas.openxmlformats.org/officeDocument/2006/relationships/externalLink" Target="externalLinks/externalLink751.xml"/><Relationship Id="rId93" Type="http://schemas.openxmlformats.org/officeDocument/2006/relationships/externalLink" Target="externalLinks/externalLink87.xml"/><Relationship Id="rId189" Type="http://schemas.openxmlformats.org/officeDocument/2006/relationships/externalLink" Target="externalLinks/externalLink183.xml"/><Relationship Id="rId396" Type="http://schemas.openxmlformats.org/officeDocument/2006/relationships/externalLink" Target="externalLinks/externalLink390.xml"/><Relationship Id="rId617" Type="http://schemas.openxmlformats.org/officeDocument/2006/relationships/externalLink" Target="externalLinks/externalLink611.xml"/><Relationship Id="rId824" Type="http://schemas.openxmlformats.org/officeDocument/2006/relationships/externalLink" Target="externalLinks/externalLink818.xml"/><Relationship Id="rId256" Type="http://schemas.openxmlformats.org/officeDocument/2006/relationships/externalLink" Target="externalLinks/externalLink250.xml"/><Relationship Id="rId463" Type="http://schemas.openxmlformats.org/officeDocument/2006/relationships/externalLink" Target="externalLinks/externalLink457.xml"/><Relationship Id="rId670" Type="http://schemas.openxmlformats.org/officeDocument/2006/relationships/externalLink" Target="externalLinks/externalLink664.xml"/><Relationship Id="rId116" Type="http://schemas.openxmlformats.org/officeDocument/2006/relationships/externalLink" Target="externalLinks/externalLink110.xml"/><Relationship Id="rId323" Type="http://schemas.openxmlformats.org/officeDocument/2006/relationships/externalLink" Target="externalLinks/externalLink317.xml"/><Relationship Id="rId530" Type="http://schemas.openxmlformats.org/officeDocument/2006/relationships/externalLink" Target="externalLinks/externalLink524.xml"/><Relationship Id="rId768" Type="http://schemas.openxmlformats.org/officeDocument/2006/relationships/externalLink" Target="externalLinks/externalLink762.xml"/><Relationship Id="rId20" Type="http://schemas.openxmlformats.org/officeDocument/2006/relationships/externalLink" Target="externalLinks/externalLink14.xml"/><Relationship Id="rId628" Type="http://schemas.openxmlformats.org/officeDocument/2006/relationships/externalLink" Target="externalLinks/externalLink622.xml"/><Relationship Id="rId835" Type="http://schemas.openxmlformats.org/officeDocument/2006/relationships/calcChain" Target="calcChain.xml"/><Relationship Id="rId267" Type="http://schemas.openxmlformats.org/officeDocument/2006/relationships/externalLink" Target="externalLinks/externalLink261.xml"/><Relationship Id="rId474" Type="http://schemas.openxmlformats.org/officeDocument/2006/relationships/externalLink" Target="externalLinks/externalLink468.xml"/><Relationship Id="rId127" Type="http://schemas.openxmlformats.org/officeDocument/2006/relationships/externalLink" Target="externalLinks/externalLink121.xml"/><Relationship Id="rId681" Type="http://schemas.openxmlformats.org/officeDocument/2006/relationships/externalLink" Target="externalLinks/externalLink675.xml"/><Relationship Id="rId779" Type="http://schemas.openxmlformats.org/officeDocument/2006/relationships/externalLink" Target="externalLinks/externalLink773.xml"/><Relationship Id="rId31" Type="http://schemas.openxmlformats.org/officeDocument/2006/relationships/externalLink" Target="externalLinks/externalLink25.xml"/><Relationship Id="rId334" Type="http://schemas.openxmlformats.org/officeDocument/2006/relationships/externalLink" Target="externalLinks/externalLink328.xml"/><Relationship Id="rId541" Type="http://schemas.openxmlformats.org/officeDocument/2006/relationships/externalLink" Target="externalLinks/externalLink535.xml"/><Relationship Id="rId639" Type="http://schemas.openxmlformats.org/officeDocument/2006/relationships/externalLink" Target="externalLinks/externalLink633.xml"/><Relationship Id="rId180" Type="http://schemas.openxmlformats.org/officeDocument/2006/relationships/externalLink" Target="externalLinks/externalLink174.xml"/><Relationship Id="rId278" Type="http://schemas.openxmlformats.org/officeDocument/2006/relationships/externalLink" Target="externalLinks/externalLink272.xml"/><Relationship Id="rId401" Type="http://schemas.openxmlformats.org/officeDocument/2006/relationships/externalLink" Target="externalLinks/externalLink395.xml"/><Relationship Id="rId485" Type="http://schemas.openxmlformats.org/officeDocument/2006/relationships/externalLink" Target="externalLinks/externalLink479.xml"/><Relationship Id="rId692" Type="http://schemas.openxmlformats.org/officeDocument/2006/relationships/externalLink" Target="externalLinks/externalLink686.xml"/><Relationship Id="rId706" Type="http://schemas.openxmlformats.org/officeDocument/2006/relationships/externalLink" Target="externalLinks/externalLink700.xml"/><Relationship Id="rId42" Type="http://schemas.openxmlformats.org/officeDocument/2006/relationships/externalLink" Target="externalLinks/externalLink36.xml"/><Relationship Id="rId138" Type="http://schemas.openxmlformats.org/officeDocument/2006/relationships/externalLink" Target="externalLinks/externalLink132.xml"/><Relationship Id="rId345" Type="http://schemas.openxmlformats.org/officeDocument/2006/relationships/externalLink" Target="externalLinks/externalLink339.xml"/><Relationship Id="rId552" Type="http://schemas.openxmlformats.org/officeDocument/2006/relationships/externalLink" Target="externalLinks/externalLink546.xml"/><Relationship Id="rId191" Type="http://schemas.openxmlformats.org/officeDocument/2006/relationships/externalLink" Target="externalLinks/externalLink185.xml"/><Relationship Id="rId205" Type="http://schemas.openxmlformats.org/officeDocument/2006/relationships/externalLink" Target="externalLinks/externalLink199.xml"/><Relationship Id="rId412" Type="http://schemas.openxmlformats.org/officeDocument/2006/relationships/externalLink" Target="externalLinks/externalLink406.xml"/><Relationship Id="rId289" Type="http://schemas.openxmlformats.org/officeDocument/2006/relationships/externalLink" Target="externalLinks/externalLink283.xml"/><Relationship Id="rId496" Type="http://schemas.openxmlformats.org/officeDocument/2006/relationships/externalLink" Target="externalLinks/externalLink490.xml"/><Relationship Id="rId717" Type="http://schemas.openxmlformats.org/officeDocument/2006/relationships/externalLink" Target="externalLinks/externalLink711.xml"/><Relationship Id="rId53" Type="http://schemas.openxmlformats.org/officeDocument/2006/relationships/externalLink" Target="externalLinks/externalLink47.xml"/><Relationship Id="rId149" Type="http://schemas.openxmlformats.org/officeDocument/2006/relationships/externalLink" Target="externalLinks/externalLink143.xml"/><Relationship Id="rId356" Type="http://schemas.openxmlformats.org/officeDocument/2006/relationships/externalLink" Target="externalLinks/externalLink350.xml"/><Relationship Id="rId563" Type="http://schemas.openxmlformats.org/officeDocument/2006/relationships/externalLink" Target="externalLinks/externalLink557.xml"/><Relationship Id="rId770" Type="http://schemas.openxmlformats.org/officeDocument/2006/relationships/externalLink" Target="externalLinks/externalLink764.xml"/><Relationship Id="rId216" Type="http://schemas.openxmlformats.org/officeDocument/2006/relationships/externalLink" Target="externalLinks/externalLink210.xml"/><Relationship Id="rId423" Type="http://schemas.openxmlformats.org/officeDocument/2006/relationships/externalLink" Target="externalLinks/externalLink417.xml"/><Relationship Id="rId630" Type="http://schemas.openxmlformats.org/officeDocument/2006/relationships/externalLink" Target="externalLinks/externalLink624.xml"/><Relationship Id="rId728" Type="http://schemas.openxmlformats.org/officeDocument/2006/relationships/externalLink" Target="externalLinks/externalLink722.xml"/><Relationship Id="rId64" Type="http://schemas.openxmlformats.org/officeDocument/2006/relationships/externalLink" Target="externalLinks/externalLink58.xml"/><Relationship Id="rId367" Type="http://schemas.openxmlformats.org/officeDocument/2006/relationships/externalLink" Target="externalLinks/externalLink361.xml"/><Relationship Id="rId574" Type="http://schemas.openxmlformats.org/officeDocument/2006/relationships/externalLink" Target="externalLinks/externalLink568.xml"/><Relationship Id="rId227" Type="http://schemas.openxmlformats.org/officeDocument/2006/relationships/externalLink" Target="externalLinks/externalLink221.xml"/><Relationship Id="rId781" Type="http://schemas.openxmlformats.org/officeDocument/2006/relationships/externalLink" Target="externalLinks/externalLink775.xml"/><Relationship Id="rId434" Type="http://schemas.openxmlformats.org/officeDocument/2006/relationships/externalLink" Target="externalLinks/externalLink428.xml"/><Relationship Id="rId641" Type="http://schemas.openxmlformats.org/officeDocument/2006/relationships/externalLink" Target="externalLinks/externalLink635.xml"/><Relationship Id="rId739" Type="http://schemas.openxmlformats.org/officeDocument/2006/relationships/externalLink" Target="externalLinks/externalLink733.xml"/><Relationship Id="rId280" Type="http://schemas.openxmlformats.org/officeDocument/2006/relationships/externalLink" Target="externalLinks/externalLink274.xml"/><Relationship Id="rId501" Type="http://schemas.openxmlformats.org/officeDocument/2006/relationships/externalLink" Target="externalLinks/externalLink495.xml"/><Relationship Id="rId75" Type="http://schemas.openxmlformats.org/officeDocument/2006/relationships/externalLink" Target="externalLinks/externalLink69.xml"/><Relationship Id="rId140" Type="http://schemas.openxmlformats.org/officeDocument/2006/relationships/externalLink" Target="externalLinks/externalLink134.xml"/><Relationship Id="rId378" Type="http://schemas.openxmlformats.org/officeDocument/2006/relationships/externalLink" Target="externalLinks/externalLink372.xml"/><Relationship Id="rId585" Type="http://schemas.openxmlformats.org/officeDocument/2006/relationships/externalLink" Target="externalLinks/externalLink579.xml"/><Relationship Id="rId792" Type="http://schemas.openxmlformats.org/officeDocument/2006/relationships/externalLink" Target="externalLinks/externalLink786.xml"/><Relationship Id="rId806" Type="http://schemas.openxmlformats.org/officeDocument/2006/relationships/externalLink" Target="externalLinks/externalLink800.xml"/><Relationship Id="rId6" Type="http://schemas.openxmlformats.org/officeDocument/2006/relationships/worksheet" Target="worksheets/sheet6.xml"/><Relationship Id="rId238" Type="http://schemas.openxmlformats.org/officeDocument/2006/relationships/externalLink" Target="externalLinks/externalLink232.xml"/><Relationship Id="rId445" Type="http://schemas.openxmlformats.org/officeDocument/2006/relationships/externalLink" Target="externalLinks/externalLink439.xml"/><Relationship Id="rId652" Type="http://schemas.openxmlformats.org/officeDocument/2006/relationships/externalLink" Target="externalLinks/externalLink646.xml"/><Relationship Id="rId291" Type="http://schemas.openxmlformats.org/officeDocument/2006/relationships/externalLink" Target="externalLinks/externalLink285.xml"/><Relationship Id="rId305" Type="http://schemas.openxmlformats.org/officeDocument/2006/relationships/externalLink" Target="externalLinks/externalLink299.xml"/><Relationship Id="rId512" Type="http://schemas.openxmlformats.org/officeDocument/2006/relationships/externalLink" Target="externalLinks/externalLink506.xml"/><Relationship Id="rId86" Type="http://schemas.openxmlformats.org/officeDocument/2006/relationships/externalLink" Target="externalLinks/externalLink80.xml"/><Relationship Id="rId151" Type="http://schemas.openxmlformats.org/officeDocument/2006/relationships/externalLink" Target="externalLinks/externalLink145.xml"/><Relationship Id="rId389" Type="http://schemas.openxmlformats.org/officeDocument/2006/relationships/externalLink" Target="externalLinks/externalLink383.xml"/><Relationship Id="rId596" Type="http://schemas.openxmlformats.org/officeDocument/2006/relationships/externalLink" Target="externalLinks/externalLink590.xml"/><Relationship Id="rId817" Type="http://schemas.openxmlformats.org/officeDocument/2006/relationships/externalLink" Target="externalLinks/externalLink811.xml"/><Relationship Id="rId249" Type="http://schemas.openxmlformats.org/officeDocument/2006/relationships/externalLink" Target="externalLinks/externalLink243.xml"/><Relationship Id="rId456" Type="http://schemas.openxmlformats.org/officeDocument/2006/relationships/externalLink" Target="externalLinks/externalLink450.xml"/><Relationship Id="rId663" Type="http://schemas.openxmlformats.org/officeDocument/2006/relationships/externalLink" Target="externalLinks/externalLink657.xml"/><Relationship Id="rId13" Type="http://schemas.openxmlformats.org/officeDocument/2006/relationships/externalLink" Target="externalLinks/externalLink7.xml"/><Relationship Id="rId109" Type="http://schemas.openxmlformats.org/officeDocument/2006/relationships/externalLink" Target="externalLinks/externalLink103.xml"/><Relationship Id="rId316" Type="http://schemas.openxmlformats.org/officeDocument/2006/relationships/externalLink" Target="externalLinks/externalLink310.xml"/><Relationship Id="rId523" Type="http://schemas.openxmlformats.org/officeDocument/2006/relationships/externalLink" Target="externalLinks/externalLink517.xml"/><Relationship Id="rId55" Type="http://schemas.openxmlformats.org/officeDocument/2006/relationships/externalLink" Target="externalLinks/externalLink49.xml"/><Relationship Id="rId97" Type="http://schemas.openxmlformats.org/officeDocument/2006/relationships/externalLink" Target="externalLinks/externalLink91.xml"/><Relationship Id="rId120" Type="http://schemas.openxmlformats.org/officeDocument/2006/relationships/externalLink" Target="externalLinks/externalLink114.xml"/><Relationship Id="rId358" Type="http://schemas.openxmlformats.org/officeDocument/2006/relationships/externalLink" Target="externalLinks/externalLink352.xml"/><Relationship Id="rId565" Type="http://schemas.openxmlformats.org/officeDocument/2006/relationships/externalLink" Target="externalLinks/externalLink559.xml"/><Relationship Id="rId730" Type="http://schemas.openxmlformats.org/officeDocument/2006/relationships/externalLink" Target="externalLinks/externalLink724.xml"/><Relationship Id="rId772" Type="http://schemas.openxmlformats.org/officeDocument/2006/relationships/externalLink" Target="externalLinks/externalLink766.xml"/><Relationship Id="rId828" Type="http://schemas.openxmlformats.org/officeDocument/2006/relationships/externalLink" Target="externalLinks/externalLink822.xml"/><Relationship Id="rId162" Type="http://schemas.openxmlformats.org/officeDocument/2006/relationships/externalLink" Target="externalLinks/externalLink156.xml"/><Relationship Id="rId218" Type="http://schemas.openxmlformats.org/officeDocument/2006/relationships/externalLink" Target="externalLinks/externalLink212.xml"/><Relationship Id="rId425" Type="http://schemas.openxmlformats.org/officeDocument/2006/relationships/externalLink" Target="externalLinks/externalLink419.xml"/><Relationship Id="rId467" Type="http://schemas.openxmlformats.org/officeDocument/2006/relationships/externalLink" Target="externalLinks/externalLink461.xml"/><Relationship Id="rId632" Type="http://schemas.openxmlformats.org/officeDocument/2006/relationships/externalLink" Target="externalLinks/externalLink626.xml"/><Relationship Id="rId271" Type="http://schemas.openxmlformats.org/officeDocument/2006/relationships/externalLink" Target="externalLinks/externalLink265.xml"/><Relationship Id="rId674" Type="http://schemas.openxmlformats.org/officeDocument/2006/relationships/externalLink" Target="externalLinks/externalLink668.xml"/><Relationship Id="rId24" Type="http://schemas.openxmlformats.org/officeDocument/2006/relationships/externalLink" Target="externalLinks/externalLink18.xml"/><Relationship Id="rId66" Type="http://schemas.openxmlformats.org/officeDocument/2006/relationships/externalLink" Target="externalLinks/externalLink60.xml"/><Relationship Id="rId131" Type="http://schemas.openxmlformats.org/officeDocument/2006/relationships/externalLink" Target="externalLinks/externalLink125.xml"/><Relationship Id="rId327" Type="http://schemas.openxmlformats.org/officeDocument/2006/relationships/externalLink" Target="externalLinks/externalLink321.xml"/><Relationship Id="rId369" Type="http://schemas.openxmlformats.org/officeDocument/2006/relationships/externalLink" Target="externalLinks/externalLink363.xml"/><Relationship Id="rId534" Type="http://schemas.openxmlformats.org/officeDocument/2006/relationships/externalLink" Target="externalLinks/externalLink528.xml"/><Relationship Id="rId576" Type="http://schemas.openxmlformats.org/officeDocument/2006/relationships/externalLink" Target="externalLinks/externalLink570.xml"/><Relationship Id="rId741" Type="http://schemas.openxmlformats.org/officeDocument/2006/relationships/externalLink" Target="externalLinks/externalLink735.xml"/><Relationship Id="rId783" Type="http://schemas.openxmlformats.org/officeDocument/2006/relationships/externalLink" Target="externalLinks/externalLink777.xml"/><Relationship Id="rId173" Type="http://schemas.openxmlformats.org/officeDocument/2006/relationships/externalLink" Target="externalLinks/externalLink167.xml"/><Relationship Id="rId229" Type="http://schemas.openxmlformats.org/officeDocument/2006/relationships/externalLink" Target="externalLinks/externalLink223.xml"/><Relationship Id="rId380" Type="http://schemas.openxmlformats.org/officeDocument/2006/relationships/externalLink" Target="externalLinks/externalLink374.xml"/><Relationship Id="rId436" Type="http://schemas.openxmlformats.org/officeDocument/2006/relationships/externalLink" Target="externalLinks/externalLink430.xml"/><Relationship Id="rId601" Type="http://schemas.openxmlformats.org/officeDocument/2006/relationships/externalLink" Target="externalLinks/externalLink595.xml"/><Relationship Id="rId643" Type="http://schemas.openxmlformats.org/officeDocument/2006/relationships/externalLink" Target="externalLinks/externalLink637.xml"/><Relationship Id="rId240" Type="http://schemas.openxmlformats.org/officeDocument/2006/relationships/externalLink" Target="externalLinks/externalLink234.xml"/><Relationship Id="rId478" Type="http://schemas.openxmlformats.org/officeDocument/2006/relationships/externalLink" Target="externalLinks/externalLink472.xml"/><Relationship Id="rId685" Type="http://schemas.openxmlformats.org/officeDocument/2006/relationships/externalLink" Target="externalLinks/externalLink679.xml"/><Relationship Id="rId35" Type="http://schemas.openxmlformats.org/officeDocument/2006/relationships/externalLink" Target="externalLinks/externalLink29.xml"/><Relationship Id="rId77" Type="http://schemas.openxmlformats.org/officeDocument/2006/relationships/externalLink" Target="externalLinks/externalLink71.xml"/><Relationship Id="rId100" Type="http://schemas.openxmlformats.org/officeDocument/2006/relationships/externalLink" Target="externalLinks/externalLink94.xml"/><Relationship Id="rId282" Type="http://schemas.openxmlformats.org/officeDocument/2006/relationships/externalLink" Target="externalLinks/externalLink276.xml"/><Relationship Id="rId338" Type="http://schemas.openxmlformats.org/officeDocument/2006/relationships/externalLink" Target="externalLinks/externalLink332.xml"/><Relationship Id="rId503" Type="http://schemas.openxmlformats.org/officeDocument/2006/relationships/externalLink" Target="externalLinks/externalLink497.xml"/><Relationship Id="rId545" Type="http://schemas.openxmlformats.org/officeDocument/2006/relationships/externalLink" Target="externalLinks/externalLink539.xml"/><Relationship Id="rId587" Type="http://schemas.openxmlformats.org/officeDocument/2006/relationships/externalLink" Target="externalLinks/externalLink581.xml"/><Relationship Id="rId710" Type="http://schemas.openxmlformats.org/officeDocument/2006/relationships/externalLink" Target="externalLinks/externalLink704.xml"/><Relationship Id="rId752" Type="http://schemas.openxmlformats.org/officeDocument/2006/relationships/externalLink" Target="externalLinks/externalLink746.xml"/><Relationship Id="rId808" Type="http://schemas.openxmlformats.org/officeDocument/2006/relationships/externalLink" Target="externalLinks/externalLink802.xml"/><Relationship Id="rId8" Type="http://schemas.openxmlformats.org/officeDocument/2006/relationships/externalLink" Target="externalLinks/externalLink2.xml"/><Relationship Id="rId142" Type="http://schemas.openxmlformats.org/officeDocument/2006/relationships/externalLink" Target="externalLinks/externalLink136.xml"/><Relationship Id="rId184" Type="http://schemas.openxmlformats.org/officeDocument/2006/relationships/externalLink" Target="externalLinks/externalLink178.xml"/><Relationship Id="rId391" Type="http://schemas.openxmlformats.org/officeDocument/2006/relationships/externalLink" Target="externalLinks/externalLink385.xml"/><Relationship Id="rId405" Type="http://schemas.openxmlformats.org/officeDocument/2006/relationships/externalLink" Target="externalLinks/externalLink399.xml"/><Relationship Id="rId447" Type="http://schemas.openxmlformats.org/officeDocument/2006/relationships/externalLink" Target="externalLinks/externalLink441.xml"/><Relationship Id="rId612" Type="http://schemas.openxmlformats.org/officeDocument/2006/relationships/externalLink" Target="externalLinks/externalLink606.xml"/><Relationship Id="rId794" Type="http://schemas.openxmlformats.org/officeDocument/2006/relationships/externalLink" Target="externalLinks/externalLink788.xml"/><Relationship Id="rId251" Type="http://schemas.openxmlformats.org/officeDocument/2006/relationships/externalLink" Target="externalLinks/externalLink245.xml"/><Relationship Id="rId489" Type="http://schemas.openxmlformats.org/officeDocument/2006/relationships/externalLink" Target="externalLinks/externalLink483.xml"/><Relationship Id="rId654" Type="http://schemas.openxmlformats.org/officeDocument/2006/relationships/externalLink" Target="externalLinks/externalLink648.xml"/><Relationship Id="rId696" Type="http://schemas.openxmlformats.org/officeDocument/2006/relationships/externalLink" Target="externalLinks/externalLink690.xml"/><Relationship Id="rId46" Type="http://schemas.openxmlformats.org/officeDocument/2006/relationships/externalLink" Target="externalLinks/externalLink40.xml"/><Relationship Id="rId293" Type="http://schemas.openxmlformats.org/officeDocument/2006/relationships/externalLink" Target="externalLinks/externalLink287.xml"/><Relationship Id="rId307" Type="http://schemas.openxmlformats.org/officeDocument/2006/relationships/externalLink" Target="externalLinks/externalLink301.xml"/><Relationship Id="rId349" Type="http://schemas.openxmlformats.org/officeDocument/2006/relationships/externalLink" Target="externalLinks/externalLink343.xml"/><Relationship Id="rId514" Type="http://schemas.openxmlformats.org/officeDocument/2006/relationships/externalLink" Target="externalLinks/externalLink508.xml"/><Relationship Id="rId556" Type="http://schemas.openxmlformats.org/officeDocument/2006/relationships/externalLink" Target="externalLinks/externalLink550.xml"/><Relationship Id="rId721" Type="http://schemas.openxmlformats.org/officeDocument/2006/relationships/externalLink" Target="externalLinks/externalLink715.xml"/><Relationship Id="rId763" Type="http://schemas.openxmlformats.org/officeDocument/2006/relationships/externalLink" Target="externalLinks/externalLink757.xml"/><Relationship Id="rId88" Type="http://schemas.openxmlformats.org/officeDocument/2006/relationships/externalLink" Target="externalLinks/externalLink82.xml"/><Relationship Id="rId111" Type="http://schemas.openxmlformats.org/officeDocument/2006/relationships/externalLink" Target="externalLinks/externalLink105.xml"/><Relationship Id="rId153" Type="http://schemas.openxmlformats.org/officeDocument/2006/relationships/externalLink" Target="externalLinks/externalLink147.xml"/><Relationship Id="rId195" Type="http://schemas.openxmlformats.org/officeDocument/2006/relationships/externalLink" Target="externalLinks/externalLink189.xml"/><Relationship Id="rId209" Type="http://schemas.openxmlformats.org/officeDocument/2006/relationships/externalLink" Target="externalLinks/externalLink203.xml"/><Relationship Id="rId360" Type="http://schemas.openxmlformats.org/officeDocument/2006/relationships/externalLink" Target="externalLinks/externalLink354.xml"/><Relationship Id="rId416" Type="http://schemas.openxmlformats.org/officeDocument/2006/relationships/externalLink" Target="externalLinks/externalLink410.xml"/><Relationship Id="rId598" Type="http://schemas.openxmlformats.org/officeDocument/2006/relationships/externalLink" Target="externalLinks/externalLink592.xml"/><Relationship Id="rId819" Type="http://schemas.openxmlformats.org/officeDocument/2006/relationships/externalLink" Target="externalLinks/externalLink813.xml"/><Relationship Id="rId220" Type="http://schemas.openxmlformats.org/officeDocument/2006/relationships/externalLink" Target="externalLinks/externalLink214.xml"/><Relationship Id="rId458" Type="http://schemas.openxmlformats.org/officeDocument/2006/relationships/externalLink" Target="externalLinks/externalLink452.xml"/><Relationship Id="rId623" Type="http://schemas.openxmlformats.org/officeDocument/2006/relationships/externalLink" Target="externalLinks/externalLink617.xml"/><Relationship Id="rId665" Type="http://schemas.openxmlformats.org/officeDocument/2006/relationships/externalLink" Target="externalLinks/externalLink659.xml"/><Relationship Id="rId830" Type="http://schemas.openxmlformats.org/officeDocument/2006/relationships/externalLink" Target="externalLinks/externalLink824.xml"/><Relationship Id="rId15" Type="http://schemas.openxmlformats.org/officeDocument/2006/relationships/externalLink" Target="externalLinks/externalLink9.xml"/><Relationship Id="rId57" Type="http://schemas.openxmlformats.org/officeDocument/2006/relationships/externalLink" Target="externalLinks/externalLink51.xml"/><Relationship Id="rId262" Type="http://schemas.openxmlformats.org/officeDocument/2006/relationships/externalLink" Target="externalLinks/externalLink256.xml"/><Relationship Id="rId318" Type="http://schemas.openxmlformats.org/officeDocument/2006/relationships/externalLink" Target="externalLinks/externalLink312.xml"/><Relationship Id="rId525" Type="http://schemas.openxmlformats.org/officeDocument/2006/relationships/externalLink" Target="externalLinks/externalLink519.xml"/><Relationship Id="rId567" Type="http://schemas.openxmlformats.org/officeDocument/2006/relationships/externalLink" Target="externalLinks/externalLink561.xml"/><Relationship Id="rId732" Type="http://schemas.openxmlformats.org/officeDocument/2006/relationships/externalLink" Target="externalLinks/externalLink726.xml"/><Relationship Id="rId99" Type="http://schemas.openxmlformats.org/officeDocument/2006/relationships/externalLink" Target="externalLinks/externalLink93.xml"/><Relationship Id="rId122" Type="http://schemas.openxmlformats.org/officeDocument/2006/relationships/externalLink" Target="externalLinks/externalLink116.xml"/><Relationship Id="rId164" Type="http://schemas.openxmlformats.org/officeDocument/2006/relationships/externalLink" Target="externalLinks/externalLink158.xml"/><Relationship Id="rId371" Type="http://schemas.openxmlformats.org/officeDocument/2006/relationships/externalLink" Target="externalLinks/externalLink365.xml"/><Relationship Id="rId774" Type="http://schemas.openxmlformats.org/officeDocument/2006/relationships/externalLink" Target="externalLinks/externalLink768.xml"/><Relationship Id="rId427" Type="http://schemas.openxmlformats.org/officeDocument/2006/relationships/externalLink" Target="externalLinks/externalLink421.xml"/><Relationship Id="rId469" Type="http://schemas.openxmlformats.org/officeDocument/2006/relationships/externalLink" Target="externalLinks/externalLink463.xml"/><Relationship Id="rId634" Type="http://schemas.openxmlformats.org/officeDocument/2006/relationships/externalLink" Target="externalLinks/externalLink628.xml"/><Relationship Id="rId676" Type="http://schemas.openxmlformats.org/officeDocument/2006/relationships/externalLink" Target="externalLinks/externalLink670.xml"/><Relationship Id="rId26" Type="http://schemas.openxmlformats.org/officeDocument/2006/relationships/externalLink" Target="externalLinks/externalLink20.xml"/><Relationship Id="rId231" Type="http://schemas.openxmlformats.org/officeDocument/2006/relationships/externalLink" Target="externalLinks/externalLink225.xml"/><Relationship Id="rId273" Type="http://schemas.openxmlformats.org/officeDocument/2006/relationships/externalLink" Target="externalLinks/externalLink267.xml"/><Relationship Id="rId329" Type="http://schemas.openxmlformats.org/officeDocument/2006/relationships/externalLink" Target="externalLinks/externalLink323.xml"/><Relationship Id="rId480" Type="http://schemas.openxmlformats.org/officeDocument/2006/relationships/externalLink" Target="externalLinks/externalLink474.xml"/><Relationship Id="rId536" Type="http://schemas.openxmlformats.org/officeDocument/2006/relationships/externalLink" Target="externalLinks/externalLink530.xml"/><Relationship Id="rId701" Type="http://schemas.openxmlformats.org/officeDocument/2006/relationships/externalLink" Target="externalLinks/externalLink695.xml"/><Relationship Id="rId68" Type="http://schemas.openxmlformats.org/officeDocument/2006/relationships/externalLink" Target="externalLinks/externalLink62.xml"/><Relationship Id="rId133" Type="http://schemas.openxmlformats.org/officeDocument/2006/relationships/externalLink" Target="externalLinks/externalLink127.xml"/><Relationship Id="rId175" Type="http://schemas.openxmlformats.org/officeDocument/2006/relationships/externalLink" Target="externalLinks/externalLink169.xml"/><Relationship Id="rId340" Type="http://schemas.openxmlformats.org/officeDocument/2006/relationships/externalLink" Target="externalLinks/externalLink334.xml"/><Relationship Id="rId578" Type="http://schemas.openxmlformats.org/officeDocument/2006/relationships/externalLink" Target="externalLinks/externalLink572.xml"/><Relationship Id="rId743" Type="http://schemas.openxmlformats.org/officeDocument/2006/relationships/externalLink" Target="externalLinks/externalLink737.xml"/><Relationship Id="rId785" Type="http://schemas.openxmlformats.org/officeDocument/2006/relationships/externalLink" Target="externalLinks/externalLink779.xml"/><Relationship Id="rId200" Type="http://schemas.openxmlformats.org/officeDocument/2006/relationships/externalLink" Target="externalLinks/externalLink194.xml"/><Relationship Id="rId382" Type="http://schemas.openxmlformats.org/officeDocument/2006/relationships/externalLink" Target="externalLinks/externalLink376.xml"/><Relationship Id="rId438" Type="http://schemas.openxmlformats.org/officeDocument/2006/relationships/externalLink" Target="externalLinks/externalLink432.xml"/><Relationship Id="rId603" Type="http://schemas.openxmlformats.org/officeDocument/2006/relationships/externalLink" Target="externalLinks/externalLink597.xml"/><Relationship Id="rId645" Type="http://schemas.openxmlformats.org/officeDocument/2006/relationships/externalLink" Target="externalLinks/externalLink639.xml"/><Relationship Id="rId687" Type="http://schemas.openxmlformats.org/officeDocument/2006/relationships/externalLink" Target="externalLinks/externalLink681.xml"/><Relationship Id="rId810" Type="http://schemas.openxmlformats.org/officeDocument/2006/relationships/externalLink" Target="externalLinks/externalLink804.xml"/><Relationship Id="rId242" Type="http://schemas.openxmlformats.org/officeDocument/2006/relationships/externalLink" Target="externalLinks/externalLink236.xml"/><Relationship Id="rId284" Type="http://schemas.openxmlformats.org/officeDocument/2006/relationships/externalLink" Target="externalLinks/externalLink278.xml"/><Relationship Id="rId491" Type="http://schemas.openxmlformats.org/officeDocument/2006/relationships/externalLink" Target="externalLinks/externalLink485.xml"/><Relationship Id="rId505" Type="http://schemas.openxmlformats.org/officeDocument/2006/relationships/externalLink" Target="externalLinks/externalLink499.xml"/><Relationship Id="rId712" Type="http://schemas.openxmlformats.org/officeDocument/2006/relationships/externalLink" Target="externalLinks/externalLink706.xml"/><Relationship Id="rId37" Type="http://schemas.openxmlformats.org/officeDocument/2006/relationships/externalLink" Target="externalLinks/externalLink31.xml"/><Relationship Id="rId79" Type="http://schemas.openxmlformats.org/officeDocument/2006/relationships/externalLink" Target="externalLinks/externalLink73.xml"/><Relationship Id="rId102" Type="http://schemas.openxmlformats.org/officeDocument/2006/relationships/externalLink" Target="externalLinks/externalLink96.xml"/><Relationship Id="rId144" Type="http://schemas.openxmlformats.org/officeDocument/2006/relationships/externalLink" Target="externalLinks/externalLink138.xml"/><Relationship Id="rId547" Type="http://schemas.openxmlformats.org/officeDocument/2006/relationships/externalLink" Target="externalLinks/externalLink541.xml"/><Relationship Id="rId589" Type="http://schemas.openxmlformats.org/officeDocument/2006/relationships/externalLink" Target="externalLinks/externalLink583.xml"/><Relationship Id="rId754" Type="http://schemas.openxmlformats.org/officeDocument/2006/relationships/externalLink" Target="externalLinks/externalLink748.xml"/><Relationship Id="rId796" Type="http://schemas.openxmlformats.org/officeDocument/2006/relationships/externalLink" Target="externalLinks/externalLink790.xml"/><Relationship Id="rId90" Type="http://schemas.openxmlformats.org/officeDocument/2006/relationships/externalLink" Target="externalLinks/externalLink84.xml"/><Relationship Id="rId186" Type="http://schemas.openxmlformats.org/officeDocument/2006/relationships/externalLink" Target="externalLinks/externalLink180.xml"/><Relationship Id="rId351" Type="http://schemas.openxmlformats.org/officeDocument/2006/relationships/externalLink" Target="externalLinks/externalLink345.xml"/><Relationship Id="rId393" Type="http://schemas.openxmlformats.org/officeDocument/2006/relationships/externalLink" Target="externalLinks/externalLink387.xml"/><Relationship Id="rId407" Type="http://schemas.openxmlformats.org/officeDocument/2006/relationships/externalLink" Target="externalLinks/externalLink401.xml"/><Relationship Id="rId449" Type="http://schemas.openxmlformats.org/officeDocument/2006/relationships/externalLink" Target="externalLinks/externalLink443.xml"/><Relationship Id="rId614" Type="http://schemas.openxmlformats.org/officeDocument/2006/relationships/externalLink" Target="externalLinks/externalLink608.xml"/><Relationship Id="rId656" Type="http://schemas.openxmlformats.org/officeDocument/2006/relationships/externalLink" Target="externalLinks/externalLink650.xml"/><Relationship Id="rId821" Type="http://schemas.openxmlformats.org/officeDocument/2006/relationships/externalLink" Target="externalLinks/externalLink815.xml"/><Relationship Id="rId211" Type="http://schemas.openxmlformats.org/officeDocument/2006/relationships/externalLink" Target="externalLinks/externalLink205.xml"/><Relationship Id="rId253" Type="http://schemas.openxmlformats.org/officeDocument/2006/relationships/externalLink" Target="externalLinks/externalLink247.xml"/><Relationship Id="rId295" Type="http://schemas.openxmlformats.org/officeDocument/2006/relationships/externalLink" Target="externalLinks/externalLink289.xml"/><Relationship Id="rId309" Type="http://schemas.openxmlformats.org/officeDocument/2006/relationships/externalLink" Target="externalLinks/externalLink303.xml"/><Relationship Id="rId460" Type="http://schemas.openxmlformats.org/officeDocument/2006/relationships/externalLink" Target="externalLinks/externalLink454.xml"/><Relationship Id="rId516" Type="http://schemas.openxmlformats.org/officeDocument/2006/relationships/externalLink" Target="externalLinks/externalLink510.xml"/><Relationship Id="rId698" Type="http://schemas.openxmlformats.org/officeDocument/2006/relationships/externalLink" Target="externalLinks/externalLink692.xml"/><Relationship Id="rId48" Type="http://schemas.openxmlformats.org/officeDocument/2006/relationships/externalLink" Target="externalLinks/externalLink42.xml"/><Relationship Id="rId113" Type="http://schemas.openxmlformats.org/officeDocument/2006/relationships/externalLink" Target="externalLinks/externalLink107.xml"/><Relationship Id="rId320" Type="http://schemas.openxmlformats.org/officeDocument/2006/relationships/externalLink" Target="externalLinks/externalLink314.xml"/><Relationship Id="rId558" Type="http://schemas.openxmlformats.org/officeDocument/2006/relationships/externalLink" Target="externalLinks/externalLink552.xml"/><Relationship Id="rId723" Type="http://schemas.openxmlformats.org/officeDocument/2006/relationships/externalLink" Target="externalLinks/externalLink717.xml"/><Relationship Id="rId765" Type="http://schemas.openxmlformats.org/officeDocument/2006/relationships/externalLink" Target="externalLinks/externalLink759.xml"/><Relationship Id="rId155" Type="http://schemas.openxmlformats.org/officeDocument/2006/relationships/externalLink" Target="externalLinks/externalLink149.xml"/><Relationship Id="rId197" Type="http://schemas.openxmlformats.org/officeDocument/2006/relationships/externalLink" Target="externalLinks/externalLink191.xml"/><Relationship Id="rId362" Type="http://schemas.openxmlformats.org/officeDocument/2006/relationships/externalLink" Target="externalLinks/externalLink356.xml"/><Relationship Id="rId418" Type="http://schemas.openxmlformats.org/officeDocument/2006/relationships/externalLink" Target="externalLinks/externalLink412.xml"/><Relationship Id="rId625" Type="http://schemas.openxmlformats.org/officeDocument/2006/relationships/externalLink" Target="externalLinks/externalLink619.xml"/><Relationship Id="rId832" Type="http://schemas.openxmlformats.org/officeDocument/2006/relationships/theme" Target="theme/theme1.xml"/><Relationship Id="rId222" Type="http://schemas.openxmlformats.org/officeDocument/2006/relationships/externalLink" Target="externalLinks/externalLink216.xml"/><Relationship Id="rId264" Type="http://schemas.openxmlformats.org/officeDocument/2006/relationships/externalLink" Target="externalLinks/externalLink258.xml"/><Relationship Id="rId471" Type="http://schemas.openxmlformats.org/officeDocument/2006/relationships/externalLink" Target="externalLinks/externalLink465.xml"/><Relationship Id="rId667" Type="http://schemas.openxmlformats.org/officeDocument/2006/relationships/externalLink" Target="externalLinks/externalLink661.xml"/><Relationship Id="rId17" Type="http://schemas.openxmlformats.org/officeDocument/2006/relationships/externalLink" Target="externalLinks/externalLink11.xml"/><Relationship Id="rId59" Type="http://schemas.openxmlformats.org/officeDocument/2006/relationships/externalLink" Target="externalLinks/externalLink53.xml"/><Relationship Id="rId124" Type="http://schemas.openxmlformats.org/officeDocument/2006/relationships/externalLink" Target="externalLinks/externalLink118.xml"/><Relationship Id="rId527" Type="http://schemas.openxmlformats.org/officeDocument/2006/relationships/externalLink" Target="externalLinks/externalLink521.xml"/><Relationship Id="rId569" Type="http://schemas.openxmlformats.org/officeDocument/2006/relationships/externalLink" Target="externalLinks/externalLink563.xml"/><Relationship Id="rId734" Type="http://schemas.openxmlformats.org/officeDocument/2006/relationships/externalLink" Target="externalLinks/externalLink728.xml"/><Relationship Id="rId776" Type="http://schemas.openxmlformats.org/officeDocument/2006/relationships/externalLink" Target="externalLinks/externalLink770.xml"/><Relationship Id="rId70" Type="http://schemas.openxmlformats.org/officeDocument/2006/relationships/externalLink" Target="externalLinks/externalLink64.xml"/><Relationship Id="rId166" Type="http://schemas.openxmlformats.org/officeDocument/2006/relationships/externalLink" Target="externalLinks/externalLink160.xml"/><Relationship Id="rId331" Type="http://schemas.openxmlformats.org/officeDocument/2006/relationships/externalLink" Target="externalLinks/externalLink325.xml"/><Relationship Id="rId373" Type="http://schemas.openxmlformats.org/officeDocument/2006/relationships/externalLink" Target="externalLinks/externalLink367.xml"/><Relationship Id="rId429" Type="http://schemas.openxmlformats.org/officeDocument/2006/relationships/externalLink" Target="externalLinks/externalLink423.xml"/><Relationship Id="rId580" Type="http://schemas.openxmlformats.org/officeDocument/2006/relationships/externalLink" Target="externalLinks/externalLink574.xml"/><Relationship Id="rId636" Type="http://schemas.openxmlformats.org/officeDocument/2006/relationships/externalLink" Target="externalLinks/externalLink630.xml"/><Relationship Id="rId801" Type="http://schemas.openxmlformats.org/officeDocument/2006/relationships/externalLink" Target="externalLinks/externalLink795.xml"/><Relationship Id="rId1" Type="http://schemas.openxmlformats.org/officeDocument/2006/relationships/worksheet" Target="worksheets/sheet1.xml"/><Relationship Id="rId233" Type="http://schemas.openxmlformats.org/officeDocument/2006/relationships/externalLink" Target="externalLinks/externalLink227.xml"/><Relationship Id="rId440" Type="http://schemas.openxmlformats.org/officeDocument/2006/relationships/externalLink" Target="externalLinks/externalLink434.xml"/><Relationship Id="rId678" Type="http://schemas.openxmlformats.org/officeDocument/2006/relationships/externalLink" Target="externalLinks/externalLink672.xml"/><Relationship Id="rId28" Type="http://schemas.openxmlformats.org/officeDocument/2006/relationships/externalLink" Target="externalLinks/externalLink22.xml"/><Relationship Id="rId275" Type="http://schemas.openxmlformats.org/officeDocument/2006/relationships/externalLink" Target="externalLinks/externalLink269.xml"/><Relationship Id="rId300" Type="http://schemas.openxmlformats.org/officeDocument/2006/relationships/externalLink" Target="externalLinks/externalLink294.xml"/><Relationship Id="rId482" Type="http://schemas.openxmlformats.org/officeDocument/2006/relationships/externalLink" Target="externalLinks/externalLink476.xml"/><Relationship Id="rId538" Type="http://schemas.openxmlformats.org/officeDocument/2006/relationships/externalLink" Target="externalLinks/externalLink532.xml"/><Relationship Id="rId703" Type="http://schemas.openxmlformats.org/officeDocument/2006/relationships/externalLink" Target="externalLinks/externalLink697.xml"/><Relationship Id="rId745" Type="http://schemas.openxmlformats.org/officeDocument/2006/relationships/externalLink" Target="externalLinks/externalLink739.xml"/><Relationship Id="rId81" Type="http://schemas.openxmlformats.org/officeDocument/2006/relationships/externalLink" Target="externalLinks/externalLink75.xml"/><Relationship Id="rId135" Type="http://schemas.openxmlformats.org/officeDocument/2006/relationships/externalLink" Target="externalLinks/externalLink129.xml"/><Relationship Id="rId177" Type="http://schemas.openxmlformats.org/officeDocument/2006/relationships/externalLink" Target="externalLinks/externalLink171.xml"/><Relationship Id="rId342" Type="http://schemas.openxmlformats.org/officeDocument/2006/relationships/externalLink" Target="externalLinks/externalLink336.xml"/><Relationship Id="rId384" Type="http://schemas.openxmlformats.org/officeDocument/2006/relationships/externalLink" Target="externalLinks/externalLink378.xml"/><Relationship Id="rId591" Type="http://schemas.openxmlformats.org/officeDocument/2006/relationships/externalLink" Target="externalLinks/externalLink585.xml"/><Relationship Id="rId605" Type="http://schemas.openxmlformats.org/officeDocument/2006/relationships/externalLink" Target="externalLinks/externalLink599.xml"/><Relationship Id="rId787" Type="http://schemas.openxmlformats.org/officeDocument/2006/relationships/externalLink" Target="externalLinks/externalLink781.xml"/><Relationship Id="rId812" Type="http://schemas.openxmlformats.org/officeDocument/2006/relationships/externalLink" Target="externalLinks/externalLink806.xml"/><Relationship Id="rId202" Type="http://schemas.openxmlformats.org/officeDocument/2006/relationships/externalLink" Target="externalLinks/externalLink196.xml"/><Relationship Id="rId244" Type="http://schemas.openxmlformats.org/officeDocument/2006/relationships/externalLink" Target="externalLinks/externalLink238.xml"/><Relationship Id="rId647" Type="http://schemas.openxmlformats.org/officeDocument/2006/relationships/externalLink" Target="externalLinks/externalLink641.xml"/><Relationship Id="rId689" Type="http://schemas.openxmlformats.org/officeDocument/2006/relationships/externalLink" Target="externalLinks/externalLink683.xml"/><Relationship Id="rId39" Type="http://schemas.openxmlformats.org/officeDocument/2006/relationships/externalLink" Target="externalLinks/externalLink33.xml"/><Relationship Id="rId286" Type="http://schemas.openxmlformats.org/officeDocument/2006/relationships/externalLink" Target="externalLinks/externalLink280.xml"/><Relationship Id="rId451" Type="http://schemas.openxmlformats.org/officeDocument/2006/relationships/externalLink" Target="externalLinks/externalLink445.xml"/><Relationship Id="rId493" Type="http://schemas.openxmlformats.org/officeDocument/2006/relationships/externalLink" Target="externalLinks/externalLink487.xml"/><Relationship Id="rId507" Type="http://schemas.openxmlformats.org/officeDocument/2006/relationships/externalLink" Target="externalLinks/externalLink501.xml"/><Relationship Id="rId549" Type="http://schemas.openxmlformats.org/officeDocument/2006/relationships/externalLink" Target="externalLinks/externalLink543.xml"/><Relationship Id="rId714" Type="http://schemas.openxmlformats.org/officeDocument/2006/relationships/externalLink" Target="externalLinks/externalLink708.xml"/><Relationship Id="rId756" Type="http://schemas.openxmlformats.org/officeDocument/2006/relationships/externalLink" Target="externalLinks/externalLink750.xml"/><Relationship Id="rId50" Type="http://schemas.openxmlformats.org/officeDocument/2006/relationships/externalLink" Target="externalLinks/externalLink44.xml"/><Relationship Id="rId104" Type="http://schemas.openxmlformats.org/officeDocument/2006/relationships/externalLink" Target="externalLinks/externalLink98.xml"/><Relationship Id="rId146" Type="http://schemas.openxmlformats.org/officeDocument/2006/relationships/externalLink" Target="externalLinks/externalLink140.xml"/><Relationship Id="rId188" Type="http://schemas.openxmlformats.org/officeDocument/2006/relationships/externalLink" Target="externalLinks/externalLink182.xml"/><Relationship Id="rId311" Type="http://schemas.openxmlformats.org/officeDocument/2006/relationships/externalLink" Target="externalLinks/externalLink305.xml"/><Relationship Id="rId353" Type="http://schemas.openxmlformats.org/officeDocument/2006/relationships/externalLink" Target="externalLinks/externalLink347.xml"/><Relationship Id="rId395" Type="http://schemas.openxmlformats.org/officeDocument/2006/relationships/externalLink" Target="externalLinks/externalLink389.xml"/><Relationship Id="rId409" Type="http://schemas.openxmlformats.org/officeDocument/2006/relationships/externalLink" Target="externalLinks/externalLink403.xml"/><Relationship Id="rId560" Type="http://schemas.openxmlformats.org/officeDocument/2006/relationships/externalLink" Target="externalLinks/externalLink554.xml"/><Relationship Id="rId798" Type="http://schemas.openxmlformats.org/officeDocument/2006/relationships/externalLink" Target="externalLinks/externalLink792.xml"/><Relationship Id="rId92" Type="http://schemas.openxmlformats.org/officeDocument/2006/relationships/externalLink" Target="externalLinks/externalLink86.xml"/><Relationship Id="rId213" Type="http://schemas.openxmlformats.org/officeDocument/2006/relationships/externalLink" Target="externalLinks/externalLink207.xml"/><Relationship Id="rId420" Type="http://schemas.openxmlformats.org/officeDocument/2006/relationships/externalLink" Target="externalLinks/externalLink414.xml"/><Relationship Id="rId616" Type="http://schemas.openxmlformats.org/officeDocument/2006/relationships/externalLink" Target="externalLinks/externalLink610.xml"/><Relationship Id="rId658" Type="http://schemas.openxmlformats.org/officeDocument/2006/relationships/externalLink" Target="externalLinks/externalLink652.xml"/><Relationship Id="rId823" Type="http://schemas.openxmlformats.org/officeDocument/2006/relationships/externalLink" Target="externalLinks/externalLink817.xml"/><Relationship Id="rId255" Type="http://schemas.openxmlformats.org/officeDocument/2006/relationships/externalLink" Target="externalLinks/externalLink249.xml"/><Relationship Id="rId297" Type="http://schemas.openxmlformats.org/officeDocument/2006/relationships/externalLink" Target="externalLinks/externalLink291.xml"/><Relationship Id="rId462" Type="http://schemas.openxmlformats.org/officeDocument/2006/relationships/externalLink" Target="externalLinks/externalLink456.xml"/><Relationship Id="rId518" Type="http://schemas.openxmlformats.org/officeDocument/2006/relationships/externalLink" Target="externalLinks/externalLink512.xml"/><Relationship Id="rId725" Type="http://schemas.openxmlformats.org/officeDocument/2006/relationships/externalLink" Target="externalLinks/externalLink719.xml"/><Relationship Id="rId115" Type="http://schemas.openxmlformats.org/officeDocument/2006/relationships/externalLink" Target="externalLinks/externalLink109.xml"/><Relationship Id="rId157" Type="http://schemas.openxmlformats.org/officeDocument/2006/relationships/externalLink" Target="externalLinks/externalLink151.xml"/><Relationship Id="rId322" Type="http://schemas.openxmlformats.org/officeDocument/2006/relationships/externalLink" Target="externalLinks/externalLink316.xml"/><Relationship Id="rId364" Type="http://schemas.openxmlformats.org/officeDocument/2006/relationships/externalLink" Target="externalLinks/externalLink358.xml"/><Relationship Id="rId767" Type="http://schemas.openxmlformats.org/officeDocument/2006/relationships/externalLink" Target="externalLinks/externalLink761.xml"/><Relationship Id="rId61" Type="http://schemas.openxmlformats.org/officeDocument/2006/relationships/externalLink" Target="externalLinks/externalLink55.xml"/><Relationship Id="rId199" Type="http://schemas.openxmlformats.org/officeDocument/2006/relationships/externalLink" Target="externalLinks/externalLink193.xml"/><Relationship Id="rId571" Type="http://schemas.openxmlformats.org/officeDocument/2006/relationships/externalLink" Target="externalLinks/externalLink565.xml"/><Relationship Id="rId627" Type="http://schemas.openxmlformats.org/officeDocument/2006/relationships/externalLink" Target="externalLinks/externalLink621.xml"/><Relationship Id="rId669" Type="http://schemas.openxmlformats.org/officeDocument/2006/relationships/externalLink" Target="externalLinks/externalLink663.xml"/><Relationship Id="rId834" Type="http://schemas.openxmlformats.org/officeDocument/2006/relationships/sharedStrings" Target="sharedStrings.xml"/><Relationship Id="rId19" Type="http://schemas.openxmlformats.org/officeDocument/2006/relationships/externalLink" Target="externalLinks/externalLink13.xml"/><Relationship Id="rId224" Type="http://schemas.openxmlformats.org/officeDocument/2006/relationships/externalLink" Target="externalLinks/externalLink218.xml"/><Relationship Id="rId266" Type="http://schemas.openxmlformats.org/officeDocument/2006/relationships/externalLink" Target="externalLinks/externalLink260.xml"/><Relationship Id="rId431" Type="http://schemas.openxmlformats.org/officeDocument/2006/relationships/externalLink" Target="externalLinks/externalLink425.xml"/><Relationship Id="rId473" Type="http://schemas.openxmlformats.org/officeDocument/2006/relationships/externalLink" Target="externalLinks/externalLink467.xml"/><Relationship Id="rId529" Type="http://schemas.openxmlformats.org/officeDocument/2006/relationships/externalLink" Target="externalLinks/externalLink523.xml"/><Relationship Id="rId680" Type="http://schemas.openxmlformats.org/officeDocument/2006/relationships/externalLink" Target="externalLinks/externalLink674.xml"/><Relationship Id="rId736" Type="http://schemas.openxmlformats.org/officeDocument/2006/relationships/externalLink" Target="externalLinks/externalLink730.xml"/><Relationship Id="rId30" Type="http://schemas.openxmlformats.org/officeDocument/2006/relationships/externalLink" Target="externalLinks/externalLink24.xml"/><Relationship Id="rId126" Type="http://schemas.openxmlformats.org/officeDocument/2006/relationships/externalLink" Target="externalLinks/externalLink120.xml"/><Relationship Id="rId168" Type="http://schemas.openxmlformats.org/officeDocument/2006/relationships/externalLink" Target="externalLinks/externalLink162.xml"/><Relationship Id="rId333" Type="http://schemas.openxmlformats.org/officeDocument/2006/relationships/externalLink" Target="externalLinks/externalLink327.xml"/><Relationship Id="rId540" Type="http://schemas.openxmlformats.org/officeDocument/2006/relationships/externalLink" Target="externalLinks/externalLink534.xml"/><Relationship Id="rId778" Type="http://schemas.openxmlformats.org/officeDocument/2006/relationships/externalLink" Target="externalLinks/externalLink772.xml"/><Relationship Id="rId72" Type="http://schemas.openxmlformats.org/officeDocument/2006/relationships/externalLink" Target="externalLinks/externalLink66.xml"/><Relationship Id="rId375" Type="http://schemas.openxmlformats.org/officeDocument/2006/relationships/externalLink" Target="externalLinks/externalLink369.xml"/><Relationship Id="rId582" Type="http://schemas.openxmlformats.org/officeDocument/2006/relationships/externalLink" Target="externalLinks/externalLink576.xml"/><Relationship Id="rId638" Type="http://schemas.openxmlformats.org/officeDocument/2006/relationships/externalLink" Target="externalLinks/externalLink632.xml"/><Relationship Id="rId803" Type="http://schemas.openxmlformats.org/officeDocument/2006/relationships/externalLink" Target="externalLinks/externalLink797.xml"/><Relationship Id="rId3" Type="http://schemas.openxmlformats.org/officeDocument/2006/relationships/worksheet" Target="worksheets/sheet3.xml"/><Relationship Id="rId235" Type="http://schemas.openxmlformats.org/officeDocument/2006/relationships/externalLink" Target="externalLinks/externalLink229.xml"/><Relationship Id="rId277" Type="http://schemas.openxmlformats.org/officeDocument/2006/relationships/externalLink" Target="externalLinks/externalLink271.xml"/><Relationship Id="rId400" Type="http://schemas.openxmlformats.org/officeDocument/2006/relationships/externalLink" Target="externalLinks/externalLink394.xml"/><Relationship Id="rId442" Type="http://schemas.openxmlformats.org/officeDocument/2006/relationships/externalLink" Target="externalLinks/externalLink436.xml"/><Relationship Id="rId484" Type="http://schemas.openxmlformats.org/officeDocument/2006/relationships/externalLink" Target="externalLinks/externalLink478.xml"/><Relationship Id="rId705" Type="http://schemas.openxmlformats.org/officeDocument/2006/relationships/externalLink" Target="externalLinks/externalLink699.xml"/><Relationship Id="rId137" Type="http://schemas.openxmlformats.org/officeDocument/2006/relationships/externalLink" Target="externalLinks/externalLink131.xml"/><Relationship Id="rId302" Type="http://schemas.openxmlformats.org/officeDocument/2006/relationships/externalLink" Target="externalLinks/externalLink296.xml"/><Relationship Id="rId344" Type="http://schemas.openxmlformats.org/officeDocument/2006/relationships/externalLink" Target="externalLinks/externalLink338.xml"/><Relationship Id="rId691" Type="http://schemas.openxmlformats.org/officeDocument/2006/relationships/externalLink" Target="externalLinks/externalLink685.xml"/><Relationship Id="rId747" Type="http://schemas.openxmlformats.org/officeDocument/2006/relationships/externalLink" Target="externalLinks/externalLink741.xml"/><Relationship Id="rId789" Type="http://schemas.openxmlformats.org/officeDocument/2006/relationships/externalLink" Target="externalLinks/externalLink783.xml"/><Relationship Id="rId41" Type="http://schemas.openxmlformats.org/officeDocument/2006/relationships/externalLink" Target="externalLinks/externalLink35.xml"/><Relationship Id="rId83" Type="http://schemas.openxmlformats.org/officeDocument/2006/relationships/externalLink" Target="externalLinks/externalLink77.xml"/><Relationship Id="rId179" Type="http://schemas.openxmlformats.org/officeDocument/2006/relationships/externalLink" Target="externalLinks/externalLink173.xml"/><Relationship Id="rId386" Type="http://schemas.openxmlformats.org/officeDocument/2006/relationships/externalLink" Target="externalLinks/externalLink380.xml"/><Relationship Id="rId551" Type="http://schemas.openxmlformats.org/officeDocument/2006/relationships/externalLink" Target="externalLinks/externalLink545.xml"/><Relationship Id="rId593" Type="http://schemas.openxmlformats.org/officeDocument/2006/relationships/externalLink" Target="externalLinks/externalLink587.xml"/><Relationship Id="rId607" Type="http://schemas.openxmlformats.org/officeDocument/2006/relationships/externalLink" Target="externalLinks/externalLink601.xml"/><Relationship Id="rId649" Type="http://schemas.openxmlformats.org/officeDocument/2006/relationships/externalLink" Target="externalLinks/externalLink643.xml"/><Relationship Id="rId814" Type="http://schemas.openxmlformats.org/officeDocument/2006/relationships/externalLink" Target="externalLinks/externalLink808.xml"/><Relationship Id="rId190" Type="http://schemas.openxmlformats.org/officeDocument/2006/relationships/externalLink" Target="externalLinks/externalLink184.xml"/><Relationship Id="rId204" Type="http://schemas.openxmlformats.org/officeDocument/2006/relationships/externalLink" Target="externalLinks/externalLink198.xml"/><Relationship Id="rId246" Type="http://schemas.openxmlformats.org/officeDocument/2006/relationships/externalLink" Target="externalLinks/externalLink240.xml"/><Relationship Id="rId288" Type="http://schemas.openxmlformats.org/officeDocument/2006/relationships/externalLink" Target="externalLinks/externalLink282.xml"/><Relationship Id="rId411" Type="http://schemas.openxmlformats.org/officeDocument/2006/relationships/externalLink" Target="externalLinks/externalLink405.xml"/><Relationship Id="rId453" Type="http://schemas.openxmlformats.org/officeDocument/2006/relationships/externalLink" Target="externalLinks/externalLink447.xml"/><Relationship Id="rId509" Type="http://schemas.openxmlformats.org/officeDocument/2006/relationships/externalLink" Target="externalLinks/externalLink503.xml"/><Relationship Id="rId660" Type="http://schemas.openxmlformats.org/officeDocument/2006/relationships/externalLink" Target="externalLinks/externalLink654.xml"/><Relationship Id="rId106" Type="http://schemas.openxmlformats.org/officeDocument/2006/relationships/externalLink" Target="externalLinks/externalLink100.xml"/><Relationship Id="rId313" Type="http://schemas.openxmlformats.org/officeDocument/2006/relationships/externalLink" Target="externalLinks/externalLink307.xml"/><Relationship Id="rId495" Type="http://schemas.openxmlformats.org/officeDocument/2006/relationships/externalLink" Target="externalLinks/externalLink489.xml"/><Relationship Id="rId716" Type="http://schemas.openxmlformats.org/officeDocument/2006/relationships/externalLink" Target="externalLinks/externalLink710.xml"/><Relationship Id="rId758" Type="http://schemas.openxmlformats.org/officeDocument/2006/relationships/externalLink" Target="externalLinks/externalLink752.xml"/><Relationship Id="rId10" Type="http://schemas.openxmlformats.org/officeDocument/2006/relationships/externalLink" Target="externalLinks/externalLink4.xml"/><Relationship Id="rId52" Type="http://schemas.openxmlformats.org/officeDocument/2006/relationships/externalLink" Target="externalLinks/externalLink46.xml"/><Relationship Id="rId94" Type="http://schemas.openxmlformats.org/officeDocument/2006/relationships/externalLink" Target="externalLinks/externalLink88.xml"/><Relationship Id="rId148" Type="http://schemas.openxmlformats.org/officeDocument/2006/relationships/externalLink" Target="externalLinks/externalLink142.xml"/><Relationship Id="rId355" Type="http://schemas.openxmlformats.org/officeDocument/2006/relationships/externalLink" Target="externalLinks/externalLink349.xml"/><Relationship Id="rId397" Type="http://schemas.openxmlformats.org/officeDocument/2006/relationships/externalLink" Target="externalLinks/externalLink391.xml"/><Relationship Id="rId520" Type="http://schemas.openxmlformats.org/officeDocument/2006/relationships/externalLink" Target="externalLinks/externalLink514.xml"/><Relationship Id="rId562" Type="http://schemas.openxmlformats.org/officeDocument/2006/relationships/externalLink" Target="externalLinks/externalLink556.xml"/><Relationship Id="rId618" Type="http://schemas.openxmlformats.org/officeDocument/2006/relationships/externalLink" Target="externalLinks/externalLink612.xml"/><Relationship Id="rId825" Type="http://schemas.openxmlformats.org/officeDocument/2006/relationships/externalLink" Target="externalLinks/externalLink819.xml"/><Relationship Id="rId215" Type="http://schemas.openxmlformats.org/officeDocument/2006/relationships/externalLink" Target="externalLinks/externalLink209.xml"/><Relationship Id="rId257" Type="http://schemas.openxmlformats.org/officeDocument/2006/relationships/externalLink" Target="externalLinks/externalLink251.xml"/><Relationship Id="rId422" Type="http://schemas.openxmlformats.org/officeDocument/2006/relationships/externalLink" Target="externalLinks/externalLink416.xml"/><Relationship Id="rId464" Type="http://schemas.openxmlformats.org/officeDocument/2006/relationships/externalLink" Target="externalLinks/externalLink458.xml"/><Relationship Id="rId299" Type="http://schemas.openxmlformats.org/officeDocument/2006/relationships/externalLink" Target="externalLinks/externalLink293.xml"/><Relationship Id="rId727" Type="http://schemas.openxmlformats.org/officeDocument/2006/relationships/externalLink" Target="externalLinks/externalLink721.xml"/><Relationship Id="rId63" Type="http://schemas.openxmlformats.org/officeDocument/2006/relationships/externalLink" Target="externalLinks/externalLink57.xml"/><Relationship Id="rId159" Type="http://schemas.openxmlformats.org/officeDocument/2006/relationships/externalLink" Target="externalLinks/externalLink153.xml"/><Relationship Id="rId366" Type="http://schemas.openxmlformats.org/officeDocument/2006/relationships/externalLink" Target="externalLinks/externalLink360.xml"/><Relationship Id="rId573" Type="http://schemas.openxmlformats.org/officeDocument/2006/relationships/externalLink" Target="externalLinks/externalLink567.xml"/><Relationship Id="rId780" Type="http://schemas.openxmlformats.org/officeDocument/2006/relationships/externalLink" Target="externalLinks/externalLink774.xml"/><Relationship Id="rId226" Type="http://schemas.openxmlformats.org/officeDocument/2006/relationships/externalLink" Target="externalLinks/externalLink220.xml"/><Relationship Id="rId433" Type="http://schemas.openxmlformats.org/officeDocument/2006/relationships/externalLink" Target="externalLinks/externalLink427.xml"/><Relationship Id="rId640" Type="http://schemas.openxmlformats.org/officeDocument/2006/relationships/externalLink" Target="externalLinks/externalLink634.xml"/><Relationship Id="rId738" Type="http://schemas.openxmlformats.org/officeDocument/2006/relationships/externalLink" Target="externalLinks/externalLink732.xml"/><Relationship Id="rId74" Type="http://schemas.openxmlformats.org/officeDocument/2006/relationships/externalLink" Target="externalLinks/externalLink68.xml"/><Relationship Id="rId377" Type="http://schemas.openxmlformats.org/officeDocument/2006/relationships/externalLink" Target="externalLinks/externalLink371.xml"/><Relationship Id="rId500" Type="http://schemas.openxmlformats.org/officeDocument/2006/relationships/externalLink" Target="externalLinks/externalLink494.xml"/><Relationship Id="rId584" Type="http://schemas.openxmlformats.org/officeDocument/2006/relationships/externalLink" Target="externalLinks/externalLink578.xml"/><Relationship Id="rId805" Type="http://schemas.openxmlformats.org/officeDocument/2006/relationships/externalLink" Target="externalLinks/externalLink799.xml"/><Relationship Id="rId5" Type="http://schemas.openxmlformats.org/officeDocument/2006/relationships/worksheet" Target="worksheets/sheet5.xml"/><Relationship Id="rId237" Type="http://schemas.openxmlformats.org/officeDocument/2006/relationships/externalLink" Target="externalLinks/externalLink231.xml"/><Relationship Id="rId791" Type="http://schemas.openxmlformats.org/officeDocument/2006/relationships/externalLink" Target="externalLinks/externalLink785.xml"/><Relationship Id="rId444" Type="http://schemas.openxmlformats.org/officeDocument/2006/relationships/externalLink" Target="externalLinks/externalLink438.xml"/><Relationship Id="rId651" Type="http://schemas.openxmlformats.org/officeDocument/2006/relationships/externalLink" Target="externalLinks/externalLink645.xml"/><Relationship Id="rId749" Type="http://schemas.openxmlformats.org/officeDocument/2006/relationships/externalLink" Target="externalLinks/externalLink743.xml"/><Relationship Id="rId290" Type="http://schemas.openxmlformats.org/officeDocument/2006/relationships/externalLink" Target="externalLinks/externalLink284.xml"/><Relationship Id="rId304" Type="http://schemas.openxmlformats.org/officeDocument/2006/relationships/externalLink" Target="externalLinks/externalLink298.xml"/><Relationship Id="rId388" Type="http://schemas.openxmlformats.org/officeDocument/2006/relationships/externalLink" Target="externalLinks/externalLink382.xml"/><Relationship Id="rId511" Type="http://schemas.openxmlformats.org/officeDocument/2006/relationships/externalLink" Target="externalLinks/externalLink505.xml"/><Relationship Id="rId609" Type="http://schemas.openxmlformats.org/officeDocument/2006/relationships/externalLink" Target="externalLinks/externalLink603.xml"/><Relationship Id="rId85" Type="http://schemas.openxmlformats.org/officeDocument/2006/relationships/externalLink" Target="externalLinks/externalLink79.xml"/><Relationship Id="rId150" Type="http://schemas.openxmlformats.org/officeDocument/2006/relationships/externalLink" Target="externalLinks/externalLink144.xml"/><Relationship Id="rId595" Type="http://schemas.openxmlformats.org/officeDocument/2006/relationships/externalLink" Target="externalLinks/externalLink589.xml"/><Relationship Id="rId816" Type="http://schemas.openxmlformats.org/officeDocument/2006/relationships/externalLink" Target="externalLinks/externalLink810.xml"/><Relationship Id="rId248" Type="http://schemas.openxmlformats.org/officeDocument/2006/relationships/externalLink" Target="externalLinks/externalLink242.xml"/><Relationship Id="rId455" Type="http://schemas.openxmlformats.org/officeDocument/2006/relationships/externalLink" Target="externalLinks/externalLink449.xml"/><Relationship Id="rId662" Type="http://schemas.openxmlformats.org/officeDocument/2006/relationships/externalLink" Target="externalLinks/externalLink656.xml"/><Relationship Id="rId12" Type="http://schemas.openxmlformats.org/officeDocument/2006/relationships/externalLink" Target="externalLinks/externalLink6.xml"/><Relationship Id="rId108" Type="http://schemas.openxmlformats.org/officeDocument/2006/relationships/externalLink" Target="externalLinks/externalLink102.xml"/><Relationship Id="rId315" Type="http://schemas.openxmlformats.org/officeDocument/2006/relationships/externalLink" Target="externalLinks/externalLink309.xml"/><Relationship Id="rId522" Type="http://schemas.openxmlformats.org/officeDocument/2006/relationships/externalLink" Target="externalLinks/externalLink516.xml"/><Relationship Id="rId96" Type="http://schemas.openxmlformats.org/officeDocument/2006/relationships/externalLink" Target="externalLinks/externalLink90.xml"/><Relationship Id="rId161" Type="http://schemas.openxmlformats.org/officeDocument/2006/relationships/externalLink" Target="externalLinks/externalLink155.xml"/><Relationship Id="rId399" Type="http://schemas.openxmlformats.org/officeDocument/2006/relationships/externalLink" Target="externalLinks/externalLink393.xml"/><Relationship Id="rId827" Type="http://schemas.openxmlformats.org/officeDocument/2006/relationships/externalLink" Target="externalLinks/externalLink821.xml"/><Relationship Id="rId259" Type="http://schemas.openxmlformats.org/officeDocument/2006/relationships/externalLink" Target="externalLinks/externalLink253.xml"/><Relationship Id="rId466" Type="http://schemas.openxmlformats.org/officeDocument/2006/relationships/externalLink" Target="externalLinks/externalLink460.xml"/><Relationship Id="rId673" Type="http://schemas.openxmlformats.org/officeDocument/2006/relationships/externalLink" Target="externalLinks/externalLink667.xml"/><Relationship Id="rId23" Type="http://schemas.openxmlformats.org/officeDocument/2006/relationships/externalLink" Target="externalLinks/externalLink17.xml"/><Relationship Id="rId119" Type="http://schemas.openxmlformats.org/officeDocument/2006/relationships/externalLink" Target="externalLinks/externalLink113.xml"/><Relationship Id="rId326" Type="http://schemas.openxmlformats.org/officeDocument/2006/relationships/externalLink" Target="externalLinks/externalLink320.xml"/><Relationship Id="rId533" Type="http://schemas.openxmlformats.org/officeDocument/2006/relationships/externalLink" Target="externalLinks/externalLink527.xml"/><Relationship Id="rId740" Type="http://schemas.openxmlformats.org/officeDocument/2006/relationships/externalLink" Target="externalLinks/externalLink734.xml"/><Relationship Id="rId172" Type="http://schemas.openxmlformats.org/officeDocument/2006/relationships/externalLink" Target="externalLinks/externalLink166.xml"/><Relationship Id="rId477" Type="http://schemas.openxmlformats.org/officeDocument/2006/relationships/externalLink" Target="externalLinks/externalLink471.xml"/><Relationship Id="rId600" Type="http://schemas.openxmlformats.org/officeDocument/2006/relationships/externalLink" Target="externalLinks/externalLink594.xml"/><Relationship Id="rId684" Type="http://schemas.openxmlformats.org/officeDocument/2006/relationships/externalLink" Target="externalLinks/externalLink678.xml"/><Relationship Id="rId337" Type="http://schemas.openxmlformats.org/officeDocument/2006/relationships/externalLink" Target="externalLinks/externalLink331.xml"/><Relationship Id="rId34" Type="http://schemas.openxmlformats.org/officeDocument/2006/relationships/externalLink" Target="externalLinks/externalLink28.xml"/><Relationship Id="rId544" Type="http://schemas.openxmlformats.org/officeDocument/2006/relationships/externalLink" Target="externalLinks/externalLink538.xml"/><Relationship Id="rId751" Type="http://schemas.openxmlformats.org/officeDocument/2006/relationships/externalLink" Target="externalLinks/externalLink745.xml"/><Relationship Id="rId183" Type="http://schemas.openxmlformats.org/officeDocument/2006/relationships/externalLink" Target="externalLinks/externalLink177.xml"/><Relationship Id="rId390" Type="http://schemas.openxmlformats.org/officeDocument/2006/relationships/externalLink" Target="externalLinks/externalLink384.xml"/><Relationship Id="rId404" Type="http://schemas.openxmlformats.org/officeDocument/2006/relationships/externalLink" Target="externalLinks/externalLink398.xml"/><Relationship Id="rId611" Type="http://schemas.openxmlformats.org/officeDocument/2006/relationships/externalLink" Target="externalLinks/externalLink605.xml"/><Relationship Id="rId250" Type="http://schemas.openxmlformats.org/officeDocument/2006/relationships/externalLink" Target="externalLinks/externalLink244.xml"/><Relationship Id="rId488" Type="http://schemas.openxmlformats.org/officeDocument/2006/relationships/externalLink" Target="externalLinks/externalLink482.xml"/><Relationship Id="rId695" Type="http://schemas.openxmlformats.org/officeDocument/2006/relationships/externalLink" Target="externalLinks/externalLink689.xml"/><Relationship Id="rId709" Type="http://schemas.openxmlformats.org/officeDocument/2006/relationships/externalLink" Target="externalLinks/externalLink703.xml"/><Relationship Id="rId45" Type="http://schemas.openxmlformats.org/officeDocument/2006/relationships/externalLink" Target="externalLinks/externalLink39.xml"/><Relationship Id="rId110" Type="http://schemas.openxmlformats.org/officeDocument/2006/relationships/externalLink" Target="externalLinks/externalLink104.xml"/><Relationship Id="rId348" Type="http://schemas.openxmlformats.org/officeDocument/2006/relationships/externalLink" Target="externalLinks/externalLink342.xml"/><Relationship Id="rId555" Type="http://schemas.openxmlformats.org/officeDocument/2006/relationships/externalLink" Target="externalLinks/externalLink549.xml"/><Relationship Id="rId762" Type="http://schemas.openxmlformats.org/officeDocument/2006/relationships/externalLink" Target="externalLinks/externalLink756.xml"/><Relationship Id="rId194" Type="http://schemas.openxmlformats.org/officeDocument/2006/relationships/externalLink" Target="externalLinks/externalLink188.xml"/><Relationship Id="rId208" Type="http://schemas.openxmlformats.org/officeDocument/2006/relationships/externalLink" Target="externalLinks/externalLink202.xml"/><Relationship Id="rId415" Type="http://schemas.openxmlformats.org/officeDocument/2006/relationships/externalLink" Target="externalLinks/externalLink409.xml"/><Relationship Id="rId622" Type="http://schemas.openxmlformats.org/officeDocument/2006/relationships/externalLink" Target="externalLinks/externalLink616.xml"/><Relationship Id="rId261" Type="http://schemas.openxmlformats.org/officeDocument/2006/relationships/externalLink" Target="externalLinks/externalLink255.xml"/><Relationship Id="rId499" Type="http://schemas.openxmlformats.org/officeDocument/2006/relationships/externalLink" Target="externalLinks/externalLink493.xml"/><Relationship Id="rId56" Type="http://schemas.openxmlformats.org/officeDocument/2006/relationships/externalLink" Target="externalLinks/externalLink50.xml"/><Relationship Id="rId359" Type="http://schemas.openxmlformats.org/officeDocument/2006/relationships/externalLink" Target="externalLinks/externalLink353.xml"/><Relationship Id="rId566" Type="http://schemas.openxmlformats.org/officeDocument/2006/relationships/externalLink" Target="externalLinks/externalLink560.xml"/><Relationship Id="rId773" Type="http://schemas.openxmlformats.org/officeDocument/2006/relationships/externalLink" Target="externalLinks/externalLink767.xml"/><Relationship Id="rId121" Type="http://schemas.openxmlformats.org/officeDocument/2006/relationships/externalLink" Target="externalLinks/externalLink115.xml"/><Relationship Id="rId219" Type="http://schemas.openxmlformats.org/officeDocument/2006/relationships/externalLink" Target="externalLinks/externalLink213.xml"/><Relationship Id="rId426" Type="http://schemas.openxmlformats.org/officeDocument/2006/relationships/externalLink" Target="externalLinks/externalLink420.xml"/><Relationship Id="rId633" Type="http://schemas.openxmlformats.org/officeDocument/2006/relationships/externalLink" Target="externalLinks/externalLink627.xml"/><Relationship Id="rId67" Type="http://schemas.openxmlformats.org/officeDocument/2006/relationships/externalLink" Target="externalLinks/externalLink61.xml"/><Relationship Id="rId272" Type="http://schemas.openxmlformats.org/officeDocument/2006/relationships/externalLink" Target="externalLinks/externalLink266.xml"/><Relationship Id="rId577" Type="http://schemas.openxmlformats.org/officeDocument/2006/relationships/externalLink" Target="externalLinks/externalLink571.xml"/><Relationship Id="rId700" Type="http://schemas.openxmlformats.org/officeDocument/2006/relationships/externalLink" Target="externalLinks/externalLink694.xml"/><Relationship Id="rId132" Type="http://schemas.openxmlformats.org/officeDocument/2006/relationships/externalLink" Target="externalLinks/externalLink126.xml"/><Relationship Id="rId784" Type="http://schemas.openxmlformats.org/officeDocument/2006/relationships/externalLink" Target="externalLinks/externalLink778.xml"/><Relationship Id="rId437" Type="http://schemas.openxmlformats.org/officeDocument/2006/relationships/externalLink" Target="externalLinks/externalLink431.xml"/><Relationship Id="rId644" Type="http://schemas.openxmlformats.org/officeDocument/2006/relationships/externalLink" Target="externalLinks/externalLink638.xml"/><Relationship Id="rId283" Type="http://schemas.openxmlformats.org/officeDocument/2006/relationships/externalLink" Target="externalLinks/externalLink277.xml"/><Relationship Id="rId490" Type="http://schemas.openxmlformats.org/officeDocument/2006/relationships/externalLink" Target="externalLinks/externalLink484.xml"/><Relationship Id="rId504" Type="http://schemas.openxmlformats.org/officeDocument/2006/relationships/externalLink" Target="externalLinks/externalLink498.xml"/><Relationship Id="rId711" Type="http://schemas.openxmlformats.org/officeDocument/2006/relationships/externalLink" Target="externalLinks/externalLink705.xml"/><Relationship Id="rId78" Type="http://schemas.openxmlformats.org/officeDocument/2006/relationships/externalLink" Target="externalLinks/externalLink72.xml"/><Relationship Id="rId143" Type="http://schemas.openxmlformats.org/officeDocument/2006/relationships/externalLink" Target="externalLinks/externalLink137.xml"/><Relationship Id="rId350" Type="http://schemas.openxmlformats.org/officeDocument/2006/relationships/externalLink" Target="externalLinks/externalLink344.xml"/><Relationship Id="rId588" Type="http://schemas.openxmlformats.org/officeDocument/2006/relationships/externalLink" Target="externalLinks/externalLink582.xml"/><Relationship Id="rId795" Type="http://schemas.openxmlformats.org/officeDocument/2006/relationships/externalLink" Target="externalLinks/externalLink789.xml"/><Relationship Id="rId809" Type="http://schemas.openxmlformats.org/officeDocument/2006/relationships/externalLink" Target="externalLinks/externalLink803.xml"/><Relationship Id="rId9" Type="http://schemas.openxmlformats.org/officeDocument/2006/relationships/externalLink" Target="externalLinks/externalLink3.xml"/><Relationship Id="rId210" Type="http://schemas.openxmlformats.org/officeDocument/2006/relationships/externalLink" Target="externalLinks/externalLink204.xml"/><Relationship Id="rId448" Type="http://schemas.openxmlformats.org/officeDocument/2006/relationships/externalLink" Target="externalLinks/externalLink442.xml"/><Relationship Id="rId655" Type="http://schemas.openxmlformats.org/officeDocument/2006/relationships/externalLink" Target="externalLinks/externalLink649.xml"/><Relationship Id="rId294" Type="http://schemas.openxmlformats.org/officeDocument/2006/relationships/externalLink" Target="externalLinks/externalLink288.xml"/><Relationship Id="rId308" Type="http://schemas.openxmlformats.org/officeDocument/2006/relationships/externalLink" Target="externalLinks/externalLink302.xml"/><Relationship Id="rId515" Type="http://schemas.openxmlformats.org/officeDocument/2006/relationships/externalLink" Target="externalLinks/externalLink509.xml"/><Relationship Id="rId722" Type="http://schemas.openxmlformats.org/officeDocument/2006/relationships/externalLink" Target="externalLinks/externalLink716.xml"/><Relationship Id="rId89" Type="http://schemas.openxmlformats.org/officeDocument/2006/relationships/externalLink" Target="externalLinks/externalLink83.xml"/><Relationship Id="rId154" Type="http://schemas.openxmlformats.org/officeDocument/2006/relationships/externalLink" Target="externalLinks/externalLink148.xml"/><Relationship Id="rId361" Type="http://schemas.openxmlformats.org/officeDocument/2006/relationships/externalLink" Target="externalLinks/externalLink355.xml"/><Relationship Id="rId599" Type="http://schemas.openxmlformats.org/officeDocument/2006/relationships/externalLink" Target="externalLinks/externalLink593.xml"/><Relationship Id="rId459" Type="http://schemas.openxmlformats.org/officeDocument/2006/relationships/externalLink" Target="externalLinks/externalLink453.xml"/><Relationship Id="rId666" Type="http://schemas.openxmlformats.org/officeDocument/2006/relationships/externalLink" Target="externalLinks/externalLink660.xml"/><Relationship Id="rId16" Type="http://schemas.openxmlformats.org/officeDocument/2006/relationships/externalLink" Target="externalLinks/externalLink10.xml"/><Relationship Id="rId221" Type="http://schemas.openxmlformats.org/officeDocument/2006/relationships/externalLink" Target="externalLinks/externalLink215.xml"/><Relationship Id="rId319" Type="http://schemas.openxmlformats.org/officeDocument/2006/relationships/externalLink" Target="externalLinks/externalLink313.xml"/><Relationship Id="rId526" Type="http://schemas.openxmlformats.org/officeDocument/2006/relationships/externalLink" Target="externalLinks/externalLink520.xml"/><Relationship Id="rId733" Type="http://schemas.openxmlformats.org/officeDocument/2006/relationships/externalLink" Target="externalLinks/externalLink727.xml"/><Relationship Id="rId165" Type="http://schemas.openxmlformats.org/officeDocument/2006/relationships/externalLink" Target="externalLinks/externalLink159.xml"/><Relationship Id="rId372" Type="http://schemas.openxmlformats.org/officeDocument/2006/relationships/externalLink" Target="externalLinks/externalLink366.xml"/><Relationship Id="rId677" Type="http://schemas.openxmlformats.org/officeDocument/2006/relationships/externalLink" Target="externalLinks/externalLink671.xml"/><Relationship Id="rId800" Type="http://schemas.openxmlformats.org/officeDocument/2006/relationships/externalLink" Target="externalLinks/externalLink794.xml"/><Relationship Id="rId232" Type="http://schemas.openxmlformats.org/officeDocument/2006/relationships/externalLink" Target="externalLinks/externalLink226.xml"/><Relationship Id="rId27" Type="http://schemas.openxmlformats.org/officeDocument/2006/relationships/externalLink" Target="externalLinks/externalLink21.xml"/><Relationship Id="rId537" Type="http://schemas.openxmlformats.org/officeDocument/2006/relationships/externalLink" Target="externalLinks/externalLink531.xml"/><Relationship Id="rId744" Type="http://schemas.openxmlformats.org/officeDocument/2006/relationships/externalLink" Target="externalLinks/externalLink738.xml"/><Relationship Id="rId80" Type="http://schemas.openxmlformats.org/officeDocument/2006/relationships/externalLink" Target="externalLinks/externalLink74.xml"/><Relationship Id="rId176" Type="http://schemas.openxmlformats.org/officeDocument/2006/relationships/externalLink" Target="externalLinks/externalLink170.xml"/><Relationship Id="rId383" Type="http://schemas.openxmlformats.org/officeDocument/2006/relationships/externalLink" Target="externalLinks/externalLink377.xml"/><Relationship Id="rId590" Type="http://schemas.openxmlformats.org/officeDocument/2006/relationships/externalLink" Target="externalLinks/externalLink584.xml"/><Relationship Id="rId604" Type="http://schemas.openxmlformats.org/officeDocument/2006/relationships/externalLink" Target="externalLinks/externalLink598.xml"/><Relationship Id="rId811" Type="http://schemas.openxmlformats.org/officeDocument/2006/relationships/externalLink" Target="externalLinks/externalLink805.xml"/><Relationship Id="rId243" Type="http://schemas.openxmlformats.org/officeDocument/2006/relationships/externalLink" Target="externalLinks/externalLink237.xml"/><Relationship Id="rId450" Type="http://schemas.openxmlformats.org/officeDocument/2006/relationships/externalLink" Target="externalLinks/externalLink444.xml"/><Relationship Id="rId688" Type="http://schemas.openxmlformats.org/officeDocument/2006/relationships/externalLink" Target="externalLinks/externalLink682.xml"/><Relationship Id="rId38" Type="http://schemas.openxmlformats.org/officeDocument/2006/relationships/externalLink" Target="externalLinks/externalLink32.xml"/><Relationship Id="rId103" Type="http://schemas.openxmlformats.org/officeDocument/2006/relationships/externalLink" Target="externalLinks/externalLink97.xml"/><Relationship Id="rId310" Type="http://schemas.openxmlformats.org/officeDocument/2006/relationships/externalLink" Target="externalLinks/externalLink304.xml"/><Relationship Id="rId548" Type="http://schemas.openxmlformats.org/officeDocument/2006/relationships/externalLink" Target="externalLinks/externalLink542.xml"/><Relationship Id="rId755" Type="http://schemas.openxmlformats.org/officeDocument/2006/relationships/externalLink" Target="externalLinks/externalLink749.xml"/><Relationship Id="rId91" Type="http://schemas.openxmlformats.org/officeDocument/2006/relationships/externalLink" Target="externalLinks/externalLink85.xml"/><Relationship Id="rId187" Type="http://schemas.openxmlformats.org/officeDocument/2006/relationships/externalLink" Target="externalLinks/externalLink181.xml"/><Relationship Id="rId394" Type="http://schemas.openxmlformats.org/officeDocument/2006/relationships/externalLink" Target="externalLinks/externalLink388.xml"/><Relationship Id="rId408" Type="http://schemas.openxmlformats.org/officeDocument/2006/relationships/externalLink" Target="externalLinks/externalLink402.xml"/><Relationship Id="rId615" Type="http://schemas.openxmlformats.org/officeDocument/2006/relationships/externalLink" Target="externalLinks/externalLink609.xml"/><Relationship Id="rId822" Type="http://schemas.openxmlformats.org/officeDocument/2006/relationships/externalLink" Target="externalLinks/externalLink816.xml"/><Relationship Id="rId254" Type="http://schemas.openxmlformats.org/officeDocument/2006/relationships/externalLink" Target="externalLinks/externalLink248.xml"/><Relationship Id="rId699" Type="http://schemas.openxmlformats.org/officeDocument/2006/relationships/externalLink" Target="externalLinks/externalLink693.xml"/><Relationship Id="rId49" Type="http://schemas.openxmlformats.org/officeDocument/2006/relationships/externalLink" Target="externalLinks/externalLink43.xml"/><Relationship Id="rId114" Type="http://schemas.openxmlformats.org/officeDocument/2006/relationships/externalLink" Target="externalLinks/externalLink108.xml"/><Relationship Id="rId461" Type="http://schemas.openxmlformats.org/officeDocument/2006/relationships/externalLink" Target="externalLinks/externalLink455.xml"/><Relationship Id="rId559" Type="http://schemas.openxmlformats.org/officeDocument/2006/relationships/externalLink" Target="externalLinks/externalLink553.xml"/><Relationship Id="rId766" Type="http://schemas.openxmlformats.org/officeDocument/2006/relationships/externalLink" Target="externalLinks/externalLink760.xml"/><Relationship Id="rId198" Type="http://schemas.openxmlformats.org/officeDocument/2006/relationships/externalLink" Target="externalLinks/externalLink192.xml"/><Relationship Id="rId321" Type="http://schemas.openxmlformats.org/officeDocument/2006/relationships/externalLink" Target="externalLinks/externalLink315.xml"/><Relationship Id="rId419" Type="http://schemas.openxmlformats.org/officeDocument/2006/relationships/externalLink" Target="externalLinks/externalLink413.xml"/><Relationship Id="rId626" Type="http://schemas.openxmlformats.org/officeDocument/2006/relationships/externalLink" Target="externalLinks/externalLink620.xml"/><Relationship Id="rId833" Type="http://schemas.openxmlformats.org/officeDocument/2006/relationships/styles" Target="styles.xml"/><Relationship Id="rId265" Type="http://schemas.openxmlformats.org/officeDocument/2006/relationships/externalLink" Target="externalLinks/externalLink259.xml"/><Relationship Id="rId472" Type="http://schemas.openxmlformats.org/officeDocument/2006/relationships/externalLink" Target="externalLinks/externalLink466.xml"/><Relationship Id="rId125" Type="http://schemas.openxmlformats.org/officeDocument/2006/relationships/externalLink" Target="externalLinks/externalLink119.xml"/><Relationship Id="rId332" Type="http://schemas.openxmlformats.org/officeDocument/2006/relationships/externalLink" Target="externalLinks/externalLink326.xml"/><Relationship Id="rId777" Type="http://schemas.openxmlformats.org/officeDocument/2006/relationships/externalLink" Target="externalLinks/externalLink771.xml"/><Relationship Id="rId637" Type="http://schemas.openxmlformats.org/officeDocument/2006/relationships/externalLink" Target="externalLinks/externalLink631.xml"/><Relationship Id="rId276" Type="http://schemas.openxmlformats.org/officeDocument/2006/relationships/externalLink" Target="externalLinks/externalLink270.xml"/><Relationship Id="rId483" Type="http://schemas.openxmlformats.org/officeDocument/2006/relationships/externalLink" Target="externalLinks/externalLink477.xml"/><Relationship Id="rId690" Type="http://schemas.openxmlformats.org/officeDocument/2006/relationships/externalLink" Target="externalLinks/externalLink684.xml"/><Relationship Id="rId704" Type="http://schemas.openxmlformats.org/officeDocument/2006/relationships/externalLink" Target="externalLinks/externalLink698.xml"/><Relationship Id="rId40" Type="http://schemas.openxmlformats.org/officeDocument/2006/relationships/externalLink" Target="externalLinks/externalLink34.xml"/><Relationship Id="rId136" Type="http://schemas.openxmlformats.org/officeDocument/2006/relationships/externalLink" Target="externalLinks/externalLink130.xml"/><Relationship Id="rId343" Type="http://schemas.openxmlformats.org/officeDocument/2006/relationships/externalLink" Target="externalLinks/externalLink337.xml"/><Relationship Id="rId550" Type="http://schemas.openxmlformats.org/officeDocument/2006/relationships/externalLink" Target="externalLinks/externalLink544.xml"/><Relationship Id="rId788" Type="http://schemas.openxmlformats.org/officeDocument/2006/relationships/externalLink" Target="externalLinks/externalLink782.xml"/><Relationship Id="rId203" Type="http://schemas.openxmlformats.org/officeDocument/2006/relationships/externalLink" Target="externalLinks/externalLink197.xml"/><Relationship Id="rId648" Type="http://schemas.openxmlformats.org/officeDocument/2006/relationships/externalLink" Target="externalLinks/externalLink642.xml"/><Relationship Id="rId287" Type="http://schemas.openxmlformats.org/officeDocument/2006/relationships/externalLink" Target="externalLinks/externalLink281.xml"/><Relationship Id="rId410" Type="http://schemas.openxmlformats.org/officeDocument/2006/relationships/externalLink" Target="externalLinks/externalLink404.xml"/><Relationship Id="rId494" Type="http://schemas.openxmlformats.org/officeDocument/2006/relationships/externalLink" Target="externalLinks/externalLink488.xml"/><Relationship Id="rId508" Type="http://schemas.openxmlformats.org/officeDocument/2006/relationships/externalLink" Target="externalLinks/externalLink502.xml"/><Relationship Id="rId715" Type="http://schemas.openxmlformats.org/officeDocument/2006/relationships/externalLink" Target="externalLinks/externalLink709.xml"/><Relationship Id="rId147" Type="http://schemas.openxmlformats.org/officeDocument/2006/relationships/externalLink" Target="externalLinks/externalLink141.xml"/><Relationship Id="rId354" Type="http://schemas.openxmlformats.org/officeDocument/2006/relationships/externalLink" Target="externalLinks/externalLink348.xml"/><Relationship Id="rId799" Type="http://schemas.openxmlformats.org/officeDocument/2006/relationships/externalLink" Target="externalLinks/externalLink793.xml"/><Relationship Id="rId51" Type="http://schemas.openxmlformats.org/officeDocument/2006/relationships/externalLink" Target="externalLinks/externalLink45.xml"/><Relationship Id="rId561" Type="http://schemas.openxmlformats.org/officeDocument/2006/relationships/externalLink" Target="externalLinks/externalLink555.xml"/><Relationship Id="rId659" Type="http://schemas.openxmlformats.org/officeDocument/2006/relationships/externalLink" Target="externalLinks/externalLink653.xml"/><Relationship Id="rId214" Type="http://schemas.openxmlformats.org/officeDocument/2006/relationships/externalLink" Target="externalLinks/externalLink208.xml"/><Relationship Id="rId298" Type="http://schemas.openxmlformats.org/officeDocument/2006/relationships/externalLink" Target="externalLinks/externalLink292.xml"/><Relationship Id="rId421" Type="http://schemas.openxmlformats.org/officeDocument/2006/relationships/externalLink" Target="externalLinks/externalLink415.xml"/><Relationship Id="rId519" Type="http://schemas.openxmlformats.org/officeDocument/2006/relationships/externalLink" Target="externalLinks/externalLink513.xml"/><Relationship Id="rId158" Type="http://schemas.openxmlformats.org/officeDocument/2006/relationships/externalLink" Target="externalLinks/externalLink152.xml"/><Relationship Id="rId726" Type="http://schemas.openxmlformats.org/officeDocument/2006/relationships/externalLink" Target="externalLinks/externalLink720.xml"/><Relationship Id="rId62" Type="http://schemas.openxmlformats.org/officeDocument/2006/relationships/externalLink" Target="externalLinks/externalLink56.xml"/><Relationship Id="rId365" Type="http://schemas.openxmlformats.org/officeDocument/2006/relationships/externalLink" Target="externalLinks/externalLink359.xml"/><Relationship Id="rId572" Type="http://schemas.openxmlformats.org/officeDocument/2006/relationships/externalLink" Target="externalLinks/externalLink566.xml"/><Relationship Id="rId225" Type="http://schemas.openxmlformats.org/officeDocument/2006/relationships/externalLink" Target="externalLinks/externalLink219.xml"/><Relationship Id="rId432" Type="http://schemas.openxmlformats.org/officeDocument/2006/relationships/externalLink" Target="externalLinks/externalLink426.xml"/><Relationship Id="rId737" Type="http://schemas.openxmlformats.org/officeDocument/2006/relationships/externalLink" Target="externalLinks/externalLink731.xml"/><Relationship Id="rId73" Type="http://schemas.openxmlformats.org/officeDocument/2006/relationships/externalLink" Target="externalLinks/externalLink67.xml"/><Relationship Id="rId169" Type="http://schemas.openxmlformats.org/officeDocument/2006/relationships/externalLink" Target="externalLinks/externalLink163.xml"/><Relationship Id="rId376" Type="http://schemas.openxmlformats.org/officeDocument/2006/relationships/externalLink" Target="externalLinks/externalLink370.xml"/><Relationship Id="rId583" Type="http://schemas.openxmlformats.org/officeDocument/2006/relationships/externalLink" Target="externalLinks/externalLink577.xml"/><Relationship Id="rId790" Type="http://schemas.openxmlformats.org/officeDocument/2006/relationships/externalLink" Target="externalLinks/externalLink784.xml"/><Relationship Id="rId804" Type="http://schemas.openxmlformats.org/officeDocument/2006/relationships/externalLink" Target="externalLinks/externalLink798.xml"/><Relationship Id="rId4" Type="http://schemas.openxmlformats.org/officeDocument/2006/relationships/worksheet" Target="worksheets/sheet4.xml"/><Relationship Id="rId236" Type="http://schemas.openxmlformats.org/officeDocument/2006/relationships/externalLink" Target="externalLinks/externalLink230.xml"/><Relationship Id="rId443" Type="http://schemas.openxmlformats.org/officeDocument/2006/relationships/externalLink" Target="externalLinks/externalLink437.xml"/><Relationship Id="rId650" Type="http://schemas.openxmlformats.org/officeDocument/2006/relationships/externalLink" Target="externalLinks/externalLink644.xml"/><Relationship Id="rId303" Type="http://schemas.openxmlformats.org/officeDocument/2006/relationships/externalLink" Target="externalLinks/externalLink297.xml"/><Relationship Id="rId748" Type="http://schemas.openxmlformats.org/officeDocument/2006/relationships/externalLink" Target="externalLinks/externalLink742.xml"/><Relationship Id="rId84" Type="http://schemas.openxmlformats.org/officeDocument/2006/relationships/externalLink" Target="externalLinks/externalLink78.xml"/><Relationship Id="rId387" Type="http://schemas.openxmlformats.org/officeDocument/2006/relationships/externalLink" Target="externalLinks/externalLink381.xml"/><Relationship Id="rId510" Type="http://schemas.openxmlformats.org/officeDocument/2006/relationships/externalLink" Target="externalLinks/externalLink504.xml"/><Relationship Id="rId594" Type="http://schemas.openxmlformats.org/officeDocument/2006/relationships/externalLink" Target="externalLinks/externalLink588.xml"/><Relationship Id="rId608" Type="http://schemas.openxmlformats.org/officeDocument/2006/relationships/externalLink" Target="externalLinks/externalLink602.xml"/><Relationship Id="rId815" Type="http://schemas.openxmlformats.org/officeDocument/2006/relationships/externalLink" Target="externalLinks/externalLink809.xml"/><Relationship Id="rId247" Type="http://schemas.openxmlformats.org/officeDocument/2006/relationships/externalLink" Target="externalLinks/externalLink241.xml"/><Relationship Id="rId107" Type="http://schemas.openxmlformats.org/officeDocument/2006/relationships/externalLink" Target="externalLinks/externalLink101.xml"/><Relationship Id="rId454" Type="http://schemas.openxmlformats.org/officeDocument/2006/relationships/externalLink" Target="externalLinks/externalLink448.xml"/><Relationship Id="rId661" Type="http://schemas.openxmlformats.org/officeDocument/2006/relationships/externalLink" Target="externalLinks/externalLink655.xml"/><Relationship Id="rId759" Type="http://schemas.openxmlformats.org/officeDocument/2006/relationships/externalLink" Target="externalLinks/externalLink753.xml"/><Relationship Id="rId11" Type="http://schemas.openxmlformats.org/officeDocument/2006/relationships/externalLink" Target="externalLinks/externalLink5.xml"/><Relationship Id="rId314" Type="http://schemas.openxmlformats.org/officeDocument/2006/relationships/externalLink" Target="externalLinks/externalLink308.xml"/><Relationship Id="rId398" Type="http://schemas.openxmlformats.org/officeDocument/2006/relationships/externalLink" Target="externalLinks/externalLink392.xml"/><Relationship Id="rId521" Type="http://schemas.openxmlformats.org/officeDocument/2006/relationships/externalLink" Target="externalLinks/externalLink515.xml"/><Relationship Id="rId619" Type="http://schemas.openxmlformats.org/officeDocument/2006/relationships/externalLink" Target="externalLinks/externalLink613.xml"/><Relationship Id="rId95" Type="http://schemas.openxmlformats.org/officeDocument/2006/relationships/externalLink" Target="externalLinks/externalLink89.xml"/><Relationship Id="rId160" Type="http://schemas.openxmlformats.org/officeDocument/2006/relationships/externalLink" Target="externalLinks/externalLink154.xml"/><Relationship Id="rId826" Type="http://schemas.openxmlformats.org/officeDocument/2006/relationships/externalLink" Target="externalLinks/externalLink820.xml"/><Relationship Id="rId258" Type="http://schemas.openxmlformats.org/officeDocument/2006/relationships/externalLink" Target="externalLinks/externalLink252.xml"/><Relationship Id="rId465" Type="http://schemas.openxmlformats.org/officeDocument/2006/relationships/externalLink" Target="externalLinks/externalLink459.xml"/><Relationship Id="rId672" Type="http://schemas.openxmlformats.org/officeDocument/2006/relationships/externalLink" Target="externalLinks/externalLink666.xml"/><Relationship Id="rId22" Type="http://schemas.openxmlformats.org/officeDocument/2006/relationships/externalLink" Target="externalLinks/externalLink16.xml"/><Relationship Id="rId118" Type="http://schemas.openxmlformats.org/officeDocument/2006/relationships/externalLink" Target="externalLinks/externalLink112.xml"/><Relationship Id="rId325" Type="http://schemas.openxmlformats.org/officeDocument/2006/relationships/externalLink" Target="externalLinks/externalLink319.xml"/><Relationship Id="rId532" Type="http://schemas.openxmlformats.org/officeDocument/2006/relationships/externalLink" Target="externalLinks/externalLink526.xml"/><Relationship Id="rId171" Type="http://schemas.openxmlformats.org/officeDocument/2006/relationships/externalLink" Target="externalLinks/externalLink165.xml"/><Relationship Id="rId269" Type="http://schemas.openxmlformats.org/officeDocument/2006/relationships/externalLink" Target="externalLinks/externalLink263.xml"/><Relationship Id="rId476" Type="http://schemas.openxmlformats.org/officeDocument/2006/relationships/externalLink" Target="externalLinks/externalLink470.xml"/><Relationship Id="rId683" Type="http://schemas.openxmlformats.org/officeDocument/2006/relationships/externalLink" Target="externalLinks/externalLink677.xml"/><Relationship Id="rId33" Type="http://schemas.openxmlformats.org/officeDocument/2006/relationships/externalLink" Target="externalLinks/externalLink27.xml"/><Relationship Id="rId129" Type="http://schemas.openxmlformats.org/officeDocument/2006/relationships/externalLink" Target="externalLinks/externalLink123.xml"/><Relationship Id="rId336" Type="http://schemas.openxmlformats.org/officeDocument/2006/relationships/externalLink" Target="externalLinks/externalLink330.xml"/><Relationship Id="rId543" Type="http://schemas.openxmlformats.org/officeDocument/2006/relationships/externalLink" Target="externalLinks/externalLink537.xml"/><Relationship Id="rId182" Type="http://schemas.openxmlformats.org/officeDocument/2006/relationships/externalLink" Target="externalLinks/externalLink176.xml"/><Relationship Id="rId403" Type="http://schemas.openxmlformats.org/officeDocument/2006/relationships/externalLink" Target="externalLinks/externalLink397.xml"/><Relationship Id="rId750" Type="http://schemas.openxmlformats.org/officeDocument/2006/relationships/externalLink" Target="externalLinks/externalLink744.xml"/><Relationship Id="rId487" Type="http://schemas.openxmlformats.org/officeDocument/2006/relationships/externalLink" Target="externalLinks/externalLink481.xml"/><Relationship Id="rId610" Type="http://schemas.openxmlformats.org/officeDocument/2006/relationships/externalLink" Target="externalLinks/externalLink604.xml"/><Relationship Id="rId694" Type="http://schemas.openxmlformats.org/officeDocument/2006/relationships/externalLink" Target="externalLinks/externalLink688.xml"/><Relationship Id="rId708" Type="http://schemas.openxmlformats.org/officeDocument/2006/relationships/externalLink" Target="externalLinks/externalLink702.xml"/><Relationship Id="rId347" Type="http://schemas.openxmlformats.org/officeDocument/2006/relationships/externalLink" Target="externalLinks/externalLink341.xml"/><Relationship Id="rId44" Type="http://schemas.openxmlformats.org/officeDocument/2006/relationships/externalLink" Target="externalLinks/externalLink38.xml"/><Relationship Id="rId554" Type="http://schemas.openxmlformats.org/officeDocument/2006/relationships/externalLink" Target="externalLinks/externalLink548.xml"/><Relationship Id="rId761" Type="http://schemas.openxmlformats.org/officeDocument/2006/relationships/externalLink" Target="externalLinks/externalLink755.xml"/><Relationship Id="rId193" Type="http://schemas.openxmlformats.org/officeDocument/2006/relationships/externalLink" Target="externalLinks/externalLink187.xml"/><Relationship Id="rId207" Type="http://schemas.openxmlformats.org/officeDocument/2006/relationships/externalLink" Target="externalLinks/externalLink201.xml"/><Relationship Id="rId414" Type="http://schemas.openxmlformats.org/officeDocument/2006/relationships/externalLink" Target="externalLinks/externalLink408.xml"/><Relationship Id="rId498" Type="http://schemas.openxmlformats.org/officeDocument/2006/relationships/externalLink" Target="externalLinks/externalLink492.xml"/><Relationship Id="rId621" Type="http://schemas.openxmlformats.org/officeDocument/2006/relationships/externalLink" Target="externalLinks/externalLink615.xml"/><Relationship Id="rId260" Type="http://schemas.openxmlformats.org/officeDocument/2006/relationships/externalLink" Target="externalLinks/externalLink254.xml"/><Relationship Id="rId719" Type="http://schemas.openxmlformats.org/officeDocument/2006/relationships/externalLink" Target="externalLinks/externalLink71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99655266972224"/>
          <c:y val="8.008634934625071E-2"/>
          <c:w val="0.76099847220589967"/>
          <c:h val="0.67117251524179522"/>
        </c:manualLayout>
      </c:layout>
      <c:barChart>
        <c:barDir val="bar"/>
        <c:grouping val="clustered"/>
        <c:varyColors val="0"/>
        <c:ser>
          <c:idx val="0"/>
          <c:order val="0"/>
          <c:spPr>
            <a:solidFill>
              <a:schemeClr val="accent1"/>
            </a:solidFill>
            <a:ln>
              <a:noFill/>
            </a:ln>
            <a:effectLst/>
          </c:spPr>
          <c:invertIfNegative val="0"/>
          <c:val>
            <c:numRef>
              <c:f>'D(Ti_Cherniak) Times'!#REF!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'D(Ti_Cherniak) Times'!#REF!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'D(Ti_Cherniak) Times'!#REF!</c15:sqref>
                        </c15:formulaRef>
                      </c:ext>
                    </c:extLst>
                  </c:multiLvlStrRef>
                </c15:cat>
              </c15:filteredCategoryTitle>
            </c:ext>
            <c:ext xmlns:c16="http://schemas.microsoft.com/office/drawing/2014/chart" uri="{C3380CC4-5D6E-409C-BE32-E72D297353CC}">
              <c16:uniqueId val="{00000000-F529-45C2-AB8C-63C24100B522}"/>
            </c:ext>
          </c:extLst>
        </c:ser>
        <c:dLbls>
          <c:showLegendKey val="0"/>
          <c:showVal val="0"/>
          <c:showCatName val="0"/>
          <c:showSerName val="0"/>
          <c:showPercent val="0"/>
          <c:showBubbleSize val="0"/>
        </c:dLbls>
        <c:gapWidth val="0"/>
        <c:axId val="624271144"/>
        <c:axId val="622848392"/>
      </c:barChart>
      <c:catAx>
        <c:axId val="624271144"/>
        <c:scaling>
          <c:orientation val="minMax"/>
        </c:scaling>
        <c:delete val="0"/>
        <c:axPos val="l"/>
        <c:numFmt formatCode="General" sourceLinked="1"/>
        <c:majorTickMark val="none"/>
        <c:minorTickMark val="none"/>
        <c:tickLblPos val="none"/>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848392"/>
        <c:crosses val="autoZero"/>
        <c:auto val="1"/>
        <c:lblAlgn val="ctr"/>
        <c:lblOffset val="100"/>
        <c:noMultiLvlLbl val="0"/>
      </c:catAx>
      <c:valAx>
        <c:axId val="622848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4271144"/>
        <c:crosses val="autoZero"/>
        <c:crossBetween val="between"/>
      </c:valAx>
      <c:spPr>
        <a:noFill/>
        <a:ln>
          <a:solidFill>
            <a:schemeClr val="tx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99655266972224"/>
          <c:y val="8.008634934625071E-2"/>
          <c:w val="0.76099847220589967"/>
          <c:h val="0.67117251524179522"/>
        </c:manualLayout>
      </c:layout>
      <c:barChart>
        <c:barDir val="bar"/>
        <c:grouping val="clustered"/>
        <c:varyColors val="0"/>
        <c:ser>
          <c:idx val="0"/>
          <c:order val="0"/>
          <c:tx>
            <c:strRef>
              <c:f>'D(Ti_Audétat23) Times'!$AN$1</c:f>
              <c:strCache>
                <c:ptCount val="1"/>
              </c:strCache>
            </c:strRef>
          </c:tx>
          <c:spPr>
            <a:solidFill>
              <a:schemeClr val="accent1"/>
            </a:solidFill>
            <a:ln>
              <a:solidFill>
                <a:schemeClr val="tx1"/>
              </a:solidFill>
            </a:ln>
            <a:effectLst/>
          </c:spPr>
          <c:invertIfNegative val="0"/>
          <c:cat>
            <c:numRef>
              <c:f>'D(Ti_Audétat23) Times'!$AG$3:$AG$8</c:f>
              <c:numCache>
                <c:formatCode>General</c:formatCode>
                <c:ptCount val="6"/>
              </c:numCache>
            </c:numRef>
          </c:cat>
          <c:val>
            <c:numRef>
              <c:f>'D(Ti_Audétat23) Times'!$AN$3:$AN$8</c:f>
              <c:numCache>
                <c:formatCode>General</c:formatCode>
                <c:ptCount val="6"/>
              </c:numCache>
            </c:numRef>
          </c:val>
          <c:extLst>
            <c:ext xmlns:c16="http://schemas.microsoft.com/office/drawing/2014/chart" uri="{C3380CC4-5D6E-409C-BE32-E72D297353CC}">
              <c16:uniqueId val="{00000000-48DF-474B-89F7-C113C476D266}"/>
            </c:ext>
          </c:extLst>
        </c:ser>
        <c:dLbls>
          <c:showLegendKey val="0"/>
          <c:showVal val="0"/>
          <c:showCatName val="0"/>
          <c:showSerName val="0"/>
          <c:showPercent val="0"/>
          <c:showBubbleSize val="0"/>
        </c:dLbls>
        <c:gapWidth val="0"/>
        <c:axId val="624271144"/>
        <c:axId val="622848392"/>
      </c:barChart>
      <c:catAx>
        <c:axId val="624271144"/>
        <c:scaling>
          <c:orientation val="minMax"/>
        </c:scaling>
        <c:delete val="0"/>
        <c:axPos val="l"/>
        <c:numFmt formatCode="General" sourceLinked="1"/>
        <c:majorTickMark val="none"/>
        <c:minorTickMark val="none"/>
        <c:tickLblPos val="none"/>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848392"/>
        <c:crosses val="autoZero"/>
        <c:auto val="1"/>
        <c:lblAlgn val="ctr"/>
        <c:lblOffset val="100"/>
        <c:noMultiLvlLbl val="0"/>
      </c:catAx>
      <c:valAx>
        <c:axId val="622848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4271144"/>
        <c:crosses val="autoZero"/>
        <c:crossBetween val="between"/>
      </c:valAx>
      <c:spPr>
        <a:noFill/>
        <a:ln>
          <a:solidFill>
            <a:schemeClr val="tx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190500</xdr:colOff>
      <xdr:row>28</xdr:row>
      <xdr:rowOff>177800</xdr:rowOff>
    </xdr:to>
    <xdr:sp macro="" textlink="">
      <xdr:nvSpPr>
        <xdr:cNvPr id="2" name="TextBox 1">
          <a:extLst>
            <a:ext uri="{FF2B5EF4-FFF2-40B4-BE49-F238E27FC236}">
              <a16:creationId xmlns:a16="http://schemas.microsoft.com/office/drawing/2014/main" id="{76070EF7-14A8-B161-D381-108050AE3F83}"/>
            </a:ext>
          </a:extLst>
        </xdr:cNvPr>
        <xdr:cNvSpPr txBox="1"/>
      </xdr:nvSpPr>
      <xdr:spPr>
        <a:xfrm>
          <a:off x="0" y="0"/>
          <a:ext cx="9271000" cy="551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ReadMe File - Wang et al. Supplementary Material</a:t>
          </a:r>
        </a:p>
        <a:p>
          <a:endParaRPr lang="en-GB" sz="1100"/>
        </a:p>
        <a:p>
          <a:r>
            <a:rPr lang="en-GB" sz="1100"/>
            <a:t>This excel file contains all final data from the manuscript</a:t>
          </a:r>
          <a:r>
            <a:rPr lang="en-GB" sz="1100" baseline="0"/>
            <a:t> </a:t>
          </a:r>
          <a:br>
            <a:rPr lang="en-GB" sz="1100" baseline="0"/>
          </a:br>
          <a:br>
            <a:rPr lang="en-GB" sz="1100" baseline="0"/>
          </a:br>
          <a:r>
            <a:rPr lang="en-US" sz="1100" b="0" i="0" u="none" strike="noStrike">
              <a:solidFill>
                <a:schemeClr val="dk1"/>
              </a:solidFill>
              <a:effectLst/>
              <a:latin typeface="+mn-lt"/>
              <a:ea typeface="+mn-ea"/>
              <a:cs typeface="+mn-cs"/>
            </a:rPr>
            <a:t>Wang, S., Gualda, G. A. R., Lubbers, J. and Kent, A. J. R. (2025) “Fast or slow: An evaluation of Ti-in-quartz diffusion coefficients through comparisons of quartz and plagioclase diffusion times”, </a:t>
          </a:r>
          <a:r>
            <a:rPr lang="en-US" sz="1100" b="0" i="1" u="none" strike="noStrike">
              <a:solidFill>
                <a:schemeClr val="dk1"/>
              </a:solidFill>
              <a:effectLst/>
              <a:latin typeface="+mn-lt"/>
              <a:ea typeface="+mn-ea"/>
              <a:cs typeface="+mn-cs"/>
            </a:rPr>
            <a:t>Volcanica</a:t>
          </a:r>
          <a:r>
            <a:rPr lang="en-US" sz="1100" b="0" i="0" u="none" strike="noStrike">
              <a:solidFill>
                <a:schemeClr val="dk1"/>
              </a:solidFill>
              <a:effectLst/>
              <a:latin typeface="+mn-lt"/>
              <a:ea typeface="+mn-ea"/>
              <a:cs typeface="+mn-cs"/>
            </a:rPr>
            <a:t>, 8(1), pp. 189–202. doi: 10.30909/vol/rjfq2443.</a:t>
          </a:r>
          <a:endParaRPr lang="en-US" sz="1100" b="0" i="1" baseline="0">
            <a:solidFill>
              <a:schemeClr val="dk1"/>
            </a:solidFill>
            <a:effectLst/>
            <a:latin typeface="+mn-lt"/>
            <a:ea typeface="+mn-ea"/>
            <a:cs typeface="+mn-cs"/>
          </a:endParaRPr>
        </a:p>
        <a:p>
          <a:endParaRPr lang="en-US" sz="1100" b="0" i="1"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Further description of data and methodology can be found in the manuscript. Readers are encouraged to contact the corresponding author, Sophia Wang, (sophiawang.nz@gmail.com) for further explanation or access to preceding data. </a:t>
          </a:r>
        </a:p>
        <a:p>
          <a:r>
            <a:rPr lang="en-GB" sz="1100" b="0" i="1" baseline="0">
              <a:solidFill>
                <a:schemeClr val="dk1"/>
              </a:solidFill>
              <a:effectLst/>
              <a:latin typeface="+mn-lt"/>
              <a:ea typeface="+mn-ea"/>
              <a:cs typeface="+mn-cs"/>
            </a:rPr>
            <a:t>_</a:t>
          </a:r>
        </a:p>
        <a:p>
          <a:endParaRPr lang="en-GB" sz="1100" b="0" i="1"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Sheet '</a:t>
          </a:r>
          <a:r>
            <a:rPr lang="en-US" sz="1100" b="0" i="1" baseline="0">
              <a:solidFill>
                <a:schemeClr val="dk1"/>
              </a:solidFill>
              <a:effectLst/>
              <a:latin typeface="+mn-lt"/>
              <a:ea typeface="+mn-ea"/>
              <a:cs typeface="+mn-cs"/>
            </a:rPr>
            <a:t>L-Values</a:t>
          </a:r>
          <a:r>
            <a:rPr lang="en-US" sz="1100" b="0" i="0" baseline="0">
              <a:solidFill>
                <a:schemeClr val="dk1"/>
              </a:solidFill>
              <a:effectLst/>
              <a:latin typeface="+mn-lt"/>
              <a:ea typeface="+mn-ea"/>
              <a:cs typeface="+mn-cs"/>
            </a:rPr>
            <a:t>':</a:t>
          </a:r>
        </a:p>
        <a:p>
          <a:r>
            <a:rPr lang="en-US" sz="1100" b="0" i="0" baseline="0">
              <a:solidFill>
                <a:schemeClr val="dk1"/>
              </a:solidFill>
              <a:effectLst/>
              <a:latin typeface="+mn-lt"/>
              <a:ea typeface="+mn-ea"/>
              <a:cs typeface="+mn-cs"/>
            </a:rPr>
            <a:t>L-values (length scale diffusion) of all measured profiles are presented here. Each row describes an individual profile across a zone boundary (see supplementary images). They are accompanied by the crystal section categorization and the view field of the CL crystal image. To measure diffusion relaxation across a zone boundary, a</a:t>
          </a:r>
          <a:r>
            <a:rPr lang="en-US" sz="1100">
              <a:solidFill>
                <a:schemeClr val="dk1"/>
              </a:solidFill>
              <a:effectLst/>
              <a:latin typeface="+mn-lt"/>
              <a:ea typeface="+mn-ea"/>
              <a:cs typeface="+mn-cs"/>
            </a:rPr>
            <a:t>n individual profile is manually drawn in</a:t>
          </a:r>
          <a:r>
            <a:rPr lang="en-US" sz="1100" baseline="0">
              <a:solidFill>
                <a:schemeClr val="dk1"/>
              </a:solidFill>
              <a:effectLst/>
              <a:latin typeface="+mn-lt"/>
              <a:ea typeface="+mn-ea"/>
              <a:cs typeface="+mn-cs"/>
            </a:rPr>
            <a:t> the </a:t>
          </a:r>
          <a:r>
            <a:rPr lang="en-US" sz="1100">
              <a:solidFill>
                <a:schemeClr val="dk1"/>
              </a:solidFill>
              <a:effectLst/>
              <a:latin typeface="+mn-lt"/>
              <a:ea typeface="+mn-ea"/>
              <a:cs typeface="+mn-cs"/>
            </a:rPr>
            <a:t>IDL </a:t>
          </a:r>
          <a:r>
            <a:rPr lang="en-US" sz="1100" i="1">
              <a:solidFill>
                <a:schemeClr val="dk1"/>
              </a:solidFill>
              <a:effectLst/>
              <a:latin typeface="+mn-lt"/>
              <a:ea typeface="+mn-ea"/>
              <a:cs typeface="+mn-cs"/>
            </a:rPr>
            <a:t>'cl_profile</a:t>
          </a:r>
          <a:r>
            <a:rPr lang="en-US" sz="1100">
              <a:solidFill>
                <a:schemeClr val="dk1"/>
              </a:solidFill>
              <a:effectLst/>
              <a:latin typeface="+mn-lt"/>
              <a:ea typeface="+mn-ea"/>
              <a:cs typeface="+mn-cs"/>
            </a:rPr>
            <a:t>' software (column</a:t>
          </a:r>
          <a:r>
            <a:rPr lang="en-US" sz="1100" baseline="0">
              <a:solidFill>
                <a:schemeClr val="dk1"/>
              </a:solidFill>
              <a:effectLst/>
              <a:latin typeface="+mn-lt"/>
              <a:ea typeface="+mn-ea"/>
              <a:cs typeface="+mn-cs"/>
            </a:rPr>
            <a:t> J)</a:t>
          </a:r>
          <a:r>
            <a:rPr lang="en-US" sz="1100">
              <a:solidFill>
                <a:schemeClr val="dk1"/>
              </a:solidFill>
              <a:effectLst/>
              <a:latin typeface="+mn-lt"/>
              <a:ea typeface="+mn-ea"/>
              <a:cs typeface="+mn-cs"/>
            </a:rPr>
            <a:t>, which then also selects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five parallel adjacent profiles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on either side of the selected profile (column E-I and K-O), for a total of 11 profiles</a:t>
          </a:r>
          <a:r>
            <a:rPr lang="en-US" sz="1100" baseline="0">
              <a:solidFill>
                <a:schemeClr val="dk1"/>
              </a:solidFill>
              <a:effectLst/>
              <a:latin typeface="+mn-lt"/>
              <a:ea typeface="+mn-ea"/>
              <a:cs typeface="+mn-cs"/>
            </a:rPr>
            <a:t> (columns E-O). An average is found for each point along the 11 profiles to then form an average profile and provide an average L-value for those 11 profiles (column Q). For interest, an average and median is also calculated directly from the 11 profile L-values (column R &amp; S). A Monte Carlo simulation then run to create 200 profiles based off the average and standard error of each point along the 11 profiles, where the average of all 200 Monte Carlo profiles is presented as the final L-value for the inidivual profile with 95% error (columns W-Z). </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Sheet 'D(Ti_________) Times':</a:t>
          </a:r>
        </a:p>
        <a:p>
          <a:r>
            <a:rPr lang="en-US" sz="1100" b="0" i="1" baseline="0">
              <a:solidFill>
                <a:schemeClr val="dk1"/>
              </a:solidFill>
              <a:effectLst/>
              <a:latin typeface="+mn-lt"/>
              <a:ea typeface="+mn-ea"/>
              <a:cs typeface="+mn-cs"/>
            </a:rPr>
            <a:t>'D(Ti_Cherniak) Times</a:t>
          </a:r>
          <a:r>
            <a:rPr lang="en-US" sz="1100" b="0" i="0" baseline="0">
              <a:solidFill>
                <a:schemeClr val="dk1"/>
              </a:solidFill>
              <a:effectLst/>
              <a:latin typeface="+mn-lt"/>
              <a:ea typeface="+mn-ea"/>
              <a:cs typeface="+mn-cs"/>
            </a:rPr>
            <a:t>', </a:t>
          </a:r>
          <a:r>
            <a:rPr lang="en-US" sz="1100" b="0" i="1" baseline="0">
              <a:solidFill>
                <a:schemeClr val="dk1"/>
              </a:solidFill>
              <a:effectLst/>
              <a:latin typeface="+mn-lt"/>
              <a:ea typeface="+mn-ea"/>
              <a:cs typeface="+mn-cs"/>
            </a:rPr>
            <a:t>'D(Ti_Audétat23) Times</a:t>
          </a:r>
          <a:r>
            <a:rPr lang="en-US" sz="1100" b="0" i="0" baseline="0">
              <a:solidFill>
                <a:schemeClr val="dk1"/>
              </a:solidFill>
              <a:effectLst/>
              <a:latin typeface="+mn-lt"/>
              <a:ea typeface="+mn-ea"/>
              <a:cs typeface="+mn-cs"/>
            </a:rPr>
            <a:t>', and </a:t>
          </a:r>
          <a:r>
            <a:rPr lang="en-US" sz="1100" b="0" i="1" baseline="0">
              <a:solidFill>
                <a:schemeClr val="dk1"/>
              </a:solidFill>
              <a:effectLst/>
              <a:latin typeface="+mn-lt"/>
              <a:ea typeface="+mn-ea"/>
              <a:cs typeface="+mn-cs"/>
            </a:rPr>
            <a:t>'D(Ti_Jollands) Times</a:t>
          </a:r>
          <a:r>
            <a:rPr lang="en-US" sz="1100" b="0" i="0" baseline="0">
              <a:solidFill>
                <a:schemeClr val="dk1"/>
              </a:solidFill>
              <a:effectLst/>
              <a:latin typeface="+mn-lt"/>
              <a:ea typeface="+mn-ea"/>
              <a:cs typeface="+mn-cs"/>
            </a:rPr>
            <a:t>' present all diffusion timescale data calculated using the the respective diffusion coefficient. Columns B-F denote temperature condition, coefficient value, crystal CL image view field in microns, image width in pixels, and the image resolution. Columns H-AC present the diffusion times calculated from the L-values shown in sheet '</a:t>
          </a:r>
          <a:r>
            <a:rPr lang="en-US" sz="1100" b="0" i="1" baseline="0">
              <a:solidFill>
                <a:schemeClr val="dk1"/>
              </a:solidFill>
              <a:effectLst/>
              <a:latin typeface="+mn-lt"/>
              <a:ea typeface="+mn-ea"/>
              <a:cs typeface="+mn-cs"/>
            </a:rPr>
            <a:t>L-values</a:t>
          </a:r>
          <a:r>
            <a:rPr lang="en-US" sz="1100" b="0" i="0" baseline="0">
              <a:solidFill>
                <a:schemeClr val="dk1"/>
              </a:solidFill>
              <a:effectLst/>
              <a:latin typeface="+mn-lt"/>
              <a:ea typeface="+mn-ea"/>
              <a:cs typeface="+mn-cs"/>
            </a:rPr>
            <a:t>' using Eqn. 1 (see manuscript). </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Sheet </a:t>
          </a:r>
          <a:r>
            <a:rPr lang="en-US" sz="1100" b="0" i="1" baseline="0">
              <a:solidFill>
                <a:schemeClr val="dk1"/>
              </a:solidFill>
              <a:effectLst/>
              <a:latin typeface="+mn-lt"/>
              <a:ea typeface="+mn-ea"/>
              <a:cs typeface="+mn-cs"/>
            </a:rPr>
            <a:t>'Growth Rates</a:t>
          </a:r>
          <a:r>
            <a:rPr lang="en-US" sz="1100" b="0" i="0" baseline="0">
              <a:solidFill>
                <a:schemeClr val="dk1"/>
              </a:solidFill>
              <a:effectLst/>
              <a:latin typeface="+mn-lt"/>
              <a:ea typeface="+mn-ea"/>
              <a:cs typeface="+mn-cs"/>
            </a:rPr>
            <a:t>':</a:t>
          </a:r>
        </a:p>
        <a:p>
          <a:r>
            <a:rPr lang="en-US" sz="1100" b="0" i="0" baseline="0">
              <a:solidFill>
                <a:schemeClr val="dk1"/>
              </a:solidFill>
              <a:effectLst/>
              <a:latin typeface="+mn-lt"/>
              <a:ea typeface="+mn-ea"/>
              <a:cs typeface="+mn-cs"/>
            </a:rPr>
            <a:t>This sheet presents data used to calculate quartz growth rates for each given diffusion coefficient. Columns C-E again present view field, image width and resolution of the CL crystal image. Columns F &amp; G present the distance from the zone boundary of interest to the rim/edge of the crystal, representing the minimum growth distance since the boundary of interest was crystallized. Column I is again the crystal section designation of the zone boundary of interest. Columns K-R present growth rates calculated using Eqn. 2 (see manuscript) for each respective diffusion coefficient.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371475</xdr:colOff>
      <xdr:row>9</xdr:row>
      <xdr:rowOff>4761</xdr:rowOff>
    </xdr:from>
    <xdr:to>
      <xdr:col>57</xdr:col>
      <xdr:colOff>514350</xdr:colOff>
      <xdr:row>39</xdr:row>
      <xdr:rowOff>171450</xdr:rowOff>
    </xdr:to>
    <xdr:graphicFrame macro="">
      <xdr:nvGraphicFramePr>
        <xdr:cNvPr id="15" name="Chart 14">
          <a:extLst>
            <a:ext uri="{FF2B5EF4-FFF2-40B4-BE49-F238E27FC236}">
              <a16:creationId xmlns:a16="http://schemas.microsoft.com/office/drawing/2014/main" id="{00000000-0008-0000-02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62</xdr:col>
      <xdr:colOff>371475</xdr:colOff>
      <xdr:row>9</xdr:row>
      <xdr:rowOff>4761</xdr:rowOff>
    </xdr:from>
    <xdr:to>
      <xdr:col>67</xdr:col>
      <xdr:colOff>514350</xdr:colOff>
      <xdr:row>39</xdr:row>
      <xdr:rowOff>171450</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Wang/Galan/3%20MC/CGI001-qtz01-CL-fit-1-offset.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Wang/Galan/3%20MC/CGI001-qtz03-CL-fit-2.xlsm"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E:/Wang/Galan/3%20MC/CGI008-qtz01-CL-fit-3-offset.xlsm"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E:/Wang/Galan/3%20MC/CGI008-qtz01-CL-fit-4-offset.xlsm"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E:/Wang/Galan/3%20MC/CGI008-qtz01-CL-fit-5-offset.xlsm"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E:/Wang/Galan/3%20MC/CGI008-qtz02-CL-fit-1-offset.xlsm"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Wang/Galan/3%20MC/CGI008-qtz02-CL-fit-2-offset.xlsm"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E:/Wang/Galan/3%20MC/CGI008-qtz02-CL-fit-3-offset.xlsm"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E:/Wang/Galan/3%20MC/CGI008-qtz02-CL-fit-4-offset.xlsm"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E:/Wang/Galan/3%20MC/CGI008-qtz03-CL-fit-1-offset.xlsm"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E:/Wang/Galan/3%20MC/CGI008-qtz03-CL-fit-2-offset.xlsm"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E:/Wang/Galan/3%20MC/CGI008-qtz03-CL-fit-3-offset.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Wang/Galan/3%20MC/CGI001-qtz03-CL-fit-3.xlsm"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E:/Wang/Galan/3%20MC/CGI008-qtz03-CL-fit-4-offset.xlsm"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E:/Wang/Galan/3%20MC/CGI008-qtz04-CL-fit-1-offset.xlsm"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E:/Wang/Galan/3%20MC/CGI008-qtz04-CL-fit-2-offset.xlsm"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E:/Wang/Galan/3%20MC/CGI008-qtz04-CL-fit-3-offset.xlsm"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E:/Wang/Galan/3%20MC/CGI008-qtz05-CL-fit-1-offset.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E:/Wang/Galan/3%20MC/CGI008-qtz05-CL-fit-2-offset.xlsm"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E:/Wang/Galan/3%20MC/CGI008-qtz05-CL-fit-3-offset.xlsm"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E:/Wang/Galan/3%20MC/CGI008-qtz05-CL-fit-4-offset.xlsm"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Wang/Galan/3%20MC/CGI008-qtz06-CL-fit-1-offset.xlsm"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E:/Wang/Galan/3%20MC/CGI008-qtz06-CL-fit-2-offset.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Wang/Galan/3%20MC/CGI001-qtz03-CL-fit-4-offset.xlsm"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E:/Wang/Galan/3%20MC/CGI008-qtz06-CL-fit-3-offset.xlsm"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E:/Wang/Galan/3%20MC/CGI008-qtz06-CL-fit-4-offset.xlsm"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E:/Wang/Galan/3%20MC/CGI008-qtz07-CL-fit-1-offset.xlsm"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E:/Wang/Galan/3%20MC/CGI008-qtz07-CL-fit-2-offset.xlsm"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E:/Wang/Galan/3%20MC/CGI008-qtz07-CL-fit-3-offset.xlsm"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Wang/Galan/3%20MC/CGI008-qtz07-CL-fit-4-offset.xlsm"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Wang/Galan/3%20MC/CGI008-qtz07-CL-fit-5-offset.xlsm"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E:/Wang/Galan/3%20MC/CGI008-qtz08-CL-fit-2-offset.xlsm"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E:/Wang/Galan/3%20MC/CGI008-qtz08-CL-fit-3-offset.xlsm"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Wang/Galan/3%20MC/CGI008-qtz09-CL-fit-1-offset.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Wang/Galan/3%20MC/CGI001-qtz04-CL-fit-1-offset.xlsm"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E:/Wang/Galan/3%20MC/CGI008-qtz09-CL-fit-2-offset.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Wang/Galan/3%20MC/CGI008-qtz10-CL-fit-1-offset.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E:/Wang/Galan/3%20MC/CGI008-qtz10-CL-fit-2-offset.xlsm"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E:/Wang/Galan/3%20MC/CGI008-qtz10-CL-fit-3-offset.xlsm"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E:/Wang/Galan/3%20MC/CGI008-qtz10-CL-fit-4-offset.xlsm"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E:/Wang/Galan/3%20MC/CGI008-qtz11-CL-fit-1-offset.xlsm"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E:/Wang/Galan/3%20MC/CGI008-qtz11-CL-fit-2-offset.xlsm"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E:/Wang/Galan/3%20MC/CGI008-qtz11-CL-fit-3-offset.xlsm"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E:/Wang/Galan/3%20MC/CGI008-qtz11-CL-fit-4-offset.xlsm"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E:/Wang/Galan/3%20MC/CGI008-qtz12-CL-fit-1-offset.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Wang/Galan/3%20MC/CGI001-qtz04-CL-fit-2-offset.xlsm"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Wang/Galan/3%20MC/CGI008-qtz12-CL-fit-2-offset.xlsm"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E:/Wang/Galan/3%20MC/CGI008-qtz12-CL-fit-3-offset.xlsm"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E:/Wang/Galan/3%20MC/CGI009-qtz01-CL-fit-1-offset.xlsm"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E:/Wang/Galan/3%20MC/CGI009-qtz01-CL-fit-2-offset.xlsm"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E:/Wang/Galan/3%20MC/CGI009-qtz01-CL-fit-3-offset.xlsm"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E:/Wang/Galan/3%20MC/CGI009-qtz01-CL-fit-4-offset.xlsm"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Wang/Galan/3%20MC/CGI009-qtz01-CL-fit-5-offset.xlsm"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E:/Wang/Galan/3%20MC/CGI009-qtz02-CL-fit-1-offset.xlsm"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E:/Wang/Galan/3%20MC/CGI009-qtz02-CL-fit-2-offset.xlsm"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E:/Wang/Galan/3%20MC/CGI009-qtz02-CL-fit-3-offset.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Wang/Galan/3%20MC/CGI001-qtz04-CL-fit-3-offset.xlsm"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E:/Wang/Galan/3%20MC/CGI009-qtz03-CL-fit-1-offset.xlsm"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E:/Wang/Galan/3%20MC/CGI009-qtz03-CL-fit-2-offset.xlsm"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E:/Wang/Galan/3%20MC/CGI009-qtz03-CL-fit-3-offset.xlsm"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E:/Wang/Galan/3%20MC/CGI009-qtz03-CL-fit-4-offset.xlsm"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E:/Wang/Galan/3%20MC/CGI009-qtz03-CL-fit-5-offset.xlsm"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E:/Wang/Galan/3%20MC/CGI009-qtz04-CL-fit-1-offset.xlsm"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E:/Wang/Galan/3%20MC/CGI009-qtz04-CL-fit-2-offset.xlsm"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E:/Wang/Galan/3%20MC/CGI009-qtz04-CL-fit-3-offset.xlsm"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E:/Wang/Galan/3%20MC/CGI009-qtz04-CL-fit-4-offset.xlsm"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E:/Wang/Galan/3%20MC/CGI009-qtz05-CL-fit-1-offset.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Wang/Galan/3%20MC/CGI001-qtz04-CL-fit-4-offset.xlsm"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E:/Wang/Galan/3%20MC/CGI009-qtz05-CL-fit-2-offset.xlsm"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E:/Wang/Galan/3%20MC/CGI009-qtz05-CL-fit-3-offset.xlsm"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E:/Wang/Galan/3%20MC/CGI009-qtz05-CL-fit-4-offset.xlsm"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E:/Wang/Galan/3%20MC/CGI009-qtz05-CL-fit-5-offset.xlsm"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E:/Wang/Galan/3%20MC/CGI009-qtz06-CL-fit-1-offset.xlsm"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E:/Wang/Galan/3%20MC/CGI009-qtz06-CL-fit-2-offset.xlsm"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E:/Wang/Galan/3%20MC/CGI009-qtz06-CL-fit-3-offset.xlsm"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E:/Wang/Galan/3%20MC/CGI009-qtz06-CL-fit-4-offset.xlsm"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E:/Wang/Galan/3%20MC/CGI009-qtz06-CL-fit-5-offset.xlsm"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E:/Wang/Galan/3%20MC/CGI009-qtz07-CL-fit-1-offset.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Wang/Galan/3%20MC/CGI001-qtz05-CL-fit-1-offset.xlsm"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E:/Wang/Galan/3%20MC/CGI009-qtz07-CL-fit-2-offset.xlsm"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E:/Wang/Galan/3%20MC/CGI009-qtz07-CL-fit-3-offset.xlsm"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E:/Wang/Galan/3%20MC/CGI009-qtz07-CL-fit-4-offset.xlsm"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E:/Wang/Galan/3%20MC/CGI009-qtz08-CL-fit-1-offset.xlsm"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E:/Wang/Galan/3%20MC/CGI009-qtz08-CL-fit-2-offset.xlsm"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E:/Wang/Galan/3%20MC/CGI009-qtz08-CL-fit-3-offset.xlsm"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E:/Wang/Galan/3%20MC/CGI009-qtz08-CL-fit-4-offset.xlsm"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E:/Wang/Galan/3%20MC/CGI009-qtz08-CL-fit-5-offset.xlsm"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E:/Wang/Galan/3%20MC/CGI009-qtz09-CL-fit-1-offset.xlsm"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E:/Wang/Galan/3%20MC/CGI009-qtz09-CL-fit-2-offset.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Wang/Galan/3%20MC/CGI001-qtz05-CL-fit-2-offset.xlsm"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E:/Wang/Galan/3%20MC/CGI009-qtz09-CL-fit-3-offset.xlsm"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E:/Wang/Galan/3%20MC/CGI009-qtz09-CL-fit-4-offset.xlsm"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E:/Wang/Galan/3%20MC/CGI009-qtz10-CL-fit-1-offset.xlsm"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E:/Wang/Galan/3%20MC/CGI009-qtz10-CL-fit-2-offset.xlsm"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E:/Wang/Galan/3%20MC/CGI009-qtz10-CL-fit-3-offset.xlsm"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E:/Wang/Galan/3%20MC/CGI009-qtz10-CL-fit-4-offset.xlsm"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E:/Wang/Galan/3%20MC/CGI009-qtz10-CL-fit-5-offset.xlsm"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E:/Wang/Galan/3%20MC/CGI009-qtz11-CL-fit-1-offset.xlsm"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E:/Wang/Galan/3%20MC/CGI009-qtz11-CL-fit-2-offset.xlsm"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E:/Wang/Galan/3%20MC/CGI009-qtz11-CL-fit-3-offset.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Wang/Galan/3%20MC/CGI001-qtz05-CL-fit-3-offset.xlsm"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file:///E:/Wang/Galan/3%20MC/CGI009-qtz11-CL-fit-4-offset.xlsm"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E:/Wang/Galan/3%20MC/CGI009-qtz11-CL-fit-5-offset.xlsm"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E:/Wang/Galan/3%20MC/CGI009-qtz12-CL-fit-1-offset.xlsm"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E:/Wang/Galan/3%20MC/CGI009-qtz12-CL-fit-2-offset.xlsm"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E:/Wang/Galan/3%20MC/CGI009-qtz12-CL-fit-3-offset.xlsm"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E:/Wang/Galan/3%20MC/CGI009-qtz12-CL-fit-4-offset.xlsm"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file:///E:/Wang/Galan/3%20MC/CGI011-qtz01-CL-fit-1-offset.xlsm"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file:///E:/Wang/Galan/3%20MC/CGI011-qtz01-CL-fit-2-offset.xlsm"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E:/Wang/Galan/3%20MC/CGI011-qtz01-CL-fit-3-offset.xlsm"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file:///E:/Wang/Galan/3%20MC/CGI011-qtz01-CL-fit-4-offse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Wang/Galan/3%20MC/CGI001-qtz01-CL-fit-2.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Wang/Galan/3%20MC/CGI001-qtz05-CL-fit-4-offset.xlsm"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file:///E:/Wang/Galan/3%20MC/CGI011-qtz01-CL-fit-5-offset.xlsm"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file:///E:/Wang/Galan/3%20MC/CGI011-qtz02-CL-fit-1-offset.xlsm"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file:///E:/Wang/Galan/3%20MC/CGI011-qtz02-CL-fit-2-offset.xlsm"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E:/Wang/Galan/3%20MC/CGI011-qtz02-CL-fit-3-offset.xlsm"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file:///E:/Wang/Galan/3%20MC/CGI011-qtz02-CL-fit-4-offset.xlsm"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file:///E:/Wang/Galan/3%20MC/CGI011-qtz02-CL-fit-5-offset.xlsm"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E:/Wang/Galan/3%20MC/CGI011-qtz03-CL-fit-1-offset.xlsm"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E:/Wang/Galan/3%20MC/CGI011-qtz03-CL-fit-2-offset.xlsm"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file:///E:/Wang/Galan/3%20MC/CGI011-qtz03-CL-fit-3-offset.xlsm"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file:///E:/Wang/Galan/3%20MC/CGI011-qtz04-CL-fit-1-offset.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Wang/Galan/3%20MC/CGI001-qtz06-CL-fit-1-offset.xlsm"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file:///E:/Wang/Galan/3%20MC/CGI011-qtz04-CL-fit-2-offset.xlsm"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file:///E:/Wang/Galan/3%20MC/CGI011-qtz04-CL-fit-3-offset.xlsm"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file:///E:/Wang/Galan/3%20MC/CGI011-qtz04-CL-fit-4-offset.xlsm"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E:/Wang/Galan/3%20MC/CGI011-qtz04-CL-fit-5-offset.xlsm"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file:///E:/Wang/Galan/3%20MC/CGI011-qtz05-CL-fit-1-offset.xlsm"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file:///E:/Wang/Galan/3%20MC/CGI011-qtz05-CL-fit-2-offset.xlsm"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file:///E:/Wang/Galan/3%20MC/CGI011-qtz05-CL-fit-3-offset.xlsm"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file:///E:/Wang/Galan/3%20MC/CGI011-qtz05-CL-fit-4-offset.xlsm"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E:/Wang/Galan/3%20MC/CGI011-qtz05-CL-fit-5-offset.xlsm"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E:/Wang/Galan/3%20MC/CGI011-qtz06-CL-fit-1-offset.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Wang/Galan/3%20MC/CGI001-qtz06-CL-fit-2-offset.xlsm"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file:///E:/Wang/Galan/3%20MC/CGI011-qtz06-CL-fit-2-offset.xlsm"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file:///E:/Wang/Galan/3%20MC/CGI011-qtz06-CL-fit-3-offset.xlsm"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file:///E:/Wang/Galan/3%20MC/CGI011-qtz06-CL-fit-4-offset.xlsm"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file:///E:/Wang/Galan/3%20MC/CGI011-qtz07-CL-fit-1-offset.xlsm"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file:///E:/Wang/Galan/3%20MC/CGI011-qtz07-CL-fit-2-offset.xlsm"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file:///E:/Wang/Galan/3%20MC/CGI011-qtz07-CL-fit-3-offset.xlsm"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file:///E:/Wang/Galan/3%20MC/CGI011-qtz08-CL-fit-1-offset.xlsm"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file:///E:/Wang/Galan/3%20MC/CGI011-qtz08-CL-fit-2-offset.xlsm"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file:///E:/Wang/Galan/3%20MC/CGI011-qtz08-CL-fit-3-offset.xlsm"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file:///E:/Wang/Galan/3%20MC/CGI011-qtz08-CL-fit-4-offset.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Wang/Galan/3%20MC/CGI001-qtz06-CL-fit-3-offset.xlsm"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file:///E:/Wang/Galan/3%20MC/CGI011-qtz08-CL-fit-5-offset.xlsm"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file:///E:/Wang/Galan/3%20MC/CGI011-qtz09-CL-fit-1-offset.xlsm"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E:/Wang/Galan/3%20MC/CGI011-qtz09-CL-fit-2-offset.xlsm"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file:///E:/Wang/Galan/3%20MC/CGI011-qtz09-CL-fit-3-offset.xlsm"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E:/Wang/Galan/3%20MC/CGI011-qtz09-CL-fit-4-offset.xlsm"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file:///E:/Wang/Galan/3%20MC/CGI011-qtz11-CL-fit-1-offset.xlsm"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file:///E:/Wang/Galan/3%20MC/CGI011-qtz11-CL-fit-2-offset.xlsm"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E:/Wang/Galan/3%20MC/CGI011-qtz11-CL-fit-3-offset.xlsm"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file:///E:/Wang/Galan/3%20MC/CGI011-qtz11-CL-fit-4-offset.xlsm"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E:/Wang/Galan/3%20MC/CGI011-qtz12-CL-fit-1-offset.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Wang/Galan/3%20MC/CGI001-qtz06-CL-fit-4-offset.xlsm"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file:///E:/Wang/Galan/3%20MC/CGI011-qtz12-CL-fit-2-offset.xlsm"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file:///E:/Wang/Galan/3%20MC/CGI011-qtz12-CL-fit-3-offset.xlsm"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file:///E:/Wang/Galan/3%20MC/CGI011-qtz12-CL-fit-4-offset.xlsm"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E:/Wang/Galan/3%20MC/CGI014-qtz01-CL-fit-1-offset.xlsm"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file:///E:/Wang/Galan/3%20MC/CGI014-qtz01-CL-fit-2-offset.xlsm"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file:///E:/Wang/Galan/3%20MC/CGI014-qtz02-CL-fit-1-offset.xlsm"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E:/Wang/Galan/3%20MC/CGI014-qtz02-CL-fit-2-offset.xlsm"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E:/Wang/Galan/3%20MC/CGI014-qtz02-CL-fit-3-offset.xlsm"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E:/Wang/Galan/3%20MC/CGI014-qtz02-CL-fit-4-offset.xlsm"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file:///E:/Wang/Galan/3%20MC/CGI014-qtz03-CL-fit-1-offset.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Wang/Galan/3%20MC/CGI001-qtz07-CL-fit-1.xlsm"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E:/Wang/Galan/3%20MC/CGI014-qtz03-CL-fit-2-offset.xlsm"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file:///E:/Wang/Galan/3%20MC/CGI014-qtz03-CL-fit-3-offset.xlsm"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file:///E:/Wang/Galan/3%20MC/CGI014-qtz03-CL-fit-4-offset.xlsm"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file:///E:/Wang/Galan/3%20MC/CGI014-qtz03-CL-fit-5-offset.xlsm"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file:///E:/Wang/Galan/3%20MC/CGI014-qtz04-CL-fit-1-offset.xlsm"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E:/Wang/Galan/3%20MC/CGI014-qtz04-CL-fit-2-offset.xlsm"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E:/Wang/Galan/3%20MC/CGI014-qtz04-CL-fit-3-offset.xlsm" TargetMode="External"/></Relationships>
</file>

<file path=xl/externalLinks/_rels/externalLink257.xml.rels><?xml version="1.0" encoding="UTF-8" standalone="yes"?>
<Relationships xmlns="http://schemas.openxmlformats.org/package/2006/relationships"><Relationship Id="rId1" Type="http://schemas.openxmlformats.org/officeDocument/2006/relationships/externalLinkPath" Target="file:///E:/Wang/Galan/3%20MC/CGI014-qtz05-CL-fit-1-offset.xlsm"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E:/Wang/Galan/3%20MC/CGI014-qtz05-CL-fit-2-offset.xlsm"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file:///E:/Wang/Galan/3%20MC/CGI014-qtz05-CL-fit-3-offset.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Wang/Galan/3%20MC/CGI001-qtz07-CL-fit-2-offset.xlsm"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file:///E:/Wang/Galan/3%20MC/CGI014-qtz05-CL-fit-4-offset.xlsm"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file:///E:/Wang/Galan/3%20MC/CGI014-qtz05-CL-fit-5-offset.xlsm"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E:/Wang/Galan/3%20MC/CGI014-qtz05-CL-fit-6-offset.xlsm"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file:///E:/Wang/Galan/3%20MC/CGI014-qtz07-CL-fit-1-offset.xlsm"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file:///E:/Wang/Galan/3%20MC/CGI014-qtz07-CL-fit-2-offset.xlsm"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file:///E:/Wang/Galan/3%20MC/CGI014-qtz07-CL-fit-3-offset.xlsm"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E:/Wang/Galan/3%20MC/CGI014-qtz07-CL-fit-4-offset.xlsm"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E:/Wang/Galan/3%20MC/CGI014-qtz08-CL-fit-1-offset.xlsm"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file:///E:/Wang/Galan/3%20MC/CGI014-qtz08-CL-fit-2-offset.xlsm"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file:///E:/Wang/Galan/3%20MC/CGI014-qtz08-CL-fit-3-offset.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Wang/Galan/3%20MC/CGI001-qtz07-CL-fit-3-offset.xlsm" TargetMode="External"/></Relationships>
</file>

<file path=xl/externalLinks/_rels/externalLink270.xml.rels><?xml version="1.0" encoding="UTF-8" standalone="yes"?>
<Relationships xmlns="http://schemas.openxmlformats.org/package/2006/relationships"><Relationship Id="rId1" Type="http://schemas.openxmlformats.org/officeDocument/2006/relationships/externalLinkPath" Target="file:///E:/Wang/Galan/3%20MC/CGI014-qtz08-CL-fit-4-offset.xlsm"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file:///E:/Wang/Galan/3%20MC/CGI014-qtz09-CL-fit-1-offset.xlsm"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file:///E:/Wang/Galan/3%20MC/CGI014-qtz09-CL-fit-2-offset.xlsm"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file:///E:/Wang/Galan/3%20MC/CGI014-qtz09-CL-fit-3-offset.xlsm" TargetMode="External"/></Relationships>
</file>

<file path=xl/externalLinks/_rels/externalLink274.xml.rels><?xml version="1.0" encoding="UTF-8" standalone="yes"?>
<Relationships xmlns="http://schemas.openxmlformats.org/package/2006/relationships"><Relationship Id="rId1" Type="http://schemas.openxmlformats.org/officeDocument/2006/relationships/externalLinkPath" Target="file:///E:/Wang/Galan/3%20MC/CGI014-qtz09-CL-fit-4-offset.xlsm" TargetMode="External"/></Relationships>
</file>

<file path=xl/externalLinks/_rels/externalLink275.xml.rels><?xml version="1.0" encoding="UTF-8" standalone="yes"?>
<Relationships xmlns="http://schemas.openxmlformats.org/package/2006/relationships"><Relationship Id="rId1" Type="http://schemas.openxmlformats.org/officeDocument/2006/relationships/externalLinkPath" Target="file:///E:/Wang/Galan/3%20MC/CGI014-qtz09-CL-fit-5-offset.xlsm" TargetMode="External"/></Relationships>
</file>

<file path=xl/externalLinks/_rels/externalLink276.xml.rels><?xml version="1.0" encoding="UTF-8" standalone="yes"?>
<Relationships xmlns="http://schemas.openxmlformats.org/package/2006/relationships"><Relationship Id="rId1" Type="http://schemas.openxmlformats.org/officeDocument/2006/relationships/externalLinkPath" Target="file:///E:/Wang/Galan/3%20MC/CGI014-qtz10-CL-fit-1-offset.xlsm" TargetMode="External"/></Relationships>
</file>

<file path=xl/externalLinks/_rels/externalLink277.xml.rels><?xml version="1.0" encoding="UTF-8" standalone="yes"?>
<Relationships xmlns="http://schemas.openxmlformats.org/package/2006/relationships"><Relationship Id="rId1" Type="http://schemas.openxmlformats.org/officeDocument/2006/relationships/externalLinkPath" Target="file:///E:/Wang/Galan/3%20MC/CGI014-qtz10-CL-fit-2-offset.xlsm" TargetMode="External"/></Relationships>
</file>

<file path=xl/externalLinks/_rels/externalLink278.xml.rels><?xml version="1.0" encoding="UTF-8" standalone="yes"?>
<Relationships xmlns="http://schemas.openxmlformats.org/package/2006/relationships"><Relationship Id="rId1" Type="http://schemas.openxmlformats.org/officeDocument/2006/relationships/externalLinkPath" Target="file:///E:/Wang/Galan/3%20MC/CGI014-qtz10-CL-fit-3-offset.xlsm" TargetMode="External"/></Relationships>
</file>

<file path=xl/externalLinks/_rels/externalLink279.xml.rels><?xml version="1.0" encoding="UTF-8" standalone="yes"?>
<Relationships xmlns="http://schemas.openxmlformats.org/package/2006/relationships"><Relationship Id="rId1" Type="http://schemas.openxmlformats.org/officeDocument/2006/relationships/externalLinkPath" Target="file:///E:/Wang/Galan/3%20MC/CGI014-qtz10-CL-fit-4-offset.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Wang/Galan/3%20MC/CGI001-qtz08-CL-fit-1-offset.xlsm" TargetMode="External"/></Relationships>
</file>

<file path=xl/externalLinks/_rels/externalLink280.xml.rels><?xml version="1.0" encoding="UTF-8" standalone="yes"?>
<Relationships xmlns="http://schemas.openxmlformats.org/package/2006/relationships"><Relationship Id="rId1" Type="http://schemas.openxmlformats.org/officeDocument/2006/relationships/externalLinkPath" Target="file:///E:/Wang/Galan/3%20MC/CGI014-qtz11-CL-fit-1-offset.xlsm" TargetMode="External"/></Relationships>
</file>

<file path=xl/externalLinks/_rels/externalLink281.xml.rels><?xml version="1.0" encoding="UTF-8" standalone="yes"?>
<Relationships xmlns="http://schemas.openxmlformats.org/package/2006/relationships"><Relationship Id="rId1" Type="http://schemas.openxmlformats.org/officeDocument/2006/relationships/externalLinkPath" Target="file:///E:/Wang/Galan/3%20MC/CGI014-qtz11-CL-fit-2-offset.xlsm" TargetMode="External"/></Relationships>
</file>

<file path=xl/externalLinks/_rels/externalLink282.xml.rels><?xml version="1.0" encoding="UTF-8" standalone="yes"?>
<Relationships xmlns="http://schemas.openxmlformats.org/package/2006/relationships"><Relationship Id="rId1" Type="http://schemas.openxmlformats.org/officeDocument/2006/relationships/externalLinkPath" Target="file:///E:/Wang/Galan/3%20MC/CGI014-qtz11-CL-fit-3-offset.xlsm" TargetMode="External"/></Relationships>
</file>

<file path=xl/externalLinks/_rels/externalLink283.xml.rels><?xml version="1.0" encoding="UTF-8" standalone="yes"?>
<Relationships xmlns="http://schemas.openxmlformats.org/package/2006/relationships"><Relationship Id="rId1" Type="http://schemas.openxmlformats.org/officeDocument/2006/relationships/externalLinkPath" Target="file:///E:/Wang/Galan/3%20MC/CGI014-qtz11-CL-fit-4-offset.xlsm" TargetMode="External"/></Relationships>
</file>

<file path=xl/externalLinks/_rels/externalLink284.xml.rels><?xml version="1.0" encoding="UTF-8" standalone="yes"?>
<Relationships xmlns="http://schemas.openxmlformats.org/package/2006/relationships"><Relationship Id="rId1" Type="http://schemas.openxmlformats.org/officeDocument/2006/relationships/externalLinkPath" Target="file:///E:/Wang/Galan/3%20MC/CGI014-qtz11-CL-fit-5-offset.xlsm" TargetMode="External"/></Relationships>
</file>

<file path=xl/externalLinks/_rels/externalLink285.xml.rels><?xml version="1.0" encoding="UTF-8" standalone="yes"?>
<Relationships xmlns="http://schemas.openxmlformats.org/package/2006/relationships"><Relationship Id="rId1" Type="http://schemas.openxmlformats.org/officeDocument/2006/relationships/externalLinkPath" Target="file:///E:/Wang/Galan/3%20MC/CGI014-qtz12-CL-fit-1-offset.xlsm" TargetMode="External"/></Relationships>
</file>

<file path=xl/externalLinks/_rels/externalLink286.xml.rels><?xml version="1.0" encoding="UTF-8" standalone="yes"?>
<Relationships xmlns="http://schemas.openxmlformats.org/package/2006/relationships"><Relationship Id="rId1" Type="http://schemas.openxmlformats.org/officeDocument/2006/relationships/externalLinkPath" Target="file:///E:/Wang/Galan/3%20MC/CGI014-qtz12-CL-fit-2-offset.xlsm" TargetMode="External"/></Relationships>
</file>

<file path=xl/externalLinks/_rels/externalLink287.xml.rels><?xml version="1.0" encoding="UTF-8" standalone="yes"?>
<Relationships xmlns="http://schemas.openxmlformats.org/package/2006/relationships"><Relationship Id="rId1" Type="http://schemas.openxmlformats.org/officeDocument/2006/relationships/externalLinkPath" Target="file:///E:/Wang/Galan/3%20MC/CGI014-qtz12-CL-fit-3-offset.xlsm" TargetMode="External"/></Relationships>
</file>

<file path=xl/externalLinks/_rels/externalLink288.xml.rels><?xml version="1.0" encoding="UTF-8" standalone="yes"?>
<Relationships xmlns="http://schemas.openxmlformats.org/package/2006/relationships"><Relationship Id="rId1" Type="http://schemas.openxmlformats.org/officeDocument/2006/relationships/externalLinkPath" Target="file:///E:/Wang/Galan/3%20MC/CGI015-qtz01-CL-fit-1-offset.xlsm" TargetMode="External"/></Relationships>
</file>

<file path=xl/externalLinks/_rels/externalLink289.xml.rels><?xml version="1.0" encoding="UTF-8" standalone="yes"?>
<Relationships xmlns="http://schemas.openxmlformats.org/package/2006/relationships"><Relationship Id="rId1" Type="http://schemas.openxmlformats.org/officeDocument/2006/relationships/externalLinkPath" Target="file:///E:/Wang/Galan/3%20MC/CGI015-qtz01-CL-fit-2-offset.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Wang/Galan/3%20MC/CGI001-qtz08-CL-fit-2-offset.xlsm" TargetMode="External"/></Relationships>
</file>

<file path=xl/externalLinks/_rels/externalLink290.xml.rels><?xml version="1.0" encoding="UTF-8" standalone="yes"?>
<Relationships xmlns="http://schemas.openxmlformats.org/package/2006/relationships"><Relationship Id="rId1" Type="http://schemas.openxmlformats.org/officeDocument/2006/relationships/externalLinkPath" Target="file:///E:/Wang/Galan/3%20MC/CGI015-qtz01-CL-fit-3-offset.xlsm" TargetMode="External"/></Relationships>
</file>

<file path=xl/externalLinks/_rels/externalLink291.xml.rels><?xml version="1.0" encoding="UTF-8" standalone="yes"?>
<Relationships xmlns="http://schemas.openxmlformats.org/package/2006/relationships"><Relationship Id="rId1" Type="http://schemas.openxmlformats.org/officeDocument/2006/relationships/externalLinkPath" Target="file:///E:/Wang/Galan/3%20MC/CGI015-qtz01-CL-fit-4-offset.xlsm" TargetMode="External"/></Relationships>
</file>

<file path=xl/externalLinks/_rels/externalLink292.xml.rels><?xml version="1.0" encoding="UTF-8" standalone="yes"?>
<Relationships xmlns="http://schemas.openxmlformats.org/package/2006/relationships"><Relationship Id="rId1" Type="http://schemas.openxmlformats.org/officeDocument/2006/relationships/externalLinkPath" Target="file:///E:/Wang/Galan/3%20MC/CGI015-qtz01-CL-fit-5-offset.xlsm" TargetMode="External"/></Relationships>
</file>

<file path=xl/externalLinks/_rels/externalLink293.xml.rels><?xml version="1.0" encoding="UTF-8" standalone="yes"?>
<Relationships xmlns="http://schemas.openxmlformats.org/package/2006/relationships"><Relationship Id="rId1" Type="http://schemas.openxmlformats.org/officeDocument/2006/relationships/externalLinkPath" Target="file:///E:/Wang/Galan/3%20MC/CGI015-qtz01-CL-fit-6-offset.xlsm" TargetMode="External"/></Relationships>
</file>

<file path=xl/externalLinks/_rels/externalLink294.xml.rels><?xml version="1.0" encoding="UTF-8" standalone="yes"?>
<Relationships xmlns="http://schemas.openxmlformats.org/package/2006/relationships"><Relationship Id="rId1" Type="http://schemas.openxmlformats.org/officeDocument/2006/relationships/externalLinkPath" Target="file:///E:/Wang/Galan/3%20MC/CGI015-qtz02-CL-fit-1-offset.xlsm" TargetMode="External"/></Relationships>
</file>

<file path=xl/externalLinks/_rels/externalLink295.xml.rels><?xml version="1.0" encoding="UTF-8" standalone="yes"?>
<Relationships xmlns="http://schemas.openxmlformats.org/package/2006/relationships"><Relationship Id="rId1" Type="http://schemas.openxmlformats.org/officeDocument/2006/relationships/externalLinkPath" Target="file:///E:/Wang/Galan/3%20MC/CGI015-qtz02-CL-fit-2-offset.xlsm" TargetMode="External"/></Relationships>
</file>

<file path=xl/externalLinks/_rels/externalLink296.xml.rels><?xml version="1.0" encoding="UTF-8" standalone="yes"?>
<Relationships xmlns="http://schemas.openxmlformats.org/package/2006/relationships"><Relationship Id="rId1" Type="http://schemas.openxmlformats.org/officeDocument/2006/relationships/externalLinkPath" Target="file:///E:/Wang/Galan/3%20MC/CGI015-qtz02-CL-fit-3-offset.xlsm" TargetMode="External"/></Relationships>
</file>

<file path=xl/externalLinks/_rels/externalLink297.xml.rels><?xml version="1.0" encoding="UTF-8" standalone="yes"?>
<Relationships xmlns="http://schemas.openxmlformats.org/package/2006/relationships"><Relationship Id="rId1" Type="http://schemas.openxmlformats.org/officeDocument/2006/relationships/externalLinkPath" Target="file:///E:/Wang/Galan/3%20MC/CGI015-qtz02-CL-fit-4-offset.xlsm" TargetMode="External"/></Relationships>
</file>

<file path=xl/externalLinks/_rels/externalLink298.xml.rels><?xml version="1.0" encoding="UTF-8" standalone="yes"?>
<Relationships xmlns="http://schemas.openxmlformats.org/package/2006/relationships"><Relationship Id="rId1" Type="http://schemas.openxmlformats.org/officeDocument/2006/relationships/externalLinkPath" Target="file:///E:/Wang/Galan/3%20MC/CGI015-qtz03-CL-fit-1-offset.xlsm" TargetMode="External"/></Relationships>
</file>

<file path=xl/externalLinks/_rels/externalLink299.xml.rels><?xml version="1.0" encoding="UTF-8" standalone="yes"?>
<Relationships xmlns="http://schemas.openxmlformats.org/package/2006/relationships"><Relationship Id="rId1" Type="http://schemas.openxmlformats.org/officeDocument/2006/relationships/externalLinkPath" Target="file:///E:/Wang/Galan/3%20MC/CGI015-qtz03-CL-fit-2-offse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Wang/Galan/3%20MC/CGI001-qtz01-CL-fit-3.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Wang/Galan/3%20MC/CGI001-qtz08-CL-fit-3.xlsm" TargetMode="External"/></Relationships>
</file>

<file path=xl/externalLinks/_rels/externalLink300.xml.rels><?xml version="1.0" encoding="UTF-8" standalone="yes"?>
<Relationships xmlns="http://schemas.openxmlformats.org/package/2006/relationships"><Relationship Id="rId1" Type="http://schemas.openxmlformats.org/officeDocument/2006/relationships/externalLinkPath" Target="file:///E:/Wang/Galan/3%20MC/CGI015-qtz03-CL-fit-3-offset.xlsm" TargetMode="External"/></Relationships>
</file>

<file path=xl/externalLinks/_rels/externalLink301.xml.rels><?xml version="1.0" encoding="UTF-8" standalone="yes"?>
<Relationships xmlns="http://schemas.openxmlformats.org/package/2006/relationships"><Relationship Id="rId1" Type="http://schemas.openxmlformats.org/officeDocument/2006/relationships/externalLinkPath" Target="file:///E:/Wang/Galan/3%20MC/CGI015-qtz03-CL-fit-4-offset.xlsm" TargetMode="External"/></Relationships>
</file>

<file path=xl/externalLinks/_rels/externalLink302.xml.rels><?xml version="1.0" encoding="UTF-8" standalone="yes"?>
<Relationships xmlns="http://schemas.openxmlformats.org/package/2006/relationships"><Relationship Id="rId1" Type="http://schemas.openxmlformats.org/officeDocument/2006/relationships/externalLinkPath" Target="file:///E:/Wang/Galan/3%20MC/CGI015-qtz03-CL-fit-5-offset.xlsm" TargetMode="External"/></Relationships>
</file>

<file path=xl/externalLinks/_rels/externalLink303.xml.rels><?xml version="1.0" encoding="UTF-8" standalone="yes"?>
<Relationships xmlns="http://schemas.openxmlformats.org/package/2006/relationships"><Relationship Id="rId1" Type="http://schemas.openxmlformats.org/officeDocument/2006/relationships/externalLinkPath" Target="file:///E:/Wang/Galan/3%20MC/CGI015-qtz04-CL-fit-1-offset.xlsm" TargetMode="External"/></Relationships>
</file>

<file path=xl/externalLinks/_rels/externalLink304.xml.rels><?xml version="1.0" encoding="UTF-8" standalone="yes"?>
<Relationships xmlns="http://schemas.openxmlformats.org/package/2006/relationships"><Relationship Id="rId1" Type="http://schemas.openxmlformats.org/officeDocument/2006/relationships/externalLinkPath" Target="file:///E:/Wang/Galan/3%20MC/CGI015-qtz04-CL-fit-2-offset.xlsm" TargetMode="External"/></Relationships>
</file>

<file path=xl/externalLinks/_rels/externalLink305.xml.rels><?xml version="1.0" encoding="UTF-8" standalone="yes"?>
<Relationships xmlns="http://schemas.openxmlformats.org/package/2006/relationships"><Relationship Id="rId1" Type="http://schemas.openxmlformats.org/officeDocument/2006/relationships/externalLinkPath" Target="file:///E:/Wang/Galan/3%20MC/CGI015-qtz04-CL-fit-3-offset.xlsm" TargetMode="External"/></Relationships>
</file>

<file path=xl/externalLinks/_rels/externalLink306.xml.rels><?xml version="1.0" encoding="UTF-8" standalone="yes"?>
<Relationships xmlns="http://schemas.openxmlformats.org/package/2006/relationships"><Relationship Id="rId1" Type="http://schemas.openxmlformats.org/officeDocument/2006/relationships/externalLinkPath" Target="file:///E:/Wang/Galan/3%20MC/CGI015-qtz04-CL-fit-4-offset.xlsm" TargetMode="External"/></Relationships>
</file>

<file path=xl/externalLinks/_rels/externalLink307.xml.rels><?xml version="1.0" encoding="UTF-8" standalone="yes"?>
<Relationships xmlns="http://schemas.openxmlformats.org/package/2006/relationships"><Relationship Id="rId1" Type="http://schemas.openxmlformats.org/officeDocument/2006/relationships/externalLinkPath" Target="file:///E:/Wang/Galan/3%20MC/CGI015-qtz05-CL-fit-1-offset.xlsm" TargetMode="External"/></Relationships>
</file>

<file path=xl/externalLinks/_rels/externalLink308.xml.rels><?xml version="1.0" encoding="UTF-8" standalone="yes"?>
<Relationships xmlns="http://schemas.openxmlformats.org/package/2006/relationships"><Relationship Id="rId1" Type="http://schemas.openxmlformats.org/officeDocument/2006/relationships/externalLinkPath" Target="file:///E:/Wang/Galan/3%20MC/CGI015-qtz05-CL-fit-2-offset.xlsm" TargetMode="External"/></Relationships>
</file>

<file path=xl/externalLinks/_rels/externalLink309.xml.rels><?xml version="1.0" encoding="UTF-8" standalone="yes"?>
<Relationships xmlns="http://schemas.openxmlformats.org/package/2006/relationships"><Relationship Id="rId1" Type="http://schemas.openxmlformats.org/officeDocument/2006/relationships/externalLinkPath" Target="file:///E:/Wang/Galan/3%20MC/CGI015-qtz05-CL-fit-3-offset.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Wang/Galan/3%20MC/CGI001-qtz08-CL-fit-4-offset.xlsm" TargetMode="External"/></Relationships>
</file>

<file path=xl/externalLinks/_rels/externalLink310.xml.rels><?xml version="1.0" encoding="UTF-8" standalone="yes"?>
<Relationships xmlns="http://schemas.openxmlformats.org/package/2006/relationships"><Relationship Id="rId1" Type="http://schemas.openxmlformats.org/officeDocument/2006/relationships/externalLinkPath" Target="file:///E:/Wang/Galan/3%20MC/CGI015-qtz05-CL-fit-4-offset.xlsm" TargetMode="External"/></Relationships>
</file>

<file path=xl/externalLinks/_rels/externalLink311.xml.rels><?xml version="1.0" encoding="UTF-8" standalone="yes"?>
<Relationships xmlns="http://schemas.openxmlformats.org/package/2006/relationships"><Relationship Id="rId1" Type="http://schemas.openxmlformats.org/officeDocument/2006/relationships/externalLinkPath" Target="file:///E:/Wang/Galan/3%20MC/CGI015-qtz06-CL-fit-1-offset.xlsm" TargetMode="External"/></Relationships>
</file>

<file path=xl/externalLinks/_rels/externalLink312.xml.rels><?xml version="1.0" encoding="UTF-8" standalone="yes"?>
<Relationships xmlns="http://schemas.openxmlformats.org/package/2006/relationships"><Relationship Id="rId1" Type="http://schemas.openxmlformats.org/officeDocument/2006/relationships/externalLinkPath" Target="file:///E:/Wang/Galan/3%20MC/CGI015-qtz06-CL-fit-2-offset.xlsm" TargetMode="External"/></Relationships>
</file>

<file path=xl/externalLinks/_rels/externalLink313.xml.rels><?xml version="1.0" encoding="UTF-8" standalone="yes"?>
<Relationships xmlns="http://schemas.openxmlformats.org/package/2006/relationships"><Relationship Id="rId1" Type="http://schemas.openxmlformats.org/officeDocument/2006/relationships/externalLinkPath" Target="file:///E:/Wang/Galan/3%20MC/CGI015-qtz06-CL-fit-3-offset.xlsm" TargetMode="External"/></Relationships>
</file>

<file path=xl/externalLinks/_rels/externalLink314.xml.rels><?xml version="1.0" encoding="UTF-8" standalone="yes"?>
<Relationships xmlns="http://schemas.openxmlformats.org/package/2006/relationships"><Relationship Id="rId1" Type="http://schemas.openxmlformats.org/officeDocument/2006/relationships/externalLinkPath" Target="file:///E:/Wang/Galan/3%20MC/CGI015-qtz06-CL-fit-4-offset.xlsm" TargetMode="External"/></Relationships>
</file>

<file path=xl/externalLinks/_rels/externalLink315.xml.rels><?xml version="1.0" encoding="UTF-8" standalone="yes"?>
<Relationships xmlns="http://schemas.openxmlformats.org/package/2006/relationships"><Relationship Id="rId1" Type="http://schemas.openxmlformats.org/officeDocument/2006/relationships/externalLinkPath" Target="file:///E:/Wang/Galan/3%20MC/CGI015-qtz07-CL-fit-1-offset.xlsm" TargetMode="External"/></Relationships>
</file>

<file path=xl/externalLinks/_rels/externalLink316.xml.rels><?xml version="1.0" encoding="UTF-8" standalone="yes"?>
<Relationships xmlns="http://schemas.openxmlformats.org/package/2006/relationships"><Relationship Id="rId1" Type="http://schemas.openxmlformats.org/officeDocument/2006/relationships/externalLinkPath" Target="file:///E:/Wang/Galan/3%20MC/CGI015-qtz07-CL-fit-2-offset.xlsm" TargetMode="External"/></Relationships>
</file>

<file path=xl/externalLinks/_rels/externalLink317.xml.rels><?xml version="1.0" encoding="UTF-8" standalone="yes"?>
<Relationships xmlns="http://schemas.openxmlformats.org/package/2006/relationships"><Relationship Id="rId1" Type="http://schemas.openxmlformats.org/officeDocument/2006/relationships/externalLinkPath" Target="file:///E:/Wang/Galan/3%20MC/CGI015-qtz07-CL-fit-3-offset.xlsm" TargetMode="External"/></Relationships>
</file>

<file path=xl/externalLinks/_rels/externalLink318.xml.rels><?xml version="1.0" encoding="UTF-8" standalone="yes"?>
<Relationships xmlns="http://schemas.openxmlformats.org/package/2006/relationships"><Relationship Id="rId1" Type="http://schemas.openxmlformats.org/officeDocument/2006/relationships/externalLinkPath" Target="file:///E:/Wang/Galan/3%20MC/CGI015-qtz07-CL-fit-4-offset.xlsm" TargetMode="External"/></Relationships>
</file>

<file path=xl/externalLinks/_rels/externalLink319.xml.rels><?xml version="1.0" encoding="UTF-8" standalone="yes"?>
<Relationships xmlns="http://schemas.openxmlformats.org/package/2006/relationships"><Relationship Id="rId1" Type="http://schemas.openxmlformats.org/officeDocument/2006/relationships/externalLinkPath" Target="file:///E:/Wang/Galan/3%20MC/CGI015-qtz07-CL-fit-5-offset.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Wang/Galan/3%20MC/CGI001-qtz09-CL-fit-1-offset.xlsm" TargetMode="External"/></Relationships>
</file>

<file path=xl/externalLinks/_rels/externalLink320.xml.rels><?xml version="1.0" encoding="UTF-8" standalone="yes"?>
<Relationships xmlns="http://schemas.openxmlformats.org/package/2006/relationships"><Relationship Id="rId1" Type="http://schemas.openxmlformats.org/officeDocument/2006/relationships/externalLinkPath" Target="file:///E:/Wang/Galan/3%20MC/CGI015-qtz07-CL-fit-6-offset.xlsm" TargetMode="External"/></Relationships>
</file>

<file path=xl/externalLinks/_rels/externalLink321.xml.rels><?xml version="1.0" encoding="UTF-8" standalone="yes"?>
<Relationships xmlns="http://schemas.openxmlformats.org/package/2006/relationships"><Relationship Id="rId1" Type="http://schemas.openxmlformats.org/officeDocument/2006/relationships/externalLinkPath" Target="file:///E:/Wang/Galan/3%20MC/CGI015-qtz08-CL-fit-1-offset.xlsm" TargetMode="External"/></Relationships>
</file>

<file path=xl/externalLinks/_rels/externalLink322.xml.rels><?xml version="1.0" encoding="UTF-8" standalone="yes"?>
<Relationships xmlns="http://schemas.openxmlformats.org/package/2006/relationships"><Relationship Id="rId1" Type="http://schemas.openxmlformats.org/officeDocument/2006/relationships/externalLinkPath" Target="file:///E:/Wang/Galan/3%20MC/CGI015-qtz08-CL-fit-2-offset.xlsm" TargetMode="External"/></Relationships>
</file>

<file path=xl/externalLinks/_rels/externalLink323.xml.rels><?xml version="1.0" encoding="UTF-8" standalone="yes"?>
<Relationships xmlns="http://schemas.openxmlformats.org/package/2006/relationships"><Relationship Id="rId1" Type="http://schemas.openxmlformats.org/officeDocument/2006/relationships/externalLinkPath" Target="file:///E:/Wang/Galan/3%20MC/CGI015-qtz08-CL-fit-3-offset.xlsm" TargetMode="External"/></Relationships>
</file>

<file path=xl/externalLinks/_rels/externalLink324.xml.rels><?xml version="1.0" encoding="UTF-8" standalone="yes"?>
<Relationships xmlns="http://schemas.openxmlformats.org/package/2006/relationships"><Relationship Id="rId1" Type="http://schemas.openxmlformats.org/officeDocument/2006/relationships/externalLinkPath" Target="file:///E:/Wang/Galan/3%20MC/CGI015-qtz08-CL-fit-4-offset.xlsm" TargetMode="External"/></Relationships>
</file>

<file path=xl/externalLinks/_rels/externalLink325.xml.rels><?xml version="1.0" encoding="UTF-8" standalone="yes"?>
<Relationships xmlns="http://schemas.openxmlformats.org/package/2006/relationships"><Relationship Id="rId1" Type="http://schemas.openxmlformats.org/officeDocument/2006/relationships/externalLinkPath" Target="file:///E:/Wang/Galan/3%20MC/CGI015-qtz08-CL-fit-5-offset.xlsm" TargetMode="External"/></Relationships>
</file>

<file path=xl/externalLinks/_rels/externalLink326.xml.rels><?xml version="1.0" encoding="UTF-8" standalone="yes"?>
<Relationships xmlns="http://schemas.openxmlformats.org/package/2006/relationships"><Relationship Id="rId1" Type="http://schemas.openxmlformats.org/officeDocument/2006/relationships/externalLinkPath" Target="file:///E:/Wang/Galan/3%20MC/CGI015-qtz08-CL-fit-6-offset.xlsm" TargetMode="External"/></Relationships>
</file>

<file path=xl/externalLinks/_rels/externalLink327.xml.rels><?xml version="1.0" encoding="UTF-8" standalone="yes"?>
<Relationships xmlns="http://schemas.openxmlformats.org/package/2006/relationships"><Relationship Id="rId1" Type="http://schemas.openxmlformats.org/officeDocument/2006/relationships/externalLinkPath" Target="file:///E:/Wang/Galan/3%20MC/CGI015-qtz09-CL-fit-1-offset.xlsm" TargetMode="External"/></Relationships>
</file>

<file path=xl/externalLinks/_rels/externalLink328.xml.rels><?xml version="1.0" encoding="UTF-8" standalone="yes"?>
<Relationships xmlns="http://schemas.openxmlformats.org/package/2006/relationships"><Relationship Id="rId1" Type="http://schemas.openxmlformats.org/officeDocument/2006/relationships/externalLinkPath" Target="file:///E:/Wang/Galan/3%20MC/CGI015-qtz09-CL-fit-2-offset.xlsm" TargetMode="External"/></Relationships>
</file>

<file path=xl/externalLinks/_rels/externalLink329.xml.rels><?xml version="1.0" encoding="UTF-8" standalone="yes"?>
<Relationships xmlns="http://schemas.openxmlformats.org/package/2006/relationships"><Relationship Id="rId1" Type="http://schemas.openxmlformats.org/officeDocument/2006/relationships/externalLinkPath" Target="file:///E:/Wang/Galan/3%20MC/CGI015-qtz09-CL-fit-3-offset.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Wang/Galan/3%20MC/CGI001-qtz09-CL-fit-2-offset.xlsm" TargetMode="External"/></Relationships>
</file>

<file path=xl/externalLinks/_rels/externalLink330.xml.rels><?xml version="1.0" encoding="UTF-8" standalone="yes"?>
<Relationships xmlns="http://schemas.openxmlformats.org/package/2006/relationships"><Relationship Id="rId1" Type="http://schemas.openxmlformats.org/officeDocument/2006/relationships/externalLinkPath" Target="file:///E:/Wang/Galan/3%20MC/CGI015-qtz09-CL-fit-4-offset.xlsm" TargetMode="External"/></Relationships>
</file>

<file path=xl/externalLinks/_rels/externalLink331.xml.rels><?xml version="1.0" encoding="UTF-8" standalone="yes"?>
<Relationships xmlns="http://schemas.openxmlformats.org/package/2006/relationships"><Relationship Id="rId1" Type="http://schemas.openxmlformats.org/officeDocument/2006/relationships/externalLinkPath" Target="file:///E:/Wang/Galan/3%20MC/CGI015-qtz09-CL-fit-5-offset.xlsm" TargetMode="External"/></Relationships>
</file>

<file path=xl/externalLinks/_rels/externalLink332.xml.rels><?xml version="1.0" encoding="UTF-8" standalone="yes"?>
<Relationships xmlns="http://schemas.openxmlformats.org/package/2006/relationships"><Relationship Id="rId1" Type="http://schemas.openxmlformats.org/officeDocument/2006/relationships/externalLinkPath" Target="file:///E:/Wang/Galan/3%20MC/CGI015-qtz09-CL-fit-6-offset.xlsm" TargetMode="External"/></Relationships>
</file>

<file path=xl/externalLinks/_rels/externalLink333.xml.rels><?xml version="1.0" encoding="UTF-8" standalone="yes"?>
<Relationships xmlns="http://schemas.openxmlformats.org/package/2006/relationships"><Relationship Id="rId1" Type="http://schemas.openxmlformats.org/officeDocument/2006/relationships/externalLinkPath" Target="file:///E:/Wang/Galan/3%20MC/CGI015-qtz10-CL-fit-1-offset.xlsm" TargetMode="External"/></Relationships>
</file>

<file path=xl/externalLinks/_rels/externalLink334.xml.rels><?xml version="1.0" encoding="UTF-8" standalone="yes"?>
<Relationships xmlns="http://schemas.openxmlformats.org/package/2006/relationships"><Relationship Id="rId1" Type="http://schemas.openxmlformats.org/officeDocument/2006/relationships/externalLinkPath" Target="file:///E:/Wang/Galan/3%20MC/CGI015-qtz10-CL-fit-2-offset.xlsm" TargetMode="External"/></Relationships>
</file>

<file path=xl/externalLinks/_rels/externalLink335.xml.rels><?xml version="1.0" encoding="UTF-8" standalone="yes"?>
<Relationships xmlns="http://schemas.openxmlformats.org/package/2006/relationships"><Relationship Id="rId1" Type="http://schemas.openxmlformats.org/officeDocument/2006/relationships/externalLinkPath" Target="file:///E:/Wang/Galan/3%20MC/CGI015-qtz10-CL-fit-3-offset.xlsm" TargetMode="External"/></Relationships>
</file>

<file path=xl/externalLinks/_rels/externalLink336.xml.rels><?xml version="1.0" encoding="UTF-8" standalone="yes"?>
<Relationships xmlns="http://schemas.openxmlformats.org/package/2006/relationships"><Relationship Id="rId1" Type="http://schemas.openxmlformats.org/officeDocument/2006/relationships/externalLinkPath" Target="file:///E:/Wang/Galan/3%20MC/CGI015-qtz10-CL-fit-4-offset.xlsm" TargetMode="External"/></Relationships>
</file>

<file path=xl/externalLinks/_rels/externalLink337.xml.rels><?xml version="1.0" encoding="UTF-8" standalone="yes"?>
<Relationships xmlns="http://schemas.openxmlformats.org/package/2006/relationships"><Relationship Id="rId1" Type="http://schemas.openxmlformats.org/officeDocument/2006/relationships/externalLinkPath" Target="file:///E:/Wang/Galan/3%20MC/CGI015-qtz10-CL-fit-5-offset.xlsm" TargetMode="External"/></Relationships>
</file>

<file path=xl/externalLinks/_rels/externalLink338.xml.rels><?xml version="1.0" encoding="UTF-8" standalone="yes"?>
<Relationships xmlns="http://schemas.openxmlformats.org/package/2006/relationships"><Relationship Id="rId1" Type="http://schemas.openxmlformats.org/officeDocument/2006/relationships/externalLinkPath" Target="file:///E:/Wang/Galan/3%20MC/CGI015-qtz10-CL-fit-6-offset.xlsm" TargetMode="External"/></Relationships>
</file>

<file path=xl/externalLinks/_rels/externalLink339.xml.rels><?xml version="1.0" encoding="UTF-8" standalone="yes"?>
<Relationships xmlns="http://schemas.openxmlformats.org/package/2006/relationships"><Relationship Id="rId1" Type="http://schemas.openxmlformats.org/officeDocument/2006/relationships/externalLinkPath" Target="file:///E:/Wang/Galan/3%20MC/CGI015-qtz10-CL-fit-7-offset.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Wang/Galan/3%20MC/CGI001-qtz09-CL-fit-3-offset.xlsm" TargetMode="External"/></Relationships>
</file>

<file path=xl/externalLinks/_rels/externalLink340.xml.rels><?xml version="1.0" encoding="UTF-8" standalone="yes"?>
<Relationships xmlns="http://schemas.openxmlformats.org/package/2006/relationships"><Relationship Id="rId1" Type="http://schemas.openxmlformats.org/officeDocument/2006/relationships/externalLinkPath" Target="file:///E:/Wang/Galan/3%20MC/CGI015-qtz11-CL-fit-1-offset.xlsm" TargetMode="External"/></Relationships>
</file>

<file path=xl/externalLinks/_rels/externalLink341.xml.rels><?xml version="1.0" encoding="UTF-8" standalone="yes"?>
<Relationships xmlns="http://schemas.openxmlformats.org/package/2006/relationships"><Relationship Id="rId1" Type="http://schemas.openxmlformats.org/officeDocument/2006/relationships/externalLinkPath" Target="file:///E:/Wang/Galan/3%20MC/CGI015-qtz11-CL-fit-2-offset.xlsm" TargetMode="External"/></Relationships>
</file>

<file path=xl/externalLinks/_rels/externalLink342.xml.rels><?xml version="1.0" encoding="UTF-8" standalone="yes"?>
<Relationships xmlns="http://schemas.openxmlformats.org/package/2006/relationships"><Relationship Id="rId1" Type="http://schemas.openxmlformats.org/officeDocument/2006/relationships/externalLinkPath" Target="file:///E:/Wang/Galan/3%20MC/CGI015-qtz11-CL-fit-3-offset.xlsm" TargetMode="External"/></Relationships>
</file>

<file path=xl/externalLinks/_rels/externalLink343.xml.rels><?xml version="1.0" encoding="UTF-8" standalone="yes"?>
<Relationships xmlns="http://schemas.openxmlformats.org/package/2006/relationships"><Relationship Id="rId1" Type="http://schemas.openxmlformats.org/officeDocument/2006/relationships/externalLinkPath" Target="file:///E:/Wang/Galan/3%20MC/CGI015-qtz11-CL-fit-4-offset.xlsm" TargetMode="External"/></Relationships>
</file>

<file path=xl/externalLinks/_rels/externalLink344.xml.rels><?xml version="1.0" encoding="UTF-8" standalone="yes"?>
<Relationships xmlns="http://schemas.openxmlformats.org/package/2006/relationships"><Relationship Id="rId1" Type="http://schemas.openxmlformats.org/officeDocument/2006/relationships/externalLinkPath" Target="file:///E:/Wang/Galan/3%20MC/CGI015-qtz11-CL-fit-5-offset.xlsm" TargetMode="External"/></Relationships>
</file>

<file path=xl/externalLinks/_rels/externalLink345.xml.rels><?xml version="1.0" encoding="UTF-8" standalone="yes"?>
<Relationships xmlns="http://schemas.openxmlformats.org/package/2006/relationships"><Relationship Id="rId1" Type="http://schemas.openxmlformats.org/officeDocument/2006/relationships/externalLinkPath" Target="file:///E:/Wang/Galan/3%20MC/CGI015-qtz11-CL-fit-6-offset.xlsm" TargetMode="External"/></Relationships>
</file>

<file path=xl/externalLinks/_rels/externalLink346.xml.rels><?xml version="1.0" encoding="UTF-8" standalone="yes"?>
<Relationships xmlns="http://schemas.openxmlformats.org/package/2006/relationships"><Relationship Id="rId1" Type="http://schemas.openxmlformats.org/officeDocument/2006/relationships/externalLinkPath" Target="file:///E:/Wang/Galan/3%20MC/CGI015-qtz11-CL-fit-7-offset.xlsm" TargetMode="External"/></Relationships>
</file>

<file path=xl/externalLinks/_rels/externalLink347.xml.rels><?xml version="1.0" encoding="UTF-8" standalone="yes"?>
<Relationships xmlns="http://schemas.openxmlformats.org/package/2006/relationships"><Relationship Id="rId1" Type="http://schemas.openxmlformats.org/officeDocument/2006/relationships/externalLinkPath" Target="file:///E:/Wang/Galan/3%20MC/CGI015-qtz12-CL-fit-1-offset.xlsm" TargetMode="External"/></Relationships>
</file>

<file path=xl/externalLinks/_rels/externalLink348.xml.rels><?xml version="1.0" encoding="UTF-8" standalone="yes"?>
<Relationships xmlns="http://schemas.openxmlformats.org/package/2006/relationships"><Relationship Id="rId1" Type="http://schemas.openxmlformats.org/officeDocument/2006/relationships/externalLinkPath" Target="file:///E:/Wang/Galan/3%20MC/CGI015-qtz12-CL-fit-2-offset.xlsm" TargetMode="External"/></Relationships>
</file>

<file path=xl/externalLinks/_rels/externalLink349.xml.rels><?xml version="1.0" encoding="UTF-8" standalone="yes"?>
<Relationships xmlns="http://schemas.openxmlformats.org/package/2006/relationships"><Relationship Id="rId1" Type="http://schemas.openxmlformats.org/officeDocument/2006/relationships/externalLinkPath" Target="file:///E:/Wang/Galan/3%20MC/CGI015-qtz12-CL-fit-3-offset.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Wang/Galan/3%20MC/CGI001-qtz10-CL-fit-1-offset.xlsm" TargetMode="External"/></Relationships>
</file>

<file path=xl/externalLinks/_rels/externalLink350.xml.rels><?xml version="1.0" encoding="UTF-8" standalone="yes"?>
<Relationships xmlns="http://schemas.openxmlformats.org/package/2006/relationships"><Relationship Id="rId1" Type="http://schemas.openxmlformats.org/officeDocument/2006/relationships/externalLinkPath" Target="file:///E:/Wang/Galan/3%20MC/CGI015-qtz12-CL-fit-4-offset.xlsm" TargetMode="External"/></Relationships>
</file>

<file path=xl/externalLinks/_rels/externalLink351.xml.rels><?xml version="1.0" encoding="UTF-8" standalone="yes"?>
<Relationships xmlns="http://schemas.openxmlformats.org/package/2006/relationships"><Relationship Id="rId1" Type="http://schemas.openxmlformats.org/officeDocument/2006/relationships/externalLinkPath" Target="file:///E:/Wang/Galan/3%20MC/CGI015-qtz12-CL-fit-5-offset.xlsm" TargetMode="External"/></Relationships>
</file>

<file path=xl/externalLinks/_rels/externalLink352.xml.rels><?xml version="1.0" encoding="UTF-8" standalone="yes"?>
<Relationships xmlns="http://schemas.openxmlformats.org/package/2006/relationships"><Relationship Id="rId1" Type="http://schemas.openxmlformats.org/officeDocument/2006/relationships/externalLinkPath" Target="file:///E:/Wang/Galan/3%20MC/CGI018-qtz01-CL-fit-1-offset.xlsm" TargetMode="External"/></Relationships>
</file>

<file path=xl/externalLinks/_rels/externalLink353.xml.rels><?xml version="1.0" encoding="UTF-8" standalone="yes"?>
<Relationships xmlns="http://schemas.openxmlformats.org/package/2006/relationships"><Relationship Id="rId1" Type="http://schemas.openxmlformats.org/officeDocument/2006/relationships/externalLinkPath" Target="file:///E:/Wang/Galan/3%20MC/CGI018-qtz01-CL-fit-2-offset.xlsm" TargetMode="External"/></Relationships>
</file>

<file path=xl/externalLinks/_rels/externalLink354.xml.rels><?xml version="1.0" encoding="UTF-8" standalone="yes"?>
<Relationships xmlns="http://schemas.openxmlformats.org/package/2006/relationships"><Relationship Id="rId1" Type="http://schemas.openxmlformats.org/officeDocument/2006/relationships/externalLinkPath" Target="file:///E:/Wang/Galan/3%20MC/CGI018-qtz01-CL-fit-3-offset.xlsm" TargetMode="External"/></Relationships>
</file>

<file path=xl/externalLinks/_rels/externalLink355.xml.rels><?xml version="1.0" encoding="UTF-8" standalone="yes"?>
<Relationships xmlns="http://schemas.openxmlformats.org/package/2006/relationships"><Relationship Id="rId1" Type="http://schemas.openxmlformats.org/officeDocument/2006/relationships/externalLinkPath" Target="file:///E:/Wang/Galan/3%20MC/CGI018-qtz01-CL-fit-4-offset.xlsm" TargetMode="External"/></Relationships>
</file>

<file path=xl/externalLinks/_rels/externalLink356.xml.rels><?xml version="1.0" encoding="UTF-8" standalone="yes"?>
<Relationships xmlns="http://schemas.openxmlformats.org/package/2006/relationships"><Relationship Id="rId1" Type="http://schemas.openxmlformats.org/officeDocument/2006/relationships/externalLinkPath" Target="file:///E:/Wang/Galan/3%20MC/CGI018-qtz01-CL-fit-5-offset.xlsm" TargetMode="External"/></Relationships>
</file>

<file path=xl/externalLinks/_rels/externalLink357.xml.rels><?xml version="1.0" encoding="UTF-8" standalone="yes"?>
<Relationships xmlns="http://schemas.openxmlformats.org/package/2006/relationships"><Relationship Id="rId1" Type="http://schemas.openxmlformats.org/officeDocument/2006/relationships/externalLinkPath" Target="file:///E:/Wang/Galan/3%20MC/CGI018-qtz02-CL-fit-1-offset.xlsm" TargetMode="External"/></Relationships>
</file>

<file path=xl/externalLinks/_rels/externalLink358.xml.rels><?xml version="1.0" encoding="UTF-8" standalone="yes"?>
<Relationships xmlns="http://schemas.openxmlformats.org/package/2006/relationships"><Relationship Id="rId1" Type="http://schemas.openxmlformats.org/officeDocument/2006/relationships/externalLinkPath" Target="file:///E:/Wang/Galan/3%20MC/CGI018-qtz02-CL-fit-2-offset.xlsm" TargetMode="External"/></Relationships>
</file>

<file path=xl/externalLinks/_rels/externalLink359.xml.rels><?xml version="1.0" encoding="UTF-8" standalone="yes"?>
<Relationships xmlns="http://schemas.openxmlformats.org/package/2006/relationships"><Relationship Id="rId1" Type="http://schemas.openxmlformats.org/officeDocument/2006/relationships/externalLinkPath" Target="file:///E:/Wang/Galan/3%20MC/CGI018-qtz02-CL-fit-3-offset.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Wang/Galan/3%20MC/CGI001-qtz10-CL-fit-2.xlsm" TargetMode="External"/></Relationships>
</file>

<file path=xl/externalLinks/_rels/externalLink360.xml.rels><?xml version="1.0" encoding="UTF-8" standalone="yes"?>
<Relationships xmlns="http://schemas.openxmlformats.org/package/2006/relationships"><Relationship Id="rId1" Type="http://schemas.openxmlformats.org/officeDocument/2006/relationships/externalLinkPath" Target="file:///E:/Wang/Galan/3%20MC/CGI018-qtz02-CL-fit-4-offset.xlsm" TargetMode="External"/></Relationships>
</file>

<file path=xl/externalLinks/_rels/externalLink361.xml.rels><?xml version="1.0" encoding="UTF-8" standalone="yes"?>
<Relationships xmlns="http://schemas.openxmlformats.org/package/2006/relationships"><Relationship Id="rId1" Type="http://schemas.openxmlformats.org/officeDocument/2006/relationships/externalLinkPath" Target="file:///E:/Wang/Galan/3%20MC/CGI018-qtz02-CL-fit-5-offset.xlsm" TargetMode="External"/></Relationships>
</file>

<file path=xl/externalLinks/_rels/externalLink362.xml.rels><?xml version="1.0" encoding="UTF-8" standalone="yes"?>
<Relationships xmlns="http://schemas.openxmlformats.org/package/2006/relationships"><Relationship Id="rId1" Type="http://schemas.openxmlformats.org/officeDocument/2006/relationships/externalLinkPath" Target="file:///E:/Wang/Galan/3%20MC/CGI018-qtz03-CL-fit-1-offset.xlsm" TargetMode="External"/></Relationships>
</file>

<file path=xl/externalLinks/_rels/externalLink363.xml.rels><?xml version="1.0" encoding="UTF-8" standalone="yes"?>
<Relationships xmlns="http://schemas.openxmlformats.org/package/2006/relationships"><Relationship Id="rId1" Type="http://schemas.openxmlformats.org/officeDocument/2006/relationships/externalLinkPath" Target="file:///E:/Wang/Galan/3%20MC/CGI018-qtz03-CL-fit-2-offset.xlsm" TargetMode="External"/></Relationships>
</file>

<file path=xl/externalLinks/_rels/externalLink364.xml.rels><?xml version="1.0" encoding="UTF-8" standalone="yes"?>
<Relationships xmlns="http://schemas.openxmlformats.org/package/2006/relationships"><Relationship Id="rId1" Type="http://schemas.openxmlformats.org/officeDocument/2006/relationships/externalLinkPath" Target="file:///E:/Wang/Galan/3%20MC/CGI018-qtz03-CL-fit-3-offset.xlsm" TargetMode="External"/></Relationships>
</file>

<file path=xl/externalLinks/_rels/externalLink365.xml.rels><?xml version="1.0" encoding="UTF-8" standalone="yes"?>
<Relationships xmlns="http://schemas.openxmlformats.org/package/2006/relationships"><Relationship Id="rId1" Type="http://schemas.openxmlformats.org/officeDocument/2006/relationships/externalLinkPath" Target="file:///E:/Wang/Galan/3%20MC/CGI018-qtz03-CL-fit-4-offset.xlsm" TargetMode="External"/></Relationships>
</file>

<file path=xl/externalLinks/_rels/externalLink366.xml.rels><?xml version="1.0" encoding="UTF-8" standalone="yes"?>
<Relationships xmlns="http://schemas.openxmlformats.org/package/2006/relationships"><Relationship Id="rId1" Type="http://schemas.openxmlformats.org/officeDocument/2006/relationships/externalLinkPath" Target="file:///E:/Wang/Galan/3%20MC/CGI018-qtz04-CL-fit-1-offset.xlsm" TargetMode="External"/></Relationships>
</file>

<file path=xl/externalLinks/_rels/externalLink367.xml.rels><?xml version="1.0" encoding="UTF-8" standalone="yes"?>
<Relationships xmlns="http://schemas.openxmlformats.org/package/2006/relationships"><Relationship Id="rId1" Type="http://schemas.openxmlformats.org/officeDocument/2006/relationships/externalLinkPath" Target="file:///E:/Wang/Galan/3%20MC/CGI018-qtz04-CL-fit-2-offset.xlsm" TargetMode="External"/></Relationships>
</file>

<file path=xl/externalLinks/_rels/externalLink368.xml.rels><?xml version="1.0" encoding="UTF-8" standalone="yes"?>
<Relationships xmlns="http://schemas.openxmlformats.org/package/2006/relationships"><Relationship Id="rId1" Type="http://schemas.openxmlformats.org/officeDocument/2006/relationships/externalLinkPath" Target="file:///E:/Wang/Galan/3%20MC/CGI018-qtz04-CL-fit-3-offset.xlsm" TargetMode="External"/></Relationships>
</file>

<file path=xl/externalLinks/_rels/externalLink369.xml.rels><?xml version="1.0" encoding="UTF-8" standalone="yes"?>
<Relationships xmlns="http://schemas.openxmlformats.org/package/2006/relationships"><Relationship Id="rId1" Type="http://schemas.openxmlformats.org/officeDocument/2006/relationships/externalLinkPath" Target="file:///E:/Wang/Galan/3%20MC/CGI018-qtz04-CL-fit-4-offset.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Wang/Galan/3%20MC/CGI001-qtz10-CL-fit-3-offset.xlsm" TargetMode="External"/></Relationships>
</file>

<file path=xl/externalLinks/_rels/externalLink370.xml.rels><?xml version="1.0" encoding="UTF-8" standalone="yes"?>
<Relationships xmlns="http://schemas.openxmlformats.org/package/2006/relationships"><Relationship Id="rId1" Type="http://schemas.openxmlformats.org/officeDocument/2006/relationships/externalLinkPath" Target="file:///E:/Wang/Galan/3%20MC/CGI018-qtz05-CL-fit-1-offset.xlsm" TargetMode="External"/></Relationships>
</file>

<file path=xl/externalLinks/_rels/externalLink371.xml.rels><?xml version="1.0" encoding="UTF-8" standalone="yes"?>
<Relationships xmlns="http://schemas.openxmlformats.org/package/2006/relationships"><Relationship Id="rId1" Type="http://schemas.openxmlformats.org/officeDocument/2006/relationships/externalLinkPath" Target="file:///E:/Wang/Galan/3%20MC/CGI018-qtz05-CL-fit-2-offset.xlsm" TargetMode="External"/></Relationships>
</file>

<file path=xl/externalLinks/_rels/externalLink372.xml.rels><?xml version="1.0" encoding="UTF-8" standalone="yes"?>
<Relationships xmlns="http://schemas.openxmlformats.org/package/2006/relationships"><Relationship Id="rId1" Type="http://schemas.openxmlformats.org/officeDocument/2006/relationships/externalLinkPath" Target="file:///E:/Wang/Galan/3%20MC/CGI018-qtz05-CL-fit-3-offset.xlsm" TargetMode="External"/></Relationships>
</file>

<file path=xl/externalLinks/_rels/externalLink373.xml.rels><?xml version="1.0" encoding="UTF-8" standalone="yes"?>
<Relationships xmlns="http://schemas.openxmlformats.org/package/2006/relationships"><Relationship Id="rId1" Type="http://schemas.openxmlformats.org/officeDocument/2006/relationships/externalLinkPath" Target="file:///E:/Wang/Galan/3%20MC/CGI018-qtz05-CL-fit-4-offset.xlsm" TargetMode="External"/></Relationships>
</file>

<file path=xl/externalLinks/_rels/externalLink374.xml.rels><?xml version="1.0" encoding="UTF-8" standalone="yes"?>
<Relationships xmlns="http://schemas.openxmlformats.org/package/2006/relationships"><Relationship Id="rId1" Type="http://schemas.openxmlformats.org/officeDocument/2006/relationships/externalLinkPath" Target="file:///E:/Wang/Galan/3%20MC/CGI018-qtz05-CL-fit-5-offset.xlsm" TargetMode="External"/></Relationships>
</file>

<file path=xl/externalLinks/_rels/externalLink375.xml.rels><?xml version="1.0" encoding="UTF-8" standalone="yes"?>
<Relationships xmlns="http://schemas.openxmlformats.org/package/2006/relationships"><Relationship Id="rId1" Type="http://schemas.openxmlformats.org/officeDocument/2006/relationships/externalLinkPath" Target="file:///E:/Wang/Galan/3%20MC/CGI018-qtz05-CL-fit-6-offset.xlsm" TargetMode="External"/></Relationships>
</file>

<file path=xl/externalLinks/_rels/externalLink376.xml.rels><?xml version="1.0" encoding="UTF-8" standalone="yes"?>
<Relationships xmlns="http://schemas.openxmlformats.org/package/2006/relationships"><Relationship Id="rId1" Type="http://schemas.openxmlformats.org/officeDocument/2006/relationships/externalLinkPath" Target="file:///E:/Wang/Galan/3%20MC/CGI018-qtz05-CL-fit-7-offset.xlsm" TargetMode="External"/></Relationships>
</file>

<file path=xl/externalLinks/_rels/externalLink377.xml.rels><?xml version="1.0" encoding="UTF-8" standalone="yes"?>
<Relationships xmlns="http://schemas.openxmlformats.org/package/2006/relationships"><Relationship Id="rId1" Type="http://schemas.openxmlformats.org/officeDocument/2006/relationships/externalLinkPath" Target="file:///E:/Wang/Galan/3%20MC/CGI018-qtz06-CL-fit-2-offset.xlsm" TargetMode="External"/></Relationships>
</file>

<file path=xl/externalLinks/_rels/externalLink378.xml.rels><?xml version="1.0" encoding="UTF-8" standalone="yes"?>
<Relationships xmlns="http://schemas.openxmlformats.org/package/2006/relationships"><Relationship Id="rId1" Type="http://schemas.openxmlformats.org/officeDocument/2006/relationships/externalLinkPath" Target="file:///E:/Wang/Galan/3%20MC/CGI018-qtz06-CL-fit-3-offset.xlsm" TargetMode="External"/></Relationships>
</file>

<file path=xl/externalLinks/_rels/externalLink379.xml.rels><?xml version="1.0" encoding="UTF-8" standalone="yes"?>
<Relationships xmlns="http://schemas.openxmlformats.org/package/2006/relationships"><Relationship Id="rId1" Type="http://schemas.openxmlformats.org/officeDocument/2006/relationships/externalLinkPath" Target="file:///E:/Wang/Galan/3%20MC/CGI018-qtz06-CL-fit-4-offset.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Wang/Galan/3%20MC/CGI001-qtz10-CL-fit-4.xlsm" TargetMode="External"/></Relationships>
</file>

<file path=xl/externalLinks/_rels/externalLink380.xml.rels><?xml version="1.0" encoding="UTF-8" standalone="yes"?>
<Relationships xmlns="http://schemas.openxmlformats.org/package/2006/relationships"><Relationship Id="rId1" Type="http://schemas.openxmlformats.org/officeDocument/2006/relationships/externalLinkPath" Target="file:///E:/Wang/Galan/3%20MC/CGI018-qtz07-CL-fit-1-offset.xlsm" TargetMode="External"/></Relationships>
</file>

<file path=xl/externalLinks/_rels/externalLink381.xml.rels><?xml version="1.0" encoding="UTF-8" standalone="yes"?>
<Relationships xmlns="http://schemas.openxmlformats.org/package/2006/relationships"><Relationship Id="rId1" Type="http://schemas.openxmlformats.org/officeDocument/2006/relationships/externalLinkPath" Target="file:///E:/Wang/Galan/3%20MC/CGI018-qtz07-CL-fit-2-offset.xlsm" TargetMode="External"/></Relationships>
</file>

<file path=xl/externalLinks/_rels/externalLink382.xml.rels><?xml version="1.0" encoding="UTF-8" standalone="yes"?>
<Relationships xmlns="http://schemas.openxmlformats.org/package/2006/relationships"><Relationship Id="rId1" Type="http://schemas.openxmlformats.org/officeDocument/2006/relationships/externalLinkPath" Target="file:///E:/Wang/Galan/3%20MC/CGI018-qtz07-CL-fit-3-offset.xlsm" TargetMode="External"/></Relationships>
</file>

<file path=xl/externalLinks/_rels/externalLink383.xml.rels><?xml version="1.0" encoding="UTF-8" standalone="yes"?>
<Relationships xmlns="http://schemas.openxmlformats.org/package/2006/relationships"><Relationship Id="rId1" Type="http://schemas.openxmlformats.org/officeDocument/2006/relationships/externalLinkPath" Target="file:///E:/Wang/Galan/3%20MC/CGI018-qtz08-CL-fit-1-offset.xlsm" TargetMode="External"/></Relationships>
</file>

<file path=xl/externalLinks/_rels/externalLink384.xml.rels><?xml version="1.0" encoding="UTF-8" standalone="yes"?>
<Relationships xmlns="http://schemas.openxmlformats.org/package/2006/relationships"><Relationship Id="rId1" Type="http://schemas.openxmlformats.org/officeDocument/2006/relationships/externalLinkPath" Target="file:///E:/Wang/Galan/3%20MC/CGI018-qtz08-CL-fit-2-offset.xlsm" TargetMode="External"/></Relationships>
</file>

<file path=xl/externalLinks/_rels/externalLink385.xml.rels><?xml version="1.0" encoding="UTF-8" standalone="yes"?>
<Relationships xmlns="http://schemas.openxmlformats.org/package/2006/relationships"><Relationship Id="rId1" Type="http://schemas.openxmlformats.org/officeDocument/2006/relationships/externalLinkPath" Target="file:///E:/Wang/Galan/3%20MC/CGI018-qtz08-CL-fit-3-offset.xlsm" TargetMode="External"/></Relationships>
</file>

<file path=xl/externalLinks/_rels/externalLink386.xml.rels><?xml version="1.0" encoding="UTF-8" standalone="yes"?>
<Relationships xmlns="http://schemas.openxmlformats.org/package/2006/relationships"><Relationship Id="rId1" Type="http://schemas.openxmlformats.org/officeDocument/2006/relationships/externalLinkPath" Target="file:///E:/Wang/Galan/3%20MC/CGI018-qtz08-CL-fit-4-offset.xlsm" TargetMode="External"/></Relationships>
</file>

<file path=xl/externalLinks/_rels/externalLink387.xml.rels><?xml version="1.0" encoding="UTF-8" standalone="yes"?>
<Relationships xmlns="http://schemas.openxmlformats.org/package/2006/relationships"><Relationship Id="rId1" Type="http://schemas.openxmlformats.org/officeDocument/2006/relationships/externalLinkPath" Target="file:///E:/Wang/Galan/3%20MC/CGI018-qtz08-CL-fit-5-offset.xlsm" TargetMode="External"/></Relationships>
</file>

<file path=xl/externalLinks/_rels/externalLink388.xml.rels><?xml version="1.0" encoding="UTF-8" standalone="yes"?>
<Relationships xmlns="http://schemas.openxmlformats.org/package/2006/relationships"><Relationship Id="rId1" Type="http://schemas.openxmlformats.org/officeDocument/2006/relationships/externalLinkPath" Target="file:///E:/Wang/Galan/3%20MC/CGI018-qtz08-CL-fit-6-offset.xlsm" TargetMode="External"/></Relationships>
</file>

<file path=xl/externalLinks/_rels/externalLink389.xml.rels><?xml version="1.0" encoding="UTF-8" standalone="yes"?>
<Relationships xmlns="http://schemas.openxmlformats.org/package/2006/relationships"><Relationship Id="rId1" Type="http://schemas.openxmlformats.org/officeDocument/2006/relationships/externalLinkPath" Target="file:///E:/Wang/Galan/3%20MC/CGI018-qtz08-CL-fit-7-offset.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Wang/Galan/3%20MC/CGI001-qtz10-CL-fit-5-offset.xlsm" TargetMode="External"/></Relationships>
</file>

<file path=xl/externalLinks/_rels/externalLink390.xml.rels><?xml version="1.0" encoding="UTF-8" standalone="yes"?>
<Relationships xmlns="http://schemas.openxmlformats.org/package/2006/relationships"><Relationship Id="rId1" Type="http://schemas.openxmlformats.org/officeDocument/2006/relationships/externalLinkPath" Target="file:///E:/Wang/Galan/3%20MC/CGI018-qtz09-CL-fit-2-offset.xlsm" TargetMode="External"/></Relationships>
</file>

<file path=xl/externalLinks/_rels/externalLink391.xml.rels><?xml version="1.0" encoding="UTF-8" standalone="yes"?>
<Relationships xmlns="http://schemas.openxmlformats.org/package/2006/relationships"><Relationship Id="rId1" Type="http://schemas.openxmlformats.org/officeDocument/2006/relationships/externalLinkPath" Target="file:///E:/Wang/Galan/3%20MC/CGI018-qtz09-CL-fit-3-offset.xlsm" TargetMode="External"/></Relationships>
</file>

<file path=xl/externalLinks/_rels/externalLink392.xml.rels><?xml version="1.0" encoding="UTF-8" standalone="yes"?>
<Relationships xmlns="http://schemas.openxmlformats.org/package/2006/relationships"><Relationship Id="rId1" Type="http://schemas.openxmlformats.org/officeDocument/2006/relationships/externalLinkPath" Target="file:///E:/Wang/Galan/3%20MC/CGI018-qtz09-CL-fit-4-offset.xlsm" TargetMode="External"/></Relationships>
</file>

<file path=xl/externalLinks/_rels/externalLink393.xml.rels><?xml version="1.0" encoding="UTF-8" standalone="yes"?>
<Relationships xmlns="http://schemas.openxmlformats.org/package/2006/relationships"><Relationship Id="rId1" Type="http://schemas.openxmlformats.org/officeDocument/2006/relationships/externalLinkPath" Target="file:///E:/Wang/Galan/3%20MC/CGI018-qtz10-CL-fit-1-offset.xlsm" TargetMode="External"/></Relationships>
</file>

<file path=xl/externalLinks/_rels/externalLink394.xml.rels><?xml version="1.0" encoding="UTF-8" standalone="yes"?>
<Relationships xmlns="http://schemas.openxmlformats.org/package/2006/relationships"><Relationship Id="rId1" Type="http://schemas.openxmlformats.org/officeDocument/2006/relationships/externalLinkPath" Target="file:///E:/Wang/Galan/3%20MC/CGI018-qtz10-CL-fit-2-offset.xlsm" TargetMode="External"/></Relationships>
</file>

<file path=xl/externalLinks/_rels/externalLink395.xml.rels><?xml version="1.0" encoding="UTF-8" standalone="yes"?>
<Relationships xmlns="http://schemas.openxmlformats.org/package/2006/relationships"><Relationship Id="rId1" Type="http://schemas.openxmlformats.org/officeDocument/2006/relationships/externalLinkPath" Target="file:///E:/Wang/Galan/3%20MC/CGI018-qtz10-CL-fit-3-offset.xlsm" TargetMode="External"/></Relationships>
</file>

<file path=xl/externalLinks/_rels/externalLink396.xml.rels><?xml version="1.0" encoding="UTF-8" standalone="yes"?>
<Relationships xmlns="http://schemas.openxmlformats.org/package/2006/relationships"><Relationship Id="rId1" Type="http://schemas.openxmlformats.org/officeDocument/2006/relationships/externalLinkPath" Target="file:///E:/Wang/Galan/3%20MC/CGI018-qtz10-CL-fit-4-offset.xlsm" TargetMode="External"/></Relationships>
</file>

<file path=xl/externalLinks/_rels/externalLink397.xml.rels><?xml version="1.0" encoding="UTF-8" standalone="yes"?>
<Relationships xmlns="http://schemas.openxmlformats.org/package/2006/relationships"><Relationship Id="rId1" Type="http://schemas.openxmlformats.org/officeDocument/2006/relationships/externalLinkPath" Target="file:///E:/Wang/Galan/3%20MC/CGI018-qtz10-CL-fit-5-offset.xlsm" TargetMode="External"/></Relationships>
</file>

<file path=xl/externalLinks/_rels/externalLink398.xml.rels><?xml version="1.0" encoding="UTF-8" standalone="yes"?>
<Relationships xmlns="http://schemas.openxmlformats.org/package/2006/relationships"><Relationship Id="rId1" Type="http://schemas.openxmlformats.org/officeDocument/2006/relationships/externalLinkPath" Target="file:///E:/Wang/Galan/3%20MC/CGI018-qtz10-CL-fit-6-offset.xlsm" TargetMode="External"/></Relationships>
</file>

<file path=xl/externalLinks/_rels/externalLink399.xml.rels><?xml version="1.0" encoding="UTF-8" standalone="yes"?>
<Relationships xmlns="http://schemas.openxmlformats.org/package/2006/relationships"><Relationship Id="rId1" Type="http://schemas.openxmlformats.org/officeDocument/2006/relationships/externalLinkPath" Target="file:///E:/Wang/Galan/3%20MC/CGI018-qtz11-CL-fit-1-offse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Wang/Galan/3%20MC/CGI001-qtz01-CL-fit-4.xlsm"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Wang/Galan/3%20MC/CGI001-qtz11-CL-fit-1.xlsm" TargetMode="External"/></Relationships>
</file>

<file path=xl/externalLinks/_rels/externalLink400.xml.rels><?xml version="1.0" encoding="UTF-8" standalone="yes"?>
<Relationships xmlns="http://schemas.openxmlformats.org/package/2006/relationships"><Relationship Id="rId1" Type="http://schemas.openxmlformats.org/officeDocument/2006/relationships/externalLinkPath" Target="file:///E:/Wang/Galan/3%20MC/CGI018-qtz11-CL-fit-2-offset.xlsm" TargetMode="External"/></Relationships>
</file>

<file path=xl/externalLinks/_rels/externalLink401.xml.rels><?xml version="1.0" encoding="UTF-8" standalone="yes"?>
<Relationships xmlns="http://schemas.openxmlformats.org/package/2006/relationships"><Relationship Id="rId1" Type="http://schemas.openxmlformats.org/officeDocument/2006/relationships/externalLinkPath" Target="file:///E:/Wang/Galan/3%20MC/CGI018-qtz11-CL-fit-3-offset.xlsm" TargetMode="External"/></Relationships>
</file>

<file path=xl/externalLinks/_rels/externalLink402.xml.rels><?xml version="1.0" encoding="UTF-8" standalone="yes"?>
<Relationships xmlns="http://schemas.openxmlformats.org/package/2006/relationships"><Relationship Id="rId1" Type="http://schemas.openxmlformats.org/officeDocument/2006/relationships/externalLinkPath" Target="file:///E:/Wang/Galan/3%20MC/CGI018-qtz11-CL-fit-4-offset.xlsm" TargetMode="External"/></Relationships>
</file>

<file path=xl/externalLinks/_rels/externalLink403.xml.rels><?xml version="1.0" encoding="UTF-8" standalone="yes"?>
<Relationships xmlns="http://schemas.openxmlformats.org/package/2006/relationships"><Relationship Id="rId1" Type="http://schemas.openxmlformats.org/officeDocument/2006/relationships/externalLinkPath" Target="file:///E:/Wang/Galan/3%20MC/CGI018-qtz11-CL-fit-5-offset.xlsm" TargetMode="External"/></Relationships>
</file>

<file path=xl/externalLinks/_rels/externalLink404.xml.rels><?xml version="1.0" encoding="UTF-8" standalone="yes"?>
<Relationships xmlns="http://schemas.openxmlformats.org/package/2006/relationships"><Relationship Id="rId1" Type="http://schemas.openxmlformats.org/officeDocument/2006/relationships/externalLinkPath" Target="file:///E:/Wang/Galan/3%20MC/CGI018-qtz11-CL-fit-6-offset.xlsm" TargetMode="External"/></Relationships>
</file>

<file path=xl/externalLinks/_rels/externalLink405.xml.rels><?xml version="1.0" encoding="UTF-8" standalone="yes"?>
<Relationships xmlns="http://schemas.openxmlformats.org/package/2006/relationships"><Relationship Id="rId1" Type="http://schemas.openxmlformats.org/officeDocument/2006/relationships/externalLinkPath" Target="file:///E:/Wang/Galan/3%20MC/CGI018-qtz12-CL-fit-1-offset.xlsm" TargetMode="External"/></Relationships>
</file>

<file path=xl/externalLinks/_rels/externalLink406.xml.rels><?xml version="1.0" encoding="UTF-8" standalone="yes"?>
<Relationships xmlns="http://schemas.openxmlformats.org/package/2006/relationships"><Relationship Id="rId1" Type="http://schemas.openxmlformats.org/officeDocument/2006/relationships/externalLinkPath" Target="file:///E:/Wang/Galan/3%20MC/CGI018-qtz12-CL-fit-2-offset.xlsm" TargetMode="External"/></Relationships>
</file>

<file path=xl/externalLinks/_rels/externalLink407.xml.rels><?xml version="1.0" encoding="UTF-8" standalone="yes"?>
<Relationships xmlns="http://schemas.openxmlformats.org/package/2006/relationships"><Relationship Id="rId1" Type="http://schemas.openxmlformats.org/officeDocument/2006/relationships/externalLinkPath" Target="file:///E:/Wang/Galan/3%20MC/CGI018-qtz12-CL-fit-3-offset.xlsm" TargetMode="External"/></Relationships>
</file>

<file path=xl/externalLinks/_rels/externalLink408.xml.rels><?xml version="1.0" encoding="UTF-8" standalone="yes"?>
<Relationships xmlns="http://schemas.openxmlformats.org/package/2006/relationships"><Relationship Id="rId1" Type="http://schemas.openxmlformats.org/officeDocument/2006/relationships/externalLinkPath" Target="file:///E:/Wang/Galan/3%20MC/CGI018-qtz12-CL-fit-4-offset.xlsm" TargetMode="External"/></Relationships>
</file>

<file path=xl/externalLinks/_rels/externalLink409.xml.rels><?xml version="1.0" encoding="UTF-8" standalone="yes"?>
<Relationships xmlns="http://schemas.openxmlformats.org/package/2006/relationships"><Relationship Id="rId1" Type="http://schemas.openxmlformats.org/officeDocument/2006/relationships/externalLinkPath" Target="file:///E:/Wang/Galan/3%20MC/CGI018-qtz12-CL-fit-5-offset.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Wang/Galan/3%20MC/CGI001-qtz11-CL-fit-2-offset.xlsm" TargetMode="External"/></Relationships>
</file>

<file path=xl/externalLinks/_rels/externalLink410.xml.rels><?xml version="1.0" encoding="UTF-8" standalone="yes"?>
<Relationships xmlns="http://schemas.openxmlformats.org/package/2006/relationships"><Relationship Id="rId1" Type="http://schemas.openxmlformats.org/officeDocument/2006/relationships/externalLinkPath" Target="file:///E:/Wang/Galan/3%20MC/CGI018-qtz12-CL-fit-6-offset.xlsm" TargetMode="External"/></Relationships>
</file>

<file path=xl/externalLinks/_rels/externalLink411.xml.rels><?xml version="1.0" encoding="UTF-8" standalone="yes"?>
<Relationships xmlns="http://schemas.openxmlformats.org/package/2006/relationships"><Relationship Id="rId1" Type="http://schemas.openxmlformats.org/officeDocument/2006/relationships/externalLinkPath" Target="file:///E:/Wang/Galan/3%20MC/CGI018-qtz12-CL-fit-7-offset.xlsm" TargetMode="External"/></Relationships>
</file>

<file path=xl/externalLinks/_rels/externalLink412.xml.rels><?xml version="1.0" encoding="UTF-8" standalone="yes"?>
<Relationships xmlns="http://schemas.openxmlformats.org/package/2006/relationships"><Relationship Id="rId2" Type="http://schemas.openxmlformats.org/officeDocument/2006/relationships/externalLinkPath" Target="/Users/sophiawang/Dropbox/Cerro%20Galan/SWang/Wang%20et%20al/CG_TIMESCALES_COMPILE%20copy.xlsx" TargetMode="External"/><Relationship Id="rId1" Type="http://schemas.openxmlformats.org/officeDocument/2006/relationships/externalLinkPath" Target="/Users/sophiawang/Dropbox/Cerro%20Galan/SWang/Wang%20et%20al/CG_TIMESCALES_COMPILE%20copy.xlsx" TargetMode="External"/></Relationships>
</file>

<file path=xl/externalLinks/_rels/externalLink413.xml.rels><?xml version="1.0" encoding="UTF-8" standalone="yes"?>
<Relationships xmlns="http://schemas.openxmlformats.org/package/2006/relationships"><Relationship Id="rId1" Type="http://schemas.openxmlformats.org/officeDocument/2006/relationships/externalLinkPath" Target="file:///E:/Wang/Galan/CL_Profile-fit_err-Compile-Galan.xlsx" TargetMode="External"/></Relationships>
</file>

<file path=xl/externalLinks/_rels/externalLink414.xml.rels><?xml version="1.0" encoding="UTF-8" standalone="yes"?>
<Relationships xmlns="http://schemas.openxmlformats.org/package/2006/relationships"><Relationship Id="rId1" Type="http://schemas.openxmlformats.org/officeDocument/2006/relationships/externalLinkPath" Target="file:///E:/Wang/Galan/4%20Distances/CGI001-qtz01-CL-dist-1.xlsx" TargetMode="External"/></Relationships>
</file>

<file path=xl/externalLinks/_rels/externalLink415.xml.rels><?xml version="1.0" encoding="UTF-8" standalone="yes"?>
<Relationships xmlns="http://schemas.openxmlformats.org/package/2006/relationships"><Relationship Id="rId1" Type="http://schemas.openxmlformats.org/officeDocument/2006/relationships/externalLinkPath" Target="file:///E:/Wang/Galan/4%20Distances/CGI001-qtz01-CL-dist-2.xlsx" TargetMode="External"/></Relationships>
</file>

<file path=xl/externalLinks/_rels/externalLink416.xml.rels><?xml version="1.0" encoding="UTF-8" standalone="yes"?>
<Relationships xmlns="http://schemas.openxmlformats.org/package/2006/relationships"><Relationship Id="rId1" Type="http://schemas.openxmlformats.org/officeDocument/2006/relationships/externalLinkPath" Target="file:///E:/Wang/Galan/4%20Distances/CGI001-qtz01-CL-dist-3.xlsx" TargetMode="External"/></Relationships>
</file>

<file path=xl/externalLinks/_rels/externalLink417.xml.rels><?xml version="1.0" encoding="UTF-8" standalone="yes"?>
<Relationships xmlns="http://schemas.openxmlformats.org/package/2006/relationships"><Relationship Id="rId1" Type="http://schemas.openxmlformats.org/officeDocument/2006/relationships/externalLinkPath" Target="file:///E:/Wang/Galan/4%20Distances/CGI001-qtz01-CL-dist-4.csv" TargetMode="External"/></Relationships>
</file>

<file path=xl/externalLinks/_rels/externalLink418.xml.rels><?xml version="1.0" encoding="UTF-8" standalone="yes"?>
<Relationships xmlns="http://schemas.openxmlformats.org/package/2006/relationships"><Relationship Id="rId1" Type="http://schemas.openxmlformats.org/officeDocument/2006/relationships/externalLinkPath" Target="file:///E:/Wang/Galan/4%20Distances/CGI001-qtz02-CL-dist-1.xlsx" TargetMode="External"/></Relationships>
</file>

<file path=xl/externalLinks/_rels/externalLink419.xml.rels><?xml version="1.0" encoding="UTF-8" standalone="yes"?>
<Relationships xmlns="http://schemas.openxmlformats.org/package/2006/relationships"><Relationship Id="rId1" Type="http://schemas.openxmlformats.org/officeDocument/2006/relationships/externalLinkPath" Target="file:///E:/Wang/Galan/4%20Distances/CGI001-qtz02-CL-dist-2.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Wang/Galan/3%20MC/CGI001-qtz12-CL-fit-1.xlsm" TargetMode="External"/></Relationships>
</file>

<file path=xl/externalLinks/_rels/externalLink420.xml.rels><?xml version="1.0" encoding="UTF-8" standalone="yes"?>
<Relationships xmlns="http://schemas.openxmlformats.org/package/2006/relationships"><Relationship Id="rId1" Type="http://schemas.openxmlformats.org/officeDocument/2006/relationships/externalLinkPath" Target="file:///E:/Wang/Galan/4%20Distances/CGI001-qtz02-CL-dist-3.xlsx" TargetMode="External"/></Relationships>
</file>

<file path=xl/externalLinks/_rels/externalLink421.xml.rels><?xml version="1.0" encoding="UTF-8" standalone="yes"?>
<Relationships xmlns="http://schemas.openxmlformats.org/package/2006/relationships"><Relationship Id="rId1" Type="http://schemas.openxmlformats.org/officeDocument/2006/relationships/externalLinkPath" Target="file:///E:/Wang/Galan/4%20Distances/CGI001-qtz02-CL-dist-4.xlsx" TargetMode="External"/></Relationships>
</file>

<file path=xl/externalLinks/_rels/externalLink422.xml.rels><?xml version="1.0" encoding="UTF-8" standalone="yes"?>
<Relationships xmlns="http://schemas.openxmlformats.org/package/2006/relationships"><Relationship Id="rId1" Type="http://schemas.openxmlformats.org/officeDocument/2006/relationships/externalLinkPath" Target="file:///E:/Wang/Galan/4%20Distances/CGI001-qtz03-CL-dist-1.xlsx" TargetMode="External"/></Relationships>
</file>

<file path=xl/externalLinks/_rels/externalLink423.xml.rels><?xml version="1.0" encoding="UTF-8" standalone="yes"?>
<Relationships xmlns="http://schemas.openxmlformats.org/package/2006/relationships"><Relationship Id="rId1" Type="http://schemas.openxmlformats.org/officeDocument/2006/relationships/externalLinkPath" Target="file:///E:/Wang/Galan/4%20Distances/CGI001-qtz03-CL-dist-2.xlsx" TargetMode="External"/></Relationships>
</file>

<file path=xl/externalLinks/_rels/externalLink424.xml.rels><?xml version="1.0" encoding="UTF-8" standalone="yes"?>
<Relationships xmlns="http://schemas.openxmlformats.org/package/2006/relationships"><Relationship Id="rId1" Type="http://schemas.openxmlformats.org/officeDocument/2006/relationships/externalLinkPath" Target="file:///E:/Wang/Galan/4%20Distances/CGI001-qtz03-CL-dist-3.xlsx" TargetMode="External"/></Relationships>
</file>

<file path=xl/externalLinks/_rels/externalLink425.xml.rels><?xml version="1.0" encoding="UTF-8" standalone="yes"?>
<Relationships xmlns="http://schemas.openxmlformats.org/package/2006/relationships"><Relationship Id="rId1" Type="http://schemas.openxmlformats.org/officeDocument/2006/relationships/externalLinkPath" Target="file:///E:/Wang/Galan/4%20Distances/CGI001-qtz03-CL-dist-4.xlsx" TargetMode="External"/></Relationships>
</file>

<file path=xl/externalLinks/_rels/externalLink426.xml.rels><?xml version="1.0" encoding="UTF-8" standalone="yes"?>
<Relationships xmlns="http://schemas.openxmlformats.org/package/2006/relationships"><Relationship Id="rId1" Type="http://schemas.openxmlformats.org/officeDocument/2006/relationships/externalLinkPath" Target="file:///E:/Wang/Galan/4%20Distances/CGI001-qtz04-CL-dist-1.xlsx" TargetMode="External"/></Relationships>
</file>

<file path=xl/externalLinks/_rels/externalLink427.xml.rels><?xml version="1.0" encoding="UTF-8" standalone="yes"?>
<Relationships xmlns="http://schemas.openxmlformats.org/package/2006/relationships"><Relationship Id="rId1" Type="http://schemas.openxmlformats.org/officeDocument/2006/relationships/externalLinkPath" Target="file:///E:/Wang/Galan/4%20Distances/CGI001-qtz04-CL-dist-2.xlsx" TargetMode="External"/></Relationships>
</file>

<file path=xl/externalLinks/_rels/externalLink428.xml.rels><?xml version="1.0" encoding="UTF-8" standalone="yes"?>
<Relationships xmlns="http://schemas.openxmlformats.org/package/2006/relationships"><Relationship Id="rId1" Type="http://schemas.openxmlformats.org/officeDocument/2006/relationships/externalLinkPath" Target="file:///E:/Wang/Galan/4%20Distances/CGI001-qtz04-CL-dist-3.xlsx" TargetMode="External"/></Relationships>
</file>

<file path=xl/externalLinks/_rels/externalLink429.xml.rels><?xml version="1.0" encoding="UTF-8" standalone="yes"?>
<Relationships xmlns="http://schemas.openxmlformats.org/package/2006/relationships"><Relationship Id="rId1" Type="http://schemas.openxmlformats.org/officeDocument/2006/relationships/externalLinkPath" Target="file:///E:/Wang/Galan/4%20Distances/CGI001-qtz04-CL-dist-4.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Wang/Galan/3%20MC/CGI001-qtz12-CL-fit-2-offset.xlsm" TargetMode="External"/></Relationships>
</file>

<file path=xl/externalLinks/_rels/externalLink430.xml.rels><?xml version="1.0" encoding="UTF-8" standalone="yes"?>
<Relationships xmlns="http://schemas.openxmlformats.org/package/2006/relationships"><Relationship Id="rId1" Type="http://schemas.openxmlformats.org/officeDocument/2006/relationships/externalLinkPath" Target="file:///E:/Wang/Galan/4%20Distances/CGI001-qtz05-CL-dist-1.xlsx" TargetMode="External"/></Relationships>
</file>

<file path=xl/externalLinks/_rels/externalLink431.xml.rels><?xml version="1.0" encoding="UTF-8" standalone="yes"?>
<Relationships xmlns="http://schemas.openxmlformats.org/package/2006/relationships"><Relationship Id="rId1" Type="http://schemas.openxmlformats.org/officeDocument/2006/relationships/externalLinkPath" Target="file:///E:/Wang/Galan/4%20Distances/CGI001-qtz05-CL-dist-2.xlsx" TargetMode="External"/></Relationships>
</file>

<file path=xl/externalLinks/_rels/externalLink432.xml.rels><?xml version="1.0" encoding="UTF-8" standalone="yes"?>
<Relationships xmlns="http://schemas.openxmlformats.org/package/2006/relationships"><Relationship Id="rId1" Type="http://schemas.openxmlformats.org/officeDocument/2006/relationships/externalLinkPath" Target="file:///E:/Wang/Galan/4%20Distances/CGI001-qtz05-CL-dist-3.xlsx" TargetMode="External"/></Relationships>
</file>

<file path=xl/externalLinks/_rels/externalLink433.xml.rels><?xml version="1.0" encoding="UTF-8" standalone="yes"?>
<Relationships xmlns="http://schemas.openxmlformats.org/package/2006/relationships"><Relationship Id="rId1" Type="http://schemas.openxmlformats.org/officeDocument/2006/relationships/externalLinkPath" Target="file:///E:/Wang/Galan/4%20Distances/CGI001-qtz05-CL-dist-4.xlsx" TargetMode="External"/></Relationships>
</file>

<file path=xl/externalLinks/_rels/externalLink434.xml.rels><?xml version="1.0" encoding="UTF-8" standalone="yes"?>
<Relationships xmlns="http://schemas.openxmlformats.org/package/2006/relationships"><Relationship Id="rId1" Type="http://schemas.openxmlformats.org/officeDocument/2006/relationships/externalLinkPath" Target="file:///E:/Wang/Galan/4%20Distances/CGI001-qtz06-CL-dist-1.xlsx" TargetMode="External"/></Relationships>
</file>

<file path=xl/externalLinks/_rels/externalLink435.xml.rels><?xml version="1.0" encoding="UTF-8" standalone="yes"?>
<Relationships xmlns="http://schemas.openxmlformats.org/package/2006/relationships"><Relationship Id="rId1" Type="http://schemas.openxmlformats.org/officeDocument/2006/relationships/externalLinkPath" Target="file:///E:/Wang/Galan/4%20Distances/CGI001-qtz06-CL-dist-2.xlsx" TargetMode="External"/></Relationships>
</file>

<file path=xl/externalLinks/_rels/externalLink436.xml.rels><?xml version="1.0" encoding="UTF-8" standalone="yes"?>
<Relationships xmlns="http://schemas.openxmlformats.org/package/2006/relationships"><Relationship Id="rId1" Type="http://schemas.openxmlformats.org/officeDocument/2006/relationships/externalLinkPath" Target="file:///E:/Wang/Galan/4%20Distances/CGI001-qtz06-CL-dist-3.xlsx" TargetMode="External"/></Relationships>
</file>

<file path=xl/externalLinks/_rels/externalLink437.xml.rels><?xml version="1.0" encoding="UTF-8" standalone="yes"?>
<Relationships xmlns="http://schemas.openxmlformats.org/package/2006/relationships"><Relationship Id="rId1" Type="http://schemas.openxmlformats.org/officeDocument/2006/relationships/externalLinkPath" Target="file:///E:/Wang/Galan/4%20Distances/CGI001-qtz06-CL-dist-4.xlsx" TargetMode="External"/></Relationships>
</file>

<file path=xl/externalLinks/_rels/externalLink438.xml.rels><?xml version="1.0" encoding="UTF-8" standalone="yes"?>
<Relationships xmlns="http://schemas.openxmlformats.org/package/2006/relationships"><Relationship Id="rId1" Type="http://schemas.openxmlformats.org/officeDocument/2006/relationships/externalLinkPath" Target="file:///E:/Wang/Galan/4%20Distances/CGI001-qtz07-CL-dist-1.xlsx" TargetMode="External"/></Relationships>
</file>

<file path=xl/externalLinks/_rels/externalLink439.xml.rels><?xml version="1.0" encoding="UTF-8" standalone="yes"?>
<Relationships xmlns="http://schemas.openxmlformats.org/package/2006/relationships"><Relationship Id="rId1" Type="http://schemas.openxmlformats.org/officeDocument/2006/relationships/externalLinkPath" Target="file:///E:/Wang/Galan/4%20Distances/CGI001-qtz07-CL-dist-2.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E:/Wang/Galan/3%20MC/CGI001-qtz12-CL-fit-3-offset.xlsm" TargetMode="External"/></Relationships>
</file>

<file path=xl/externalLinks/_rels/externalLink440.xml.rels><?xml version="1.0" encoding="UTF-8" standalone="yes"?>
<Relationships xmlns="http://schemas.openxmlformats.org/package/2006/relationships"><Relationship Id="rId1" Type="http://schemas.openxmlformats.org/officeDocument/2006/relationships/externalLinkPath" Target="file:///E:/Wang/Galan/4%20Distances/CGI001-qtz07-CL-dist-3.xlsx" TargetMode="External"/></Relationships>
</file>

<file path=xl/externalLinks/_rels/externalLink441.xml.rels><?xml version="1.0" encoding="UTF-8" standalone="yes"?>
<Relationships xmlns="http://schemas.openxmlformats.org/package/2006/relationships"><Relationship Id="rId1" Type="http://schemas.openxmlformats.org/officeDocument/2006/relationships/externalLinkPath" Target="file:///E:/Wang/Galan/4%20Distances/CGI001-qtz08-CL-dist-1.xlsx" TargetMode="External"/></Relationships>
</file>

<file path=xl/externalLinks/_rels/externalLink442.xml.rels><?xml version="1.0" encoding="UTF-8" standalone="yes"?>
<Relationships xmlns="http://schemas.openxmlformats.org/package/2006/relationships"><Relationship Id="rId1" Type="http://schemas.openxmlformats.org/officeDocument/2006/relationships/externalLinkPath" Target="file:///E:/Wang/Galan/4%20Distances/CGI001-qtz08-CL-dist-2.xlsx" TargetMode="External"/></Relationships>
</file>

<file path=xl/externalLinks/_rels/externalLink443.xml.rels><?xml version="1.0" encoding="UTF-8" standalone="yes"?>
<Relationships xmlns="http://schemas.openxmlformats.org/package/2006/relationships"><Relationship Id="rId1" Type="http://schemas.openxmlformats.org/officeDocument/2006/relationships/externalLinkPath" Target="file:///E:/Wang/Galan/4%20Distances/CGI001-qtz08-CL-dist-3.xlsx" TargetMode="External"/></Relationships>
</file>

<file path=xl/externalLinks/_rels/externalLink444.xml.rels><?xml version="1.0" encoding="UTF-8" standalone="yes"?>
<Relationships xmlns="http://schemas.openxmlformats.org/package/2006/relationships"><Relationship Id="rId1" Type="http://schemas.openxmlformats.org/officeDocument/2006/relationships/externalLinkPath" Target="file:///E:/Wang/Galan/4%20Distances/CGI001-qtz08-CL-dist-4.xlsx" TargetMode="External"/></Relationships>
</file>

<file path=xl/externalLinks/_rels/externalLink445.xml.rels><?xml version="1.0" encoding="UTF-8" standalone="yes"?>
<Relationships xmlns="http://schemas.openxmlformats.org/package/2006/relationships"><Relationship Id="rId1" Type="http://schemas.openxmlformats.org/officeDocument/2006/relationships/externalLinkPath" Target="file:///E:/Wang/Galan/4%20Distances/CGI001-qtz09-CL-dist-1.xlsx" TargetMode="External"/></Relationships>
</file>

<file path=xl/externalLinks/_rels/externalLink446.xml.rels><?xml version="1.0" encoding="UTF-8" standalone="yes"?>
<Relationships xmlns="http://schemas.openxmlformats.org/package/2006/relationships"><Relationship Id="rId1" Type="http://schemas.openxmlformats.org/officeDocument/2006/relationships/externalLinkPath" Target="file:///E:/Wang/Galan/4%20Distances/CGI001-qtz09-CL-dist-2.xlsx" TargetMode="External"/></Relationships>
</file>

<file path=xl/externalLinks/_rels/externalLink447.xml.rels><?xml version="1.0" encoding="UTF-8" standalone="yes"?>
<Relationships xmlns="http://schemas.openxmlformats.org/package/2006/relationships"><Relationship Id="rId1" Type="http://schemas.openxmlformats.org/officeDocument/2006/relationships/externalLinkPath" Target="file:///E:/Wang/Galan/4%20Distances/CGI001-qtz09-CL-dist-3.xlsx" TargetMode="External"/></Relationships>
</file>

<file path=xl/externalLinks/_rels/externalLink448.xml.rels><?xml version="1.0" encoding="UTF-8" standalone="yes"?>
<Relationships xmlns="http://schemas.openxmlformats.org/package/2006/relationships"><Relationship Id="rId1" Type="http://schemas.openxmlformats.org/officeDocument/2006/relationships/externalLinkPath" Target="file:///E:/Wang/Galan/4%20Distances/CGI001-qtz10-CL-dist-1.xlsx" TargetMode="External"/></Relationships>
</file>

<file path=xl/externalLinks/_rels/externalLink449.xml.rels><?xml version="1.0" encoding="UTF-8" standalone="yes"?>
<Relationships xmlns="http://schemas.openxmlformats.org/package/2006/relationships"><Relationship Id="rId1" Type="http://schemas.openxmlformats.org/officeDocument/2006/relationships/externalLinkPath" Target="file:///E:/Wang/Galan/4%20Distances/CGI001-qtz10-CL-dist-2.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Wang/Galan/3%20MC/CGI001-qtz12-CL-fit-4-offset.xlsm" TargetMode="External"/></Relationships>
</file>

<file path=xl/externalLinks/_rels/externalLink450.xml.rels><?xml version="1.0" encoding="UTF-8" standalone="yes"?>
<Relationships xmlns="http://schemas.openxmlformats.org/package/2006/relationships"><Relationship Id="rId1" Type="http://schemas.openxmlformats.org/officeDocument/2006/relationships/externalLinkPath" Target="file:///E:/Wang/Galan/4%20Distances/CGI001-qtz10-CL-dist-3.xlsx" TargetMode="External"/></Relationships>
</file>

<file path=xl/externalLinks/_rels/externalLink451.xml.rels><?xml version="1.0" encoding="UTF-8" standalone="yes"?>
<Relationships xmlns="http://schemas.openxmlformats.org/package/2006/relationships"><Relationship Id="rId1" Type="http://schemas.openxmlformats.org/officeDocument/2006/relationships/externalLinkPath" Target="file:///E:/Wang/Galan/4%20Distances/CGI001-qtz10-CL-dist-4.xlsx" TargetMode="External"/></Relationships>
</file>

<file path=xl/externalLinks/_rels/externalLink452.xml.rels><?xml version="1.0" encoding="UTF-8" standalone="yes"?>
<Relationships xmlns="http://schemas.openxmlformats.org/package/2006/relationships"><Relationship Id="rId1" Type="http://schemas.openxmlformats.org/officeDocument/2006/relationships/externalLinkPath" Target="file:///E:/Wang/Galan/4%20Distances/CGI001-qtz10-CL-dist-5.xlsx" TargetMode="External"/></Relationships>
</file>

<file path=xl/externalLinks/_rels/externalLink453.xml.rels><?xml version="1.0" encoding="UTF-8" standalone="yes"?>
<Relationships xmlns="http://schemas.openxmlformats.org/package/2006/relationships"><Relationship Id="rId1" Type="http://schemas.openxmlformats.org/officeDocument/2006/relationships/externalLinkPath" Target="file:///E:/Wang/Galan/4%20Distances/CGI001-qtz11-CL-dist-1.xlsx" TargetMode="External"/></Relationships>
</file>

<file path=xl/externalLinks/_rels/externalLink454.xml.rels><?xml version="1.0" encoding="UTF-8" standalone="yes"?>
<Relationships xmlns="http://schemas.openxmlformats.org/package/2006/relationships"><Relationship Id="rId1" Type="http://schemas.openxmlformats.org/officeDocument/2006/relationships/externalLinkPath" Target="file:///E:/Wang/Galan/4%20Distances/CGI001-qtz11-CL-dist-2.xlsx" TargetMode="External"/></Relationships>
</file>

<file path=xl/externalLinks/_rels/externalLink455.xml.rels><?xml version="1.0" encoding="UTF-8" standalone="yes"?>
<Relationships xmlns="http://schemas.openxmlformats.org/package/2006/relationships"><Relationship Id="rId1" Type="http://schemas.openxmlformats.org/officeDocument/2006/relationships/externalLinkPath" Target="file:///E:/Wang/Galan/4%20Distances/CGI001-qtz12-CL-dist-1.xlsx" TargetMode="External"/></Relationships>
</file>

<file path=xl/externalLinks/_rels/externalLink456.xml.rels><?xml version="1.0" encoding="UTF-8" standalone="yes"?>
<Relationships xmlns="http://schemas.openxmlformats.org/package/2006/relationships"><Relationship Id="rId1" Type="http://schemas.openxmlformats.org/officeDocument/2006/relationships/externalLinkPath" Target="file:///E:/Wang/Galan/4%20Distances/CGI001-qtz12-CL-dist-2.xlsx" TargetMode="External"/></Relationships>
</file>

<file path=xl/externalLinks/_rels/externalLink457.xml.rels><?xml version="1.0" encoding="UTF-8" standalone="yes"?>
<Relationships xmlns="http://schemas.openxmlformats.org/package/2006/relationships"><Relationship Id="rId1" Type="http://schemas.openxmlformats.org/officeDocument/2006/relationships/externalLinkPath" Target="file:///E:/Wang/Galan/4%20Distances/CGI001-qtz12-CL-dist-3.xlsx" TargetMode="External"/></Relationships>
</file>

<file path=xl/externalLinks/_rels/externalLink458.xml.rels><?xml version="1.0" encoding="UTF-8" standalone="yes"?>
<Relationships xmlns="http://schemas.openxmlformats.org/package/2006/relationships"><Relationship Id="rId1" Type="http://schemas.openxmlformats.org/officeDocument/2006/relationships/externalLinkPath" Target="file:///E:/Wang/Galan/4%20Distances/CGI001-qtz12-CL-dist-4.xlsx" TargetMode="External"/></Relationships>
</file>

<file path=xl/externalLinks/_rels/externalLink459.xml.rels><?xml version="1.0" encoding="UTF-8" standalone="yes"?>
<Relationships xmlns="http://schemas.openxmlformats.org/package/2006/relationships"><Relationship Id="rId1" Type="http://schemas.openxmlformats.org/officeDocument/2006/relationships/externalLinkPath" Target="file:///E:/Wang/Galan/4%20Distances/CGI005-qtz01-CL-dist-1.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Wang/Galan/3%20MC/CGI005-qtz01-CL-fit-1-offset.xlsm" TargetMode="External"/></Relationships>
</file>

<file path=xl/externalLinks/_rels/externalLink460.xml.rels><?xml version="1.0" encoding="UTF-8" standalone="yes"?>
<Relationships xmlns="http://schemas.openxmlformats.org/package/2006/relationships"><Relationship Id="rId1" Type="http://schemas.openxmlformats.org/officeDocument/2006/relationships/externalLinkPath" Target="file:///E:/Wang/Galan/4%20Distances/CGI005-qtz01-CL-dist-2.xlsx" TargetMode="External"/></Relationships>
</file>

<file path=xl/externalLinks/_rels/externalLink461.xml.rels><?xml version="1.0" encoding="UTF-8" standalone="yes"?>
<Relationships xmlns="http://schemas.openxmlformats.org/package/2006/relationships"><Relationship Id="rId1" Type="http://schemas.openxmlformats.org/officeDocument/2006/relationships/externalLinkPath" Target="file:///E:/Wang/Galan/4%20Distances/CGI005-qtz01-CL-dist-3.xlsx" TargetMode="External"/></Relationships>
</file>

<file path=xl/externalLinks/_rels/externalLink462.xml.rels><?xml version="1.0" encoding="UTF-8" standalone="yes"?>
<Relationships xmlns="http://schemas.openxmlformats.org/package/2006/relationships"><Relationship Id="rId1" Type="http://schemas.openxmlformats.org/officeDocument/2006/relationships/externalLinkPath" Target="file:///E:/Wang/Galan/4%20Distances/CGI005-qtz01-CL-dist-4.xlsx" TargetMode="External"/></Relationships>
</file>

<file path=xl/externalLinks/_rels/externalLink463.xml.rels><?xml version="1.0" encoding="UTF-8" standalone="yes"?>
<Relationships xmlns="http://schemas.openxmlformats.org/package/2006/relationships"><Relationship Id="rId1" Type="http://schemas.openxmlformats.org/officeDocument/2006/relationships/externalLinkPath" Target="file:///E:/Wang/Galan/4%20Distances/CGI005-qtz01-CL-dist-5.xlsx" TargetMode="External"/></Relationships>
</file>

<file path=xl/externalLinks/_rels/externalLink464.xml.rels><?xml version="1.0" encoding="UTF-8" standalone="yes"?>
<Relationships xmlns="http://schemas.openxmlformats.org/package/2006/relationships"><Relationship Id="rId1" Type="http://schemas.openxmlformats.org/officeDocument/2006/relationships/externalLinkPath" Target="file:///E:/Wang/Galan/4%20Distances/CGI005-qtz03-CL-dist-1.xlsx" TargetMode="External"/></Relationships>
</file>

<file path=xl/externalLinks/_rels/externalLink465.xml.rels><?xml version="1.0" encoding="UTF-8" standalone="yes"?>
<Relationships xmlns="http://schemas.openxmlformats.org/package/2006/relationships"><Relationship Id="rId1" Type="http://schemas.openxmlformats.org/officeDocument/2006/relationships/externalLinkPath" Target="file:///E:/Wang/Galan/4%20Distances/CGI005-qtz03-CL-dist-2.xlsx" TargetMode="External"/></Relationships>
</file>

<file path=xl/externalLinks/_rels/externalLink466.xml.rels><?xml version="1.0" encoding="UTF-8" standalone="yes"?>
<Relationships xmlns="http://schemas.openxmlformats.org/package/2006/relationships"><Relationship Id="rId1" Type="http://schemas.openxmlformats.org/officeDocument/2006/relationships/externalLinkPath" Target="file:///E:/Wang/Galan/4%20Distances/CGI005-qtz03-CL-dist-3.xlsx" TargetMode="External"/></Relationships>
</file>

<file path=xl/externalLinks/_rels/externalLink467.xml.rels><?xml version="1.0" encoding="UTF-8" standalone="yes"?>
<Relationships xmlns="http://schemas.openxmlformats.org/package/2006/relationships"><Relationship Id="rId1" Type="http://schemas.openxmlformats.org/officeDocument/2006/relationships/externalLinkPath" Target="file:///E:/Wang/Galan/4%20Distances/CGI005-qtz03-CL-dist-4.xlsx" TargetMode="External"/></Relationships>
</file>

<file path=xl/externalLinks/_rels/externalLink468.xml.rels><?xml version="1.0" encoding="UTF-8" standalone="yes"?>
<Relationships xmlns="http://schemas.openxmlformats.org/package/2006/relationships"><Relationship Id="rId1" Type="http://schemas.openxmlformats.org/officeDocument/2006/relationships/externalLinkPath" Target="file:///E:/Wang/Galan/4%20Distances/CGI005-qtz03-CL-dist-5.xlsx" TargetMode="External"/></Relationships>
</file>

<file path=xl/externalLinks/_rels/externalLink469.xml.rels><?xml version="1.0" encoding="UTF-8" standalone="yes"?>
<Relationships xmlns="http://schemas.openxmlformats.org/package/2006/relationships"><Relationship Id="rId1" Type="http://schemas.openxmlformats.org/officeDocument/2006/relationships/externalLinkPath" Target="file:///E:/Wang/Galan/4%20Distances/CGI005-qtz03-CL-dist-6.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E:/Wang/Galan/3%20MC/CGI005-qtz01-CL-fit-2.xlsm" TargetMode="External"/></Relationships>
</file>

<file path=xl/externalLinks/_rels/externalLink470.xml.rels><?xml version="1.0" encoding="UTF-8" standalone="yes"?>
<Relationships xmlns="http://schemas.openxmlformats.org/package/2006/relationships"><Relationship Id="rId1" Type="http://schemas.openxmlformats.org/officeDocument/2006/relationships/externalLinkPath" Target="file:///E:/Wang/Galan/4%20Distances/CGI005-qtz04-CL-dist-1.xlsx" TargetMode="External"/></Relationships>
</file>

<file path=xl/externalLinks/_rels/externalLink471.xml.rels><?xml version="1.0" encoding="UTF-8" standalone="yes"?>
<Relationships xmlns="http://schemas.openxmlformats.org/package/2006/relationships"><Relationship Id="rId1" Type="http://schemas.openxmlformats.org/officeDocument/2006/relationships/externalLinkPath" Target="file:///E:/Wang/Galan/4%20Distances/CGI005-qtz04-CL-dist-2.xlsx" TargetMode="External"/></Relationships>
</file>

<file path=xl/externalLinks/_rels/externalLink472.xml.rels><?xml version="1.0" encoding="UTF-8" standalone="yes"?>
<Relationships xmlns="http://schemas.openxmlformats.org/package/2006/relationships"><Relationship Id="rId1" Type="http://schemas.openxmlformats.org/officeDocument/2006/relationships/externalLinkPath" Target="file:///E:/Wang/Galan/4%20Distances/CGI005-qtz04-CL-dist-3.xlsx" TargetMode="External"/></Relationships>
</file>

<file path=xl/externalLinks/_rels/externalLink473.xml.rels><?xml version="1.0" encoding="UTF-8" standalone="yes"?>
<Relationships xmlns="http://schemas.openxmlformats.org/package/2006/relationships"><Relationship Id="rId1" Type="http://schemas.openxmlformats.org/officeDocument/2006/relationships/externalLinkPath" Target="file:///E:/Wang/Galan/4%20Distances/CGI005-qtz04-CL-dist-4.xlsx" TargetMode="External"/></Relationships>
</file>

<file path=xl/externalLinks/_rels/externalLink474.xml.rels><?xml version="1.0" encoding="UTF-8" standalone="yes"?>
<Relationships xmlns="http://schemas.openxmlformats.org/package/2006/relationships"><Relationship Id="rId1" Type="http://schemas.openxmlformats.org/officeDocument/2006/relationships/externalLinkPath" Target="file:///E:/Wang/Galan/4%20Distances/CGI005-qtz04-CL-dist-5.xlsx" TargetMode="External"/></Relationships>
</file>

<file path=xl/externalLinks/_rels/externalLink475.xml.rels><?xml version="1.0" encoding="UTF-8" standalone="yes"?>
<Relationships xmlns="http://schemas.openxmlformats.org/package/2006/relationships"><Relationship Id="rId1" Type="http://schemas.openxmlformats.org/officeDocument/2006/relationships/externalLinkPath" Target="file:///E:/Wang/Galan/4%20Distances/CGI005-qtz05-CL-dist-1.csv" TargetMode="External"/></Relationships>
</file>

<file path=xl/externalLinks/_rels/externalLink476.xml.rels><?xml version="1.0" encoding="UTF-8" standalone="yes"?>
<Relationships xmlns="http://schemas.openxmlformats.org/package/2006/relationships"><Relationship Id="rId1" Type="http://schemas.openxmlformats.org/officeDocument/2006/relationships/externalLinkPath" Target="file:///E:/Wang/Galan/4%20Distances/CGI005-qtz05-CL-dist-2.xlsx" TargetMode="External"/></Relationships>
</file>

<file path=xl/externalLinks/_rels/externalLink477.xml.rels><?xml version="1.0" encoding="UTF-8" standalone="yes"?>
<Relationships xmlns="http://schemas.openxmlformats.org/package/2006/relationships"><Relationship Id="rId1" Type="http://schemas.openxmlformats.org/officeDocument/2006/relationships/externalLinkPath" Target="file:///E:/Wang/Galan/4%20Distances/CGI005-qtz05-CL-dist-3.xlsx" TargetMode="External"/></Relationships>
</file>

<file path=xl/externalLinks/_rels/externalLink478.xml.rels><?xml version="1.0" encoding="UTF-8" standalone="yes"?>
<Relationships xmlns="http://schemas.openxmlformats.org/package/2006/relationships"><Relationship Id="rId1" Type="http://schemas.openxmlformats.org/officeDocument/2006/relationships/externalLinkPath" Target="file:///E:/Wang/Galan/4%20Distances/CGI005-qtz06-CL-dist-1.xlsx" TargetMode="External"/></Relationships>
</file>

<file path=xl/externalLinks/_rels/externalLink479.xml.rels><?xml version="1.0" encoding="UTF-8" standalone="yes"?>
<Relationships xmlns="http://schemas.openxmlformats.org/package/2006/relationships"><Relationship Id="rId1" Type="http://schemas.openxmlformats.org/officeDocument/2006/relationships/externalLinkPath" Target="file:///E:/Wang/Galan/4%20Distances/CGI005-qtz06-CL-dist-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Wang/Galan/3%20MC/CGI005-qtz01-CL-fit-3-offset.xlsm" TargetMode="External"/></Relationships>
</file>

<file path=xl/externalLinks/_rels/externalLink480.xml.rels><?xml version="1.0" encoding="UTF-8" standalone="yes"?>
<Relationships xmlns="http://schemas.openxmlformats.org/package/2006/relationships"><Relationship Id="rId1" Type="http://schemas.openxmlformats.org/officeDocument/2006/relationships/externalLinkPath" Target="file:///E:/Wang/Galan/4%20Distances/CGI005-qtz06-CL-dist-3.xlsx" TargetMode="External"/></Relationships>
</file>

<file path=xl/externalLinks/_rels/externalLink481.xml.rels><?xml version="1.0" encoding="UTF-8" standalone="yes"?>
<Relationships xmlns="http://schemas.openxmlformats.org/package/2006/relationships"><Relationship Id="rId1" Type="http://schemas.openxmlformats.org/officeDocument/2006/relationships/externalLinkPath" Target="file:///E:/Wang/Galan/4%20Distances/CGI005-qtz06-CL-dist-4.xlsx" TargetMode="External"/></Relationships>
</file>

<file path=xl/externalLinks/_rels/externalLink482.xml.rels><?xml version="1.0" encoding="UTF-8" standalone="yes"?>
<Relationships xmlns="http://schemas.openxmlformats.org/package/2006/relationships"><Relationship Id="rId1" Type="http://schemas.openxmlformats.org/officeDocument/2006/relationships/externalLinkPath" Target="file:///E:/Wang/Galan/4%20Distances/CGI005-qtz07-CL-dist-1.xlsx" TargetMode="External"/></Relationships>
</file>

<file path=xl/externalLinks/_rels/externalLink483.xml.rels><?xml version="1.0" encoding="UTF-8" standalone="yes"?>
<Relationships xmlns="http://schemas.openxmlformats.org/package/2006/relationships"><Relationship Id="rId1" Type="http://schemas.openxmlformats.org/officeDocument/2006/relationships/externalLinkPath" Target="file:///E:/Wang/Galan/4%20Distances/CGI005-qtz07-CL-dist-2.xlsx" TargetMode="External"/></Relationships>
</file>

<file path=xl/externalLinks/_rels/externalLink484.xml.rels><?xml version="1.0" encoding="UTF-8" standalone="yes"?>
<Relationships xmlns="http://schemas.openxmlformats.org/package/2006/relationships"><Relationship Id="rId1" Type="http://schemas.openxmlformats.org/officeDocument/2006/relationships/externalLinkPath" Target="file:///E:/Wang/Galan/4%20Distances/CGI005-qtz07-CL-dist-3.xlsx" TargetMode="External"/></Relationships>
</file>

<file path=xl/externalLinks/_rels/externalLink485.xml.rels><?xml version="1.0" encoding="UTF-8" standalone="yes"?>
<Relationships xmlns="http://schemas.openxmlformats.org/package/2006/relationships"><Relationship Id="rId1" Type="http://schemas.openxmlformats.org/officeDocument/2006/relationships/externalLinkPath" Target="file:///E:/Wang/Galan/4%20Distances/CGI005-qtz07-CL-dist-4.xlsx" TargetMode="External"/></Relationships>
</file>

<file path=xl/externalLinks/_rels/externalLink486.xml.rels><?xml version="1.0" encoding="UTF-8" standalone="yes"?>
<Relationships xmlns="http://schemas.openxmlformats.org/package/2006/relationships"><Relationship Id="rId1" Type="http://schemas.openxmlformats.org/officeDocument/2006/relationships/externalLinkPath" Target="file:///E:/Wang/Galan/4%20Distances/CGI005-qtz08-CL-dist-1.xlsx" TargetMode="External"/></Relationships>
</file>

<file path=xl/externalLinks/_rels/externalLink487.xml.rels><?xml version="1.0" encoding="UTF-8" standalone="yes"?>
<Relationships xmlns="http://schemas.openxmlformats.org/package/2006/relationships"><Relationship Id="rId1" Type="http://schemas.openxmlformats.org/officeDocument/2006/relationships/externalLinkPath" Target="file:///E:/Wang/Galan/4%20Distances/CGI005-qtz08-CL-dist-2.xlsx" TargetMode="External"/></Relationships>
</file>

<file path=xl/externalLinks/_rels/externalLink488.xml.rels><?xml version="1.0" encoding="UTF-8" standalone="yes"?>
<Relationships xmlns="http://schemas.openxmlformats.org/package/2006/relationships"><Relationship Id="rId1" Type="http://schemas.openxmlformats.org/officeDocument/2006/relationships/externalLinkPath" Target="file:///E:/Wang/Galan/4%20Distances/CGI005-qtz08-CL-dist-3.xlsx" TargetMode="External"/></Relationships>
</file>

<file path=xl/externalLinks/_rels/externalLink489.xml.rels><?xml version="1.0" encoding="UTF-8" standalone="yes"?>
<Relationships xmlns="http://schemas.openxmlformats.org/package/2006/relationships"><Relationship Id="rId1" Type="http://schemas.openxmlformats.org/officeDocument/2006/relationships/externalLinkPath" Target="file:///E:/Wang/Galan/4%20Distances/CGI005-qtz08-CL-dist-4.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E:/Wang/Galan/3%20MC/CGI005-qtz01-CL-fit-4-offset.xlsm" TargetMode="External"/></Relationships>
</file>

<file path=xl/externalLinks/_rels/externalLink490.xml.rels><?xml version="1.0" encoding="UTF-8" standalone="yes"?>
<Relationships xmlns="http://schemas.openxmlformats.org/package/2006/relationships"><Relationship Id="rId1" Type="http://schemas.openxmlformats.org/officeDocument/2006/relationships/externalLinkPath" Target="file:///E:/Wang/Galan/4%20Distances/CGI005-qtz08-CL-dist-5.xlsx" TargetMode="External"/></Relationships>
</file>

<file path=xl/externalLinks/_rels/externalLink491.xml.rels><?xml version="1.0" encoding="UTF-8" standalone="yes"?>
<Relationships xmlns="http://schemas.openxmlformats.org/package/2006/relationships"><Relationship Id="rId1" Type="http://schemas.openxmlformats.org/officeDocument/2006/relationships/externalLinkPath" Target="file:///E:/Wang/Galan/4%20Distances/CGI005-qtz08-CL-dist-6.xlsx" TargetMode="External"/></Relationships>
</file>

<file path=xl/externalLinks/_rels/externalLink492.xml.rels><?xml version="1.0" encoding="UTF-8" standalone="yes"?>
<Relationships xmlns="http://schemas.openxmlformats.org/package/2006/relationships"><Relationship Id="rId1" Type="http://schemas.openxmlformats.org/officeDocument/2006/relationships/externalLinkPath" Target="file:///E:/Wang/Galan/4%20Distances/CGI005-qtz09-CL-dist-1.xlsx" TargetMode="External"/></Relationships>
</file>

<file path=xl/externalLinks/_rels/externalLink493.xml.rels><?xml version="1.0" encoding="UTF-8" standalone="yes"?>
<Relationships xmlns="http://schemas.openxmlformats.org/package/2006/relationships"><Relationship Id="rId1" Type="http://schemas.openxmlformats.org/officeDocument/2006/relationships/externalLinkPath" Target="file:///E:/Wang/Galan/4%20Distances/CGI005-qtz09-CL-dist-2.xlsx" TargetMode="External"/></Relationships>
</file>

<file path=xl/externalLinks/_rels/externalLink494.xml.rels><?xml version="1.0" encoding="UTF-8" standalone="yes"?>
<Relationships xmlns="http://schemas.openxmlformats.org/package/2006/relationships"><Relationship Id="rId1" Type="http://schemas.openxmlformats.org/officeDocument/2006/relationships/externalLinkPath" Target="file:///E:/Wang/Galan/4%20Distances/CGI005-qtz09-CL-dist-3.xlsx" TargetMode="External"/></Relationships>
</file>

<file path=xl/externalLinks/_rels/externalLink495.xml.rels><?xml version="1.0" encoding="UTF-8" standalone="yes"?>
<Relationships xmlns="http://schemas.openxmlformats.org/package/2006/relationships"><Relationship Id="rId1" Type="http://schemas.openxmlformats.org/officeDocument/2006/relationships/externalLinkPath" Target="file:///E:/Wang/Galan/4%20Distances/CGI005-qtz09-CL-dist-4.xlsx" TargetMode="External"/></Relationships>
</file>

<file path=xl/externalLinks/_rels/externalLink496.xml.rels><?xml version="1.0" encoding="UTF-8" standalone="yes"?>
<Relationships xmlns="http://schemas.openxmlformats.org/package/2006/relationships"><Relationship Id="rId1" Type="http://schemas.openxmlformats.org/officeDocument/2006/relationships/externalLinkPath" Target="file:///E:/Wang/Galan/4%20Distances/CGI005-qtz09-CL-dist-5.xlsx" TargetMode="External"/></Relationships>
</file>

<file path=xl/externalLinks/_rels/externalLink497.xml.rels><?xml version="1.0" encoding="UTF-8" standalone="yes"?>
<Relationships xmlns="http://schemas.openxmlformats.org/package/2006/relationships"><Relationship Id="rId1" Type="http://schemas.openxmlformats.org/officeDocument/2006/relationships/externalLinkPath" Target="file:///E:/Wang/Galan/4%20Distances/CGI005-qtz10-CL-dist-1.xlsx" TargetMode="External"/></Relationships>
</file>

<file path=xl/externalLinks/_rels/externalLink498.xml.rels><?xml version="1.0" encoding="UTF-8" standalone="yes"?>
<Relationships xmlns="http://schemas.openxmlformats.org/package/2006/relationships"><Relationship Id="rId1" Type="http://schemas.openxmlformats.org/officeDocument/2006/relationships/externalLinkPath" Target="file:///E:/Wang/Galan/4%20Distances/CGI005-qtz10-CL-dist-2.xlsx" TargetMode="External"/></Relationships>
</file>

<file path=xl/externalLinks/_rels/externalLink499.xml.rels><?xml version="1.0" encoding="UTF-8" standalone="yes"?>
<Relationships xmlns="http://schemas.openxmlformats.org/package/2006/relationships"><Relationship Id="rId1" Type="http://schemas.openxmlformats.org/officeDocument/2006/relationships/externalLinkPath" Target="file:///E:/Wang/Galan/4%20Distances/CGI005-qtz10-CL-dist-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Wang/Galan/3%20MC/CGI001-qtz02-CL-fit-1-offset.xlsm"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Wang/Galan/3%20MC/CGI005-qtz01-CL-fit-5-offset.xlsm" TargetMode="External"/></Relationships>
</file>

<file path=xl/externalLinks/_rels/externalLink500.xml.rels><?xml version="1.0" encoding="UTF-8" standalone="yes"?>
<Relationships xmlns="http://schemas.openxmlformats.org/package/2006/relationships"><Relationship Id="rId1" Type="http://schemas.openxmlformats.org/officeDocument/2006/relationships/externalLinkPath" Target="file:///E:/Wang/Galan/4%20Distances/CGI005-qtz10-CL-dist-4.xlsx" TargetMode="External"/></Relationships>
</file>

<file path=xl/externalLinks/_rels/externalLink501.xml.rels><?xml version="1.0" encoding="UTF-8" standalone="yes"?>
<Relationships xmlns="http://schemas.openxmlformats.org/package/2006/relationships"><Relationship Id="rId1" Type="http://schemas.openxmlformats.org/officeDocument/2006/relationships/externalLinkPath" Target="file:///E:/Wang/Galan/4%20Distances/CGI005-qtz10-CL-dist-5.xlsx" TargetMode="External"/></Relationships>
</file>

<file path=xl/externalLinks/_rels/externalLink502.xml.rels><?xml version="1.0" encoding="UTF-8" standalone="yes"?>
<Relationships xmlns="http://schemas.openxmlformats.org/package/2006/relationships"><Relationship Id="rId1" Type="http://schemas.openxmlformats.org/officeDocument/2006/relationships/externalLinkPath" Target="file:///E:/Wang/Galan/4%20Distances/CGI005-qtz10-CL-dist-6.xlsx" TargetMode="External"/></Relationships>
</file>

<file path=xl/externalLinks/_rels/externalLink503.xml.rels><?xml version="1.0" encoding="UTF-8" standalone="yes"?>
<Relationships xmlns="http://schemas.openxmlformats.org/package/2006/relationships"><Relationship Id="rId1" Type="http://schemas.openxmlformats.org/officeDocument/2006/relationships/externalLinkPath" Target="file:///E:/Wang/Galan/4%20Distances/CGI005-qtz11-CL-dist-1.xlsx" TargetMode="External"/></Relationships>
</file>

<file path=xl/externalLinks/_rels/externalLink504.xml.rels><?xml version="1.0" encoding="UTF-8" standalone="yes"?>
<Relationships xmlns="http://schemas.openxmlformats.org/package/2006/relationships"><Relationship Id="rId1" Type="http://schemas.openxmlformats.org/officeDocument/2006/relationships/externalLinkPath" Target="file:///E:/Wang/Galan/4%20Distances/CGI005-qtz11-CL-dist-2.xlsx" TargetMode="External"/></Relationships>
</file>

<file path=xl/externalLinks/_rels/externalLink505.xml.rels><?xml version="1.0" encoding="UTF-8" standalone="yes"?>
<Relationships xmlns="http://schemas.openxmlformats.org/package/2006/relationships"><Relationship Id="rId1" Type="http://schemas.openxmlformats.org/officeDocument/2006/relationships/externalLinkPath" Target="file:///E:/Wang/Galan/4%20Distances/CGI005-qtz11-CL-dist-3.xlsx" TargetMode="External"/></Relationships>
</file>

<file path=xl/externalLinks/_rels/externalLink506.xml.rels><?xml version="1.0" encoding="UTF-8" standalone="yes"?>
<Relationships xmlns="http://schemas.openxmlformats.org/package/2006/relationships"><Relationship Id="rId1" Type="http://schemas.openxmlformats.org/officeDocument/2006/relationships/externalLinkPath" Target="file:///E:/Wang/Galan/4%20Distances/CGI005-qtz11-CL-dist-4.xlsx" TargetMode="External"/></Relationships>
</file>

<file path=xl/externalLinks/_rels/externalLink507.xml.rels><?xml version="1.0" encoding="UTF-8" standalone="yes"?>
<Relationships xmlns="http://schemas.openxmlformats.org/package/2006/relationships"><Relationship Id="rId1" Type="http://schemas.openxmlformats.org/officeDocument/2006/relationships/externalLinkPath" Target="file:///E:/Wang/Galan/4%20Distances/CGI005-qtz12-CL-dist-1.xlsx" TargetMode="External"/></Relationships>
</file>

<file path=xl/externalLinks/_rels/externalLink508.xml.rels><?xml version="1.0" encoding="UTF-8" standalone="yes"?>
<Relationships xmlns="http://schemas.openxmlformats.org/package/2006/relationships"><Relationship Id="rId1" Type="http://schemas.openxmlformats.org/officeDocument/2006/relationships/externalLinkPath" Target="file:///E:/Wang/Galan/4%20Distances/CGI005-qtz12-CL-dist-2.xlsx" TargetMode="External"/></Relationships>
</file>

<file path=xl/externalLinks/_rels/externalLink509.xml.rels><?xml version="1.0" encoding="UTF-8" standalone="yes"?>
<Relationships xmlns="http://schemas.openxmlformats.org/package/2006/relationships"><Relationship Id="rId1" Type="http://schemas.openxmlformats.org/officeDocument/2006/relationships/externalLinkPath" Target="file:///E:/Wang/Galan/4%20Distances/CGI005-qtz12-CL-dist-3.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Wang/Galan/3%20MC/CGI005-qtz03-CL-fit-1-offset.xlsm" TargetMode="External"/></Relationships>
</file>

<file path=xl/externalLinks/_rels/externalLink510.xml.rels><?xml version="1.0" encoding="UTF-8" standalone="yes"?>
<Relationships xmlns="http://schemas.openxmlformats.org/package/2006/relationships"><Relationship Id="rId1" Type="http://schemas.openxmlformats.org/officeDocument/2006/relationships/externalLinkPath" Target="file:///E:/Wang/Galan/4%20Distances/CGI005-qtz12-CL-dist-4.xlsx" TargetMode="External"/></Relationships>
</file>

<file path=xl/externalLinks/_rels/externalLink511.xml.rels><?xml version="1.0" encoding="UTF-8" standalone="yes"?>
<Relationships xmlns="http://schemas.openxmlformats.org/package/2006/relationships"><Relationship Id="rId1" Type="http://schemas.openxmlformats.org/officeDocument/2006/relationships/externalLinkPath" Target="file:///E:/Wang/Galan/4%20Distances/CGI008-qtz01-CL-dist-1--.xlsx" TargetMode="External"/></Relationships>
</file>

<file path=xl/externalLinks/_rels/externalLink512.xml.rels><?xml version="1.0" encoding="UTF-8" standalone="yes"?>
<Relationships xmlns="http://schemas.openxmlformats.org/package/2006/relationships"><Relationship Id="rId1" Type="http://schemas.openxmlformats.org/officeDocument/2006/relationships/externalLinkPath" Target="file:///E:/Wang/Galan/4%20Distances/CGI008-qtz01-CL-dist-2.xlsx" TargetMode="External"/></Relationships>
</file>

<file path=xl/externalLinks/_rels/externalLink513.xml.rels><?xml version="1.0" encoding="UTF-8" standalone="yes"?>
<Relationships xmlns="http://schemas.openxmlformats.org/package/2006/relationships"><Relationship Id="rId1" Type="http://schemas.openxmlformats.org/officeDocument/2006/relationships/externalLinkPath" Target="file:///E:/Wang/Galan/4%20Distances/CGI008-qtz01-CL-dist-3.xlsx" TargetMode="External"/></Relationships>
</file>

<file path=xl/externalLinks/_rels/externalLink514.xml.rels><?xml version="1.0" encoding="UTF-8" standalone="yes"?>
<Relationships xmlns="http://schemas.openxmlformats.org/package/2006/relationships"><Relationship Id="rId1" Type="http://schemas.openxmlformats.org/officeDocument/2006/relationships/externalLinkPath" Target="file:///E:/Wang/Galan/4%20Distances/CGI008-qtz01-CL-dist-4.xlsx" TargetMode="External"/></Relationships>
</file>

<file path=xl/externalLinks/_rels/externalLink515.xml.rels><?xml version="1.0" encoding="UTF-8" standalone="yes"?>
<Relationships xmlns="http://schemas.openxmlformats.org/package/2006/relationships"><Relationship Id="rId1" Type="http://schemas.openxmlformats.org/officeDocument/2006/relationships/externalLinkPath" Target="file:///E:/Wang/Galan/4%20Distances/CGI008-qtz01-CL-dist-5.xlsx" TargetMode="External"/></Relationships>
</file>

<file path=xl/externalLinks/_rels/externalLink516.xml.rels><?xml version="1.0" encoding="UTF-8" standalone="yes"?>
<Relationships xmlns="http://schemas.openxmlformats.org/package/2006/relationships"><Relationship Id="rId1" Type="http://schemas.openxmlformats.org/officeDocument/2006/relationships/externalLinkPath" Target="file:///E:/Wang/Galan/4%20Distances/CGI008-qtz02-CL-dist-1.xlsx" TargetMode="External"/></Relationships>
</file>

<file path=xl/externalLinks/_rels/externalLink517.xml.rels><?xml version="1.0" encoding="UTF-8" standalone="yes"?>
<Relationships xmlns="http://schemas.openxmlformats.org/package/2006/relationships"><Relationship Id="rId1" Type="http://schemas.openxmlformats.org/officeDocument/2006/relationships/externalLinkPath" Target="file:///E:/Wang/Galan/4%20Distances/CGI008-qtz02-CL-dist-2.xlsx" TargetMode="External"/></Relationships>
</file>

<file path=xl/externalLinks/_rels/externalLink518.xml.rels><?xml version="1.0" encoding="UTF-8" standalone="yes"?>
<Relationships xmlns="http://schemas.openxmlformats.org/package/2006/relationships"><Relationship Id="rId1" Type="http://schemas.openxmlformats.org/officeDocument/2006/relationships/externalLinkPath" Target="file:///E:/Wang/Galan/4%20Distances/CGI008-qtz02-CL-dist-3.xlsx" TargetMode="External"/></Relationships>
</file>

<file path=xl/externalLinks/_rels/externalLink519.xml.rels><?xml version="1.0" encoding="UTF-8" standalone="yes"?>
<Relationships xmlns="http://schemas.openxmlformats.org/package/2006/relationships"><Relationship Id="rId1" Type="http://schemas.openxmlformats.org/officeDocument/2006/relationships/externalLinkPath" Target="file:///E:/Wang/Galan/4%20Distances/CGI008-qtz02-CL-dist-4.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E:/Wang/Galan/3%20MC/CGI005-qtz03-CL-fit-2-offset.xlsm" TargetMode="External"/></Relationships>
</file>

<file path=xl/externalLinks/_rels/externalLink520.xml.rels><?xml version="1.0" encoding="UTF-8" standalone="yes"?>
<Relationships xmlns="http://schemas.openxmlformats.org/package/2006/relationships"><Relationship Id="rId1" Type="http://schemas.openxmlformats.org/officeDocument/2006/relationships/externalLinkPath" Target="file:///E:/Wang/Galan/4%20Distances/CGI008-qtz03-CL-dist-1.xlsx" TargetMode="External"/></Relationships>
</file>

<file path=xl/externalLinks/_rels/externalLink521.xml.rels><?xml version="1.0" encoding="UTF-8" standalone="yes"?>
<Relationships xmlns="http://schemas.openxmlformats.org/package/2006/relationships"><Relationship Id="rId1" Type="http://schemas.openxmlformats.org/officeDocument/2006/relationships/externalLinkPath" Target="file:///E:/Wang/Galan/4%20Distances/CGI008-qtz03-CL-dist-2.xlsx" TargetMode="External"/></Relationships>
</file>

<file path=xl/externalLinks/_rels/externalLink522.xml.rels><?xml version="1.0" encoding="UTF-8" standalone="yes"?>
<Relationships xmlns="http://schemas.openxmlformats.org/package/2006/relationships"><Relationship Id="rId1" Type="http://schemas.openxmlformats.org/officeDocument/2006/relationships/externalLinkPath" Target="file:///E:/Wang/Galan/4%20Distances/CGI008-qtz03-CL-dist-3.xlsx" TargetMode="External"/></Relationships>
</file>

<file path=xl/externalLinks/_rels/externalLink523.xml.rels><?xml version="1.0" encoding="UTF-8" standalone="yes"?>
<Relationships xmlns="http://schemas.openxmlformats.org/package/2006/relationships"><Relationship Id="rId1" Type="http://schemas.openxmlformats.org/officeDocument/2006/relationships/externalLinkPath" Target="file:///E:/Wang/Galan/4%20Distances/CGI008-qtz03-CL-dist-4.xlsx" TargetMode="External"/></Relationships>
</file>

<file path=xl/externalLinks/_rels/externalLink524.xml.rels><?xml version="1.0" encoding="UTF-8" standalone="yes"?>
<Relationships xmlns="http://schemas.openxmlformats.org/package/2006/relationships"><Relationship Id="rId1" Type="http://schemas.openxmlformats.org/officeDocument/2006/relationships/externalLinkPath" Target="file:///E:/Wang/Galan/4%20Distances/CGI008-qtz04-CL-dist-1.xlsx" TargetMode="External"/></Relationships>
</file>

<file path=xl/externalLinks/_rels/externalLink525.xml.rels><?xml version="1.0" encoding="UTF-8" standalone="yes"?>
<Relationships xmlns="http://schemas.openxmlformats.org/package/2006/relationships"><Relationship Id="rId1" Type="http://schemas.openxmlformats.org/officeDocument/2006/relationships/externalLinkPath" Target="file:///E:/Wang/Galan/4%20Distances/CGI008-qtz04-CL-dist-2.xlsx" TargetMode="External"/></Relationships>
</file>

<file path=xl/externalLinks/_rels/externalLink526.xml.rels><?xml version="1.0" encoding="UTF-8" standalone="yes"?>
<Relationships xmlns="http://schemas.openxmlformats.org/package/2006/relationships"><Relationship Id="rId1" Type="http://schemas.openxmlformats.org/officeDocument/2006/relationships/externalLinkPath" Target="file:///E:/Wang/Galan/4%20Distances/CGI008-qtz04-CL-dist-3.xlsx" TargetMode="External"/></Relationships>
</file>

<file path=xl/externalLinks/_rels/externalLink527.xml.rels><?xml version="1.0" encoding="UTF-8" standalone="yes"?>
<Relationships xmlns="http://schemas.openxmlformats.org/package/2006/relationships"><Relationship Id="rId1" Type="http://schemas.openxmlformats.org/officeDocument/2006/relationships/externalLinkPath" Target="file:///E:/Wang/Galan/4%20Distances/CGI008-qtz05-CL-dist-1.xlsx" TargetMode="External"/></Relationships>
</file>

<file path=xl/externalLinks/_rels/externalLink528.xml.rels><?xml version="1.0" encoding="UTF-8" standalone="yes"?>
<Relationships xmlns="http://schemas.openxmlformats.org/package/2006/relationships"><Relationship Id="rId1" Type="http://schemas.openxmlformats.org/officeDocument/2006/relationships/externalLinkPath" Target="file:///E:/Wang/Galan/4%20Distances/CGI008-qtz05-CL-dist-2.xlsx" TargetMode="External"/></Relationships>
</file>

<file path=xl/externalLinks/_rels/externalLink529.xml.rels><?xml version="1.0" encoding="UTF-8" standalone="yes"?>
<Relationships xmlns="http://schemas.openxmlformats.org/package/2006/relationships"><Relationship Id="rId1" Type="http://schemas.openxmlformats.org/officeDocument/2006/relationships/externalLinkPath" Target="file:///E:/Wang/Galan/4%20Distances/CGI008-qtz05-CL-dist-3.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Wang/Galan/3%20MC/CGI005-qtz03-CL-fit-3.xlsm" TargetMode="External"/></Relationships>
</file>

<file path=xl/externalLinks/_rels/externalLink530.xml.rels><?xml version="1.0" encoding="UTF-8" standalone="yes"?>
<Relationships xmlns="http://schemas.openxmlformats.org/package/2006/relationships"><Relationship Id="rId1" Type="http://schemas.openxmlformats.org/officeDocument/2006/relationships/externalLinkPath" Target="file:///E:/Wang/Galan/4%20Distances/CGI008-qtz05-CL-dist-4.xlsx" TargetMode="External"/></Relationships>
</file>

<file path=xl/externalLinks/_rels/externalLink531.xml.rels><?xml version="1.0" encoding="UTF-8" standalone="yes"?>
<Relationships xmlns="http://schemas.openxmlformats.org/package/2006/relationships"><Relationship Id="rId1" Type="http://schemas.openxmlformats.org/officeDocument/2006/relationships/externalLinkPath" Target="file:///E:/Wang/Galan/4%20Distances/CGI008-qtz06-CL-dist-1.xlsx" TargetMode="External"/></Relationships>
</file>

<file path=xl/externalLinks/_rels/externalLink532.xml.rels><?xml version="1.0" encoding="UTF-8" standalone="yes"?>
<Relationships xmlns="http://schemas.openxmlformats.org/package/2006/relationships"><Relationship Id="rId1" Type="http://schemas.openxmlformats.org/officeDocument/2006/relationships/externalLinkPath" Target="file:///E:/Wang/Galan/4%20Distances/CGI008-qtz06-CL-dist-2.xlsx" TargetMode="External"/></Relationships>
</file>

<file path=xl/externalLinks/_rels/externalLink533.xml.rels><?xml version="1.0" encoding="UTF-8" standalone="yes"?>
<Relationships xmlns="http://schemas.openxmlformats.org/package/2006/relationships"><Relationship Id="rId1" Type="http://schemas.openxmlformats.org/officeDocument/2006/relationships/externalLinkPath" Target="file:///E:/Wang/Galan/4%20Distances/CGI008-qtz06-CL-dist-3.xlsx" TargetMode="External"/></Relationships>
</file>

<file path=xl/externalLinks/_rels/externalLink534.xml.rels><?xml version="1.0" encoding="UTF-8" standalone="yes"?>
<Relationships xmlns="http://schemas.openxmlformats.org/package/2006/relationships"><Relationship Id="rId1" Type="http://schemas.openxmlformats.org/officeDocument/2006/relationships/externalLinkPath" Target="file:///E:/Wang/Galan/4%20Distances/CGI008-qtz06-CL-dist-4.xlsx" TargetMode="External"/></Relationships>
</file>

<file path=xl/externalLinks/_rels/externalLink535.xml.rels><?xml version="1.0" encoding="UTF-8" standalone="yes"?>
<Relationships xmlns="http://schemas.openxmlformats.org/package/2006/relationships"><Relationship Id="rId1" Type="http://schemas.openxmlformats.org/officeDocument/2006/relationships/externalLinkPath" Target="file:///E:/Wang/Galan/4%20Distances/CGI008-qtz07-CL-dist-1.xlsx" TargetMode="External"/></Relationships>
</file>

<file path=xl/externalLinks/_rels/externalLink536.xml.rels><?xml version="1.0" encoding="UTF-8" standalone="yes"?>
<Relationships xmlns="http://schemas.openxmlformats.org/package/2006/relationships"><Relationship Id="rId1" Type="http://schemas.openxmlformats.org/officeDocument/2006/relationships/externalLinkPath" Target="file:///E:/Wang/Galan/4%20Distances/CGI008-qtz07-CL-dist-2.xlsx" TargetMode="External"/></Relationships>
</file>

<file path=xl/externalLinks/_rels/externalLink537.xml.rels><?xml version="1.0" encoding="UTF-8" standalone="yes"?>
<Relationships xmlns="http://schemas.openxmlformats.org/package/2006/relationships"><Relationship Id="rId1" Type="http://schemas.openxmlformats.org/officeDocument/2006/relationships/externalLinkPath" Target="file:///E:/Wang/Galan/4%20Distances/CGI008-qtz07-CL-dist-3.xlsx" TargetMode="External"/></Relationships>
</file>

<file path=xl/externalLinks/_rels/externalLink538.xml.rels><?xml version="1.0" encoding="UTF-8" standalone="yes"?>
<Relationships xmlns="http://schemas.openxmlformats.org/package/2006/relationships"><Relationship Id="rId1" Type="http://schemas.openxmlformats.org/officeDocument/2006/relationships/externalLinkPath" Target="file:///E:/Wang/Galan/4%20Distances/CGI008-qtz07-CL-dist-4.xlsx" TargetMode="External"/></Relationships>
</file>

<file path=xl/externalLinks/_rels/externalLink539.xml.rels><?xml version="1.0" encoding="UTF-8" standalone="yes"?>
<Relationships xmlns="http://schemas.openxmlformats.org/package/2006/relationships"><Relationship Id="rId1" Type="http://schemas.openxmlformats.org/officeDocument/2006/relationships/externalLinkPath" Target="file:///E:/Wang/Galan/4%20Distances/CGI008-qtz07-CL-dist-5.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Wang/Galan/3%20MC/CGI005-qtz03-CL-fit-4-offset.xlsm" TargetMode="External"/></Relationships>
</file>

<file path=xl/externalLinks/_rels/externalLink540.xml.rels><?xml version="1.0" encoding="UTF-8" standalone="yes"?>
<Relationships xmlns="http://schemas.openxmlformats.org/package/2006/relationships"><Relationship Id="rId1" Type="http://schemas.openxmlformats.org/officeDocument/2006/relationships/externalLinkPath" Target="file:///E:/Wang/Galan/4%20Distances/CGI008-qtz08-CL-dist-2.xlsx" TargetMode="External"/></Relationships>
</file>

<file path=xl/externalLinks/_rels/externalLink541.xml.rels><?xml version="1.0" encoding="UTF-8" standalone="yes"?>
<Relationships xmlns="http://schemas.openxmlformats.org/package/2006/relationships"><Relationship Id="rId1" Type="http://schemas.openxmlformats.org/officeDocument/2006/relationships/externalLinkPath" Target="file:///E:/Wang/Galan/4%20Distances/CGI008-qtz08-CL-dist-3.xlsx" TargetMode="External"/></Relationships>
</file>

<file path=xl/externalLinks/_rels/externalLink542.xml.rels><?xml version="1.0" encoding="UTF-8" standalone="yes"?>
<Relationships xmlns="http://schemas.openxmlformats.org/package/2006/relationships"><Relationship Id="rId1" Type="http://schemas.openxmlformats.org/officeDocument/2006/relationships/externalLinkPath" Target="file:///E:/Wang/Galan/4%20Distances/CGI008-qtz09-CL-dist-1.xlsx" TargetMode="External"/></Relationships>
</file>

<file path=xl/externalLinks/_rels/externalLink543.xml.rels><?xml version="1.0" encoding="UTF-8" standalone="yes"?>
<Relationships xmlns="http://schemas.openxmlformats.org/package/2006/relationships"><Relationship Id="rId1" Type="http://schemas.openxmlformats.org/officeDocument/2006/relationships/externalLinkPath" Target="file:///E:/Wang/Galan/4%20Distances/CGI008-qtz09-CL-dist-2.xlsx" TargetMode="External"/></Relationships>
</file>

<file path=xl/externalLinks/_rels/externalLink544.xml.rels><?xml version="1.0" encoding="UTF-8" standalone="yes"?>
<Relationships xmlns="http://schemas.openxmlformats.org/package/2006/relationships"><Relationship Id="rId1" Type="http://schemas.openxmlformats.org/officeDocument/2006/relationships/externalLinkPath" Target="file:///E:/Wang/Galan/4%20Distances/CGI008-qtz10-CL-dist-1.xlsx" TargetMode="External"/></Relationships>
</file>

<file path=xl/externalLinks/_rels/externalLink545.xml.rels><?xml version="1.0" encoding="UTF-8" standalone="yes"?>
<Relationships xmlns="http://schemas.openxmlformats.org/package/2006/relationships"><Relationship Id="rId1" Type="http://schemas.openxmlformats.org/officeDocument/2006/relationships/externalLinkPath" Target="file:///E:/Wang/Galan/4%20Distances/CGI008-qtz10-CL-dist-2.xlsx" TargetMode="External"/></Relationships>
</file>

<file path=xl/externalLinks/_rels/externalLink546.xml.rels><?xml version="1.0" encoding="UTF-8" standalone="yes"?>
<Relationships xmlns="http://schemas.openxmlformats.org/package/2006/relationships"><Relationship Id="rId1" Type="http://schemas.openxmlformats.org/officeDocument/2006/relationships/externalLinkPath" Target="file:///E:/Wang/Galan/4%20Distances/CGI008-qtz10-CL-dist-3.xlsx" TargetMode="External"/></Relationships>
</file>

<file path=xl/externalLinks/_rels/externalLink547.xml.rels><?xml version="1.0" encoding="UTF-8" standalone="yes"?>
<Relationships xmlns="http://schemas.openxmlformats.org/package/2006/relationships"><Relationship Id="rId1" Type="http://schemas.openxmlformats.org/officeDocument/2006/relationships/externalLinkPath" Target="file:///E:/Wang/Galan/4%20Distances/CGI008-qtz10-CL-dist-4.xlsx" TargetMode="External"/></Relationships>
</file>

<file path=xl/externalLinks/_rels/externalLink548.xml.rels><?xml version="1.0" encoding="UTF-8" standalone="yes"?>
<Relationships xmlns="http://schemas.openxmlformats.org/package/2006/relationships"><Relationship Id="rId1" Type="http://schemas.openxmlformats.org/officeDocument/2006/relationships/externalLinkPath" Target="file:///E:/Wang/Galan/4%20Distances/CGI008-qtz11-CL-dist-1.xlsx" TargetMode="External"/></Relationships>
</file>

<file path=xl/externalLinks/_rels/externalLink549.xml.rels><?xml version="1.0" encoding="UTF-8" standalone="yes"?>
<Relationships xmlns="http://schemas.openxmlformats.org/package/2006/relationships"><Relationship Id="rId1" Type="http://schemas.openxmlformats.org/officeDocument/2006/relationships/externalLinkPath" Target="file:///E:/Wang/Galan/4%20Distances/CGI008-qtz11-CL-dist-2.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E:/Wang/Galan/3%20MC/CGI005-qtz03-CL-fit-5-offset.xlsm" TargetMode="External"/></Relationships>
</file>

<file path=xl/externalLinks/_rels/externalLink550.xml.rels><?xml version="1.0" encoding="UTF-8" standalone="yes"?>
<Relationships xmlns="http://schemas.openxmlformats.org/package/2006/relationships"><Relationship Id="rId1" Type="http://schemas.openxmlformats.org/officeDocument/2006/relationships/externalLinkPath" Target="file:///E:/Wang/Galan/4%20Distances/CGI008-qtz11-CL-dist-3.xlsx" TargetMode="External"/></Relationships>
</file>

<file path=xl/externalLinks/_rels/externalLink551.xml.rels><?xml version="1.0" encoding="UTF-8" standalone="yes"?>
<Relationships xmlns="http://schemas.openxmlformats.org/package/2006/relationships"><Relationship Id="rId1" Type="http://schemas.openxmlformats.org/officeDocument/2006/relationships/externalLinkPath" Target="file:///E:/Wang/Galan/4%20Distances/CGI008-qtz11-CL-dist-4.xlsx" TargetMode="External"/></Relationships>
</file>

<file path=xl/externalLinks/_rels/externalLink552.xml.rels><?xml version="1.0" encoding="UTF-8" standalone="yes"?>
<Relationships xmlns="http://schemas.openxmlformats.org/package/2006/relationships"><Relationship Id="rId1" Type="http://schemas.openxmlformats.org/officeDocument/2006/relationships/externalLinkPath" Target="file:///E:/Wang/Galan/4%20Distances/CGI008-qtz12-CL-dist-1.xlsx" TargetMode="External"/></Relationships>
</file>

<file path=xl/externalLinks/_rels/externalLink553.xml.rels><?xml version="1.0" encoding="UTF-8" standalone="yes"?>
<Relationships xmlns="http://schemas.openxmlformats.org/package/2006/relationships"><Relationship Id="rId1" Type="http://schemas.openxmlformats.org/officeDocument/2006/relationships/externalLinkPath" Target="file:///E:/Wang/Galan/4%20Distances/CGI008-qtz12-CL-dist-2.xlsx" TargetMode="External"/></Relationships>
</file>

<file path=xl/externalLinks/_rels/externalLink554.xml.rels><?xml version="1.0" encoding="UTF-8" standalone="yes"?>
<Relationships xmlns="http://schemas.openxmlformats.org/package/2006/relationships"><Relationship Id="rId1" Type="http://schemas.openxmlformats.org/officeDocument/2006/relationships/externalLinkPath" Target="file:///E:/Wang/Galan/4%20Distances/CGI008-qtz12-CL-dist-3.xlsx" TargetMode="External"/></Relationships>
</file>

<file path=xl/externalLinks/_rels/externalLink555.xml.rels><?xml version="1.0" encoding="UTF-8" standalone="yes"?>
<Relationships xmlns="http://schemas.openxmlformats.org/package/2006/relationships"><Relationship Id="rId1" Type="http://schemas.openxmlformats.org/officeDocument/2006/relationships/externalLinkPath" Target="file:///E:/Wang/Galan/4%20Distances/CGI009-qtz01-CL-dist-1.xlsx" TargetMode="External"/></Relationships>
</file>

<file path=xl/externalLinks/_rels/externalLink556.xml.rels><?xml version="1.0" encoding="UTF-8" standalone="yes"?>
<Relationships xmlns="http://schemas.openxmlformats.org/package/2006/relationships"><Relationship Id="rId1" Type="http://schemas.openxmlformats.org/officeDocument/2006/relationships/externalLinkPath" Target="file:///E:/Wang/Galan/4%20Distances/CGI009-qtz01-CL-dist-2.xlsx" TargetMode="External"/></Relationships>
</file>

<file path=xl/externalLinks/_rels/externalLink557.xml.rels><?xml version="1.0" encoding="UTF-8" standalone="yes"?>
<Relationships xmlns="http://schemas.openxmlformats.org/package/2006/relationships"><Relationship Id="rId1" Type="http://schemas.openxmlformats.org/officeDocument/2006/relationships/externalLinkPath" Target="file:///E:/Wang/Galan/4%20Distances/CGI009-qtz01-CL-dist-3.xlsx" TargetMode="External"/></Relationships>
</file>

<file path=xl/externalLinks/_rels/externalLink558.xml.rels><?xml version="1.0" encoding="UTF-8" standalone="yes"?>
<Relationships xmlns="http://schemas.openxmlformats.org/package/2006/relationships"><Relationship Id="rId1" Type="http://schemas.openxmlformats.org/officeDocument/2006/relationships/externalLinkPath" Target="file:///E:/Wang/Galan/4%20Distances/CGI009-qtz01-CL-dist-4.xlsx" TargetMode="External"/></Relationships>
</file>

<file path=xl/externalLinks/_rels/externalLink559.xml.rels><?xml version="1.0" encoding="UTF-8" standalone="yes"?>
<Relationships xmlns="http://schemas.openxmlformats.org/package/2006/relationships"><Relationship Id="rId1" Type="http://schemas.openxmlformats.org/officeDocument/2006/relationships/externalLinkPath" Target="file:///E:/Wang/Galan/4%20Distances/CGI009-qtz01-CL-dist-5.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E:/Wang/Galan/3%20MC/CGI005-qtz03-CL-fit-6-offset.xlsm" TargetMode="External"/></Relationships>
</file>

<file path=xl/externalLinks/_rels/externalLink560.xml.rels><?xml version="1.0" encoding="UTF-8" standalone="yes"?>
<Relationships xmlns="http://schemas.openxmlformats.org/package/2006/relationships"><Relationship Id="rId1" Type="http://schemas.openxmlformats.org/officeDocument/2006/relationships/externalLinkPath" Target="file:///E:/Wang/Galan/4%20Distances/CGI009-qtz02-CL-dist-1.xlsx" TargetMode="External"/></Relationships>
</file>

<file path=xl/externalLinks/_rels/externalLink561.xml.rels><?xml version="1.0" encoding="UTF-8" standalone="yes"?>
<Relationships xmlns="http://schemas.openxmlformats.org/package/2006/relationships"><Relationship Id="rId1" Type="http://schemas.openxmlformats.org/officeDocument/2006/relationships/externalLinkPath" Target="file:///E:/Wang/Galan/4%20Distances/CGI009-qtz02-CL-dist-2.xlsx" TargetMode="External"/></Relationships>
</file>

<file path=xl/externalLinks/_rels/externalLink562.xml.rels><?xml version="1.0" encoding="UTF-8" standalone="yes"?>
<Relationships xmlns="http://schemas.openxmlformats.org/package/2006/relationships"><Relationship Id="rId1" Type="http://schemas.openxmlformats.org/officeDocument/2006/relationships/externalLinkPath" Target="file:///E:/Wang/Galan/4%20Distances/CGI009-qtz02-CL-dist-3.xlsx" TargetMode="External"/></Relationships>
</file>

<file path=xl/externalLinks/_rels/externalLink563.xml.rels><?xml version="1.0" encoding="UTF-8" standalone="yes"?>
<Relationships xmlns="http://schemas.openxmlformats.org/package/2006/relationships"><Relationship Id="rId1" Type="http://schemas.openxmlformats.org/officeDocument/2006/relationships/externalLinkPath" Target="file:///E:/Wang/Galan/4%20Distances/CGI009-qtz03-CL-dist-1.xlsx" TargetMode="External"/></Relationships>
</file>

<file path=xl/externalLinks/_rels/externalLink564.xml.rels><?xml version="1.0" encoding="UTF-8" standalone="yes"?>
<Relationships xmlns="http://schemas.openxmlformats.org/package/2006/relationships"><Relationship Id="rId1" Type="http://schemas.openxmlformats.org/officeDocument/2006/relationships/externalLinkPath" Target="file:///E:/Wang/Galan/4%20Distances/CGI009-qtz03-CL-dist-2.xlsx" TargetMode="External"/></Relationships>
</file>

<file path=xl/externalLinks/_rels/externalLink565.xml.rels><?xml version="1.0" encoding="UTF-8" standalone="yes"?>
<Relationships xmlns="http://schemas.openxmlformats.org/package/2006/relationships"><Relationship Id="rId1" Type="http://schemas.openxmlformats.org/officeDocument/2006/relationships/externalLinkPath" Target="file:///E:/Wang/Galan/4%20Distances/CGI009-qtz03-CL-dist-3.xlsx" TargetMode="External"/></Relationships>
</file>

<file path=xl/externalLinks/_rels/externalLink566.xml.rels><?xml version="1.0" encoding="UTF-8" standalone="yes"?>
<Relationships xmlns="http://schemas.openxmlformats.org/package/2006/relationships"><Relationship Id="rId1" Type="http://schemas.openxmlformats.org/officeDocument/2006/relationships/externalLinkPath" Target="file:///E:/Wang/Galan/4%20Distances/CGI009-qtz03-CL-dist-4.xlsx" TargetMode="External"/></Relationships>
</file>

<file path=xl/externalLinks/_rels/externalLink567.xml.rels><?xml version="1.0" encoding="UTF-8" standalone="yes"?>
<Relationships xmlns="http://schemas.openxmlformats.org/package/2006/relationships"><Relationship Id="rId1" Type="http://schemas.openxmlformats.org/officeDocument/2006/relationships/externalLinkPath" Target="file:///E:/Wang/Galan/4%20Distances/CGI009-qtz03-CL-dist-5.xlsx" TargetMode="External"/></Relationships>
</file>

<file path=xl/externalLinks/_rels/externalLink568.xml.rels><?xml version="1.0" encoding="UTF-8" standalone="yes"?>
<Relationships xmlns="http://schemas.openxmlformats.org/package/2006/relationships"><Relationship Id="rId1" Type="http://schemas.openxmlformats.org/officeDocument/2006/relationships/externalLinkPath" Target="file:///E:/Wang/Galan/4%20Distances/CGI009-qtz04-CL-dist-1.xlsx" TargetMode="External"/></Relationships>
</file>

<file path=xl/externalLinks/_rels/externalLink569.xml.rels><?xml version="1.0" encoding="UTF-8" standalone="yes"?>
<Relationships xmlns="http://schemas.openxmlformats.org/package/2006/relationships"><Relationship Id="rId1" Type="http://schemas.openxmlformats.org/officeDocument/2006/relationships/externalLinkPath" Target="file:///E:/Wang/Galan/4%20Distances/CGI009-qtz04-CL-dist-2.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Wang/Galan/3%20MC/CGI005-qtz04-CL-fit-1-offset.xlsm" TargetMode="External"/></Relationships>
</file>

<file path=xl/externalLinks/_rels/externalLink570.xml.rels><?xml version="1.0" encoding="UTF-8" standalone="yes"?>
<Relationships xmlns="http://schemas.openxmlformats.org/package/2006/relationships"><Relationship Id="rId1" Type="http://schemas.openxmlformats.org/officeDocument/2006/relationships/externalLinkPath" Target="file:///E:/Wang/Galan/4%20Distances/CGI009-qtz04-CL-dist-3.xlsx" TargetMode="External"/></Relationships>
</file>

<file path=xl/externalLinks/_rels/externalLink571.xml.rels><?xml version="1.0" encoding="UTF-8" standalone="yes"?>
<Relationships xmlns="http://schemas.openxmlformats.org/package/2006/relationships"><Relationship Id="rId1" Type="http://schemas.openxmlformats.org/officeDocument/2006/relationships/externalLinkPath" Target="file:///E:/Wang/Galan/4%20Distances/CGI009-qtz04-CL-dist-4.xlsx" TargetMode="External"/></Relationships>
</file>

<file path=xl/externalLinks/_rels/externalLink572.xml.rels><?xml version="1.0" encoding="UTF-8" standalone="yes"?>
<Relationships xmlns="http://schemas.openxmlformats.org/package/2006/relationships"><Relationship Id="rId1" Type="http://schemas.openxmlformats.org/officeDocument/2006/relationships/externalLinkPath" Target="file:///E:/Wang/Galan/4%20Distances/CGI009-qtz05-CL-dist-1.xlsx" TargetMode="External"/></Relationships>
</file>

<file path=xl/externalLinks/_rels/externalLink573.xml.rels><?xml version="1.0" encoding="UTF-8" standalone="yes"?>
<Relationships xmlns="http://schemas.openxmlformats.org/package/2006/relationships"><Relationship Id="rId1" Type="http://schemas.openxmlformats.org/officeDocument/2006/relationships/externalLinkPath" Target="file:///E:/Wang/Galan/4%20Distances/CGI009-qtz05-CL-dist-2.xlsx" TargetMode="External"/></Relationships>
</file>

<file path=xl/externalLinks/_rels/externalLink574.xml.rels><?xml version="1.0" encoding="UTF-8" standalone="yes"?>
<Relationships xmlns="http://schemas.openxmlformats.org/package/2006/relationships"><Relationship Id="rId1" Type="http://schemas.openxmlformats.org/officeDocument/2006/relationships/externalLinkPath" Target="file:///E:/Wang/Galan/4%20Distances/CGI009-qtz05-CL-dist-3.xlsx" TargetMode="External"/></Relationships>
</file>

<file path=xl/externalLinks/_rels/externalLink575.xml.rels><?xml version="1.0" encoding="UTF-8" standalone="yes"?>
<Relationships xmlns="http://schemas.openxmlformats.org/package/2006/relationships"><Relationship Id="rId1" Type="http://schemas.openxmlformats.org/officeDocument/2006/relationships/externalLinkPath" Target="file:///E:/Wang/Galan/4%20Distances/CGI009-qtz05-CL-dist-4.xlsx" TargetMode="External"/></Relationships>
</file>

<file path=xl/externalLinks/_rels/externalLink576.xml.rels><?xml version="1.0" encoding="UTF-8" standalone="yes"?>
<Relationships xmlns="http://schemas.openxmlformats.org/package/2006/relationships"><Relationship Id="rId1" Type="http://schemas.openxmlformats.org/officeDocument/2006/relationships/externalLinkPath" Target="file:///E:/Wang/Galan/4%20Distances/CGI009-qtz05-CL-dist-5.xlsx" TargetMode="External"/></Relationships>
</file>

<file path=xl/externalLinks/_rels/externalLink577.xml.rels><?xml version="1.0" encoding="UTF-8" standalone="yes"?>
<Relationships xmlns="http://schemas.openxmlformats.org/package/2006/relationships"><Relationship Id="rId1" Type="http://schemas.openxmlformats.org/officeDocument/2006/relationships/externalLinkPath" Target="file:///E:/Wang/Galan/4%20Distances/CGI009-qtz06-CL-dist-1.xlsx" TargetMode="External"/></Relationships>
</file>

<file path=xl/externalLinks/_rels/externalLink578.xml.rels><?xml version="1.0" encoding="UTF-8" standalone="yes"?>
<Relationships xmlns="http://schemas.openxmlformats.org/package/2006/relationships"><Relationship Id="rId1" Type="http://schemas.openxmlformats.org/officeDocument/2006/relationships/externalLinkPath" Target="file:///E:/Wang/Galan/4%20Distances/CGI009-qtz06-CL-dist-2.xlsx" TargetMode="External"/></Relationships>
</file>

<file path=xl/externalLinks/_rels/externalLink579.xml.rels><?xml version="1.0" encoding="UTF-8" standalone="yes"?>
<Relationships xmlns="http://schemas.openxmlformats.org/package/2006/relationships"><Relationship Id="rId1" Type="http://schemas.openxmlformats.org/officeDocument/2006/relationships/externalLinkPath" Target="file:///E:/Wang/Galan/4%20Distances/CGI009-qtz06-CL-dist-3.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Wang/Galan/3%20MC/CGI005-qtz04-CL-fit-2-offset.xlsm" TargetMode="External"/></Relationships>
</file>

<file path=xl/externalLinks/_rels/externalLink580.xml.rels><?xml version="1.0" encoding="UTF-8" standalone="yes"?>
<Relationships xmlns="http://schemas.openxmlformats.org/package/2006/relationships"><Relationship Id="rId1" Type="http://schemas.openxmlformats.org/officeDocument/2006/relationships/externalLinkPath" Target="file:///E:/Wang/Galan/4%20Distances/CGI009-qtz06-CL-dist-4.xlsx" TargetMode="External"/></Relationships>
</file>

<file path=xl/externalLinks/_rels/externalLink581.xml.rels><?xml version="1.0" encoding="UTF-8" standalone="yes"?>
<Relationships xmlns="http://schemas.openxmlformats.org/package/2006/relationships"><Relationship Id="rId1" Type="http://schemas.openxmlformats.org/officeDocument/2006/relationships/externalLinkPath" Target="file:///E:/Wang/Galan/4%20Distances/CGI009-qtz06-CL-dist-5.xlsx" TargetMode="External"/></Relationships>
</file>

<file path=xl/externalLinks/_rels/externalLink582.xml.rels><?xml version="1.0" encoding="UTF-8" standalone="yes"?>
<Relationships xmlns="http://schemas.openxmlformats.org/package/2006/relationships"><Relationship Id="rId1" Type="http://schemas.openxmlformats.org/officeDocument/2006/relationships/externalLinkPath" Target="file:///E:/Wang/Galan/4%20Distances/CGI009-qtz07-CL-dist-1.xlsx" TargetMode="External"/></Relationships>
</file>

<file path=xl/externalLinks/_rels/externalLink583.xml.rels><?xml version="1.0" encoding="UTF-8" standalone="yes"?>
<Relationships xmlns="http://schemas.openxmlformats.org/package/2006/relationships"><Relationship Id="rId1" Type="http://schemas.openxmlformats.org/officeDocument/2006/relationships/externalLinkPath" Target="file:///E:/Wang/Galan/4%20Distances/CGI009-qtz07-CL-dist-2.xlsx" TargetMode="External"/></Relationships>
</file>

<file path=xl/externalLinks/_rels/externalLink584.xml.rels><?xml version="1.0" encoding="UTF-8" standalone="yes"?>
<Relationships xmlns="http://schemas.openxmlformats.org/package/2006/relationships"><Relationship Id="rId1" Type="http://schemas.openxmlformats.org/officeDocument/2006/relationships/externalLinkPath" Target="file:///E:/Wang/Galan/4%20Distances/CGI009-qtz07-CL-dist-3.xlsx" TargetMode="External"/></Relationships>
</file>

<file path=xl/externalLinks/_rels/externalLink585.xml.rels><?xml version="1.0" encoding="UTF-8" standalone="yes"?>
<Relationships xmlns="http://schemas.openxmlformats.org/package/2006/relationships"><Relationship Id="rId1" Type="http://schemas.openxmlformats.org/officeDocument/2006/relationships/externalLinkPath" Target="file:///E:/Wang/Galan/4%20Distances/CGI009-qtz07-CL-dist-4.xlsx" TargetMode="External"/></Relationships>
</file>

<file path=xl/externalLinks/_rels/externalLink586.xml.rels><?xml version="1.0" encoding="UTF-8" standalone="yes"?>
<Relationships xmlns="http://schemas.openxmlformats.org/package/2006/relationships"><Relationship Id="rId1" Type="http://schemas.openxmlformats.org/officeDocument/2006/relationships/externalLinkPath" Target="file:///E:/Wang/Galan/4%20Distances/CGI009-qtz08-CL-dist-1.xlsx" TargetMode="External"/></Relationships>
</file>

<file path=xl/externalLinks/_rels/externalLink587.xml.rels><?xml version="1.0" encoding="UTF-8" standalone="yes"?>
<Relationships xmlns="http://schemas.openxmlformats.org/package/2006/relationships"><Relationship Id="rId1" Type="http://schemas.openxmlformats.org/officeDocument/2006/relationships/externalLinkPath" Target="file:///E:/Wang/Galan/4%20Distances/CGI009-qtz08-CL-dist-2.xlsx" TargetMode="External"/></Relationships>
</file>

<file path=xl/externalLinks/_rels/externalLink588.xml.rels><?xml version="1.0" encoding="UTF-8" standalone="yes"?>
<Relationships xmlns="http://schemas.openxmlformats.org/package/2006/relationships"><Relationship Id="rId1" Type="http://schemas.openxmlformats.org/officeDocument/2006/relationships/externalLinkPath" Target="file:///E:/Wang/Galan/4%20Distances/CGI009-qtz08-CL-dist-3.xlsx" TargetMode="External"/></Relationships>
</file>

<file path=xl/externalLinks/_rels/externalLink589.xml.rels><?xml version="1.0" encoding="UTF-8" standalone="yes"?>
<Relationships xmlns="http://schemas.openxmlformats.org/package/2006/relationships"><Relationship Id="rId1" Type="http://schemas.openxmlformats.org/officeDocument/2006/relationships/externalLinkPath" Target="file:///E:/Wang/Galan/4%20Distances/CGI009-qtz08-CL-dist-4.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Wang/Galan/3%20MC/CGI005-qtz04-CL-fit-3.xlsm" TargetMode="External"/></Relationships>
</file>

<file path=xl/externalLinks/_rels/externalLink590.xml.rels><?xml version="1.0" encoding="UTF-8" standalone="yes"?>
<Relationships xmlns="http://schemas.openxmlformats.org/package/2006/relationships"><Relationship Id="rId1" Type="http://schemas.openxmlformats.org/officeDocument/2006/relationships/externalLinkPath" Target="file:///E:/Wang/Galan/4%20Distances/CGI009-qtz08-CL-dist-5.xlsx" TargetMode="External"/></Relationships>
</file>

<file path=xl/externalLinks/_rels/externalLink591.xml.rels><?xml version="1.0" encoding="UTF-8" standalone="yes"?>
<Relationships xmlns="http://schemas.openxmlformats.org/package/2006/relationships"><Relationship Id="rId1" Type="http://schemas.openxmlformats.org/officeDocument/2006/relationships/externalLinkPath" Target="file:///E:/Wang/Galan/4%20Distances/CGI009-qtz09-CL-dist-1.xlsx" TargetMode="External"/></Relationships>
</file>

<file path=xl/externalLinks/_rels/externalLink592.xml.rels><?xml version="1.0" encoding="UTF-8" standalone="yes"?>
<Relationships xmlns="http://schemas.openxmlformats.org/package/2006/relationships"><Relationship Id="rId1" Type="http://schemas.openxmlformats.org/officeDocument/2006/relationships/externalLinkPath" Target="file:///E:/Wang/Galan/4%20Distances/CGI009-qtz09-CL-dist-2.xlsx" TargetMode="External"/></Relationships>
</file>

<file path=xl/externalLinks/_rels/externalLink593.xml.rels><?xml version="1.0" encoding="UTF-8" standalone="yes"?>
<Relationships xmlns="http://schemas.openxmlformats.org/package/2006/relationships"><Relationship Id="rId1" Type="http://schemas.openxmlformats.org/officeDocument/2006/relationships/externalLinkPath" Target="file:///E:/Wang/Galan/4%20Distances/CGI009-qtz09-CL-dist-3.xlsx" TargetMode="External"/></Relationships>
</file>

<file path=xl/externalLinks/_rels/externalLink594.xml.rels><?xml version="1.0" encoding="UTF-8" standalone="yes"?>
<Relationships xmlns="http://schemas.openxmlformats.org/package/2006/relationships"><Relationship Id="rId1" Type="http://schemas.openxmlformats.org/officeDocument/2006/relationships/externalLinkPath" Target="file:///E:/Wang/Galan/4%20Distances/CGI009-qtz09-CL-dist-4.xlsx" TargetMode="External"/></Relationships>
</file>

<file path=xl/externalLinks/_rels/externalLink595.xml.rels><?xml version="1.0" encoding="UTF-8" standalone="yes"?>
<Relationships xmlns="http://schemas.openxmlformats.org/package/2006/relationships"><Relationship Id="rId1" Type="http://schemas.openxmlformats.org/officeDocument/2006/relationships/externalLinkPath" Target="file:///E:/Wang/Galan/4%20Distances/CGI009-qtz10-CL-dist-1.xlsx" TargetMode="External"/></Relationships>
</file>

<file path=xl/externalLinks/_rels/externalLink596.xml.rels><?xml version="1.0" encoding="UTF-8" standalone="yes"?>
<Relationships xmlns="http://schemas.openxmlformats.org/package/2006/relationships"><Relationship Id="rId1" Type="http://schemas.openxmlformats.org/officeDocument/2006/relationships/externalLinkPath" Target="file:///E:/Wang/Galan/4%20Distances/CGI009-qtz10-CL-dist-2.xlsx" TargetMode="External"/></Relationships>
</file>

<file path=xl/externalLinks/_rels/externalLink597.xml.rels><?xml version="1.0" encoding="UTF-8" standalone="yes"?>
<Relationships xmlns="http://schemas.openxmlformats.org/package/2006/relationships"><Relationship Id="rId1" Type="http://schemas.openxmlformats.org/officeDocument/2006/relationships/externalLinkPath" Target="file:///E:/Wang/Galan/4%20Distances/CGI009-qtz10-CL-dist-3.xlsx" TargetMode="External"/></Relationships>
</file>

<file path=xl/externalLinks/_rels/externalLink598.xml.rels><?xml version="1.0" encoding="UTF-8" standalone="yes"?>
<Relationships xmlns="http://schemas.openxmlformats.org/package/2006/relationships"><Relationship Id="rId1" Type="http://schemas.openxmlformats.org/officeDocument/2006/relationships/externalLinkPath" Target="file:///E:/Wang/Galan/4%20Distances/CGI009-qtz10-CL-dist-4.xlsx" TargetMode="External"/></Relationships>
</file>

<file path=xl/externalLinks/_rels/externalLink599.xml.rels><?xml version="1.0" encoding="UTF-8" standalone="yes"?>
<Relationships xmlns="http://schemas.openxmlformats.org/package/2006/relationships"><Relationship Id="rId1" Type="http://schemas.openxmlformats.org/officeDocument/2006/relationships/externalLinkPath" Target="file:///E:/Wang/Galan/4%20Distances/CGI009-qtz10-CL-dist-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Wang/Galan/3%20MC/CGI001-qtz02-CL-fit-2.xlsm"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E:/Wang/Galan/3%20MC/CGI005-qtz04-CL-fit-4-offset.xlsm" TargetMode="External"/></Relationships>
</file>

<file path=xl/externalLinks/_rels/externalLink600.xml.rels><?xml version="1.0" encoding="UTF-8" standalone="yes"?>
<Relationships xmlns="http://schemas.openxmlformats.org/package/2006/relationships"><Relationship Id="rId1" Type="http://schemas.openxmlformats.org/officeDocument/2006/relationships/externalLinkPath" Target="file:///E:/Wang/Galan/4%20Distances/CGI009-qtz11-CL-dist-1.xlsx" TargetMode="External"/></Relationships>
</file>

<file path=xl/externalLinks/_rels/externalLink601.xml.rels><?xml version="1.0" encoding="UTF-8" standalone="yes"?>
<Relationships xmlns="http://schemas.openxmlformats.org/package/2006/relationships"><Relationship Id="rId1" Type="http://schemas.openxmlformats.org/officeDocument/2006/relationships/externalLinkPath" Target="file:///E:/Wang/Galan/4%20Distances/CGI009-qtz11-CL-dist-2.xlsx" TargetMode="External"/></Relationships>
</file>

<file path=xl/externalLinks/_rels/externalLink602.xml.rels><?xml version="1.0" encoding="UTF-8" standalone="yes"?>
<Relationships xmlns="http://schemas.openxmlformats.org/package/2006/relationships"><Relationship Id="rId1" Type="http://schemas.openxmlformats.org/officeDocument/2006/relationships/externalLinkPath" Target="file:///E:/Wang/Galan/4%20Distances/CGI009-qtz11-CL-dist-3.xlsx" TargetMode="External"/></Relationships>
</file>

<file path=xl/externalLinks/_rels/externalLink603.xml.rels><?xml version="1.0" encoding="UTF-8" standalone="yes"?>
<Relationships xmlns="http://schemas.openxmlformats.org/package/2006/relationships"><Relationship Id="rId1" Type="http://schemas.openxmlformats.org/officeDocument/2006/relationships/externalLinkPath" Target="file:///E:/Wang/Galan/4%20Distances/CGI009-qtz11-CL-dist-4.xlsx" TargetMode="External"/></Relationships>
</file>

<file path=xl/externalLinks/_rels/externalLink604.xml.rels><?xml version="1.0" encoding="UTF-8" standalone="yes"?>
<Relationships xmlns="http://schemas.openxmlformats.org/package/2006/relationships"><Relationship Id="rId1" Type="http://schemas.openxmlformats.org/officeDocument/2006/relationships/externalLinkPath" Target="file:///E:/Wang/Galan/4%20Distances/CGI009-qtz11-CL-dist-5.xlsx" TargetMode="External"/></Relationships>
</file>

<file path=xl/externalLinks/_rels/externalLink605.xml.rels><?xml version="1.0" encoding="UTF-8" standalone="yes"?>
<Relationships xmlns="http://schemas.openxmlformats.org/package/2006/relationships"><Relationship Id="rId1" Type="http://schemas.openxmlformats.org/officeDocument/2006/relationships/externalLinkPath" Target="file:///E:/Wang/Galan/4%20Distances/CGI009-qtz12-CL-dist-1.xlsx" TargetMode="External"/></Relationships>
</file>

<file path=xl/externalLinks/_rels/externalLink606.xml.rels><?xml version="1.0" encoding="UTF-8" standalone="yes"?>
<Relationships xmlns="http://schemas.openxmlformats.org/package/2006/relationships"><Relationship Id="rId1" Type="http://schemas.openxmlformats.org/officeDocument/2006/relationships/externalLinkPath" Target="file:///E:/Wang/Galan/4%20Distances/CGI009-qtz12-CL-dist-2.xlsx" TargetMode="External"/></Relationships>
</file>

<file path=xl/externalLinks/_rels/externalLink607.xml.rels><?xml version="1.0" encoding="UTF-8" standalone="yes"?>
<Relationships xmlns="http://schemas.openxmlformats.org/package/2006/relationships"><Relationship Id="rId1" Type="http://schemas.openxmlformats.org/officeDocument/2006/relationships/externalLinkPath" Target="file:///E:/Wang/Galan/4%20Distances/CGI009-qtz12-CL-dist-3.xlsx" TargetMode="External"/></Relationships>
</file>

<file path=xl/externalLinks/_rels/externalLink608.xml.rels><?xml version="1.0" encoding="UTF-8" standalone="yes"?>
<Relationships xmlns="http://schemas.openxmlformats.org/package/2006/relationships"><Relationship Id="rId1" Type="http://schemas.openxmlformats.org/officeDocument/2006/relationships/externalLinkPath" Target="file:///E:/Wang/Galan/4%20Distances/CGI009-qtz12-CL-dist-4.xlsx" TargetMode="External"/></Relationships>
</file>

<file path=xl/externalLinks/_rels/externalLink609.xml.rels><?xml version="1.0" encoding="UTF-8" standalone="yes"?>
<Relationships xmlns="http://schemas.openxmlformats.org/package/2006/relationships"><Relationship Id="rId1" Type="http://schemas.openxmlformats.org/officeDocument/2006/relationships/externalLinkPath" Target="file:///E:/Wang/Galan/4%20Distances/CGI011-qtz01-CL-dist-1.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Wang/Galan/3%20MC/CGI005-qtz04-CL-fit-5-offset.xlsm" TargetMode="External"/></Relationships>
</file>

<file path=xl/externalLinks/_rels/externalLink610.xml.rels><?xml version="1.0" encoding="UTF-8" standalone="yes"?>
<Relationships xmlns="http://schemas.openxmlformats.org/package/2006/relationships"><Relationship Id="rId1" Type="http://schemas.openxmlformats.org/officeDocument/2006/relationships/externalLinkPath" Target="file:///E:/Wang/Galan/4%20Distances/CGI011-qtz01-CL-dist-2.xlsx" TargetMode="External"/></Relationships>
</file>

<file path=xl/externalLinks/_rels/externalLink611.xml.rels><?xml version="1.0" encoding="UTF-8" standalone="yes"?>
<Relationships xmlns="http://schemas.openxmlformats.org/package/2006/relationships"><Relationship Id="rId1" Type="http://schemas.openxmlformats.org/officeDocument/2006/relationships/externalLinkPath" Target="file:///E:/Wang/Galan/4%20Distances/CGI011-qtz01-CL-dist-3.xlsx" TargetMode="External"/></Relationships>
</file>

<file path=xl/externalLinks/_rels/externalLink612.xml.rels><?xml version="1.0" encoding="UTF-8" standalone="yes"?>
<Relationships xmlns="http://schemas.openxmlformats.org/package/2006/relationships"><Relationship Id="rId1" Type="http://schemas.openxmlformats.org/officeDocument/2006/relationships/externalLinkPath" Target="file:///E:/Wang/Galan/4%20Distances/CGI011-qtz01-CL-dist-4.xlsx" TargetMode="External"/></Relationships>
</file>

<file path=xl/externalLinks/_rels/externalLink613.xml.rels><?xml version="1.0" encoding="UTF-8" standalone="yes"?>
<Relationships xmlns="http://schemas.openxmlformats.org/package/2006/relationships"><Relationship Id="rId1" Type="http://schemas.openxmlformats.org/officeDocument/2006/relationships/externalLinkPath" Target="/Users/sophiawang/Dropbox/Cerro%20Galan/SWang/Wang%20et%20al/Data/CG_TIMESCALES_COMPILE.xlsx" TargetMode="External"/></Relationships>
</file>

<file path=xl/externalLinks/_rels/externalLink614.xml.rels><?xml version="1.0" encoding="UTF-8" standalone="yes"?>
<Relationships xmlns="http://schemas.openxmlformats.org/package/2006/relationships"><Relationship Id="rId1" Type="http://schemas.openxmlformats.org/officeDocument/2006/relationships/externalLinkPath" Target="file:///E:/Wang/Galan/4%20Distances/CGI011-qtz01-CL-dist-5.xlsx" TargetMode="External"/></Relationships>
</file>

<file path=xl/externalLinks/_rels/externalLink615.xml.rels><?xml version="1.0" encoding="UTF-8" standalone="yes"?>
<Relationships xmlns="http://schemas.openxmlformats.org/package/2006/relationships"><Relationship Id="rId1" Type="http://schemas.openxmlformats.org/officeDocument/2006/relationships/externalLinkPath" Target="file:///E:/Wang/Galan/4%20Distances/CGI011-qtz02-CL-dist-1.xlsx" TargetMode="External"/></Relationships>
</file>

<file path=xl/externalLinks/_rels/externalLink616.xml.rels><?xml version="1.0" encoding="UTF-8" standalone="yes"?>
<Relationships xmlns="http://schemas.openxmlformats.org/package/2006/relationships"><Relationship Id="rId1" Type="http://schemas.openxmlformats.org/officeDocument/2006/relationships/externalLinkPath" Target="file:///E:/Wang/Galan/4%20Distances/CGI011-qtz02-CL-dist-2.xlsx" TargetMode="External"/></Relationships>
</file>

<file path=xl/externalLinks/_rels/externalLink617.xml.rels><?xml version="1.0" encoding="UTF-8" standalone="yes"?>
<Relationships xmlns="http://schemas.openxmlformats.org/package/2006/relationships"><Relationship Id="rId1" Type="http://schemas.openxmlformats.org/officeDocument/2006/relationships/externalLinkPath" Target="file:///E:/Wang/Galan/4%20Distances/CGI011-qtz02-CL-dist-3.xlsx" TargetMode="External"/></Relationships>
</file>

<file path=xl/externalLinks/_rels/externalLink618.xml.rels><?xml version="1.0" encoding="UTF-8" standalone="yes"?>
<Relationships xmlns="http://schemas.openxmlformats.org/package/2006/relationships"><Relationship Id="rId1" Type="http://schemas.openxmlformats.org/officeDocument/2006/relationships/externalLinkPath" Target="file:///E:/Wang/Galan/4%20Distances/CGI011-qtz02-CL-dist-4.xlsx" TargetMode="External"/></Relationships>
</file>

<file path=xl/externalLinks/_rels/externalLink619.xml.rels><?xml version="1.0" encoding="UTF-8" standalone="yes"?>
<Relationships xmlns="http://schemas.openxmlformats.org/package/2006/relationships"><Relationship Id="rId1" Type="http://schemas.openxmlformats.org/officeDocument/2006/relationships/externalLinkPath" Target="file:///E:/Wang/Galan/4%20Distances/CGI011-qtz02-CL-dist-5.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Wang/Galan/3%20MC/CGI005-qtz05-CL-fit-1-offset.xlsm" TargetMode="External"/></Relationships>
</file>

<file path=xl/externalLinks/_rels/externalLink620.xml.rels><?xml version="1.0" encoding="UTF-8" standalone="yes"?>
<Relationships xmlns="http://schemas.openxmlformats.org/package/2006/relationships"><Relationship Id="rId1" Type="http://schemas.openxmlformats.org/officeDocument/2006/relationships/externalLinkPath" Target="file:///E:/Wang/Galan/4%20Distances/CGI011-qtz03-CL-dist-1.xlsx" TargetMode="External"/></Relationships>
</file>

<file path=xl/externalLinks/_rels/externalLink621.xml.rels><?xml version="1.0" encoding="UTF-8" standalone="yes"?>
<Relationships xmlns="http://schemas.openxmlformats.org/package/2006/relationships"><Relationship Id="rId1" Type="http://schemas.openxmlformats.org/officeDocument/2006/relationships/externalLinkPath" Target="file:///E:/Wang/Galan/4%20Distances/CGI011-qtz03-CL-dist-2.xlsx" TargetMode="External"/></Relationships>
</file>

<file path=xl/externalLinks/_rels/externalLink622.xml.rels><?xml version="1.0" encoding="UTF-8" standalone="yes"?>
<Relationships xmlns="http://schemas.openxmlformats.org/package/2006/relationships"><Relationship Id="rId1" Type="http://schemas.openxmlformats.org/officeDocument/2006/relationships/externalLinkPath" Target="file:///E:/Wang/Galan/4%20Distances/CGI011-qtz03-CL-dist-3.xlsx" TargetMode="External"/></Relationships>
</file>

<file path=xl/externalLinks/_rels/externalLink623.xml.rels><?xml version="1.0" encoding="UTF-8" standalone="yes"?>
<Relationships xmlns="http://schemas.openxmlformats.org/package/2006/relationships"><Relationship Id="rId1" Type="http://schemas.openxmlformats.org/officeDocument/2006/relationships/externalLinkPath" Target="file:///E:/Wang/Galan/4%20Distances/CGI011-qtz04-CL-dist-1.xlsx" TargetMode="External"/></Relationships>
</file>

<file path=xl/externalLinks/_rels/externalLink624.xml.rels><?xml version="1.0" encoding="UTF-8" standalone="yes"?>
<Relationships xmlns="http://schemas.openxmlformats.org/package/2006/relationships"><Relationship Id="rId1" Type="http://schemas.openxmlformats.org/officeDocument/2006/relationships/externalLinkPath" Target="file:///E:/Wang/Galan/4%20Distances/CGI011-qtz04-CL-dist-2.xlsx" TargetMode="External"/></Relationships>
</file>

<file path=xl/externalLinks/_rels/externalLink625.xml.rels><?xml version="1.0" encoding="UTF-8" standalone="yes"?>
<Relationships xmlns="http://schemas.openxmlformats.org/package/2006/relationships"><Relationship Id="rId1" Type="http://schemas.openxmlformats.org/officeDocument/2006/relationships/externalLinkPath" Target="file:///E:/Wang/Galan/4%20Distances/CGI011-qtz04-CL-dist-3.xlsx" TargetMode="External"/></Relationships>
</file>

<file path=xl/externalLinks/_rels/externalLink626.xml.rels><?xml version="1.0" encoding="UTF-8" standalone="yes"?>
<Relationships xmlns="http://schemas.openxmlformats.org/package/2006/relationships"><Relationship Id="rId1" Type="http://schemas.openxmlformats.org/officeDocument/2006/relationships/externalLinkPath" Target="file:///E:/Wang/Galan/4%20Distances/CGI011-qtz04-CL-dist-4.xlsx" TargetMode="External"/></Relationships>
</file>

<file path=xl/externalLinks/_rels/externalLink627.xml.rels><?xml version="1.0" encoding="UTF-8" standalone="yes"?>
<Relationships xmlns="http://schemas.openxmlformats.org/package/2006/relationships"><Relationship Id="rId1" Type="http://schemas.openxmlformats.org/officeDocument/2006/relationships/externalLinkPath" Target="file:///E:/Wang/Galan/4%20Distances/CGI011-qtz04-CL-dist-5.xlsx" TargetMode="External"/></Relationships>
</file>

<file path=xl/externalLinks/_rels/externalLink628.xml.rels><?xml version="1.0" encoding="UTF-8" standalone="yes"?>
<Relationships xmlns="http://schemas.openxmlformats.org/package/2006/relationships"><Relationship Id="rId1" Type="http://schemas.openxmlformats.org/officeDocument/2006/relationships/externalLinkPath" Target="file:///E:/Wang/Galan/4%20Distances/CGI011-qtz05-CL-dist-1.xlsx" TargetMode="External"/></Relationships>
</file>

<file path=xl/externalLinks/_rels/externalLink629.xml.rels><?xml version="1.0" encoding="UTF-8" standalone="yes"?>
<Relationships xmlns="http://schemas.openxmlformats.org/package/2006/relationships"><Relationship Id="rId1" Type="http://schemas.openxmlformats.org/officeDocument/2006/relationships/externalLinkPath" Target="file:///E:/Wang/Galan/4%20Distances/CGI011-qtz05-CL-dist-2.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Wang/Galan/3%20MC/CGI005-qtz05-CL-fit-2-offset.xlsm" TargetMode="External"/></Relationships>
</file>

<file path=xl/externalLinks/_rels/externalLink630.xml.rels><?xml version="1.0" encoding="UTF-8" standalone="yes"?>
<Relationships xmlns="http://schemas.openxmlformats.org/package/2006/relationships"><Relationship Id="rId1" Type="http://schemas.openxmlformats.org/officeDocument/2006/relationships/externalLinkPath" Target="file:///E:/Wang/Galan/4%20Distances/CGI011-qtz05-CL-dist-3.xlsx" TargetMode="External"/></Relationships>
</file>

<file path=xl/externalLinks/_rels/externalLink631.xml.rels><?xml version="1.0" encoding="UTF-8" standalone="yes"?>
<Relationships xmlns="http://schemas.openxmlformats.org/package/2006/relationships"><Relationship Id="rId1" Type="http://schemas.openxmlformats.org/officeDocument/2006/relationships/externalLinkPath" Target="file:///E:/Wang/Galan/4%20Distances/CGI011-qtz05-CL-dist-4.xlsx" TargetMode="External"/></Relationships>
</file>

<file path=xl/externalLinks/_rels/externalLink632.xml.rels><?xml version="1.0" encoding="UTF-8" standalone="yes"?>
<Relationships xmlns="http://schemas.openxmlformats.org/package/2006/relationships"><Relationship Id="rId1" Type="http://schemas.openxmlformats.org/officeDocument/2006/relationships/externalLinkPath" Target="file:///E:/Wang/Galan/4%20Distances/CGI011-qtz05-CL-dist-5.xlsx" TargetMode="External"/></Relationships>
</file>

<file path=xl/externalLinks/_rels/externalLink633.xml.rels><?xml version="1.0" encoding="UTF-8" standalone="yes"?>
<Relationships xmlns="http://schemas.openxmlformats.org/package/2006/relationships"><Relationship Id="rId1" Type="http://schemas.openxmlformats.org/officeDocument/2006/relationships/externalLinkPath" Target="file:///E:/Wang/Galan/4%20Distances/CGI011-qtz06-CL-dist-1.xlsx" TargetMode="External"/></Relationships>
</file>

<file path=xl/externalLinks/_rels/externalLink634.xml.rels><?xml version="1.0" encoding="UTF-8" standalone="yes"?>
<Relationships xmlns="http://schemas.openxmlformats.org/package/2006/relationships"><Relationship Id="rId1" Type="http://schemas.openxmlformats.org/officeDocument/2006/relationships/externalLinkPath" Target="file:///E:/Wang/Galan/4%20Distances/CGI011-qtz06-CL-dist-2.xlsx" TargetMode="External"/></Relationships>
</file>

<file path=xl/externalLinks/_rels/externalLink635.xml.rels><?xml version="1.0" encoding="UTF-8" standalone="yes"?>
<Relationships xmlns="http://schemas.openxmlformats.org/package/2006/relationships"><Relationship Id="rId1" Type="http://schemas.openxmlformats.org/officeDocument/2006/relationships/externalLinkPath" Target="file:///E:/Wang/Galan/4%20Distances/CGI011-qtz06-CL-dist-3.xlsx" TargetMode="External"/></Relationships>
</file>

<file path=xl/externalLinks/_rels/externalLink636.xml.rels><?xml version="1.0" encoding="UTF-8" standalone="yes"?>
<Relationships xmlns="http://schemas.openxmlformats.org/package/2006/relationships"><Relationship Id="rId1" Type="http://schemas.openxmlformats.org/officeDocument/2006/relationships/externalLinkPath" Target="file:///E:/Wang/Galan/4%20Distances/CGI011-qtz06-CL-dist-4.xlsx" TargetMode="External"/></Relationships>
</file>

<file path=xl/externalLinks/_rels/externalLink637.xml.rels><?xml version="1.0" encoding="UTF-8" standalone="yes"?>
<Relationships xmlns="http://schemas.openxmlformats.org/package/2006/relationships"><Relationship Id="rId1" Type="http://schemas.openxmlformats.org/officeDocument/2006/relationships/externalLinkPath" Target="file:///E:/Wang/Galan/4%20Distances/CGI011-qtz07-CL-dist-1.xlsx" TargetMode="External"/></Relationships>
</file>

<file path=xl/externalLinks/_rels/externalLink638.xml.rels><?xml version="1.0" encoding="UTF-8" standalone="yes"?>
<Relationships xmlns="http://schemas.openxmlformats.org/package/2006/relationships"><Relationship Id="rId1" Type="http://schemas.openxmlformats.org/officeDocument/2006/relationships/externalLinkPath" Target="file:///E:/Wang/Galan/4%20Distances/CGI011-qtz07-CL-dist-2.xlsx" TargetMode="External"/></Relationships>
</file>

<file path=xl/externalLinks/_rels/externalLink639.xml.rels><?xml version="1.0" encoding="UTF-8" standalone="yes"?>
<Relationships xmlns="http://schemas.openxmlformats.org/package/2006/relationships"><Relationship Id="rId1" Type="http://schemas.openxmlformats.org/officeDocument/2006/relationships/externalLinkPath" Target="file:///E:/Wang/Galan/4%20Distances/CGI011-qtz07-CL-dist-3.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Wang/Galan/3%20MC/CGI005-qtz05-CL-fit-3-offset.xlsm" TargetMode="External"/></Relationships>
</file>

<file path=xl/externalLinks/_rels/externalLink640.xml.rels><?xml version="1.0" encoding="UTF-8" standalone="yes"?>
<Relationships xmlns="http://schemas.openxmlformats.org/package/2006/relationships"><Relationship Id="rId1" Type="http://schemas.openxmlformats.org/officeDocument/2006/relationships/externalLinkPath" Target="file:///E:/Wang/Galan/4%20Distances/CGI011-qtz08-CL-dist-1.xlsx" TargetMode="External"/></Relationships>
</file>

<file path=xl/externalLinks/_rels/externalLink641.xml.rels><?xml version="1.0" encoding="UTF-8" standalone="yes"?>
<Relationships xmlns="http://schemas.openxmlformats.org/package/2006/relationships"><Relationship Id="rId1" Type="http://schemas.openxmlformats.org/officeDocument/2006/relationships/externalLinkPath" Target="file:///E:/Wang/Galan/4%20Distances/CGI011-qtz08-CL-dist-2%20.xlsx" TargetMode="External"/></Relationships>
</file>

<file path=xl/externalLinks/_rels/externalLink642.xml.rels><?xml version="1.0" encoding="UTF-8" standalone="yes"?>
<Relationships xmlns="http://schemas.openxmlformats.org/package/2006/relationships"><Relationship Id="rId1" Type="http://schemas.openxmlformats.org/officeDocument/2006/relationships/externalLinkPath" Target="file:///E:/Wang/Galan/4%20Distances/CGI011-qtz08-CL-dist-3%20.xlsx" TargetMode="External"/></Relationships>
</file>

<file path=xl/externalLinks/_rels/externalLink643.xml.rels><?xml version="1.0" encoding="UTF-8" standalone="yes"?>
<Relationships xmlns="http://schemas.openxmlformats.org/package/2006/relationships"><Relationship Id="rId1" Type="http://schemas.openxmlformats.org/officeDocument/2006/relationships/externalLinkPath" Target="file:///E:/Wang/Galan/4%20Distances/CGI011-qtz08-CL-dist-4%20.xlsx" TargetMode="External"/></Relationships>
</file>

<file path=xl/externalLinks/_rels/externalLink644.xml.rels><?xml version="1.0" encoding="UTF-8" standalone="yes"?>
<Relationships xmlns="http://schemas.openxmlformats.org/package/2006/relationships"><Relationship Id="rId1" Type="http://schemas.openxmlformats.org/officeDocument/2006/relationships/externalLinkPath" Target="file:///E:/Wang/Galan/4%20Distances/CGI011-qtz08-CL-dist-5%20.xlsx" TargetMode="External"/></Relationships>
</file>

<file path=xl/externalLinks/_rels/externalLink645.xml.rels><?xml version="1.0" encoding="UTF-8" standalone="yes"?>
<Relationships xmlns="http://schemas.openxmlformats.org/package/2006/relationships"><Relationship Id="rId1" Type="http://schemas.openxmlformats.org/officeDocument/2006/relationships/externalLinkPath" Target="file:///E:/Wang/Galan/4%20Distances/CGI011-qtz09-CL-dist-1.xlsx" TargetMode="External"/></Relationships>
</file>

<file path=xl/externalLinks/_rels/externalLink646.xml.rels><?xml version="1.0" encoding="UTF-8" standalone="yes"?>
<Relationships xmlns="http://schemas.openxmlformats.org/package/2006/relationships"><Relationship Id="rId1" Type="http://schemas.openxmlformats.org/officeDocument/2006/relationships/externalLinkPath" Target="file:///E:/Wang/Galan/4%20Distances/CGI011-qtz09-CL-dist-2.xlsx" TargetMode="External"/></Relationships>
</file>

<file path=xl/externalLinks/_rels/externalLink647.xml.rels><?xml version="1.0" encoding="UTF-8" standalone="yes"?>
<Relationships xmlns="http://schemas.openxmlformats.org/package/2006/relationships"><Relationship Id="rId1" Type="http://schemas.openxmlformats.org/officeDocument/2006/relationships/externalLinkPath" Target="file:///E:/Wang/Galan/4%20Distances/CGI011-qtz09-CL-dist-3.xlsx" TargetMode="External"/></Relationships>
</file>

<file path=xl/externalLinks/_rels/externalLink648.xml.rels><?xml version="1.0" encoding="UTF-8" standalone="yes"?>
<Relationships xmlns="http://schemas.openxmlformats.org/package/2006/relationships"><Relationship Id="rId1" Type="http://schemas.openxmlformats.org/officeDocument/2006/relationships/externalLinkPath" Target="file:///E:/Wang/Galan/4%20Distances/CGI011-qtz09-CL-dist-4.xlsx" TargetMode="External"/></Relationships>
</file>

<file path=xl/externalLinks/_rels/externalLink649.xml.rels><?xml version="1.0" encoding="UTF-8" standalone="yes"?>
<Relationships xmlns="http://schemas.openxmlformats.org/package/2006/relationships"><Relationship Id="rId1" Type="http://schemas.openxmlformats.org/officeDocument/2006/relationships/externalLinkPath" Target="file:///E:/Wang/Galan/4%20Distances/CGI011-qtz11-CL-dist-1.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Wang/Galan/3%20MC/CGI005-qtz06-CL-fit-1-offset.xlsm" TargetMode="External"/></Relationships>
</file>

<file path=xl/externalLinks/_rels/externalLink650.xml.rels><?xml version="1.0" encoding="UTF-8" standalone="yes"?>
<Relationships xmlns="http://schemas.openxmlformats.org/package/2006/relationships"><Relationship Id="rId1" Type="http://schemas.openxmlformats.org/officeDocument/2006/relationships/externalLinkPath" Target="file:///E:/Wang/Galan/4%20Distances/CGI011-qtz11-CL-dist-2.xlsx" TargetMode="External"/></Relationships>
</file>

<file path=xl/externalLinks/_rels/externalLink651.xml.rels><?xml version="1.0" encoding="UTF-8" standalone="yes"?>
<Relationships xmlns="http://schemas.openxmlformats.org/package/2006/relationships"><Relationship Id="rId1" Type="http://schemas.openxmlformats.org/officeDocument/2006/relationships/externalLinkPath" Target="file:///E:/Wang/Galan/4%20Distances/CGI011-qtz11-CL-dist-3.xlsx" TargetMode="External"/></Relationships>
</file>

<file path=xl/externalLinks/_rels/externalLink652.xml.rels><?xml version="1.0" encoding="UTF-8" standalone="yes"?>
<Relationships xmlns="http://schemas.openxmlformats.org/package/2006/relationships"><Relationship Id="rId1" Type="http://schemas.openxmlformats.org/officeDocument/2006/relationships/externalLinkPath" Target="file:///E:/Wang/Galan/4%20Distances/CGI011-qtz11-CL-dist-4.xlsx" TargetMode="External"/></Relationships>
</file>

<file path=xl/externalLinks/_rels/externalLink653.xml.rels><?xml version="1.0" encoding="UTF-8" standalone="yes"?>
<Relationships xmlns="http://schemas.openxmlformats.org/package/2006/relationships"><Relationship Id="rId1" Type="http://schemas.openxmlformats.org/officeDocument/2006/relationships/externalLinkPath" Target="file:///E:/Wang/Galan/4%20Distances/CGI011-qtz12-CL-dist-1.xlsx" TargetMode="External"/></Relationships>
</file>

<file path=xl/externalLinks/_rels/externalLink654.xml.rels><?xml version="1.0" encoding="UTF-8" standalone="yes"?>
<Relationships xmlns="http://schemas.openxmlformats.org/package/2006/relationships"><Relationship Id="rId1" Type="http://schemas.openxmlformats.org/officeDocument/2006/relationships/externalLinkPath" Target="file:///E:/Wang/Galan/4%20Distances/CGI011-qtz12-CL-dist-2.xlsx" TargetMode="External"/></Relationships>
</file>

<file path=xl/externalLinks/_rels/externalLink655.xml.rels><?xml version="1.0" encoding="UTF-8" standalone="yes"?>
<Relationships xmlns="http://schemas.openxmlformats.org/package/2006/relationships"><Relationship Id="rId1" Type="http://schemas.openxmlformats.org/officeDocument/2006/relationships/externalLinkPath" Target="file:///E:/Wang/Galan/4%20Distances/CGI011-qtz12-CL-dist-3.xlsx" TargetMode="External"/></Relationships>
</file>

<file path=xl/externalLinks/_rels/externalLink656.xml.rels><?xml version="1.0" encoding="UTF-8" standalone="yes"?>
<Relationships xmlns="http://schemas.openxmlformats.org/package/2006/relationships"><Relationship Id="rId1" Type="http://schemas.openxmlformats.org/officeDocument/2006/relationships/externalLinkPath" Target="file:///E:/Wang/Galan/4%20Distances/CGI011-qtz12-CL-dist-4.xlsx" TargetMode="External"/></Relationships>
</file>

<file path=xl/externalLinks/_rels/externalLink657.xml.rels><?xml version="1.0" encoding="UTF-8" standalone="yes"?>
<Relationships xmlns="http://schemas.openxmlformats.org/package/2006/relationships"><Relationship Id="rId1" Type="http://schemas.openxmlformats.org/officeDocument/2006/relationships/externalLinkPath" Target="file:///E:/Wang/Galan/4%20Distances/CGI001-qtz01-CL-dist-4.xlsx" TargetMode="External"/></Relationships>
</file>

<file path=xl/externalLinks/_rels/externalLink658.xml.rels><?xml version="1.0" encoding="UTF-8" standalone="yes"?>
<Relationships xmlns="http://schemas.openxmlformats.org/package/2006/relationships"><Relationship Id="rId1" Type="http://schemas.openxmlformats.org/officeDocument/2006/relationships/externalLinkPath" Target="file:///E:/Wang/Galan/4%20Distances/CGI014-qtz01-CL-dist-2.xlsx" TargetMode="External"/></Relationships>
</file>

<file path=xl/externalLinks/_rels/externalLink659.xml.rels><?xml version="1.0" encoding="UTF-8" standalone="yes"?>
<Relationships xmlns="http://schemas.openxmlformats.org/package/2006/relationships"><Relationship Id="rId1" Type="http://schemas.openxmlformats.org/officeDocument/2006/relationships/externalLinkPath" Target="file:///E:/Wang/Galan/4%20Distances/CGI014-qtz02-CL-dist-1.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Wang/Galan/3%20MC/CGI005-qtz06-CL-fit-2-offset.xlsm" TargetMode="External"/></Relationships>
</file>

<file path=xl/externalLinks/_rels/externalLink660.xml.rels><?xml version="1.0" encoding="UTF-8" standalone="yes"?>
<Relationships xmlns="http://schemas.openxmlformats.org/package/2006/relationships"><Relationship Id="rId1" Type="http://schemas.openxmlformats.org/officeDocument/2006/relationships/externalLinkPath" Target="file:///E:/Wang/Galan/4%20Distances/CGI014-qtz02-CL-dist-2.xlsx" TargetMode="External"/></Relationships>
</file>

<file path=xl/externalLinks/_rels/externalLink661.xml.rels><?xml version="1.0" encoding="UTF-8" standalone="yes"?>
<Relationships xmlns="http://schemas.openxmlformats.org/package/2006/relationships"><Relationship Id="rId1" Type="http://schemas.openxmlformats.org/officeDocument/2006/relationships/externalLinkPath" Target="file:///E:/Wang/Galan/4%20Distances/CGI014-qtz02-CL-dist-3.xlsx" TargetMode="External"/></Relationships>
</file>

<file path=xl/externalLinks/_rels/externalLink662.xml.rels><?xml version="1.0" encoding="UTF-8" standalone="yes"?>
<Relationships xmlns="http://schemas.openxmlformats.org/package/2006/relationships"><Relationship Id="rId1" Type="http://schemas.openxmlformats.org/officeDocument/2006/relationships/externalLinkPath" Target="file:///E:/Wang/Galan/4%20Distances/CGI014-qtz02-CL-dist-4.xlsx" TargetMode="External"/></Relationships>
</file>

<file path=xl/externalLinks/_rels/externalLink663.xml.rels><?xml version="1.0" encoding="UTF-8" standalone="yes"?>
<Relationships xmlns="http://schemas.openxmlformats.org/package/2006/relationships"><Relationship Id="rId1" Type="http://schemas.openxmlformats.org/officeDocument/2006/relationships/externalLinkPath" Target="file:///E:/Wang/Galan/4%20Distances/CGI014-qtz03-CL-dist-1.xlsx" TargetMode="External"/></Relationships>
</file>

<file path=xl/externalLinks/_rels/externalLink664.xml.rels><?xml version="1.0" encoding="UTF-8" standalone="yes"?>
<Relationships xmlns="http://schemas.openxmlformats.org/package/2006/relationships"><Relationship Id="rId1" Type="http://schemas.openxmlformats.org/officeDocument/2006/relationships/externalLinkPath" Target="file:///E:/Wang/Galan/4%20Distances/CGI014-qtz03-CL-dist-2.xlsx" TargetMode="External"/></Relationships>
</file>

<file path=xl/externalLinks/_rels/externalLink665.xml.rels><?xml version="1.0" encoding="UTF-8" standalone="yes"?>
<Relationships xmlns="http://schemas.openxmlformats.org/package/2006/relationships"><Relationship Id="rId1" Type="http://schemas.openxmlformats.org/officeDocument/2006/relationships/externalLinkPath" Target="file:///E:/Wang/Galan/4%20Distances/CGI014-qtz03-CL-dist-3.xlsx" TargetMode="External"/></Relationships>
</file>

<file path=xl/externalLinks/_rels/externalLink666.xml.rels><?xml version="1.0" encoding="UTF-8" standalone="yes"?>
<Relationships xmlns="http://schemas.openxmlformats.org/package/2006/relationships"><Relationship Id="rId1" Type="http://schemas.openxmlformats.org/officeDocument/2006/relationships/externalLinkPath" Target="file:///E:/Wang/Galan/4%20Distances/CGI014-qtz03-CL-dist-4.xlsx" TargetMode="External"/></Relationships>
</file>

<file path=xl/externalLinks/_rels/externalLink667.xml.rels><?xml version="1.0" encoding="UTF-8" standalone="yes"?>
<Relationships xmlns="http://schemas.openxmlformats.org/package/2006/relationships"><Relationship Id="rId1" Type="http://schemas.openxmlformats.org/officeDocument/2006/relationships/externalLinkPath" Target="file:///E:/Wang/Galan/4%20Distances/CGI014-qtz03-CL-dist-5.xlsx" TargetMode="External"/></Relationships>
</file>

<file path=xl/externalLinks/_rels/externalLink668.xml.rels><?xml version="1.0" encoding="UTF-8" standalone="yes"?>
<Relationships xmlns="http://schemas.openxmlformats.org/package/2006/relationships"><Relationship Id="rId1" Type="http://schemas.openxmlformats.org/officeDocument/2006/relationships/externalLinkPath" Target="file:///E:/Wang/Galan/4%20Distances/CGI014-qtz04-CL-dist-1.xlsx" TargetMode="External"/></Relationships>
</file>

<file path=xl/externalLinks/_rels/externalLink669.xml.rels><?xml version="1.0" encoding="UTF-8" standalone="yes"?>
<Relationships xmlns="http://schemas.openxmlformats.org/package/2006/relationships"><Relationship Id="rId1" Type="http://schemas.openxmlformats.org/officeDocument/2006/relationships/externalLinkPath" Target="file:///E:/Wang/Galan/4%20Distances/CGI014-qtz04-CL-dist-2.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Wang/Galan/3%20MC/CGI005-qtz06-CL-fit-3-offset.xlsm" TargetMode="External"/></Relationships>
</file>

<file path=xl/externalLinks/_rels/externalLink670.xml.rels><?xml version="1.0" encoding="UTF-8" standalone="yes"?>
<Relationships xmlns="http://schemas.openxmlformats.org/package/2006/relationships"><Relationship Id="rId1" Type="http://schemas.openxmlformats.org/officeDocument/2006/relationships/externalLinkPath" Target="file:///E:/Wang/Galan/4%20Distances/CGI014-qtz04-CL-dist-3.xlsx" TargetMode="External"/></Relationships>
</file>

<file path=xl/externalLinks/_rels/externalLink671.xml.rels><?xml version="1.0" encoding="UTF-8" standalone="yes"?>
<Relationships xmlns="http://schemas.openxmlformats.org/package/2006/relationships"><Relationship Id="rId1" Type="http://schemas.openxmlformats.org/officeDocument/2006/relationships/externalLinkPath" Target="file:///E:/Wang/Galan/4%20Distances/CGI014-qtz05-CL-dist-1.xlsx" TargetMode="External"/></Relationships>
</file>

<file path=xl/externalLinks/_rels/externalLink672.xml.rels><?xml version="1.0" encoding="UTF-8" standalone="yes"?>
<Relationships xmlns="http://schemas.openxmlformats.org/package/2006/relationships"><Relationship Id="rId1" Type="http://schemas.openxmlformats.org/officeDocument/2006/relationships/externalLinkPath" Target="file:///E:/Wang/Galan/4%20Distances/CGI014-qtz05-CL-dist-2.xlsx" TargetMode="External"/></Relationships>
</file>

<file path=xl/externalLinks/_rels/externalLink673.xml.rels><?xml version="1.0" encoding="UTF-8" standalone="yes"?>
<Relationships xmlns="http://schemas.openxmlformats.org/package/2006/relationships"><Relationship Id="rId1" Type="http://schemas.openxmlformats.org/officeDocument/2006/relationships/externalLinkPath" Target="file:///E:/Wang/Galan/4%20Distances/CGI014-qtz05-CL-dist-3.xlsx" TargetMode="External"/></Relationships>
</file>

<file path=xl/externalLinks/_rels/externalLink674.xml.rels><?xml version="1.0" encoding="UTF-8" standalone="yes"?>
<Relationships xmlns="http://schemas.openxmlformats.org/package/2006/relationships"><Relationship Id="rId1" Type="http://schemas.openxmlformats.org/officeDocument/2006/relationships/externalLinkPath" Target="file:///E:/Wang/Galan/4%20Distances/CGI014-qtz05-CL-dist-4.xlsx" TargetMode="External"/></Relationships>
</file>

<file path=xl/externalLinks/_rels/externalLink675.xml.rels><?xml version="1.0" encoding="UTF-8" standalone="yes"?>
<Relationships xmlns="http://schemas.openxmlformats.org/package/2006/relationships"><Relationship Id="rId1" Type="http://schemas.openxmlformats.org/officeDocument/2006/relationships/externalLinkPath" Target="file:///E:/Wang/Galan/4%20Distances/CGI014-qtz05-CL-dist-5.xlsx" TargetMode="External"/></Relationships>
</file>

<file path=xl/externalLinks/_rels/externalLink676.xml.rels><?xml version="1.0" encoding="UTF-8" standalone="yes"?>
<Relationships xmlns="http://schemas.openxmlformats.org/package/2006/relationships"><Relationship Id="rId1" Type="http://schemas.openxmlformats.org/officeDocument/2006/relationships/externalLinkPath" Target="file:///E:/Wang/Galan/4%20Distances/CGI014-qtz05-CL-dist-6.xlsx" TargetMode="External"/></Relationships>
</file>

<file path=xl/externalLinks/_rels/externalLink677.xml.rels><?xml version="1.0" encoding="UTF-8" standalone="yes"?>
<Relationships xmlns="http://schemas.openxmlformats.org/package/2006/relationships"><Relationship Id="rId1" Type="http://schemas.openxmlformats.org/officeDocument/2006/relationships/externalLinkPath" Target="file:///E:/Wang/Galan/4%20Distances/CGI014-qtz07-CL-dist-1.xlsx" TargetMode="External"/></Relationships>
</file>

<file path=xl/externalLinks/_rels/externalLink678.xml.rels><?xml version="1.0" encoding="UTF-8" standalone="yes"?>
<Relationships xmlns="http://schemas.openxmlformats.org/package/2006/relationships"><Relationship Id="rId1" Type="http://schemas.openxmlformats.org/officeDocument/2006/relationships/externalLinkPath" Target="file:///E:/Wang/Galan/4%20Distances/CGI014-qtz07-CL-dist-2.xlsx" TargetMode="External"/></Relationships>
</file>

<file path=xl/externalLinks/_rels/externalLink679.xml.rels><?xml version="1.0" encoding="UTF-8" standalone="yes"?>
<Relationships xmlns="http://schemas.openxmlformats.org/package/2006/relationships"><Relationship Id="rId1" Type="http://schemas.openxmlformats.org/officeDocument/2006/relationships/externalLinkPath" Target="file:///E:/Wang/Galan/4%20Distances/CGI014-qtz07-CL-dist-3.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Wang/Galan/3%20MC/CGI005-qtz06-CL-fit-4.xlsm" TargetMode="External"/></Relationships>
</file>

<file path=xl/externalLinks/_rels/externalLink680.xml.rels><?xml version="1.0" encoding="UTF-8" standalone="yes"?>
<Relationships xmlns="http://schemas.openxmlformats.org/package/2006/relationships"><Relationship Id="rId1" Type="http://schemas.openxmlformats.org/officeDocument/2006/relationships/externalLinkPath" Target="file:///E:/Wang/Galan/4%20Distances/CGI014-qtz07-CL-dist-4.xlsx" TargetMode="External"/></Relationships>
</file>

<file path=xl/externalLinks/_rels/externalLink681.xml.rels><?xml version="1.0" encoding="UTF-8" standalone="yes"?>
<Relationships xmlns="http://schemas.openxmlformats.org/package/2006/relationships"><Relationship Id="rId1" Type="http://schemas.openxmlformats.org/officeDocument/2006/relationships/externalLinkPath" Target="file:///E:/Wang/Galan/4%20Distances/CGI014-qtz08-CL-dist-1.xlsx" TargetMode="External"/></Relationships>
</file>

<file path=xl/externalLinks/_rels/externalLink682.xml.rels><?xml version="1.0" encoding="UTF-8" standalone="yes"?>
<Relationships xmlns="http://schemas.openxmlformats.org/package/2006/relationships"><Relationship Id="rId1" Type="http://schemas.openxmlformats.org/officeDocument/2006/relationships/externalLinkPath" Target="file:///E:/Wang/Galan/4%20Distances/CGI014-qtz08-CL-dist-2.xlsx" TargetMode="External"/></Relationships>
</file>

<file path=xl/externalLinks/_rels/externalLink683.xml.rels><?xml version="1.0" encoding="UTF-8" standalone="yes"?>
<Relationships xmlns="http://schemas.openxmlformats.org/package/2006/relationships"><Relationship Id="rId1" Type="http://schemas.openxmlformats.org/officeDocument/2006/relationships/externalLinkPath" Target="file:///E:/Wang/Galan/4%20Distances/CGI014-qtz08-CL-dist-3.xlsx" TargetMode="External"/></Relationships>
</file>

<file path=xl/externalLinks/_rels/externalLink684.xml.rels><?xml version="1.0" encoding="UTF-8" standalone="yes"?>
<Relationships xmlns="http://schemas.openxmlformats.org/package/2006/relationships"><Relationship Id="rId1" Type="http://schemas.openxmlformats.org/officeDocument/2006/relationships/externalLinkPath" Target="file:///E:/Wang/Galan/4%20Distances/CGI014-qtz08-CL-dist-4.xlsx" TargetMode="External"/></Relationships>
</file>

<file path=xl/externalLinks/_rels/externalLink685.xml.rels><?xml version="1.0" encoding="UTF-8" standalone="yes"?>
<Relationships xmlns="http://schemas.openxmlformats.org/package/2006/relationships"><Relationship Id="rId1" Type="http://schemas.openxmlformats.org/officeDocument/2006/relationships/externalLinkPath" Target="file:///E:/Wang/Galan/4%20Distances/CGI014-qtz09-CL-dist-1.xlsx" TargetMode="External"/></Relationships>
</file>

<file path=xl/externalLinks/_rels/externalLink686.xml.rels><?xml version="1.0" encoding="UTF-8" standalone="yes"?>
<Relationships xmlns="http://schemas.openxmlformats.org/package/2006/relationships"><Relationship Id="rId1" Type="http://schemas.openxmlformats.org/officeDocument/2006/relationships/externalLinkPath" Target="file:///E:/Wang/Galan/4%20Distances/CGI014-qtz09-CL-dist-2.xlsx" TargetMode="External"/></Relationships>
</file>

<file path=xl/externalLinks/_rels/externalLink687.xml.rels><?xml version="1.0" encoding="UTF-8" standalone="yes"?>
<Relationships xmlns="http://schemas.openxmlformats.org/package/2006/relationships"><Relationship Id="rId1" Type="http://schemas.openxmlformats.org/officeDocument/2006/relationships/externalLinkPath" Target="file:///E:/Wang/Galan/4%20Distances/CGI014-qtz09-CL-dist-3.xlsx" TargetMode="External"/></Relationships>
</file>

<file path=xl/externalLinks/_rels/externalLink688.xml.rels><?xml version="1.0" encoding="UTF-8" standalone="yes"?>
<Relationships xmlns="http://schemas.openxmlformats.org/package/2006/relationships"><Relationship Id="rId1" Type="http://schemas.openxmlformats.org/officeDocument/2006/relationships/externalLinkPath" Target="file:///E:/Wang/Galan/4%20Distances/CGI014-qtz09-CL-dist-4.xlsx" TargetMode="External"/></Relationships>
</file>

<file path=xl/externalLinks/_rels/externalLink689.xml.rels><?xml version="1.0" encoding="UTF-8" standalone="yes"?>
<Relationships xmlns="http://schemas.openxmlformats.org/package/2006/relationships"><Relationship Id="rId1" Type="http://schemas.openxmlformats.org/officeDocument/2006/relationships/externalLinkPath" Target="file:///E:/Wang/Galan/4%20Distances/CGI014-qtz09-CL-dist-5.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E:/Wang/Galan/3%20MC/CGI005-qtz07-CL-fit-1-offset.xlsm" TargetMode="External"/></Relationships>
</file>

<file path=xl/externalLinks/_rels/externalLink690.xml.rels><?xml version="1.0" encoding="UTF-8" standalone="yes"?>
<Relationships xmlns="http://schemas.openxmlformats.org/package/2006/relationships"><Relationship Id="rId1" Type="http://schemas.openxmlformats.org/officeDocument/2006/relationships/externalLinkPath" Target="file:///E:/Wang/Galan/4%20Distances/CGI014-qtz10-CL-dist-1.xlsx" TargetMode="External"/></Relationships>
</file>

<file path=xl/externalLinks/_rels/externalLink691.xml.rels><?xml version="1.0" encoding="UTF-8" standalone="yes"?>
<Relationships xmlns="http://schemas.openxmlformats.org/package/2006/relationships"><Relationship Id="rId1" Type="http://schemas.openxmlformats.org/officeDocument/2006/relationships/externalLinkPath" Target="file:///E:/Wang/Galan/4%20Distances/CGI014-qtz10-CL-dist-2.xlsx" TargetMode="External"/></Relationships>
</file>

<file path=xl/externalLinks/_rels/externalLink692.xml.rels><?xml version="1.0" encoding="UTF-8" standalone="yes"?>
<Relationships xmlns="http://schemas.openxmlformats.org/package/2006/relationships"><Relationship Id="rId1" Type="http://schemas.openxmlformats.org/officeDocument/2006/relationships/externalLinkPath" Target="file:///E:/Wang/Galan/4%20Distances/CGI014-qtz10-CL-dist-3.xlsx" TargetMode="External"/></Relationships>
</file>

<file path=xl/externalLinks/_rels/externalLink693.xml.rels><?xml version="1.0" encoding="UTF-8" standalone="yes"?>
<Relationships xmlns="http://schemas.openxmlformats.org/package/2006/relationships"><Relationship Id="rId1" Type="http://schemas.openxmlformats.org/officeDocument/2006/relationships/externalLinkPath" Target="file:///E:/Wang/Galan/4%20Distances/CGI014-qtz10-CL-dist-4.xlsx" TargetMode="External"/></Relationships>
</file>

<file path=xl/externalLinks/_rels/externalLink694.xml.rels><?xml version="1.0" encoding="UTF-8" standalone="yes"?>
<Relationships xmlns="http://schemas.openxmlformats.org/package/2006/relationships"><Relationship Id="rId1" Type="http://schemas.openxmlformats.org/officeDocument/2006/relationships/externalLinkPath" Target="file:///E:/Wang/Galan/4%20Distances/CGI014-qtz11-CL-dist-1.xlsx" TargetMode="External"/></Relationships>
</file>

<file path=xl/externalLinks/_rels/externalLink695.xml.rels><?xml version="1.0" encoding="UTF-8" standalone="yes"?>
<Relationships xmlns="http://schemas.openxmlformats.org/package/2006/relationships"><Relationship Id="rId1" Type="http://schemas.openxmlformats.org/officeDocument/2006/relationships/externalLinkPath" Target="file:///E:/Wang/Galan/4%20Distances/CGI014-qtz11-CL-dist-2.xlsx" TargetMode="External"/></Relationships>
</file>

<file path=xl/externalLinks/_rels/externalLink696.xml.rels><?xml version="1.0" encoding="UTF-8" standalone="yes"?>
<Relationships xmlns="http://schemas.openxmlformats.org/package/2006/relationships"><Relationship Id="rId1" Type="http://schemas.openxmlformats.org/officeDocument/2006/relationships/externalLinkPath" Target="file:///E:/Wang/Galan/4%20Distances/CGI014-qtz11-CL-dist-3.xlsx" TargetMode="External"/></Relationships>
</file>

<file path=xl/externalLinks/_rels/externalLink697.xml.rels><?xml version="1.0" encoding="UTF-8" standalone="yes"?>
<Relationships xmlns="http://schemas.openxmlformats.org/package/2006/relationships"><Relationship Id="rId1" Type="http://schemas.openxmlformats.org/officeDocument/2006/relationships/externalLinkPath" Target="file:///E:/Wang/Galan/4%20Distances/CGI014-qtz11-CL-dist-4.xlsx" TargetMode="External"/></Relationships>
</file>

<file path=xl/externalLinks/_rels/externalLink698.xml.rels><?xml version="1.0" encoding="UTF-8" standalone="yes"?>
<Relationships xmlns="http://schemas.openxmlformats.org/package/2006/relationships"><Relationship Id="rId1" Type="http://schemas.openxmlformats.org/officeDocument/2006/relationships/externalLinkPath" Target="file:///E:/Wang/Galan/4%20Distances/CGI014-qtz11-CL-dist-5.xlsx" TargetMode="External"/></Relationships>
</file>

<file path=xl/externalLinks/_rels/externalLink699.xml.rels><?xml version="1.0" encoding="UTF-8" standalone="yes"?>
<Relationships xmlns="http://schemas.openxmlformats.org/package/2006/relationships"><Relationship Id="rId1" Type="http://schemas.openxmlformats.org/officeDocument/2006/relationships/externalLinkPath" Target="file:///E:/Wang/Galan/4%20Distances/CGI014-qtz12-CL-dist-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Wang/Galan/3%20MC/CGI001-qtz02-CL-fit-3-offset.xlsm"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Wang/Galan/3%20MC/CGI005-qtz07-CL-fit-2-offset.xlsm" TargetMode="External"/></Relationships>
</file>

<file path=xl/externalLinks/_rels/externalLink700.xml.rels><?xml version="1.0" encoding="UTF-8" standalone="yes"?>
<Relationships xmlns="http://schemas.openxmlformats.org/package/2006/relationships"><Relationship Id="rId1" Type="http://schemas.openxmlformats.org/officeDocument/2006/relationships/externalLinkPath" Target="file:///E:/Wang/Galan/4%20Distances/CGI014-qtz12-CL-dist-2.xlsx" TargetMode="External"/></Relationships>
</file>

<file path=xl/externalLinks/_rels/externalLink701.xml.rels><?xml version="1.0" encoding="UTF-8" standalone="yes"?>
<Relationships xmlns="http://schemas.openxmlformats.org/package/2006/relationships"><Relationship Id="rId1" Type="http://schemas.openxmlformats.org/officeDocument/2006/relationships/externalLinkPath" Target="file:///E:/Wang/Galan/4%20Distances/CGI014-qtz12-CL-dist-3.xlsx" TargetMode="External"/></Relationships>
</file>

<file path=xl/externalLinks/_rels/externalLink702.xml.rels><?xml version="1.0" encoding="UTF-8" standalone="yes"?>
<Relationships xmlns="http://schemas.openxmlformats.org/package/2006/relationships"><Relationship Id="rId1" Type="http://schemas.openxmlformats.org/officeDocument/2006/relationships/externalLinkPath" Target="file:///E:/Wang/Galan/4%20Distances/CGI015-qtz01-CL-dist-1.xlsx" TargetMode="External"/></Relationships>
</file>

<file path=xl/externalLinks/_rels/externalLink703.xml.rels><?xml version="1.0" encoding="UTF-8" standalone="yes"?>
<Relationships xmlns="http://schemas.openxmlformats.org/package/2006/relationships"><Relationship Id="rId1" Type="http://schemas.openxmlformats.org/officeDocument/2006/relationships/externalLinkPath" Target="file:///E:/Wang/Galan/4%20Distances/CGI015-qtz01-CL-dist-2.xlsx" TargetMode="External"/></Relationships>
</file>

<file path=xl/externalLinks/_rels/externalLink704.xml.rels><?xml version="1.0" encoding="UTF-8" standalone="yes"?>
<Relationships xmlns="http://schemas.openxmlformats.org/package/2006/relationships"><Relationship Id="rId1" Type="http://schemas.openxmlformats.org/officeDocument/2006/relationships/externalLinkPath" Target="file:///E:/Wang/Galan/4%20Distances/CGI015-qtz01-CL-dist-3.xlsx" TargetMode="External"/></Relationships>
</file>

<file path=xl/externalLinks/_rels/externalLink705.xml.rels><?xml version="1.0" encoding="UTF-8" standalone="yes"?>
<Relationships xmlns="http://schemas.openxmlformats.org/package/2006/relationships"><Relationship Id="rId1" Type="http://schemas.openxmlformats.org/officeDocument/2006/relationships/externalLinkPath" Target="file:///E:/Wang/Galan/4%20Distances/CGI015-qtz01-CL-dist-4.xlsx" TargetMode="External"/></Relationships>
</file>

<file path=xl/externalLinks/_rels/externalLink706.xml.rels><?xml version="1.0" encoding="UTF-8" standalone="yes"?>
<Relationships xmlns="http://schemas.openxmlformats.org/package/2006/relationships"><Relationship Id="rId1" Type="http://schemas.openxmlformats.org/officeDocument/2006/relationships/externalLinkPath" Target="file:///E:/Wang/Galan/4%20Distances/CGI015-qtz01-CL-dist-5.xlsx" TargetMode="External"/></Relationships>
</file>

<file path=xl/externalLinks/_rels/externalLink707.xml.rels><?xml version="1.0" encoding="UTF-8" standalone="yes"?>
<Relationships xmlns="http://schemas.openxmlformats.org/package/2006/relationships"><Relationship Id="rId1" Type="http://schemas.openxmlformats.org/officeDocument/2006/relationships/externalLinkPath" Target="file:///E:/Wang/Galan/4%20Distances/CGI015-qtz01-CL-dist-6.xlsx" TargetMode="External"/></Relationships>
</file>

<file path=xl/externalLinks/_rels/externalLink708.xml.rels><?xml version="1.0" encoding="UTF-8" standalone="yes"?>
<Relationships xmlns="http://schemas.openxmlformats.org/package/2006/relationships"><Relationship Id="rId1" Type="http://schemas.openxmlformats.org/officeDocument/2006/relationships/externalLinkPath" Target="file:///E:/Wang/Galan/4%20Distances/CGI015-qtz02-CL-dist-1.xlsx" TargetMode="External"/></Relationships>
</file>

<file path=xl/externalLinks/_rels/externalLink709.xml.rels><?xml version="1.0" encoding="UTF-8" standalone="yes"?>
<Relationships xmlns="http://schemas.openxmlformats.org/package/2006/relationships"><Relationship Id="rId1" Type="http://schemas.openxmlformats.org/officeDocument/2006/relationships/externalLinkPath" Target="file:///E:/Wang/Galan/4%20Distances/CGI015-qtz02-CL-dist-2.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Wang/Galan/3%20MC/CGI005-qtz07-CL-fit-3-offset.xlsm" TargetMode="External"/></Relationships>
</file>

<file path=xl/externalLinks/_rels/externalLink710.xml.rels><?xml version="1.0" encoding="UTF-8" standalone="yes"?>
<Relationships xmlns="http://schemas.openxmlformats.org/package/2006/relationships"><Relationship Id="rId1" Type="http://schemas.openxmlformats.org/officeDocument/2006/relationships/externalLinkPath" Target="file:///E:/Wang/Galan/4%20Distances/CGI015-qtz02-CL-dist-3.xlsx" TargetMode="External"/></Relationships>
</file>

<file path=xl/externalLinks/_rels/externalLink711.xml.rels><?xml version="1.0" encoding="UTF-8" standalone="yes"?>
<Relationships xmlns="http://schemas.openxmlformats.org/package/2006/relationships"><Relationship Id="rId1" Type="http://schemas.openxmlformats.org/officeDocument/2006/relationships/externalLinkPath" Target="file:///E:/Wang/Galan/4%20Distances/CGI015-qtz02-CL-dist-4.xlsx" TargetMode="External"/></Relationships>
</file>

<file path=xl/externalLinks/_rels/externalLink712.xml.rels><?xml version="1.0" encoding="UTF-8" standalone="yes"?>
<Relationships xmlns="http://schemas.openxmlformats.org/package/2006/relationships"><Relationship Id="rId1" Type="http://schemas.openxmlformats.org/officeDocument/2006/relationships/externalLinkPath" Target="file:///E:/Wang/Galan/4%20Distances/CGI015-qtz03-CL-dist-1.xlsx" TargetMode="External"/></Relationships>
</file>

<file path=xl/externalLinks/_rels/externalLink713.xml.rels><?xml version="1.0" encoding="UTF-8" standalone="yes"?>
<Relationships xmlns="http://schemas.openxmlformats.org/package/2006/relationships"><Relationship Id="rId1" Type="http://schemas.openxmlformats.org/officeDocument/2006/relationships/externalLinkPath" Target="file:///E:/Wang/Galan/4%20Distances/CGI015-qtz03-CL-dist-2.xlsx" TargetMode="External"/></Relationships>
</file>

<file path=xl/externalLinks/_rels/externalLink714.xml.rels><?xml version="1.0" encoding="UTF-8" standalone="yes"?>
<Relationships xmlns="http://schemas.openxmlformats.org/package/2006/relationships"><Relationship Id="rId1" Type="http://schemas.openxmlformats.org/officeDocument/2006/relationships/externalLinkPath" Target="file:///E:/Wang/Galan/4%20Distances/CGI015-qtz03-CL-dist-3.xlsx" TargetMode="External"/></Relationships>
</file>

<file path=xl/externalLinks/_rels/externalLink715.xml.rels><?xml version="1.0" encoding="UTF-8" standalone="yes"?>
<Relationships xmlns="http://schemas.openxmlformats.org/package/2006/relationships"><Relationship Id="rId1" Type="http://schemas.openxmlformats.org/officeDocument/2006/relationships/externalLinkPath" Target="file:///E:/Wang/Galan/4%20Distances/CGI015-qtz03-CL-dist-4.xlsx" TargetMode="External"/></Relationships>
</file>

<file path=xl/externalLinks/_rels/externalLink716.xml.rels><?xml version="1.0" encoding="UTF-8" standalone="yes"?>
<Relationships xmlns="http://schemas.openxmlformats.org/package/2006/relationships"><Relationship Id="rId1" Type="http://schemas.openxmlformats.org/officeDocument/2006/relationships/externalLinkPath" Target="file:///E:/Wang/Galan/4%20Distances/CGI015-qtz03-CL-dist-5.xlsx" TargetMode="External"/></Relationships>
</file>

<file path=xl/externalLinks/_rels/externalLink717.xml.rels><?xml version="1.0" encoding="UTF-8" standalone="yes"?>
<Relationships xmlns="http://schemas.openxmlformats.org/package/2006/relationships"><Relationship Id="rId1" Type="http://schemas.openxmlformats.org/officeDocument/2006/relationships/externalLinkPath" Target="file:///E:/Wang/Galan/4%20Distances/CGI015-qtz04-CL-dist-1.xlsx" TargetMode="External"/></Relationships>
</file>

<file path=xl/externalLinks/_rels/externalLink718.xml.rels><?xml version="1.0" encoding="UTF-8" standalone="yes"?>
<Relationships xmlns="http://schemas.openxmlformats.org/package/2006/relationships"><Relationship Id="rId1" Type="http://schemas.openxmlformats.org/officeDocument/2006/relationships/externalLinkPath" Target="file:///E:/Wang/Galan/4%20Distances/CGI015-qtz04-CL-dist-2.xlsx" TargetMode="External"/></Relationships>
</file>

<file path=xl/externalLinks/_rels/externalLink719.xml.rels><?xml version="1.0" encoding="UTF-8" standalone="yes"?>
<Relationships xmlns="http://schemas.openxmlformats.org/package/2006/relationships"><Relationship Id="rId1" Type="http://schemas.openxmlformats.org/officeDocument/2006/relationships/externalLinkPath" Target="file:///E:/Wang/Galan/4%20Distances/CGI015-qtz04-CL-dist-3.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E:/Wang/Galan/3%20MC/CGI005-qtz07-CL-fit-4-offset.xlsm" TargetMode="External"/></Relationships>
</file>

<file path=xl/externalLinks/_rels/externalLink720.xml.rels><?xml version="1.0" encoding="UTF-8" standalone="yes"?>
<Relationships xmlns="http://schemas.openxmlformats.org/package/2006/relationships"><Relationship Id="rId1" Type="http://schemas.openxmlformats.org/officeDocument/2006/relationships/externalLinkPath" Target="file:///E:/Wang/Galan/4%20Distances/CGI015-qtz04-CL-dist-4.xlsx" TargetMode="External"/></Relationships>
</file>

<file path=xl/externalLinks/_rels/externalLink721.xml.rels><?xml version="1.0" encoding="UTF-8" standalone="yes"?>
<Relationships xmlns="http://schemas.openxmlformats.org/package/2006/relationships"><Relationship Id="rId1" Type="http://schemas.openxmlformats.org/officeDocument/2006/relationships/externalLinkPath" Target="file:///E:/Wang/Galan/4%20Distances/CGI015-qtz05-CL-dist-1.xlsx" TargetMode="External"/></Relationships>
</file>

<file path=xl/externalLinks/_rels/externalLink722.xml.rels><?xml version="1.0" encoding="UTF-8" standalone="yes"?>
<Relationships xmlns="http://schemas.openxmlformats.org/package/2006/relationships"><Relationship Id="rId1" Type="http://schemas.openxmlformats.org/officeDocument/2006/relationships/externalLinkPath" Target="file:///E:/Wang/Galan/4%20Distances/CGI015-qtz05-CL-dist-2.xlsx" TargetMode="External"/></Relationships>
</file>

<file path=xl/externalLinks/_rels/externalLink723.xml.rels><?xml version="1.0" encoding="UTF-8" standalone="yes"?>
<Relationships xmlns="http://schemas.openxmlformats.org/package/2006/relationships"><Relationship Id="rId1" Type="http://schemas.openxmlformats.org/officeDocument/2006/relationships/externalLinkPath" Target="file:///E:/Wang/Galan/4%20Distances/CGI015-qtz05-CL-dist-3.xlsx" TargetMode="External"/></Relationships>
</file>

<file path=xl/externalLinks/_rels/externalLink724.xml.rels><?xml version="1.0" encoding="UTF-8" standalone="yes"?>
<Relationships xmlns="http://schemas.openxmlformats.org/package/2006/relationships"><Relationship Id="rId1" Type="http://schemas.openxmlformats.org/officeDocument/2006/relationships/externalLinkPath" Target="file:///E:/Wang/Galan/4%20Distances/CGI015-qtz05-CL-dist-4.xlsx" TargetMode="External"/></Relationships>
</file>

<file path=xl/externalLinks/_rels/externalLink725.xml.rels><?xml version="1.0" encoding="UTF-8" standalone="yes"?>
<Relationships xmlns="http://schemas.openxmlformats.org/package/2006/relationships"><Relationship Id="rId1" Type="http://schemas.openxmlformats.org/officeDocument/2006/relationships/externalLinkPath" Target="file:///E:/Wang/Galan/4%20Distances/CGI015-qtz06-CL-dist-1.xlsx" TargetMode="External"/></Relationships>
</file>

<file path=xl/externalLinks/_rels/externalLink726.xml.rels><?xml version="1.0" encoding="UTF-8" standalone="yes"?>
<Relationships xmlns="http://schemas.openxmlformats.org/package/2006/relationships"><Relationship Id="rId1" Type="http://schemas.openxmlformats.org/officeDocument/2006/relationships/externalLinkPath" Target="file:///E:/Wang/Galan/4%20Distances/CGI015-qtz06-CL-dist-2.xlsx" TargetMode="External"/></Relationships>
</file>

<file path=xl/externalLinks/_rels/externalLink727.xml.rels><?xml version="1.0" encoding="UTF-8" standalone="yes"?>
<Relationships xmlns="http://schemas.openxmlformats.org/package/2006/relationships"><Relationship Id="rId1" Type="http://schemas.openxmlformats.org/officeDocument/2006/relationships/externalLinkPath" Target="file:///E:/Wang/Galan/4%20Distances/CGI015-qtz06-CL-dist-3.xlsx" TargetMode="External"/></Relationships>
</file>

<file path=xl/externalLinks/_rels/externalLink728.xml.rels><?xml version="1.0" encoding="UTF-8" standalone="yes"?>
<Relationships xmlns="http://schemas.openxmlformats.org/package/2006/relationships"><Relationship Id="rId1" Type="http://schemas.openxmlformats.org/officeDocument/2006/relationships/externalLinkPath" Target="file:///E:/Wang/Galan/4%20Distances/CGI015-qtz06-CL-dist-4.xlsx" TargetMode="External"/></Relationships>
</file>

<file path=xl/externalLinks/_rels/externalLink729.xml.rels><?xml version="1.0" encoding="UTF-8" standalone="yes"?>
<Relationships xmlns="http://schemas.openxmlformats.org/package/2006/relationships"><Relationship Id="rId1" Type="http://schemas.openxmlformats.org/officeDocument/2006/relationships/externalLinkPath" Target="file:///E:/Wang/Galan/4%20Distances/CGI015-qtz07-CL-dist-1.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Wang/Galan/3%20MC/CGI005-qtz08-CL-fit-1-offset.xlsm" TargetMode="External"/></Relationships>
</file>

<file path=xl/externalLinks/_rels/externalLink730.xml.rels><?xml version="1.0" encoding="UTF-8" standalone="yes"?>
<Relationships xmlns="http://schemas.openxmlformats.org/package/2006/relationships"><Relationship Id="rId1" Type="http://schemas.openxmlformats.org/officeDocument/2006/relationships/externalLinkPath" Target="file:///E:/Wang/Galan/4%20Distances/CGI015-qtz07-CL-dist-2.xlsx" TargetMode="External"/></Relationships>
</file>

<file path=xl/externalLinks/_rels/externalLink731.xml.rels><?xml version="1.0" encoding="UTF-8" standalone="yes"?>
<Relationships xmlns="http://schemas.openxmlformats.org/package/2006/relationships"><Relationship Id="rId1" Type="http://schemas.openxmlformats.org/officeDocument/2006/relationships/externalLinkPath" Target="file:///E:/Wang/Galan/4%20Distances/CGI015-qtz07-CL-dist-3.xlsx" TargetMode="External"/></Relationships>
</file>

<file path=xl/externalLinks/_rels/externalLink732.xml.rels><?xml version="1.0" encoding="UTF-8" standalone="yes"?>
<Relationships xmlns="http://schemas.openxmlformats.org/package/2006/relationships"><Relationship Id="rId1" Type="http://schemas.openxmlformats.org/officeDocument/2006/relationships/externalLinkPath" Target="file:///E:/Wang/Galan/4%20Distances/CGI015-qtz07-CL-dist-4.xlsx" TargetMode="External"/></Relationships>
</file>

<file path=xl/externalLinks/_rels/externalLink733.xml.rels><?xml version="1.0" encoding="UTF-8" standalone="yes"?>
<Relationships xmlns="http://schemas.openxmlformats.org/package/2006/relationships"><Relationship Id="rId1" Type="http://schemas.openxmlformats.org/officeDocument/2006/relationships/externalLinkPath" Target="file:///E:/Wang/Galan/4%20Distances/CGI015-qtz07-CL-dist-5.xlsx" TargetMode="External"/></Relationships>
</file>

<file path=xl/externalLinks/_rels/externalLink734.xml.rels><?xml version="1.0" encoding="UTF-8" standalone="yes"?>
<Relationships xmlns="http://schemas.openxmlformats.org/package/2006/relationships"><Relationship Id="rId1" Type="http://schemas.openxmlformats.org/officeDocument/2006/relationships/externalLinkPath" Target="file:///E:/Wang/Galan/4%20Distances/CGI015-qtz07-CL-dist-6.xlsx" TargetMode="External"/></Relationships>
</file>

<file path=xl/externalLinks/_rels/externalLink735.xml.rels><?xml version="1.0" encoding="UTF-8" standalone="yes"?>
<Relationships xmlns="http://schemas.openxmlformats.org/package/2006/relationships"><Relationship Id="rId1" Type="http://schemas.openxmlformats.org/officeDocument/2006/relationships/externalLinkPath" Target="file:///E:/Wang/Galan/4%20Distances/CGI015-qtz08-CL-dist-1.xlsx" TargetMode="External"/></Relationships>
</file>

<file path=xl/externalLinks/_rels/externalLink736.xml.rels><?xml version="1.0" encoding="UTF-8" standalone="yes"?>
<Relationships xmlns="http://schemas.openxmlformats.org/package/2006/relationships"><Relationship Id="rId1" Type="http://schemas.openxmlformats.org/officeDocument/2006/relationships/externalLinkPath" Target="file:///E:/Wang/Galan/4%20Distances/CGI015-qtz08-CL-dist-2.xlsx" TargetMode="External"/></Relationships>
</file>

<file path=xl/externalLinks/_rels/externalLink737.xml.rels><?xml version="1.0" encoding="UTF-8" standalone="yes"?>
<Relationships xmlns="http://schemas.openxmlformats.org/package/2006/relationships"><Relationship Id="rId1" Type="http://schemas.openxmlformats.org/officeDocument/2006/relationships/externalLinkPath" Target="file:///E:/Wang/Galan/4%20Distances/CGI015-qtz08-CL-dist-3.xlsx" TargetMode="External"/></Relationships>
</file>

<file path=xl/externalLinks/_rels/externalLink738.xml.rels><?xml version="1.0" encoding="UTF-8" standalone="yes"?>
<Relationships xmlns="http://schemas.openxmlformats.org/package/2006/relationships"><Relationship Id="rId1" Type="http://schemas.openxmlformats.org/officeDocument/2006/relationships/externalLinkPath" Target="file:///E:/Wang/Galan/4%20Distances/CGI015-qtz08-CL-dist-4.xlsx" TargetMode="External"/></Relationships>
</file>

<file path=xl/externalLinks/_rels/externalLink739.xml.rels><?xml version="1.0" encoding="UTF-8" standalone="yes"?>
<Relationships xmlns="http://schemas.openxmlformats.org/package/2006/relationships"><Relationship Id="rId1" Type="http://schemas.openxmlformats.org/officeDocument/2006/relationships/externalLinkPath" Target="file:///E:/Wang/Galan/4%20Distances/CGI015-qtz08-CL-dist-5.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Wang/Galan/3%20MC/CGI005-qtz08-CL-fit-2-offset.xlsm" TargetMode="External"/></Relationships>
</file>

<file path=xl/externalLinks/_rels/externalLink740.xml.rels><?xml version="1.0" encoding="UTF-8" standalone="yes"?>
<Relationships xmlns="http://schemas.openxmlformats.org/package/2006/relationships"><Relationship Id="rId1" Type="http://schemas.openxmlformats.org/officeDocument/2006/relationships/externalLinkPath" Target="file:///E:/Wang/Galan/4%20Distances/CGI015-qtz08-CL-dist-6.xlsx" TargetMode="External"/></Relationships>
</file>

<file path=xl/externalLinks/_rels/externalLink741.xml.rels><?xml version="1.0" encoding="UTF-8" standalone="yes"?>
<Relationships xmlns="http://schemas.openxmlformats.org/package/2006/relationships"><Relationship Id="rId1" Type="http://schemas.openxmlformats.org/officeDocument/2006/relationships/externalLinkPath" Target="file:///E:/Wang/Galan/4%20Distances/CGI015-qtz09-CL-dist-1.xlsx" TargetMode="External"/></Relationships>
</file>

<file path=xl/externalLinks/_rels/externalLink742.xml.rels><?xml version="1.0" encoding="UTF-8" standalone="yes"?>
<Relationships xmlns="http://schemas.openxmlformats.org/package/2006/relationships"><Relationship Id="rId1" Type="http://schemas.openxmlformats.org/officeDocument/2006/relationships/externalLinkPath" Target="file:///E:/Wang/Galan/4%20Distances/CGI015-qtz09-CL-dist-2.xlsx" TargetMode="External"/></Relationships>
</file>

<file path=xl/externalLinks/_rels/externalLink743.xml.rels><?xml version="1.0" encoding="UTF-8" standalone="yes"?>
<Relationships xmlns="http://schemas.openxmlformats.org/package/2006/relationships"><Relationship Id="rId1" Type="http://schemas.openxmlformats.org/officeDocument/2006/relationships/externalLinkPath" Target="file:///E:/Wang/Galan/4%20Distances/CGI015-qtz09-CL-dist-3.xlsx" TargetMode="External"/></Relationships>
</file>

<file path=xl/externalLinks/_rels/externalLink744.xml.rels><?xml version="1.0" encoding="UTF-8" standalone="yes"?>
<Relationships xmlns="http://schemas.openxmlformats.org/package/2006/relationships"><Relationship Id="rId1" Type="http://schemas.openxmlformats.org/officeDocument/2006/relationships/externalLinkPath" Target="file:///E:/Wang/Galan/4%20Distances/CGI015-qtz09-CL-dist-4.xlsx" TargetMode="External"/></Relationships>
</file>

<file path=xl/externalLinks/_rels/externalLink745.xml.rels><?xml version="1.0" encoding="UTF-8" standalone="yes"?>
<Relationships xmlns="http://schemas.openxmlformats.org/package/2006/relationships"><Relationship Id="rId1" Type="http://schemas.openxmlformats.org/officeDocument/2006/relationships/externalLinkPath" Target="file:///E:/Wang/Galan/4%20Distances/CGI015-qtz09-CL-dist-5.xlsx" TargetMode="External"/></Relationships>
</file>

<file path=xl/externalLinks/_rels/externalLink746.xml.rels><?xml version="1.0" encoding="UTF-8" standalone="yes"?>
<Relationships xmlns="http://schemas.openxmlformats.org/package/2006/relationships"><Relationship Id="rId1" Type="http://schemas.openxmlformats.org/officeDocument/2006/relationships/externalLinkPath" Target="file:///E:/Wang/Galan/4%20Distances/CGI015-qtz09-CL-dist-6.xlsx" TargetMode="External"/></Relationships>
</file>

<file path=xl/externalLinks/_rels/externalLink747.xml.rels><?xml version="1.0" encoding="UTF-8" standalone="yes"?>
<Relationships xmlns="http://schemas.openxmlformats.org/package/2006/relationships"><Relationship Id="rId1" Type="http://schemas.openxmlformats.org/officeDocument/2006/relationships/externalLinkPath" Target="file:///E:/Wang/Galan/4%20Distances/CGI015-qtz10-CL-dist-1.xlsx" TargetMode="External"/></Relationships>
</file>

<file path=xl/externalLinks/_rels/externalLink748.xml.rels><?xml version="1.0" encoding="UTF-8" standalone="yes"?>
<Relationships xmlns="http://schemas.openxmlformats.org/package/2006/relationships"><Relationship Id="rId1" Type="http://schemas.openxmlformats.org/officeDocument/2006/relationships/externalLinkPath" Target="file:///E:/Wang/Galan/4%20Distances/CGI015-qtz10-CL-dist-2.xlsx" TargetMode="External"/></Relationships>
</file>

<file path=xl/externalLinks/_rels/externalLink749.xml.rels><?xml version="1.0" encoding="UTF-8" standalone="yes"?>
<Relationships xmlns="http://schemas.openxmlformats.org/package/2006/relationships"><Relationship Id="rId1" Type="http://schemas.openxmlformats.org/officeDocument/2006/relationships/externalLinkPath" Target="file:///E:/Wang/Galan/4%20Distances/CGI015-qtz10-CL-dist-3.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Wang/Galan/3%20MC/CGI005-qtz08-CL-fit-3.xlsm" TargetMode="External"/></Relationships>
</file>

<file path=xl/externalLinks/_rels/externalLink750.xml.rels><?xml version="1.0" encoding="UTF-8" standalone="yes"?>
<Relationships xmlns="http://schemas.openxmlformats.org/package/2006/relationships"><Relationship Id="rId1" Type="http://schemas.openxmlformats.org/officeDocument/2006/relationships/externalLinkPath" Target="file:///E:/Wang/Galan/4%20Distances/CGI015-qtz10-CL-dist-4.xlsx" TargetMode="External"/></Relationships>
</file>

<file path=xl/externalLinks/_rels/externalLink751.xml.rels><?xml version="1.0" encoding="UTF-8" standalone="yes"?>
<Relationships xmlns="http://schemas.openxmlformats.org/package/2006/relationships"><Relationship Id="rId1" Type="http://schemas.openxmlformats.org/officeDocument/2006/relationships/externalLinkPath" Target="file:///E:/Wang/Galan/4%20Distances/CGI015-qtz10-CL-dist-5.xlsx" TargetMode="External"/></Relationships>
</file>

<file path=xl/externalLinks/_rels/externalLink752.xml.rels><?xml version="1.0" encoding="UTF-8" standalone="yes"?>
<Relationships xmlns="http://schemas.openxmlformats.org/package/2006/relationships"><Relationship Id="rId1" Type="http://schemas.openxmlformats.org/officeDocument/2006/relationships/externalLinkPath" Target="file:///E:/Wang/Galan/4%20Distances/CGI015-qtz10-CL-dist-6.xlsx" TargetMode="External"/></Relationships>
</file>

<file path=xl/externalLinks/_rels/externalLink753.xml.rels><?xml version="1.0" encoding="UTF-8" standalone="yes"?>
<Relationships xmlns="http://schemas.openxmlformats.org/package/2006/relationships"><Relationship Id="rId1" Type="http://schemas.openxmlformats.org/officeDocument/2006/relationships/externalLinkPath" Target="file:///E:/Wang/Galan/4%20Distances/CGI015-qtz10-CL-dist-7.xlsx" TargetMode="External"/></Relationships>
</file>

<file path=xl/externalLinks/_rels/externalLink754.xml.rels><?xml version="1.0" encoding="UTF-8" standalone="yes"?>
<Relationships xmlns="http://schemas.openxmlformats.org/package/2006/relationships"><Relationship Id="rId1" Type="http://schemas.openxmlformats.org/officeDocument/2006/relationships/externalLinkPath" Target="file:///E:/Wang/Galan/4%20Distances/CGI015-qtz11-CL-dist-1.xlsx" TargetMode="External"/></Relationships>
</file>

<file path=xl/externalLinks/_rels/externalLink755.xml.rels><?xml version="1.0" encoding="UTF-8" standalone="yes"?>
<Relationships xmlns="http://schemas.openxmlformats.org/package/2006/relationships"><Relationship Id="rId1" Type="http://schemas.openxmlformats.org/officeDocument/2006/relationships/externalLinkPath" Target="file:///E:/Wang/Galan/4%20Distances/CGI015-qtz11-CL-dist-2.xlsx" TargetMode="External"/></Relationships>
</file>

<file path=xl/externalLinks/_rels/externalLink756.xml.rels><?xml version="1.0" encoding="UTF-8" standalone="yes"?>
<Relationships xmlns="http://schemas.openxmlformats.org/package/2006/relationships"><Relationship Id="rId1" Type="http://schemas.openxmlformats.org/officeDocument/2006/relationships/externalLinkPath" Target="file:///E:/Wang/Galan/4%20Distances/CGI015-qtz11-CL-dist-3.xlsx" TargetMode="External"/></Relationships>
</file>

<file path=xl/externalLinks/_rels/externalLink757.xml.rels><?xml version="1.0" encoding="UTF-8" standalone="yes"?>
<Relationships xmlns="http://schemas.openxmlformats.org/package/2006/relationships"><Relationship Id="rId1" Type="http://schemas.openxmlformats.org/officeDocument/2006/relationships/externalLinkPath" Target="file:///E:/Wang/Galan/4%20Distances/CGI015-qtz11-CL-dist-4.xlsx" TargetMode="External"/></Relationships>
</file>

<file path=xl/externalLinks/_rels/externalLink758.xml.rels><?xml version="1.0" encoding="UTF-8" standalone="yes"?>
<Relationships xmlns="http://schemas.openxmlformats.org/package/2006/relationships"><Relationship Id="rId1" Type="http://schemas.openxmlformats.org/officeDocument/2006/relationships/externalLinkPath" Target="file:///E:/Wang/Galan/4%20Distances/CGI015-qtz11-CL-dist-5.xlsx" TargetMode="External"/></Relationships>
</file>

<file path=xl/externalLinks/_rels/externalLink759.xml.rels><?xml version="1.0" encoding="UTF-8" standalone="yes"?>
<Relationships xmlns="http://schemas.openxmlformats.org/package/2006/relationships"><Relationship Id="rId1" Type="http://schemas.openxmlformats.org/officeDocument/2006/relationships/externalLinkPath" Target="file:///E:/Wang/Galan/4%20Distances/CGI015-qtz11-CL-dist-6.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Wang/Galan/3%20MC/CGI005-qtz08-CL-fit-4-offset.xlsm" TargetMode="External"/></Relationships>
</file>

<file path=xl/externalLinks/_rels/externalLink760.xml.rels><?xml version="1.0" encoding="UTF-8" standalone="yes"?>
<Relationships xmlns="http://schemas.openxmlformats.org/package/2006/relationships"><Relationship Id="rId1" Type="http://schemas.openxmlformats.org/officeDocument/2006/relationships/externalLinkPath" Target="file:///E:/Wang/Galan/4%20Distances/CGI015-qtz11-CL-dist-7.xlsx" TargetMode="External"/></Relationships>
</file>

<file path=xl/externalLinks/_rels/externalLink761.xml.rels><?xml version="1.0" encoding="UTF-8" standalone="yes"?>
<Relationships xmlns="http://schemas.openxmlformats.org/package/2006/relationships"><Relationship Id="rId1" Type="http://schemas.openxmlformats.org/officeDocument/2006/relationships/externalLinkPath" Target="file:///E:/Wang/Galan/4%20Distances/CGI015-qtz12-CL-dist-1.xlsx" TargetMode="External"/></Relationships>
</file>

<file path=xl/externalLinks/_rels/externalLink762.xml.rels><?xml version="1.0" encoding="UTF-8" standalone="yes"?>
<Relationships xmlns="http://schemas.openxmlformats.org/package/2006/relationships"><Relationship Id="rId1" Type="http://schemas.openxmlformats.org/officeDocument/2006/relationships/externalLinkPath" Target="file:///E:/Wang/Galan/4%20Distances/CGI015-qtz12-CL-dist-2.xlsx" TargetMode="External"/></Relationships>
</file>

<file path=xl/externalLinks/_rels/externalLink763.xml.rels><?xml version="1.0" encoding="UTF-8" standalone="yes"?>
<Relationships xmlns="http://schemas.openxmlformats.org/package/2006/relationships"><Relationship Id="rId1" Type="http://schemas.openxmlformats.org/officeDocument/2006/relationships/externalLinkPath" Target="file:///E:/Wang/Galan/4%20Distances/CGI015-qtz12-CL-dist-3.xlsx" TargetMode="External"/></Relationships>
</file>

<file path=xl/externalLinks/_rels/externalLink764.xml.rels><?xml version="1.0" encoding="UTF-8" standalone="yes"?>
<Relationships xmlns="http://schemas.openxmlformats.org/package/2006/relationships"><Relationship Id="rId1" Type="http://schemas.openxmlformats.org/officeDocument/2006/relationships/externalLinkPath" Target="file:///E:/Wang/Galan/4%20Distances/CGI015-qtz12-CL-dist-4.xlsx" TargetMode="External"/></Relationships>
</file>

<file path=xl/externalLinks/_rels/externalLink765.xml.rels><?xml version="1.0" encoding="UTF-8" standalone="yes"?>
<Relationships xmlns="http://schemas.openxmlformats.org/package/2006/relationships"><Relationship Id="rId1" Type="http://schemas.openxmlformats.org/officeDocument/2006/relationships/externalLinkPath" Target="file:///E:/Wang/Galan/4%20Distances/CGI015-qtz12-CL-dist-5.xlsx" TargetMode="External"/></Relationships>
</file>

<file path=xl/externalLinks/_rels/externalLink766.xml.rels><?xml version="1.0" encoding="UTF-8" standalone="yes"?>
<Relationships xmlns="http://schemas.openxmlformats.org/package/2006/relationships"><Relationship Id="rId1" Type="http://schemas.openxmlformats.org/officeDocument/2006/relationships/externalLinkPath" Target="file:///E:/Wang/Galan/4%20Distances/CGI018-qtz01-CL-dist-1.xlsx" TargetMode="External"/></Relationships>
</file>

<file path=xl/externalLinks/_rels/externalLink767.xml.rels><?xml version="1.0" encoding="UTF-8" standalone="yes"?>
<Relationships xmlns="http://schemas.openxmlformats.org/package/2006/relationships"><Relationship Id="rId1" Type="http://schemas.openxmlformats.org/officeDocument/2006/relationships/externalLinkPath" Target="file:///E:/Wang/Galan/4%20Distances/CGI018-qtz01-CL-dist-2.xlsx" TargetMode="External"/></Relationships>
</file>

<file path=xl/externalLinks/_rels/externalLink768.xml.rels><?xml version="1.0" encoding="UTF-8" standalone="yes"?>
<Relationships xmlns="http://schemas.openxmlformats.org/package/2006/relationships"><Relationship Id="rId1" Type="http://schemas.openxmlformats.org/officeDocument/2006/relationships/externalLinkPath" Target="file:///E:/Wang/Galan/4%20Distances/CGI018-qtz01-CL-dist-3.xlsx" TargetMode="External"/></Relationships>
</file>

<file path=xl/externalLinks/_rels/externalLink769.xml.rels><?xml version="1.0" encoding="UTF-8" standalone="yes"?>
<Relationships xmlns="http://schemas.openxmlformats.org/package/2006/relationships"><Relationship Id="rId1" Type="http://schemas.openxmlformats.org/officeDocument/2006/relationships/externalLinkPath" Target="file:///E:/Wang/Galan/4%20Distances/CGI018-qtz01-CL-dist-4.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E:/Wang/Galan/3%20MC/CGI005-qtz08-CL-fit-5-offset.xlsm" TargetMode="External"/></Relationships>
</file>

<file path=xl/externalLinks/_rels/externalLink770.xml.rels><?xml version="1.0" encoding="UTF-8" standalone="yes"?>
<Relationships xmlns="http://schemas.openxmlformats.org/package/2006/relationships"><Relationship Id="rId1" Type="http://schemas.openxmlformats.org/officeDocument/2006/relationships/externalLinkPath" Target="file:///E:/Wang/Galan/4%20Distances/CGI018-qtz01-CL-dist-5.xlsx" TargetMode="External"/></Relationships>
</file>

<file path=xl/externalLinks/_rels/externalLink771.xml.rels><?xml version="1.0" encoding="UTF-8" standalone="yes"?>
<Relationships xmlns="http://schemas.openxmlformats.org/package/2006/relationships"><Relationship Id="rId1" Type="http://schemas.openxmlformats.org/officeDocument/2006/relationships/externalLinkPath" Target="file:///E:/Wang/Galan/4%20Distances/CGI018-qtz02-CL-dist-1.xlsx" TargetMode="External"/></Relationships>
</file>

<file path=xl/externalLinks/_rels/externalLink772.xml.rels><?xml version="1.0" encoding="UTF-8" standalone="yes"?>
<Relationships xmlns="http://schemas.openxmlformats.org/package/2006/relationships"><Relationship Id="rId1" Type="http://schemas.openxmlformats.org/officeDocument/2006/relationships/externalLinkPath" Target="file:///E:/Wang/Galan/4%20Distances/CGI018-qtz02-CL-dist-2.xlsx" TargetMode="External"/></Relationships>
</file>

<file path=xl/externalLinks/_rels/externalLink773.xml.rels><?xml version="1.0" encoding="UTF-8" standalone="yes"?>
<Relationships xmlns="http://schemas.openxmlformats.org/package/2006/relationships"><Relationship Id="rId1" Type="http://schemas.openxmlformats.org/officeDocument/2006/relationships/externalLinkPath" Target="file:///E:/Wang/Galan/4%20Distances/CGI018-qtz02-CL-dist-3.xlsx" TargetMode="External"/></Relationships>
</file>

<file path=xl/externalLinks/_rels/externalLink774.xml.rels><?xml version="1.0" encoding="UTF-8" standalone="yes"?>
<Relationships xmlns="http://schemas.openxmlformats.org/package/2006/relationships"><Relationship Id="rId1" Type="http://schemas.openxmlformats.org/officeDocument/2006/relationships/externalLinkPath" Target="file:///E:/Wang/Galan/4%20Distances/CGI018-qtz02-CL-dist-4.xlsx" TargetMode="External"/></Relationships>
</file>

<file path=xl/externalLinks/_rels/externalLink775.xml.rels><?xml version="1.0" encoding="UTF-8" standalone="yes"?>
<Relationships xmlns="http://schemas.openxmlformats.org/package/2006/relationships"><Relationship Id="rId1" Type="http://schemas.openxmlformats.org/officeDocument/2006/relationships/externalLinkPath" Target="file:///E:/Wang/Galan/4%20Distances/CGI018-qtz02-CL-dist-5.xlsx" TargetMode="External"/></Relationships>
</file>

<file path=xl/externalLinks/_rels/externalLink776.xml.rels><?xml version="1.0" encoding="UTF-8" standalone="yes"?>
<Relationships xmlns="http://schemas.openxmlformats.org/package/2006/relationships"><Relationship Id="rId1" Type="http://schemas.openxmlformats.org/officeDocument/2006/relationships/externalLinkPath" Target="file:///E:/Wang/Galan/4%20Distances/CGI018-qtz03-CL-dist-1.xlsx" TargetMode="External"/></Relationships>
</file>

<file path=xl/externalLinks/_rels/externalLink777.xml.rels><?xml version="1.0" encoding="UTF-8" standalone="yes"?>
<Relationships xmlns="http://schemas.openxmlformats.org/package/2006/relationships"><Relationship Id="rId1" Type="http://schemas.openxmlformats.org/officeDocument/2006/relationships/externalLinkPath" Target="file:///E:/Wang/Galan/4%20Distances/CGI018-qtz03-CL-dist-2.xlsx" TargetMode="External"/></Relationships>
</file>

<file path=xl/externalLinks/_rels/externalLink778.xml.rels><?xml version="1.0" encoding="UTF-8" standalone="yes"?>
<Relationships xmlns="http://schemas.openxmlformats.org/package/2006/relationships"><Relationship Id="rId1" Type="http://schemas.openxmlformats.org/officeDocument/2006/relationships/externalLinkPath" Target="file:///E:/Wang/Galan/4%20Distances/CGI018-qtz03-CL-dist-3.xlsx" TargetMode="External"/></Relationships>
</file>

<file path=xl/externalLinks/_rels/externalLink779.xml.rels><?xml version="1.0" encoding="UTF-8" standalone="yes"?>
<Relationships xmlns="http://schemas.openxmlformats.org/package/2006/relationships"><Relationship Id="rId1" Type="http://schemas.openxmlformats.org/officeDocument/2006/relationships/externalLinkPath" Target="file:///E:/Wang/Galan/4%20Distances/CGI018-qtz03-CL-dist-4.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E:/Wang/Galan/3%20MC/CGI005-qtz08-CL-fit-6-offset.xlsm" TargetMode="External"/></Relationships>
</file>

<file path=xl/externalLinks/_rels/externalLink780.xml.rels><?xml version="1.0" encoding="UTF-8" standalone="yes"?>
<Relationships xmlns="http://schemas.openxmlformats.org/package/2006/relationships"><Relationship Id="rId1" Type="http://schemas.openxmlformats.org/officeDocument/2006/relationships/externalLinkPath" Target="file:///E:/Wang/Galan/4%20Distances/CGI018-qtz04-CL-dist-1.xlsx" TargetMode="External"/></Relationships>
</file>

<file path=xl/externalLinks/_rels/externalLink781.xml.rels><?xml version="1.0" encoding="UTF-8" standalone="yes"?>
<Relationships xmlns="http://schemas.openxmlformats.org/package/2006/relationships"><Relationship Id="rId1" Type="http://schemas.openxmlformats.org/officeDocument/2006/relationships/externalLinkPath" Target="file:///E:/Wang/Galan/4%20Distances/CGI018-qtz04-CL-dist-2.xlsx" TargetMode="External"/></Relationships>
</file>

<file path=xl/externalLinks/_rels/externalLink782.xml.rels><?xml version="1.0" encoding="UTF-8" standalone="yes"?>
<Relationships xmlns="http://schemas.openxmlformats.org/package/2006/relationships"><Relationship Id="rId1" Type="http://schemas.openxmlformats.org/officeDocument/2006/relationships/externalLinkPath" Target="file:///E:/Wang/Galan/4%20Distances/CGI018-qtz04-CL-dist-3.xlsx" TargetMode="External"/></Relationships>
</file>

<file path=xl/externalLinks/_rels/externalLink783.xml.rels><?xml version="1.0" encoding="UTF-8" standalone="yes"?>
<Relationships xmlns="http://schemas.openxmlformats.org/package/2006/relationships"><Relationship Id="rId1" Type="http://schemas.openxmlformats.org/officeDocument/2006/relationships/externalLinkPath" Target="file:///E:/Wang/Galan/4%20Distances/CGI018-qtz04-CL-dist-4.xlsx" TargetMode="External"/></Relationships>
</file>

<file path=xl/externalLinks/_rels/externalLink784.xml.rels><?xml version="1.0" encoding="UTF-8" standalone="yes"?>
<Relationships xmlns="http://schemas.openxmlformats.org/package/2006/relationships"><Relationship Id="rId1" Type="http://schemas.openxmlformats.org/officeDocument/2006/relationships/externalLinkPath" Target="file:///E:/Wang/Galan/4%20Distances/CGI018-qtz05-CL-dist-1.xlsx" TargetMode="External"/></Relationships>
</file>

<file path=xl/externalLinks/_rels/externalLink785.xml.rels><?xml version="1.0" encoding="UTF-8" standalone="yes"?>
<Relationships xmlns="http://schemas.openxmlformats.org/package/2006/relationships"><Relationship Id="rId1" Type="http://schemas.openxmlformats.org/officeDocument/2006/relationships/externalLinkPath" Target="file:///E:/Wang/Galan/4%20Distances/CGI018-qtz05-CL-dist-2.xlsx" TargetMode="External"/></Relationships>
</file>

<file path=xl/externalLinks/_rels/externalLink786.xml.rels><?xml version="1.0" encoding="UTF-8" standalone="yes"?>
<Relationships xmlns="http://schemas.openxmlformats.org/package/2006/relationships"><Relationship Id="rId1" Type="http://schemas.openxmlformats.org/officeDocument/2006/relationships/externalLinkPath" Target="file:///E:/Wang/Galan/4%20Distances/CGI018-qtz05-CL-dist-3.xlsx" TargetMode="External"/></Relationships>
</file>

<file path=xl/externalLinks/_rels/externalLink787.xml.rels><?xml version="1.0" encoding="UTF-8" standalone="yes"?>
<Relationships xmlns="http://schemas.openxmlformats.org/package/2006/relationships"><Relationship Id="rId1" Type="http://schemas.openxmlformats.org/officeDocument/2006/relationships/externalLinkPath" Target="file:///E:/Wang/Galan/4%20Distances/CGI018-qtz05-CL-dist-4.xlsx" TargetMode="External"/></Relationships>
</file>

<file path=xl/externalLinks/_rels/externalLink788.xml.rels><?xml version="1.0" encoding="UTF-8" standalone="yes"?>
<Relationships xmlns="http://schemas.openxmlformats.org/package/2006/relationships"><Relationship Id="rId1" Type="http://schemas.openxmlformats.org/officeDocument/2006/relationships/externalLinkPath" Target="file:///E:/Wang/Galan/4%20Distances/CGI018-qtz05-CL-dist-5.xlsx" TargetMode="External"/></Relationships>
</file>

<file path=xl/externalLinks/_rels/externalLink789.xml.rels><?xml version="1.0" encoding="UTF-8" standalone="yes"?>
<Relationships xmlns="http://schemas.openxmlformats.org/package/2006/relationships"><Relationship Id="rId1" Type="http://schemas.openxmlformats.org/officeDocument/2006/relationships/externalLinkPath" Target="file:///E:/Wang/Galan/4%20Distances/CGI018-qtz05-CL-dist-6.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E:/Wang/Galan/3%20MC/CGI005-qtz09-CL-fit-1-offset.xlsm" TargetMode="External"/></Relationships>
</file>

<file path=xl/externalLinks/_rels/externalLink790.xml.rels><?xml version="1.0" encoding="UTF-8" standalone="yes"?>
<Relationships xmlns="http://schemas.openxmlformats.org/package/2006/relationships"><Relationship Id="rId1" Type="http://schemas.openxmlformats.org/officeDocument/2006/relationships/externalLinkPath" Target="file:///E:/Wang/Galan/4%20Distances/CGI018-qtz05-CL-dist-7.xlsx" TargetMode="External"/></Relationships>
</file>

<file path=xl/externalLinks/_rels/externalLink791.xml.rels><?xml version="1.0" encoding="UTF-8" standalone="yes"?>
<Relationships xmlns="http://schemas.openxmlformats.org/package/2006/relationships"><Relationship Id="rId1" Type="http://schemas.openxmlformats.org/officeDocument/2006/relationships/externalLinkPath" Target="file:///E:/Wang/Galan/4%20Distances/CGI018-qtz06-CL-dist-2.xlsx" TargetMode="External"/></Relationships>
</file>

<file path=xl/externalLinks/_rels/externalLink792.xml.rels><?xml version="1.0" encoding="UTF-8" standalone="yes"?>
<Relationships xmlns="http://schemas.openxmlformats.org/package/2006/relationships"><Relationship Id="rId1" Type="http://schemas.openxmlformats.org/officeDocument/2006/relationships/externalLinkPath" Target="file:///E:/Wang/Galan/4%20Distances/CGI018-qtz06-CL-dist-3.xlsx" TargetMode="External"/></Relationships>
</file>

<file path=xl/externalLinks/_rels/externalLink793.xml.rels><?xml version="1.0" encoding="UTF-8" standalone="yes"?>
<Relationships xmlns="http://schemas.openxmlformats.org/package/2006/relationships"><Relationship Id="rId1" Type="http://schemas.openxmlformats.org/officeDocument/2006/relationships/externalLinkPath" Target="file:///E:/Wang/Galan/4%20Distances/CGI018-qtz06-CL-dist-4.xlsx" TargetMode="External"/></Relationships>
</file>

<file path=xl/externalLinks/_rels/externalLink794.xml.rels><?xml version="1.0" encoding="UTF-8" standalone="yes"?>
<Relationships xmlns="http://schemas.openxmlformats.org/package/2006/relationships"><Relationship Id="rId1" Type="http://schemas.openxmlformats.org/officeDocument/2006/relationships/externalLinkPath" Target="file:///E:/Wang/Galan/4%20Distances/CGI018-qtz07-CL-dist-1.xlsx" TargetMode="External"/></Relationships>
</file>

<file path=xl/externalLinks/_rels/externalLink795.xml.rels><?xml version="1.0" encoding="UTF-8" standalone="yes"?>
<Relationships xmlns="http://schemas.openxmlformats.org/package/2006/relationships"><Relationship Id="rId1" Type="http://schemas.openxmlformats.org/officeDocument/2006/relationships/externalLinkPath" Target="file:///E:/Wang/Galan/4%20Distances/CGI018-qtz07-CL-dist-2.xlsx" TargetMode="External"/></Relationships>
</file>

<file path=xl/externalLinks/_rels/externalLink796.xml.rels><?xml version="1.0" encoding="UTF-8" standalone="yes"?>
<Relationships xmlns="http://schemas.openxmlformats.org/package/2006/relationships"><Relationship Id="rId1" Type="http://schemas.openxmlformats.org/officeDocument/2006/relationships/externalLinkPath" Target="file:///E:/Wang/Galan/4%20Distances/CGI018-qtz07-CL-dist-3.xlsx" TargetMode="External"/></Relationships>
</file>

<file path=xl/externalLinks/_rels/externalLink797.xml.rels><?xml version="1.0" encoding="UTF-8" standalone="yes"?>
<Relationships xmlns="http://schemas.openxmlformats.org/package/2006/relationships"><Relationship Id="rId1" Type="http://schemas.openxmlformats.org/officeDocument/2006/relationships/externalLinkPath" Target="file:///E:/Wang/Galan/4%20Distances/CGI018-qtz08-CL-dist-1.xlsx" TargetMode="External"/></Relationships>
</file>

<file path=xl/externalLinks/_rels/externalLink798.xml.rels><?xml version="1.0" encoding="UTF-8" standalone="yes"?>
<Relationships xmlns="http://schemas.openxmlformats.org/package/2006/relationships"><Relationship Id="rId1" Type="http://schemas.openxmlformats.org/officeDocument/2006/relationships/externalLinkPath" Target="file:///E:/Wang/Galan/4%20Distances/CGI018-qtz08-CL-dist-2.xlsx" TargetMode="External"/></Relationships>
</file>

<file path=xl/externalLinks/_rels/externalLink799.xml.rels><?xml version="1.0" encoding="UTF-8" standalone="yes"?>
<Relationships xmlns="http://schemas.openxmlformats.org/package/2006/relationships"><Relationship Id="rId1" Type="http://schemas.openxmlformats.org/officeDocument/2006/relationships/externalLinkPath" Target="file:///E:/Wang/Galan/4%20Distances/CGI018-qtz08-CL-dist-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Wang/Galan/3%20MC/CGI001-qtz02-CL-fit-4-offset.xlsm"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Wang/Galan/3%20MC/CGI005-qtz09-CL-fit-2-offset.xlsm" TargetMode="External"/></Relationships>
</file>

<file path=xl/externalLinks/_rels/externalLink800.xml.rels><?xml version="1.0" encoding="UTF-8" standalone="yes"?>
<Relationships xmlns="http://schemas.openxmlformats.org/package/2006/relationships"><Relationship Id="rId1" Type="http://schemas.openxmlformats.org/officeDocument/2006/relationships/externalLinkPath" Target="file:///E:/Wang/Galan/4%20Distances/CGI018-qtz08-CL-dist-4.xlsx" TargetMode="External"/></Relationships>
</file>

<file path=xl/externalLinks/_rels/externalLink801.xml.rels><?xml version="1.0" encoding="UTF-8" standalone="yes"?>
<Relationships xmlns="http://schemas.openxmlformats.org/package/2006/relationships"><Relationship Id="rId1" Type="http://schemas.openxmlformats.org/officeDocument/2006/relationships/externalLinkPath" Target="file:///E:/Wang/Galan/4%20Distances/CGI018-qtz08-CL-dist-5.xlsx" TargetMode="External"/></Relationships>
</file>

<file path=xl/externalLinks/_rels/externalLink802.xml.rels><?xml version="1.0" encoding="UTF-8" standalone="yes"?>
<Relationships xmlns="http://schemas.openxmlformats.org/package/2006/relationships"><Relationship Id="rId1" Type="http://schemas.openxmlformats.org/officeDocument/2006/relationships/externalLinkPath" Target="file:///E:/Wang/Galan/4%20Distances/CGI018-qtz08-CL-dist-6.xlsx" TargetMode="External"/></Relationships>
</file>

<file path=xl/externalLinks/_rels/externalLink803.xml.rels><?xml version="1.0" encoding="UTF-8" standalone="yes"?>
<Relationships xmlns="http://schemas.openxmlformats.org/package/2006/relationships"><Relationship Id="rId1" Type="http://schemas.openxmlformats.org/officeDocument/2006/relationships/externalLinkPath" Target="file:///E:/Wang/Galan/4%20Distances/CGI018-qtz08-CL-dist-7.xlsx" TargetMode="External"/></Relationships>
</file>

<file path=xl/externalLinks/_rels/externalLink804.xml.rels><?xml version="1.0" encoding="UTF-8" standalone="yes"?>
<Relationships xmlns="http://schemas.openxmlformats.org/package/2006/relationships"><Relationship Id="rId1" Type="http://schemas.openxmlformats.org/officeDocument/2006/relationships/externalLinkPath" Target="file:///E:/Wang/Galan/4%20Distances/CGI018-qtz09-CL-dist-2.xlsx" TargetMode="External"/></Relationships>
</file>

<file path=xl/externalLinks/_rels/externalLink805.xml.rels><?xml version="1.0" encoding="UTF-8" standalone="yes"?>
<Relationships xmlns="http://schemas.openxmlformats.org/package/2006/relationships"><Relationship Id="rId1" Type="http://schemas.openxmlformats.org/officeDocument/2006/relationships/externalLinkPath" Target="file:///E:/Wang/Galan/4%20Distances/CGI018-qtz09-CL-dist-3.xlsx" TargetMode="External"/></Relationships>
</file>

<file path=xl/externalLinks/_rels/externalLink806.xml.rels><?xml version="1.0" encoding="UTF-8" standalone="yes"?>
<Relationships xmlns="http://schemas.openxmlformats.org/package/2006/relationships"><Relationship Id="rId1" Type="http://schemas.openxmlformats.org/officeDocument/2006/relationships/externalLinkPath" Target="file:///E:/Wang/Galan/4%20Distances/CGI018-qtz09-CL-dist-4.xlsx" TargetMode="External"/></Relationships>
</file>

<file path=xl/externalLinks/_rels/externalLink807.xml.rels><?xml version="1.0" encoding="UTF-8" standalone="yes"?>
<Relationships xmlns="http://schemas.openxmlformats.org/package/2006/relationships"><Relationship Id="rId1" Type="http://schemas.openxmlformats.org/officeDocument/2006/relationships/externalLinkPath" Target="file:///E:/Wang/Galan/4%20Distances/CGI018-qtz10-CL-dist-1.xlsx" TargetMode="External"/></Relationships>
</file>

<file path=xl/externalLinks/_rels/externalLink808.xml.rels><?xml version="1.0" encoding="UTF-8" standalone="yes"?>
<Relationships xmlns="http://schemas.openxmlformats.org/package/2006/relationships"><Relationship Id="rId1" Type="http://schemas.openxmlformats.org/officeDocument/2006/relationships/externalLinkPath" Target="file:///E:/Wang/Galan/4%20Distances/CGI018-qtz10-CL-dist-2.xlsx" TargetMode="External"/></Relationships>
</file>

<file path=xl/externalLinks/_rels/externalLink809.xml.rels><?xml version="1.0" encoding="UTF-8" standalone="yes"?>
<Relationships xmlns="http://schemas.openxmlformats.org/package/2006/relationships"><Relationship Id="rId1" Type="http://schemas.openxmlformats.org/officeDocument/2006/relationships/externalLinkPath" Target="file:///E:/Wang/Galan/4%20Distances/CGI018-qtz10-CL-dist-3.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E:/Wang/Galan/3%20MC/CGI005-qtz09-CL-fit-3-offset.xlsm" TargetMode="External"/></Relationships>
</file>

<file path=xl/externalLinks/_rels/externalLink810.xml.rels><?xml version="1.0" encoding="UTF-8" standalone="yes"?>
<Relationships xmlns="http://schemas.openxmlformats.org/package/2006/relationships"><Relationship Id="rId1" Type="http://schemas.openxmlformats.org/officeDocument/2006/relationships/externalLinkPath" Target="file:///E:/Wang/Galan/4%20Distances/CGI018-qtz10-CL-dist-4.xlsx" TargetMode="External"/></Relationships>
</file>

<file path=xl/externalLinks/_rels/externalLink811.xml.rels><?xml version="1.0" encoding="UTF-8" standalone="yes"?>
<Relationships xmlns="http://schemas.openxmlformats.org/package/2006/relationships"><Relationship Id="rId1" Type="http://schemas.openxmlformats.org/officeDocument/2006/relationships/externalLinkPath" Target="file:///E:/Wang/Galan/4%20Distances/CGI018-qtz10-CL-dist-5.xlsx" TargetMode="External"/></Relationships>
</file>

<file path=xl/externalLinks/_rels/externalLink812.xml.rels><?xml version="1.0" encoding="UTF-8" standalone="yes"?>
<Relationships xmlns="http://schemas.openxmlformats.org/package/2006/relationships"><Relationship Id="rId1" Type="http://schemas.openxmlformats.org/officeDocument/2006/relationships/externalLinkPath" Target="file:///E:/Wang/Galan/4%20Distances/CGI018-qtz10-CL-dist-6.xlsx" TargetMode="External"/></Relationships>
</file>

<file path=xl/externalLinks/_rels/externalLink813.xml.rels><?xml version="1.0" encoding="UTF-8" standalone="yes"?>
<Relationships xmlns="http://schemas.openxmlformats.org/package/2006/relationships"><Relationship Id="rId1" Type="http://schemas.openxmlformats.org/officeDocument/2006/relationships/externalLinkPath" Target="file:///E:/Wang/Galan/4%20Distances/CGI018-qtz11-CL-dist-1.xlsx" TargetMode="External"/></Relationships>
</file>

<file path=xl/externalLinks/_rels/externalLink814.xml.rels><?xml version="1.0" encoding="UTF-8" standalone="yes"?>
<Relationships xmlns="http://schemas.openxmlformats.org/package/2006/relationships"><Relationship Id="rId1" Type="http://schemas.openxmlformats.org/officeDocument/2006/relationships/externalLinkPath" Target="file:///E:/Wang/Galan/4%20Distances/CGI018-qtz11-CL-dist-2.xlsx" TargetMode="External"/></Relationships>
</file>

<file path=xl/externalLinks/_rels/externalLink815.xml.rels><?xml version="1.0" encoding="UTF-8" standalone="yes"?>
<Relationships xmlns="http://schemas.openxmlformats.org/package/2006/relationships"><Relationship Id="rId1" Type="http://schemas.openxmlformats.org/officeDocument/2006/relationships/externalLinkPath" Target="file:///E:/Wang/Galan/4%20Distances/CGI018-qtz11-CL-dist-3.xlsx" TargetMode="External"/></Relationships>
</file>

<file path=xl/externalLinks/_rels/externalLink816.xml.rels><?xml version="1.0" encoding="UTF-8" standalone="yes"?>
<Relationships xmlns="http://schemas.openxmlformats.org/package/2006/relationships"><Relationship Id="rId1" Type="http://schemas.openxmlformats.org/officeDocument/2006/relationships/externalLinkPath" Target="file:///E:/Wang/Galan/4%20Distances/CGI018-qtz11-CL-dist-4.xlsx" TargetMode="External"/></Relationships>
</file>

<file path=xl/externalLinks/_rels/externalLink817.xml.rels><?xml version="1.0" encoding="UTF-8" standalone="yes"?>
<Relationships xmlns="http://schemas.openxmlformats.org/package/2006/relationships"><Relationship Id="rId1" Type="http://schemas.openxmlformats.org/officeDocument/2006/relationships/externalLinkPath" Target="file:///E:/Wang/Galan/4%20Distances/CGI018-qtz11-CL-dist-5.xlsx" TargetMode="External"/></Relationships>
</file>

<file path=xl/externalLinks/_rels/externalLink818.xml.rels><?xml version="1.0" encoding="UTF-8" standalone="yes"?>
<Relationships xmlns="http://schemas.openxmlformats.org/package/2006/relationships"><Relationship Id="rId1" Type="http://schemas.openxmlformats.org/officeDocument/2006/relationships/externalLinkPath" Target="file:///E:/Wang/Galan/4%20Distances/CGI018-qtz11-CL-dist-6.xlsx" TargetMode="External"/></Relationships>
</file>

<file path=xl/externalLinks/_rels/externalLink819.xml.rels><?xml version="1.0" encoding="UTF-8" standalone="yes"?>
<Relationships xmlns="http://schemas.openxmlformats.org/package/2006/relationships"><Relationship Id="rId1" Type="http://schemas.openxmlformats.org/officeDocument/2006/relationships/externalLinkPath" Target="file:///E:/Wang/Galan/4%20Distances/CGI018-qtz12-CL-dist-1.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Wang/Galan/3%20MC/CGI005-qtz09-CL-fit-4-offset.xlsm" TargetMode="External"/></Relationships>
</file>

<file path=xl/externalLinks/_rels/externalLink820.xml.rels><?xml version="1.0" encoding="UTF-8" standalone="yes"?>
<Relationships xmlns="http://schemas.openxmlformats.org/package/2006/relationships"><Relationship Id="rId1" Type="http://schemas.openxmlformats.org/officeDocument/2006/relationships/externalLinkPath" Target="file:///E:/Wang/Galan/4%20Distances/CGI018-qtz12-CL-dist-2.xlsx" TargetMode="External"/></Relationships>
</file>

<file path=xl/externalLinks/_rels/externalLink821.xml.rels><?xml version="1.0" encoding="UTF-8" standalone="yes"?>
<Relationships xmlns="http://schemas.openxmlformats.org/package/2006/relationships"><Relationship Id="rId1" Type="http://schemas.openxmlformats.org/officeDocument/2006/relationships/externalLinkPath" Target="file:///E:/Wang/Galan/4%20Distances/CGI018-qtz12-CL-dist-3.xlsx" TargetMode="External"/></Relationships>
</file>

<file path=xl/externalLinks/_rels/externalLink822.xml.rels><?xml version="1.0" encoding="UTF-8" standalone="yes"?>
<Relationships xmlns="http://schemas.openxmlformats.org/package/2006/relationships"><Relationship Id="rId1" Type="http://schemas.openxmlformats.org/officeDocument/2006/relationships/externalLinkPath" Target="file:///E:/Wang/Galan/4%20Distances/CGI018-qtz12-CL-dist-4.xlsx" TargetMode="External"/></Relationships>
</file>

<file path=xl/externalLinks/_rels/externalLink823.xml.rels><?xml version="1.0" encoding="UTF-8" standalone="yes"?>
<Relationships xmlns="http://schemas.openxmlformats.org/package/2006/relationships"><Relationship Id="rId1" Type="http://schemas.openxmlformats.org/officeDocument/2006/relationships/externalLinkPath" Target="file:///E:/Wang/Galan/4%20Distances/CGI018-qtz12-CL-dist-5.xlsx" TargetMode="External"/></Relationships>
</file>

<file path=xl/externalLinks/_rels/externalLink824.xml.rels><?xml version="1.0" encoding="UTF-8" standalone="yes"?>
<Relationships xmlns="http://schemas.openxmlformats.org/package/2006/relationships"><Relationship Id="rId1" Type="http://schemas.openxmlformats.org/officeDocument/2006/relationships/externalLinkPath" Target="file:///E:/Wang/Galan/4%20Distances/CGI018-qtz12-CL-dist-6.xlsx" TargetMode="External"/></Relationships>
</file>

<file path=xl/externalLinks/_rels/externalLink825.xml.rels><?xml version="1.0" encoding="UTF-8" standalone="yes"?>
<Relationships xmlns="http://schemas.openxmlformats.org/package/2006/relationships"><Relationship Id="rId1" Type="http://schemas.openxmlformats.org/officeDocument/2006/relationships/externalLinkPath" Target="file:///E:/Wang/Galan/4%20Distances/CGI018-qtz12-CL-dist-7.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Wang/Galan/3%20MC/CGI005-qtz09-CL-fit-5-offset.xlsm"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E:/Wang/Galan/3%20MC/CGI005-qtz10-CL-fit-1.xlsm"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E:/Wang/Galan/3%20MC/CGI005-qtz10-CL-fit-2.xlsm"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E:/Wang/Galan/3%20MC/CGI005-qtz10-CL-fit-3-offset.xlsm"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Wang/Galan/3%20MC/CGI005-qtz10-CL-fit-4-offset.xlsm"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Wang/Galan/3%20MC/CGI005-qtz10-CL-fit-5-offset.xlsm"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E:/Wang/Galan/3%20MC/CGI005-qtz10-CL-fit-6-offset.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Wang/Galan/3%20MC/CGI001-qtz03-CL-fit-1.xlsm"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Wang/Galan/3%20MC/CGI005-qtz11-CL-fit-1-offset.xlsm"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Wang/Galan/3%20MC/CGI005-qtz11-CL-fit-2-offset.xlsm"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E:/Wang/Galan/3%20MC/CGI005-qtz11-CL-fit-3.xlsm"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E:/Wang/Galan/3%20MC/CGI005-qtz11-CL-fit-4-offset.xlsm"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E:/Wang/Galan/3%20MC/CGI005-qtz12-CL-fit-1-offset.xlsm"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E:/Wang/Galan/3%20MC/CGI005-qtz12-CL-fit-2-offset.xlsm"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E:/Wang/Galan/3%20MC/CGI005-qtz12-CL-fit-3.xlsm"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Wang/Galan/3%20MC/CGI005-qtz12-CL-fit-4-offset.xlsm"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E:/Wang/Galan/3%20MC/CGI008-qtz01-CL-fit-1-offset.xlsm"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Wang/Galan/3%20MC/CGI008-qtz01-CL-fit-2-offs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refreshError="1"/>
      <sheetData sheetId="1" refreshError="1"/>
      <sheetData sheetId="2" refreshError="1"/>
      <sheetData sheetId="3" refreshError="1">
        <row r="1">
          <cell r="U1">
            <v>116</v>
          </cell>
        </row>
        <row r="4">
          <cell r="B4">
            <v>5.6223513669966021</v>
          </cell>
          <cell r="C4">
            <v>5.6752264688713741</v>
          </cell>
        </row>
        <row r="116">
          <cell r="W116">
            <v>3.0459468401728094</v>
          </cell>
          <cell r="Z116">
            <v>8.3785364464753194</v>
          </cell>
        </row>
      </sheetData>
      <sheetData sheetId="4" refreshError="1">
        <row r="9">
          <cell r="B9">
            <v>5.675112947304715</v>
          </cell>
          <cell r="C9">
            <v>6.3397520649277688</v>
          </cell>
          <cell r="D9">
            <v>8.4805318919982913</v>
          </cell>
          <cell r="E9">
            <v>8.7409128954541586</v>
          </cell>
          <cell r="F9">
            <v>8.4899829905732069</v>
          </cell>
          <cell r="G9">
            <v>4.6379852663886183</v>
          </cell>
          <cell r="H9">
            <v>5.6574393503690503</v>
          </cell>
          <cell r="I9">
            <v>4.9207826048398378</v>
          </cell>
          <cell r="J9">
            <v>4.3562667788892471</v>
          </cell>
          <cell r="K9">
            <v>4.6096206940403999</v>
          </cell>
          <cell r="L9">
            <v>4.3542342325727441</v>
          </cell>
          <cell r="N9">
            <v>5.6612296673154168</v>
          </cell>
          <cell r="O9">
            <v>6.0238747015780039</v>
          </cell>
          <cell r="P9">
            <v>5.6574393503690503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3.0026585948047249</v>
          </cell>
          <cell r="C4">
            <v>2.994292509486812</v>
          </cell>
        </row>
        <row r="96">
          <cell r="W96">
            <v>2.2152109376394411</v>
          </cell>
          <cell r="Z96">
            <v>3.9221252790301713</v>
          </cell>
        </row>
      </sheetData>
      <sheetData sheetId="4">
        <row r="9">
          <cell r="B9">
            <v>4.5497382000000002</v>
          </cell>
          <cell r="C9">
            <v>3.6911489</v>
          </cell>
          <cell r="D9">
            <v>3.0535054000000001</v>
          </cell>
          <cell r="E9">
            <v>2.4027283981816359</v>
          </cell>
          <cell r="F9">
            <v>2.4512645904369066</v>
          </cell>
          <cell r="G9">
            <v>2.3841337</v>
          </cell>
          <cell r="H9">
            <v>2.2820128999999998</v>
          </cell>
          <cell r="I9">
            <v>3.0344423096583615</v>
          </cell>
          <cell r="J9">
            <v>3.0845932293925737</v>
          </cell>
          <cell r="K9">
            <v>3.1909508999999998</v>
          </cell>
          <cell r="L9">
            <v>3.0917137314904064</v>
          </cell>
          <cell r="N9">
            <v>3.0045171000000002</v>
          </cell>
          <cell r="O9">
            <v>3.0196574781054437</v>
          </cell>
          <cell r="P9">
            <v>3.0535054000000001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5.3457528211217955</v>
          </cell>
          <cell r="C4">
            <v>5.2400603956747194</v>
          </cell>
        </row>
        <row r="102">
          <cell r="W102">
            <v>2.9614183145085562</v>
          </cell>
          <cell r="Z102">
            <v>7.3318407915153321</v>
          </cell>
        </row>
      </sheetData>
      <sheetData sheetId="4">
        <row r="9">
          <cell r="B9">
            <v>3.9368414750799783</v>
          </cell>
          <cell r="C9">
            <v>5.6825359482466808</v>
          </cell>
          <cell r="D9">
            <v>3.8475131540535408</v>
          </cell>
          <cell r="E9">
            <v>4.6218083146274651</v>
          </cell>
          <cell r="F9">
            <v>4.7574024767907206</v>
          </cell>
          <cell r="G9">
            <v>4.208724245792471</v>
          </cell>
          <cell r="H9">
            <v>8.4018584678262069</v>
          </cell>
          <cell r="I9">
            <v>5.9592668337504735</v>
          </cell>
          <cell r="J9">
            <v>6.4876876018079512</v>
          </cell>
          <cell r="K9">
            <v>6.8141255839771731</v>
          </cell>
          <cell r="L9">
            <v>4.5320322937939306</v>
          </cell>
          <cell r="N9">
            <v>5.2668345367836578</v>
          </cell>
          <cell r="O9">
            <v>5.386345126886054</v>
          </cell>
          <cell r="P9">
            <v>4.7574024767907206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84</v>
          </cell>
        </row>
        <row r="4">
          <cell r="B4">
            <v>1.9318771412860891</v>
          </cell>
          <cell r="C4">
            <v>1.8700039968966207</v>
          </cell>
        </row>
        <row r="84">
          <cell r="W84">
            <v>6.6516077271504714E-2</v>
          </cell>
          <cell r="Z84">
            <v>4.0219666006380832</v>
          </cell>
        </row>
      </sheetData>
      <sheetData sheetId="4">
        <row r="9">
          <cell r="B9">
            <v>4.7905480000000004E-3</v>
          </cell>
          <cell r="C9">
            <v>0.40573186635381997</v>
          </cell>
          <cell r="D9">
            <v>0.54687494639395784</v>
          </cell>
          <cell r="E9">
            <v>2.0387587696662952</v>
          </cell>
          <cell r="F9">
            <v>1.7524759085104864</v>
          </cell>
          <cell r="G9">
            <v>2.4161894455734947</v>
          </cell>
          <cell r="H9">
            <v>1.4139653437029414</v>
          </cell>
          <cell r="I9">
            <v>0.94662308861016675</v>
          </cell>
          <cell r="J9">
            <v>5.0696668389672711E-3</v>
          </cell>
          <cell r="K9">
            <v>2.8803989829470353</v>
          </cell>
          <cell r="L9">
            <v>3.542549782023876</v>
          </cell>
          <cell r="N9">
            <v>2.2984028718832774</v>
          </cell>
          <cell r="O9">
            <v>1.4503116680564583</v>
          </cell>
          <cell r="P9">
            <v>1.4139653437029414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1.0351869823952984</v>
          </cell>
          <cell r="C4">
            <v>1.0428509632687475</v>
          </cell>
        </row>
        <row r="92">
          <cell r="W92">
            <v>0.22624602173047298</v>
          </cell>
          <cell r="Z92">
            <v>1.7123167651233542</v>
          </cell>
        </row>
      </sheetData>
      <sheetData sheetId="4">
        <row r="9">
          <cell r="B9">
            <v>1.3675669432807391</v>
          </cell>
          <cell r="C9">
            <v>1.0546453045729236</v>
          </cell>
          <cell r="D9">
            <v>1.2508269379673926</v>
          </cell>
          <cell r="E9">
            <v>1.0142064632824348</v>
          </cell>
          <cell r="F9">
            <v>0.80805864701890939</v>
          </cell>
          <cell r="G9">
            <v>0.70343949252768534</v>
          </cell>
          <cell r="H9">
            <v>0.94649229796120071</v>
          </cell>
          <cell r="I9">
            <v>0.93887172443313616</v>
          </cell>
          <cell r="J9">
            <v>0.63935765317361215</v>
          </cell>
          <cell r="K9">
            <v>1.1936895110332764</v>
          </cell>
          <cell r="L9">
            <v>0.92876161424826853</v>
          </cell>
          <cell r="N9">
            <v>1.049216961962127</v>
          </cell>
          <cell r="O9">
            <v>0.98599241722723441</v>
          </cell>
          <cell r="P9">
            <v>0.94649229796120071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136</v>
          </cell>
        </row>
        <row r="4">
          <cell r="B4">
            <v>6.600447</v>
          </cell>
          <cell r="C4">
            <v>6.8210885961029417</v>
          </cell>
        </row>
        <row r="136">
          <cell r="W136">
            <v>1.6468680452943056</v>
          </cell>
          <cell r="Z136">
            <v>12.172886984581341</v>
          </cell>
        </row>
      </sheetData>
      <sheetData sheetId="4">
        <row r="9">
          <cell r="B9">
            <v>8.3893115764866764</v>
          </cell>
          <cell r="C9">
            <v>6.5723724989420704</v>
          </cell>
          <cell r="D9">
            <v>5.8889128624598381</v>
          </cell>
          <cell r="E9">
            <v>9.7099414460684645</v>
          </cell>
          <cell r="F9">
            <v>6.5658184811605631</v>
          </cell>
          <cell r="G9">
            <v>5.6806055236570456</v>
          </cell>
          <cell r="H9">
            <v>0.21885597422307898</v>
          </cell>
          <cell r="I9">
            <v>0.26838302456143137</v>
          </cell>
          <cell r="J9">
            <v>6.5380091561031959</v>
          </cell>
          <cell r="K9">
            <v>4.9227377230025704</v>
          </cell>
          <cell r="L9">
            <v>3.049827913356816</v>
          </cell>
          <cell r="N9">
            <v>6.8905623973118502</v>
          </cell>
          <cell r="O9">
            <v>5.2549796527292489</v>
          </cell>
          <cell r="P9">
            <v>5.8889128624598381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136</v>
          </cell>
        </row>
        <row r="4">
          <cell r="B4">
            <v>4.4482877202693345</v>
          </cell>
          <cell r="C4">
            <v>4.6217396244590718</v>
          </cell>
        </row>
        <row r="136">
          <cell r="W136">
            <v>0.23220362939372957</v>
          </cell>
          <cell r="Z136">
            <v>10.110936187506521</v>
          </cell>
        </row>
      </sheetData>
      <sheetData sheetId="4">
        <row r="9">
          <cell r="B9">
            <v>10.63835272709121</v>
          </cell>
          <cell r="C9">
            <v>3.7138216439402991</v>
          </cell>
          <cell r="D9">
            <v>7.2200893820247263</v>
          </cell>
          <cell r="E9">
            <v>3.9451891767458598</v>
          </cell>
          <cell r="F9">
            <v>0</v>
          </cell>
          <cell r="G9">
            <v>8.312633805981875</v>
          </cell>
          <cell r="H9">
            <v>0.63843363439141376</v>
          </cell>
          <cell r="I9">
            <v>0.28198679042793068</v>
          </cell>
          <cell r="J9">
            <v>7.9018818000000005E-2</v>
          </cell>
          <cell r="K9">
            <v>5.9308572193977236</v>
          </cell>
          <cell r="L9">
            <v>0.24399395273235949</v>
          </cell>
          <cell r="N9">
            <v>5.6555568692914742</v>
          </cell>
          <cell r="O9">
            <v>4.1004377150733387</v>
          </cell>
          <cell r="P9">
            <v>3.8295054103430797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114</v>
          </cell>
        </row>
        <row r="4">
          <cell r="B4">
            <v>2.2696452820435304</v>
          </cell>
          <cell r="C4">
            <v>2.3093639123351024</v>
          </cell>
        </row>
        <row r="114">
          <cell r="W114">
            <v>1.3712535011111382</v>
          </cell>
          <cell r="Z114">
            <v>3.5758034119821933</v>
          </cell>
        </row>
      </sheetData>
      <sheetData sheetId="4">
        <row r="9">
          <cell r="B9">
            <v>2.0927451118490294</v>
          </cell>
          <cell r="C9">
            <v>2.1831135582712591</v>
          </cell>
          <cell r="D9">
            <v>2.7806438794057238</v>
          </cell>
          <cell r="E9">
            <v>2.3956905689231882</v>
          </cell>
          <cell r="F9">
            <v>2.3926032842060883</v>
          </cell>
          <cell r="G9">
            <v>1.4648420581258677</v>
          </cell>
          <cell r="H9">
            <v>2.9336781581571794</v>
          </cell>
          <cell r="I9">
            <v>2.9517600938331987</v>
          </cell>
          <cell r="J9">
            <v>2.2818811198382729</v>
          </cell>
          <cell r="K9">
            <v>1.4111239369355375</v>
          </cell>
          <cell r="L9">
            <v>2.7861095756196002</v>
          </cell>
          <cell r="N9">
            <v>2.2540870324440347</v>
          </cell>
          <cell r="O9">
            <v>2.3340173950149952</v>
          </cell>
          <cell r="P9">
            <v>2.3926032842060883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76</v>
          </cell>
        </row>
        <row r="4">
          <cell r="B4">
            <v>0.3306908025760773</v>
          </cell>
          <cell r="C4">
            <v>0.54508673568577126</v>
          </cell>
        </row>
        <row r="76">
          <cell r="W76">
            <v>0.10391707838250701</v>
          </cell>
          <cell r="Z76">
            <v>3.6285191840347504</v>
          </cell>
        </row>
      </sheetData>
      <sheetData sheetId="4">
        <row r="9">
          <cell r="B9">
            <v>0.22831768929800286</v>
          </cell>
          <cell r="C9">
            <v>0.15908064428859309</v>
          </cell>
          <cell r="D9">
            <v>0.26441329157474108</v>
          </cell>
          <cell r="E9">
            <v>0.51860378557668318</v>
          </cell>
          <cell r="F9">
            <v>6.2094222071936218E-2</v>
          </cell>
          <cell r="G9">
            <v>2.8880439312273296</v>
          </cell>
          <cell r="H9">
            <v>2.5074698126697932</v>
          </cell>
          <cell r="I9">
            <v>2.0071248987155221</v>
          </cell>
          <cell r="J9">
            <v>0.27690282949111006</v>
          </cell>
          <cell r="K9">
            <v>8.7858198355566589E-3</v>
          </cell>
          <cell r="L9">
            <v>0.3138985077765522</v>
          </cell>
          <cell r="N9">
            <v>0.34911211631464006</v>
          </cell>
          <cell r="O9">
            <v>0.8395214029568927</v>
          </cell>
          <cell r="P9">
            <v>0.27690282949111006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3.6791708375095862</v>
          </cell>
          <cell r="C4">
            <v>3.658014159220889</v>
          </cell>
        </row>
        <row r="98">
          <cell r="W98">
            <v>0.69276468444306083</v>
          </cell>
          <cell r="Z98">
            <v>6.4421729192599591</v>
          </cell>
        </row>
      </sheetData>
      <sheetData sheetId="4">
        <row r="9">
          <cell r="B9">
            <v>3.8314853976370329</v>
          </cell>
          <cell r="C9">
            <v>3.6102060476342097</v>
          </cell>
          <cell r="D9">
            <v>4.6308841006363792</v>
          </cell>
          <cell r="E9">
            <v>3.5330184021346693</v>
          </cell>
          <cell r="F9">
            <v>0.21105520956411228</v>
          </cell>
          <cell r="G9">
            <v>5.0418762104600283</v>
          </cell>
          <cell r="H9">
            <v>3.6527685437613293</v>
          </cell>
          <cell r="I9">
            <v>2.884129186475402</v>
          </cell>
          <cell r="J9">
            <v>4.6113156186707229</v>
          </cell>
          <cell r="K9">
            <v>4.0612451058449643</v>
          </cell>
          <cell r="L9">
            <v>2.8501257195051091</v>
          </cell>
          <cell r="N9">
            <v>3.7919763328187277</v>
          </cell>
          <cell r="O9">
            <v>3.5380099583930869</v>
          </cell>
          <cell r="P9">
            <v>3.6527685437613293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2.877214838740926</v>
          </cell>
          <cell r="C4">
            <v>3.0741857156584675</v>
          </cell>
        </row>
        <row r="92">
          <cell r="W92">
            <v>0.22485533763321339</v>
          </cell>
          <cell r="Z92">
            <v>7.6535409338289213</v>
          </cell>
        </row>
      </sheetData>
      <sheetData sheetId="4">
        <row r="9">
          <cell r="B9">
            <v>2.5214179617786194</v>
          </cell>
          <cell r="C9">
            <v>4.0636718549996758</v>
          </cell>
          <cell r="D9">
            <v>0.14390868332611081</v>
          </cell>
          <cell r="E9">
            <v>8.4345938999999995E-2</v>
          </cell>
          <cell r="F9">
            <v>2.1085647860127046</v>
          </cell>
          <cell r="G9">
            <v>1.2124488647362077</v>
          </cell>
          <cell r="H9">
            <v>1.8838840565856649</v>
          </cell>
          <cell r="I9">
            <v>0.18398477532123839</v>
          </cell>
          <cell r="J9">
            <v>3.8312576007258183</v>
          </cell>
          <cell r="K9">
            <v>4.0357031624388453</v>
          </cell>
          <cell r="L9">
            <v>1.3045215751396555</v>
          </cell>
          <cell r="N9">
            <v>2.8204334136478488</v>
          </cell>
          <cell r="O9">
            <v>1.9430644781876858</v>
          </cell>
          <cell r="P9">
            <v>1.8838840565856649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1.6838949829922139</v>
          </cell>
          <cell r="C4">
            <v>1.6870603532529276</v>
          </cell>
        </row>
        <row r="82">
          <cell r="W82">
            <v>0.76430771633953176</v>
          </cell>
          <cell r="Z82">
            <v>2.7329189392292035</v>
          </cell>
        </row>
      </sheetData>
      <sheetData sheetId="4">
        <row r="9">
          <cell r="B9">
            <v>3.4943063194017037</v>
          </cell>
          <cell r="C9">
            <v>1.3807024910263064</v>
          </cell>
          <cell r="D9">
            <v>0.89704944774808104</v>
          </cell>
          <cell r="E9">
            <v>2.5010114607029212</v>
          </cell>
          <cell r="F9">
            <v>1.8190442508048763</v>
          </cell>
          <cell r="G9">
            <v>1.7939467332502854</v>
          </cell>
          <cell r="H9">
            <v>1.9720412330801635</v>
          </cell>
          <cell r="I9">
            <v>2.040341690798043</v>
          </cell>
          <cell r="J9">
            <v>2.3998440033644375</v>
          </cell>
          <cell r="K9">
            <v>1.885755869957281</v>
          </cell>
          <cell r="L9">
            <v>2.3875081017900972</v>
          </cell>
          <cell r="N9">
            <v>1.7356913268782488</v>
          </cell>
          <cell r="O9">
            <v>2.0519592365385635</v>
          </cell>
          <cell r="P9">
            <v>1.9720412330801635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2.2891279661786337</v>
          </cell>
          <cell r="C4">
            <v>2.4229141712213593</v>
          </cell>
        </row>
        <row r="82">
          <cell r="W82">
            <v>0.20946500703188967</v>
          </cell>
          <cell r="Z82">
            <v>6.9691805355516996</v>
          </cell>
        </row>
      </sheetData>
      <sheetData sheetId="4">
        <row r="9">
          <cell r="B9">
            <v>6.1237808880963298</v>
          </cell>
          <cell r="C9">
            <v>2.3150857</v>
          </cell>
          <cell r="D9">
            <v>2.4154045292026116</v>
          </cell>
          <cell r="E9">
            <v>3.5142561540402486</v>
          </cell>
          <cell r="F9">
            <v>1.1437780969639122</v>
          </cell>
          <cell r="G9">
            <v>1.7687634000000001</v>
          </cell>
          <cell r="H9">
            <v>0.18816801</v>
          </cell>
          <cell r="I9">
            <v>0.40968044999999997</v>
          </cell>
          <cell r="J9">
            <v>2.2898113733993517</v>
          </cell>
          <cell r="K9">
            <v>3.0726744725882154</v>
          </cell>
          <cell r="L9">
            <v>2.0836447702386462</v>
          </cell>
          <cell r="N9">
            <v>2.5281905724761873</v>
          </cell>
          <cell r="O9">
            <v>2.302277076775392</v>
          </cell>
          <cell r="P9">
            <v>2.2898113733993517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0.20321153521456592</v>
          </cell>
          <cell r="C4">
            <v>0.54998450454962688</v>
          </cell>
        </row>
        <row r="78">
          <cell r="W78">
            <v>5.0635504749208045E-8</v>
          </cell>
          <cell r="Z78">
            <v>4.9534017305841855</v>
          </cell>
        </row>
      </sheetData>
      <sheetData sheetId="4">
        <row r="9">
          <cell r="B9">
            <v>5.510330232655695E-3</v>
          </cell>
          <cell r="C9">
            <v>0.7275774391049612</v>
          </cell>
          <cell r="D9">
            <v>2.3123545307665578</v>
          </cell>
          <cell r="E9">
            <v>3.1193869059759725</v>
          </cell>
          <cell r="F9">
            <v>0.63476857752027172</v>
          </cell>
          <cell r="G9">
            <v>0.539118742847008</v>
          </cell>
          <cell r="H9">
            <v>0.65502170244478852</v>
          </cell>
          <cell r="I9">
            <v>4.7438458000000003E-2</v>
          </cell>
          <cell r="J9">
            <v>0.19068644462129475</v>
          </cell>
          <cell r="K9">
            <v>0.83852427211500158</v>
          </cell>
          <cell r="L9">
            <v>1.2159831764558757</v>
          </cell>
          <cell r="N9">
            <v>0.21192285139679803</v>
          </cell>
          <cell r="O9">
            <v>0.93512459818948979</v>
          </cell>
          <cell r="P9">
            <v>0.65502170244478852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74</v>
          </cell>
        </row>
        <row r="4">
          <cell r="B4">
            <v>0.48863408165563682</v>
          </cell>
          <cell r="C4">
            <v>0.89257207753140255</v>
          </cell>
        </row>
        <row r="74">
          <cell r="W74">
            <v>8.4541584783669976E-8</v>
          </cell>
          <cell r="Z74">
            <v>3.1980411388265728</v>
          </cell>
        </row>
      </sheetData>
      <sheetData sheetId="4">
        <row r="9">
          <cell r="B9">
            <v>3.3218520677284468E-8</v>
          </cell>
          <cell r="C9">
            <v>0.10129275546865003</v>
          </cell>
          <cell r="D9">
            <v>1.4348255171054889</v>
          </cell>
          <cell r="E9">
            <v>3.4282959578569701</v>
          </cell>
          <cell r="F9">
            <v>4.0219408999999998E-2</v>
          </cell>
          <cell r="G9">
            <v>1.1974469304973292</v>
          </cell>
          <cell r="H9">
            <v>0.24430057547748971</v>
          </cell>
          <cell r="I9">
            <v>2.5768296458734827E-2</v>
          </cell>
          <cell r="J9">
            <v>1.0764300058423546</v>
          </cell>
          <cell r="K9">
            <v>1.6484615037531327</v>
          </cell>
          <cell r="L9">
            <v>2.3138966870301871</v>
          </cell>
          <cell r="N9">
            <v>1.1496420015226658</v>
          </cell>
          <cell r="O9">
            <v>1.0464488792462598</v>
          </cell>
          <cell r="P9">
            <v>1.0764300058423546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114</v>
          </cell>
        </row>
        <row r="4">
          <cell r="B4">
            <v>4.7013842551891774</v>
          </cell>
          <cell r="C4">
            <v>4.716330228825302</v>
          </cell>
        </row>
        <row r="114">
          <cell r="W114">
            <v>1.3700481012706598</v>
          </cell>
          <cell r="Z114">
            <v>8.0467276152877503</v>
          </cell>
        </row>
      </sheetData>
      <sheetData sheetId="4">
        <row r="9">
          <cell r="B9">
            <v>4.1485077431795867</v>
          </cell>
          <cell r="C9">
            <v>9.0716125613106815</v>
          </cell>
          <cell r="D9">
            <v>1.7140594125476527</v>
          </cell>
          <cell r="E9">
            <v>8.0262722535143531</v>
          </cell>
          <cell r="F9">
            <v>4.396948130232043</v>
          </cell>
          <cell r="G9">
            <v>6.0145737585897674</v>
          </cell>
          <cell r="H9">
            <v>2.5604198858698446</v>
          </cell>
          <cell r="I9">
            <v>7.9234337592445963</v>
          </cell>
          <cell r="J9">
            <v>1.7755645362891568</v>
          </cell>
          <cell r="K9">
            <v>7.1195058897135901</v>
          </cell>
          <cell r="L9">
            <v>4.7598817777068776</v>
          </cell>
          <cell r="N9">
            <v>4.813900435281135</v>
          </cell>
          <cell r="O9">
            <v>5.228252700745287</v>
          </cell>
          <cell r="P9">
            <v>4.7598817777068776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108</v>
          </cell>
        </row>
        <row r="4">
          <cell r="B4">
            <v>5.2982410736136529</v>
          </cell>
          <cell r="C4">
            <v>5.3056690020230599</v>
          </cell>
        </row>
        <row r="108">
          <cell r="W108">
            <v>1.6915936079986826</v>
          </cell>
          <cell r="Z108">
            <v>8.7001095368120769</v>
          </cell>
        </row>
      </sheetData>
      <sheetData sheetId="4">
        <row r="9">
          <cell r="B9">
            <v>7.6682412792521628</v>
          </cell>
          <cell r="C9">
            <v>6.1841686634794488</v>
          </cell>
          <cell r="D9">
            <v>6.0318335754975685</v>
          </cell>
          <cell r="E9">
            <v>3.2032861932375241</v>
          </cell>
          <cell r="F9">
            <v>3.7363431008412444</v>
          </cell>
          <cell r="G9">
            <v>7.2587649694449539</v>
          </cell>
          <cell r="H9">
            <v>5.4382467562640437</v>
          </cell>
          <cell r="I9">
            <v>5.9022337526209476</v>
          </cell>
          <cell r="J9">
            <v>5.7053386778981965</v>
          </cell>
          <cell r="K9">
            <v>2.3567463932418007</v>
          </cell>
          <cell r="L9">
            <v>1.8236408477379087</v>
          </cell>
          <cell r="N9">
            <v>5.0983536520586243</v>
          </cell>
          <cell r="O9">
            <v>5.0280767463196172</v>
          </cell>
          <cell r="P9">
            <v>5.7053386778981965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108</v>
          </cell>
        </row>
        <row r="4">
          <cell r="B4">
            <v>2.9433472395598144</v>
          </cell>
          <cell r="C4">
            <v>2.9188570996566336</v>
          </cell>
        </row>
        <row r="108">
          <cell r="W108">
            <v>1.1688683888114082</v>
          </cell>
          <cell r="Z108">
            <v>4.3133133338811485</v>
          </cell>
        </row>
      </sheetData>
      <sheetData sheetId="4">
        <row r="9">
          <cell r="B9">
            <v>3.605215869615285</v>
          </cell>
          <cell r="C9">
            <v>3.5331025266667053</v>
          </cell>
          <cell r="D9">
            <v>3.9435633164361676</v>
          </cell>
          <cell r="E9">
            <v>2.5211513632040186</v>
          </cell>
          <cell r="F9">
            <v>4.3651560330016421</v>
          </cell>
          <cell r="G9">
            <v>3.756459014544566</v>
          </cell>
          <cell r="H9">
            <v>2.7783212017501451</v>
          </cell>
          <cell r="I9">
            <v>2.8328374354247359</v>
          </cell>
          <cell r="J9">
            <v>1.1534412102982232</v>
          </cell>
          <cell r="K9">
            <v>2.6291424632903286</v>
          </cell>
          <cell r="L9">
            <v>2.6502578091087794</v>
          </cell>
          <cell r="N9">
            <v>3.0505618960648837</v>
          </cell>
          <cell r="O9">
            <v>3.0698771130309628</v>
          </cell>
          <cell r="P9">
            <v>2.8328374354247359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86</v>
          </cell>
        </row>
        <row r="4">
          <cell r="B4">
            <v>2.7905339957423356</v>
          </cell>
          <cell r="C4">
            <v>2.9128303884117712</v>
          </cell>
        </row>
        <row r="86">
          <cell r="W86">
            <v>0.65460605009756145</v>
          </cell>
          <cell r="Z86">
            <v>6.4173726603332897</v>
          </cell>
        </row>
      </sheetData>
      <sheetData sheetId="4">
        <row r="9">
          <cell r="B9">
            <v>4.4103127892757525</v>
          </cell>
          <cell r="C9">
            <v>2.6994703154571305</v>
          </cell>
          <cell r="D9">
            <v>3.0335690719167796</v>
          </cell>
          <cell r="E9">
            <v>1.0780548823944911</v>
          </cell>
          <cell r="F9">
            <v>3.0978610282120536</v>
          </cell>
          <cell r="G9">
            <v>3.7542585851726855</v>
          </cell>
          <cell r="H9">
            <v>4.8663553661453589</v>
          </cell>
          <cell r="I9">
            <v>2.868106624618461</v>
          </cell>
          <cell r="J9">
            <v>0.27467805730672112</v>
          </cell>
          <cell r="K9">
            <v>2.5435829116601782</v>
          </cell>
          <cell r="L9">
            <v>2.0319650966673248</v>
          </cell>
          <cell r="N9">
            <v>2.8657956625750627</v>
          </cell>
          <cell r="O9">
            <v>2.7871104298933576</v>
          </cell>
          <cell r="P9">
            <v>2.868106624618461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2.6188955521558182</v>
          </cell>
          <cell r="C4">
            <v>2.6220152527587133</v>
          </cell>
        </row>
        <row r="88">
          <cell r="W88">
            <v>0.7333974724230895</v>
          </cell>
          <cell r="Z88">
            <v>4.522641821890244</v>
          </cell>
        </row>
      </sheetData>
      <sheetData sheetId="4">
        <row r="9">
          <cell r="B9">
            <v>3.8415849146661909</v>
          </cell>
          <cell r="C9">
            <v>3.0313479744654814</v>
          </cell>
          <cell r="D9">
            <v>2.6524828601215682</v>
          </cell>
          <cell r="E9">
            <v>1.4204829225030258</v>
          </cell>
          <cell r="F9">
            <v>0.99745274256647232</v>
          </cell>
          <cell r="G9">
            <v>2.7122419798906812</v>
          </cell>
          <cell r="H9">
            <v>2.235309504329813</v>
          </cell>
          <cell r="I9">
            <v>2.1844699227891677</v>
          </cell>
          <cell r="J9">
            <v>4.0638556137466813</v>
          </cell>
          <cell r="K9">
            <v>2.5959198225807461</v>
          </cell>
          <cell r="L9">
            <v>1.274661451652497</v>
          </cell>
          <cell r="N9">
            <v>2.542705786579972</v>
          </cell>
          <cell r="O9">
            <v>2.4554372463011207</v>
          </cell>
          <cell r="P9">
            <v>2.5959198225807461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1.8673629676823651</v>
          </cell>
          <cell r="C4">
            <v>1.8322726221100976</v>
          </cell>
        </row>
        <row r="78">
          <cell r="W78">
            <v>0.71317233637370048</v>
          </cell>
          <cell r="Z78">
            <v>2.6829791352329684</v>
          </cell>
        </row>
      </sheetData>
      <sheetData sheetId="4">
        <row r="9">
          <cell r="B9">
            <v>2.0028951983361138</v>
          </cell>
          <cell r="C9">
            <v>1.6274998217251411</v>
          </cell>
          <cell r="D9">
            <v>1.6299131683199242</v>
          </cell>
          <cell r="E9">
            <v>1.6920122326172624</v>
          </cell>
          <cell r="F9">
            <v>1.2500647451504783</v>
          </cell>
          <cell r="G9">
            <v>1.6656083169885842</v>
          </cell>
          <cell r="H9">
            <v>1.7067159966572407</v>
          </cell>
          <cell r="I9">
            <v>2.1393284204043281</v>
          </cell>
          <cell r="J9">
            <v>2.4445426562376724</v>
          </cell>
          <cell r="K9">
            <v>2.4225906403517787</v>
          </cell>
          <cell r="L9">
            <v>1.6168701025963452</v>
          </cell>
          <cell r="N9">
            <v>1.8482046905999368</v>
          </cell>
          <cell r="O9">
            <v>1.8361855726713516</v>
          </cell>
          <cell r="P9">
            <v>1.6920122326172624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140</v>
          </cell>
        </row>
        <row r="4">
          <cell r="B4">
            <v>9.7960229771930756</v>
          </cell>
          <cell r="C4">
            <v>10.083021032035257</v>
          </cell>
        </row>
        <row r="140">
          <cell r="W140">
            <v>6.3839884761224361</v>
          </cell>
          <cell r="Z140">
            <v>15.076217563646994</v>
          </cell>
        </row>
      </sheetData>
      <sheetData sheetId="4">
        <row r="9">
          <cell r="B9">
            <v>7.1754227242292723</v>
          </cell>
          <cell r="C9">
            <v>9.6274554824577212</v>
          </cell>
          <cell r="D9">
            <v>12.268338450676186</v>
          </cell>
          <cell r="E9">
            <v>12.418591850297869</v>
          </cell>
          <cell r="F9">
            <v>9.9080962598057774</v>
          </cell>
          <cell r="G9">
            <v>11.433068357558584</v>
          </cell>
          <cell r="H9">
            <v>12.105460878004687</v>
          </cell>
          <cell r="I9">
            <v>7.8080884096452348</v>
          </cell>
          <cell r="J9">
            <v>11.658657720330135</v>
          </cell>
          <cell r="K9">
            <v>10.410762056479438</v>
          </cell>
          <cell r="L9">
            <v>6.5535123962702464</v>
          </cell>
          <cell r="N9">
            <v>10.206797811510189</v>
          </cell>
          <cell r="O9">
            <v>10.124314053250471</v>
          </cell>
          <cell r="P9">
            <v>10.410762056479438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114</v>
          </cell>
        </row>
        <row r="4">
          <cell r="B4">
            <v>5.9541238922223609</v>
          </cell>
          <cell r="C4">
            <v>6.0406843416611222</v>
          </cell>
        </row>
        <row r="114">
          <cell r="W114">
            <v>4.4846970713641028</v>
          </cell>
          <cell r="Z114">
            <v>7.6573561250275484</v>
          </cell>
        </row>
      </sheetData>
      <sheetData sheetId="4">
        <row r="9">
          <cell r="B9">
            <v>7.5408378030817333</v>
          </cell>
          <cell r="C9">
            <v>5.7970619545932012</v>
          </cell>
          <cell r="D9">
            <v>5.7172513949283541</v>
          </cell>
          <cell r="E9">
            <v>5.5014853926575968</v>
          </cell>
          <cell r="F9">
            <v>7.363936632492261</v>
          </cell>
          <cell r="G9">
            <v>6.0456852090702577</v>
          </cell>
          <cell r="H9">
            <v>6.3108884269399104</v>
          </cell>
          <cell r="I9">
            <v>6.4825051361209054</v>
          </cell>
          <cell r="J9">
            <v>5.4022590044013272</v>
          </cell>
          <cell r="K9">
            <v>4.7839134734317126</v>
          </cell>
          <cell r="L9">
            <v>5.8809082616422037</v>
          </cell>
          <cell r="N9">
            <v>6.0403615842845939</v>
          </cell>
          <cell r="O9">
            <v>6.075157517214496</v>
          </cell>
          <cell r="P9">
            <v>5.8809082616422037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0.2533974699337882</v>
          </cell>
          <cell r="C4">
            <v>0.32522525198609342</v>
          </cell>
        </row>
        <row r="78">
          <cell r="W78">
            <v>7.2056237354925161E-6</v>
          </cell>
          <cell r="Z78">
            <v>0.91306907484015853</v>
          </cell>
        </row>
      </sheetData>
      <sheetData sheetId="4">
        <row r="9">
          <cell r="B9">
            <v>0.26063368061439379</v>
          </cell>
          <cell r="C9">
            <v>9.0046113999999997E-2</v>
          </cell>
          <cell r="D9">
            <v>0.73673418236669042</v>
          </cell>
          <cell r="E9">
            <v>0.51733794649219045</v>
          </cell>
          <cell r="F9">
            <v>0.25008432176392942</v>
          </cell>
          <cell r="G9">
            <v>0.23674158071106285</v>
          </cell>
          <cell r="H9">
            <v>0.88595347788314294</v>
          </cell>
          <cell r="I9">
            <v>0.25537069968825987</v>
          </cell>
          <cell r="J9">
            <v>0.2230837955299344</v>
          </cell>
          <cell r="K9">
            <v>0.72822122088625052</v>
          </cell>
          <cell r="L9">
            <v>2.4019148445106851E-2</v>
          </cell>
          <cell r="N9">
            <v>0.26136826700237192</v>
          </cell>
          <cell r="O9">
            <v>0.38256601530736012</v>
          </cell>
          <cell r="P9">
            <v>0.25537069968825987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112</v>
          </cell>
        </row>
        <row r="4">
          <cell r="B4">
            <v>6.4207789538292221</v>
          </cell>
          <cell r="C4">
            <v>7.5700493484655871</v>
          </cell>
        </row>
        <row r="112">
          <cell r="W112">
            <v>2.1305230502494852</v>
          </cell>
          <cell r="Z112">
            <v>17.1106032304147</v>
          </cell>
        </row>
      </sheetData>
      <sheetData sheetId="4">
        <row r="9">
          <cell r="B9">
            <v>10.198181528802252</v>
          </cell>
          <cell r="C9">
            <v>5.1566729219430618</v>
          </cell>
          <cell r="D9">
            <v>6.2400655234665825</v>
          </cell>
          <cell r="E9">
            <v>6.7438523059479207</v>
          </cell>
          <cell r="F9">
            <v>1.9663020676529568</v>
          </cell>
          <cell r="G9">
            <v>6.4259193717763328</v>
          </cell>
          <cell r="H9">
            <v>6.2362094865418456</v>
          </cell>
          <cell r="I9">
            <v>5.6781628212252846</v>
          </cell>
          <cell r="J9">
            <v>9.2079958496046519</v>
          </cell>
          <cell r="K9">
            <v>6.6382272117943879</v>
          </cell>
          <cell r="L9">
            <v>4.3109623364963161</v>
          </cell>
          <cell r="N9">
            <v>6.5172436076366687</v>
          </cell>
          <cell r="O9">
            <v>6.2547774022955993</v>
          </cell>
          <cell r="P9">
            <v>6.2400655234665825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3.0579695285168675</v>
          </cell>
          <cell r="C4">
            <v>3.0682109134361251</v>
          </cell>
        </row>
        <row r="88">
          <cell r="W88">
            <v>8.0730847566340108E-2</v>
          </cell>
          <cell r="Z88">
            <v>7.6142268360850762</v>
          </cell>
        </row>
      </sheetData>
      <sheetData sheetId="4">
        <row r="9">
          <cell r="B9">
            <v>0.30559838401519457</v>
          </cell>
          <cell r="C9">
            <v>0.27297910652533658</v>
          </cell>
          <cell r="D9">
            <v>3.5419810655787352</v>
          </cell>
          <cell r="E9">
            <v>2.6810339899925011</v>
          </cell>
          <cell r="F9">
            <v>1.8093303214909393</v>
          </cell>
          <cell r="G9">
            <v>4.8619506137472603</v>
          </cell>
          <cell r="H9">
            <v>0.75573931182874532</v>
          </cell>
          <cell r="I9">
            <v>3.6512023128254776</v>
          </cell>
          <cell r="J9">
            <v>2.9967275666903359</v>
          </cell>
          <cell r="K9">
            <v>5.927148957325282</v>
          </cell>
          <cell r="L9">
            <v>6.2078738340034691</v>
          </cell>
          <cell r="N9">
            <v>3.2180066168605022</v>
          </cell>
          <cell r="O9">
            <v>3.0010514058202982</v>
          </cell>
          <cell r="P9">
            <v>2.9967275666903359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120</v>
          </cell>
        </row>
        <row r="4">
          <cell r="B4">
            <v>4.3934700548899848</v>
          </cell>
          <cell r="C4">
            <v>4.0773384123801319</v>
          </cell>
        </row>
        <row r="120">
          <cell r="W120">
            <v>0.12140034157154729</v>
          </cell>
          <cell r="Z120">
            <v>7.7859044332777483</v>
          </cell>
        </row>
      </sheetData>
      <sheetData sheetId="4">
        <row r="9">
          <cell r="B9">
            <v>5.1942410724372827</v>
          </cell>
          <cell r="C9">
            <v>5.5835493543346253</v>
          </cell>
          <cell r="D9">
            <v>2.1858882223936886</v>
          </cell>
          <cell r="E9">
            <v>3.5771124739473876</v>
          </cell>
          <cell r="F9">
            <v>4.6446910862198099</v>
          </cell>
          <cell r="G9">
            <v>5.5976659551468178</v>
          </cell>
          <cell r="H9">
            <v>3.7432538793822081</v>
          </cell>
          <cell r="I9">
            <v>2.0760656078219841</v>
          </cell>
          <cell r="J9">
            <v>4.9537227169347524</v>
          </cell>
          <cell r="K9">
            <v>3.9378485784777841</v>
          </cell>
          <cell r="L9">
            <v>5.5845346651426846</v>
          </cell>
          <cell r="N9">
            <v>4.5778988095118969</v>
          </cell>
          <cell r="O9">
            <v>4.2798703283853659</v>
          </cell>
          <cell r="P9">
            <v>4.6446910862198099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104</v>
          </cell>
        </row>
        <row r="4">
          <cell r="B4">
            <v>2.9185846213462163</v>
          </cell>
          <cell r="C4">
            <v>2.7330841455138715</v>
          </cell>
        </row>
        <row r="104">
          <cell r="W104">
            <v>6.6371893771676654E-2</v>
          </cell>
          <cell r="Z104">
            <v>5.8252112160043099</v>
          </cell>
        </row>
      </sheetData>
      <sheetData sheetId="4">
        <row r="9">
          <cell r="B9">
            <v>3.5024880117531021</v>
          </cell>
          <cell r="C9">
            <v>1.6031365388173864</v>
          </cell>
          <cell r="D9">
            <v>1.1746530421996406</v>
          </cell>
          <cell r="E9">
            <v>5.6947702447700159</v>
          </cell>
          <cell r="F9">
            <v>4.1449877250501617</v>
          </cell>
          <cell r="G9">
            <v>2.2777173807643467</v>
          </cell>
          <cell r="H9">
            <v>1.9360823725579628</v>
          </cell>
          <cell r="I9">
            <v>1.0621223311488726</v>
          </cell>
          <cell r="J9">
            <v>0.69859910375753809</v>
          </cell>
          <cell r="K9">
            <v>3.2201239321715689</v>
          </cell>
          <cell r="L9">
            <v>3.633988666357796</v>
          </cell>
          <cell r="N9">
            <v>3.1015530116376198</v>
          </cell>
          <cell r="O9">
            <v>2.6316972135771266</v>
          </cell>
          <cell r="P9">
            <v>2.2777173807643467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140</v>
          </cell>
        </row>
        <row r="4">
          <cell r="B4">
            <v>8.1578816200421471</v>
          </cell>
          <cell r="C4">
            <v>8.7722510084828702</v>
          </cell>
        </row>
        <row r="140">
          <cell r="W140">
            <v>2.3398913763425089</v>
          </cell>
          <cell r="Z140">
            <v>18.142588437118288</v>
          </cell>
        </row>
      </sheetData>
      <sheetData sheetId="4">
        <row r="9">
          <cell r="B9">
            <v>8.0540158438170835</v>
          </cell>
          <cell r="C9">
            <v>6.8714445882665762</v>
          </cell>
          <cell r="D9">
            <v>13.138769082229814</v>
          </cell>
          <cell r="E9">
            <v>10.992774298876482</v>
          </cell>
          <cell r="F9">
            <v>9.2285655772366368</v>
          </cell>
          <cell r="G9">
            <v>6.2915829714689826</v>
          </cell>
          <cell r="H9">
            <v>9.9184707667784195</v>
          </cell>
          <cell r="I9">
            <v>11.719746960844327</v>
          </cell>
          <cell r="J9">
            <v>4.7745286602054682</v>
          </cell>
          <cell r="K9">
            <v>10.466118011459871</v>
          </cell>
          <cell r="L9">
            <v>7.3170578696690711</v>
          </cell>
          <cell r="N9">
            <v>8.6436721590905439</v>
          </cell>
          <cell r="O9">
            <v>8.9793704209866121</v>
          </cell>
          <cell r="P9">
            <v>9.2285655772366368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118</v>
          </cell>
        </row>
        <row r="4">
          <cell r="B4">
            <v>6.4781443923435393</v>
          </cell>
          <cell r="C4">
            <v>6.8787598244020796</v>
          </cell>
        </row>
        <row r="118">
          <cell r="W118">
            <v>0.62471592551983346</v>
          </cell>
          <cell r="Z118">
            <v>18.405003308884041</v>
          </cell>
        </row>
      </sheetData>
      <sheetData sheetId="4">
        <row r="9">
          <cell r="B9">
            <v>6.7100765676795824</v>
          </cell>
          <cell r="C9">
            <v>10.438236962020008</v>
          </cell>
          <cell r="D9">
            <v>5.7902276546972349</v>
          </cell>
          <cell r="E9">
            <v>5.1655752633707719</v>
          </cell>
          <cell r="F9">
            <v>5.9429086236820643</v>
          </cell>
          <cell r="G9">
            <v>1.5919982015420997E-3</v>
          </cell>
          <cell r="H9">
            <v>8.8311998628046045</v>
          </cell>
          <cell r="I9">
            <v>4.5464005042102436</v>
          </cell>
          <cell r="J9">
            <v>0.24332096175879125</v>
          </cell>
          <cell r="K9">
            <v>7.4215921066238169</v>
          </cell>
          <cell r="L9">
            <v>9.4992096034756486</v>
          </cell>
          <cell r="N9">
            <v>6.7680520942936955</v>
          </cell>
          <cell r="O9">
            <v>5.8718491007749378</v>
          </cell>
          <cell r="P9">
            <v>5.9429086236820643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114</v>
          </cell>
        </row>
        <row r="4">
          <cell r="B4">
            <v>6.4740256655583304</v>
          </cell>
          <cell r="C4">
            <v>6.6023577186580029</v>
          </cell>
        </row>
        <row r="114">
          <cell r="W114">
            <v>1.7903010065419767</v>
          </cell>
          <cell r="Z114">
            <v>11.756675558901929</v>
          </cell>
        </row>
      </sheetData>
      <sheetData sheetId="4">
        <row r="9">
          <cell r="B9">
            <v>7.4362246029997285</v>
          </cell>
          <cell r="C9">
            <v>9.2347466505677165</v>
          </cell>
          <cell r="D9">
            <v>4.0143594526768949</v>
          </cell>
          <cell r="E9">
            <v>5.2696969751243499</v>
          </cell>
          <cell r="F9">
            <v>7.1963765288847794</v>
          </cell>
          <cell r="G9">
            <v>4.5010762850723722</v>
          </cell>
          <cell r="H9">
            <v>7.6354731101501807</v>
          </cell>
          <cell r="I9">
            <v>10.184939049518936</v>
          </cell>
          <cell r="J9">
            <v>5.3285243279962655</v>
          </cell>
          <cell r="K9">
            <v>4.1840329584122114E-3</v>
          </cell>
          <cell r="L9">
            <v>7.4676982606669542</v>
          </cell>
          <cell r="N9">
            <v>6.5377401476465922</v>
          </cell>
          <cell r="O9">
            <v>6.2066635706015072</v>
          </cell>
          <cell r="P9">
            <v>7.1963765288847794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114</v>
          </cell>
        </row>
        <row r="4">
          <cell r="B4">
            <v>1.7832201031720356</v>
          </cell>
          <cell r="C4">
            <v>1.766308930387412</v>
          </cell>
        </row>
        <row r="114">
          <cell r="W114">
            <v>0.63653807935584539</v>
          </cell>
          <cell r="Z114">
            <v>2.9724391075916694</v>
          </cell>
        </row>
      </sheetData>
      <sheetData sheetId="4">
        <row r="9">
          <cell r="B9">
            <v>2.6420833105903827</v>
          </cell>
          <cell r="C9">
            <v>3.2442438505949784</v>
          </cell>
          <cell r="D9">
            <v>2.295328695815043</v>
          </cell>
          <cell r="E9">
            <v>1.3900885640897434</v>
          </cell>
          <cell r="F9">
            <v>2.5180324037619339</v>
          </cell>
          <cell r="G9">
            <v>1.7881030066297745</v>
          </cell>
          <cell r="H9">
            <v>1.4914334232385515</v>
          </cell>
          <cell r="I9">
            <v>1.3853120858832346</v>
          </cell>
          <cell r="J9">
            <v>1.3861699084550045</v>
          </cell>
          <cell r="K9">
            <v>1.0940839182878428</v>
          </cell>
          <cell r="L9">
            <v>1.4915082869649814</v>
          </cell>
          <cell r="N9">
            <v>1.9139018780299613</v>
          </cell>
          <cell r="O9">
            <v>1.8842170413010431</v>
          </cell>
          <cell r="P9">
            <v>1.4915082869649814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1.8542504037087881</v>
          </cell>
          <cell r="C4">
            <v>1.8646552091672879</v>
          </cell>
        </row>
        <row r="78">
          <cell r="W78">
            <v>0.73426747229855616</v>
          </cell>
          <cell r="Z78">
            <v>3.275208264793779</v>
          </cell>
        </row>
      </sheetData>
      <sheetData sheetId="4">
        <row r="9">
          <cell r="B9">
            <v>2.3142563262441791</v>
          </cell>
          <cell r="C9">
            <v>1.7084346799208994</v>
          </cell>
          <cell r="D9">
            <v>2.0165877832524126</v>
          </cell>
          <cell r="E9">
            <v>1.8507695173151919</v>
          </cell>
          <cell r="F9">
            <v>1.5616204881321167</v>
          </cell>
          <cell r="G9">
            <v>1.3117275381715479</v>
          </cell>
          <cell r="H9">
            <v>1.8802130775488353</v>
          </cell>
          <cell r="I9">
            <v>1.3360027845519504</v>
          </cell>
          <cell r="J9">
            <v>2.7928476266445017</v>
          </cell>
          <cell r="K9">
            <v>1.7088221880790531</v>
          </cell>
          <cell r="L9">
            <v>2.578554163668981</v>
          </cell>
          <cell r="N9">
            <v>1.956544526449945</v>
          </cell>
          <cell r="O9">
            <v>1.9145305612299699</v>
          </cell>
          <cell r="P9">
            <v>1.8507695173151919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116</v>
          </cell>
        </row>
        <row r="4">
          <cell r="B4">
            <v>3.3162452829742897</v>
          </cell>
          <cell r="C4">
            <v>3.3395866440248381</v>
          </cell>
        </row>
        <row r="116">
          <cell r="W116">
            <v>2.3833308271022515</v>
          </cell>
          <cell r="Z116">
            <v>4.3175795141290401</v>
          </cell>
        </row>
      </sheetData>
      <sheetData sheetId="4">
        <row r="9">
          <cell r="B9">
            <v>3.8545632416762765</v>
          </cell>
          <cell r="C9">
            <v>3.3357290755218503</v>
          </cell>
          <cell r="D9">
            <v>3.0645366412006432</v>
          </cell>
          <cell r="E9">
            <v>3.4373991581862788</v>
          </cell>
          <cell r="F9">
            <v>3.4455375073783201</v>
          </cell>
          <cell r="G9">
            <v>3.2565433164888411</v>
          </cell>
          <cell r="H9">
            <v>3.0901456508522029</v>
          </cell>
          <cell r="I9">
            <v>3.1724276811716199</v>
          </cell>
          <cell r="J9">
            <v>3.3901217376358059</v>
          </cell>
          <cell r="K9">
            <v>3.6261939001147923</v>
          </cell>
          <cell r="L9">
            <v>3.0650199047242577</v>
          </cell>
          <cell r="N9">
            <v>3.3893157525492916</v>
          </cell>
          <cell r="O9">
            <v>3.3398379831773539</v>
          </cell>
          <cell r="P9">
            <v>3.3357290755218503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3.8299199842692828</v>
          </cell>
          <cell r="C4">
            <v>4.0835524929663967</v>
          </cell>
        </row>
        <row r="92">
          <cell r="W92">
            <v>0.20218756114814862</v>
          </cell>
          <cell r="Z92">
            <v>11.833164959916704</v>
          </cell>
        </row>
      </sheetData>
      <sheetData sheetId="4">
        <row r="9">
          <cell r="B9">
            <v>4.8374293287368246</v>
          </cell>
          <cell r="C9">
            <v>4.1714999880506518</v>
          </cell>
          <cell r="D9">
            <v>7.7562020630472439</v>
          </cell>
          <cell r="E9">
            <v>1.7542071811880398</v>
          </cell>
          <cell r="F9">
            <v>5.4544726650432942</v>
          </cell>
          <cell r="G9">
            <v>3.2004289999999998E-2</v>
          </cell>
          <cell r="H9">
            <v>4.3072659610746715</v>
          </cell>
          <cell r="I9">
            <v>6.8617612844174252</v>
          </cell>
          <cell r="J9">
            <v>2.4972000434238226</v>
          </cell>
          <cell r="K9">
            <v>3.2431836640266742</v>
          </cell>
          <cell r="L9">
            <v>4.012668272339452</v>
          </cell>
          <cell r="N9">
            <v>4.363170485968956</v>
          </cell>
          <cell r="O9">
            <v>4.0843540673952825</v>
          </cell>
          <cell r="P9">
            <v>4.1714999880506518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3.3152291270585019</v>
          </cell>
          <cell r="C4">
            <v>3.332865201090915</v>
          </cell>
        </row>
        <row r="106">
          <cell r="W106">
            <v>2.4982195342015441</v>
          </cell>
          <cell r="Z106">
            <v>4.3160161067471625</v>
          </cell>
        </row>
      </sheetData>
      <sheetData sheetId="4">
        <row r="9">
          <cell r="B9">
            <v>3.713493437324388</v>
          </cell>
          <cell r="C9">
            <v>2.632619430923322</v>
          </cell>
          <cell r="D9">
            <v>3.3661850542416252</v>
          </cell>
          <cell r="E9">
            <v>3.3094623166841388</v>
          </cell>
          <cell r="F9">
            <v>3.008738674845914</v>
          </cell>
          <cell r="G9">
            <v>3.5238779626839833</v>
          </cell>
          <cell r="H9">
            <v>3.9973997845893581</v>
          </cell>
          <cell r="I9">
            <v>3.23374541843285</v>
          </cell>
          <cell r="J9">
            <v>3.3777988673902155</v>
          </cell>
          <cell r="K9">
            <v>3.1048004761813308</v>
          </cell>
          <cell r="L9">
            <v>3.1405987146673726</v>
          </cell>
          <cell r="N9">
            <v>3.2990397410558603</v>
          </cell>
          <cell r="O9">
            <v>3.309883648905863</v>
          </cell>
          <cell r="P9">
            <v>3.3094623166841388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132</v>
          </cell>
        </row>
        <row r="4">
          <cell r="B4">
            <v>3.8737049269346664</v>
          </cell>
          <cell r="C4">
            <v>3.8867830276986011</v>
          </cell>
        </row>
        <row r="132">
          <cell r="W132">
            <v>3.3025904533766686</v>
          </cell>
          <cell r="Z132">
            <v>4.4408921318614283</v>
          </cell>
        </row>
      </sheetData>
      <sheetData sheetId="4">
        <row r="9">
          <cell r="B9">
            <v>3.6316556802432678</v>
          </cell>
          <cell r="C9">
            <v>3.9298904393561185</v>
          </cell>
          <cell r="D9">
            <v>3.972700676303671</v>
          </cell>
          <cell r="E9">
            <v>3.9547882370138843</v>
          </cell>
          <cell r="F9">
            <v>3.9038687889538326</v>
          </cell>
          <cell r="G9">
            <v>3.8233723407293114</v>
          </cell>
          <cell r="H9">
            <v>3.931145227523849</v>
          </cell>
          <cell r="I9">
            <v>3.7531372870173181</v>
          </cell>
          <cell r="J9">
            <v>4.0149157528975294</v>
          </cell>
          <cell r="K9">
            <v>3.847554518879909</v>
          </cell>
          <cell r="L9">
            <v>3.7647246461590202</v>
          </cell>
          <cell r="N9">
            <v>3.8765159489718282</v>
          </cell>
          <cell r="O9">
            <v>3.8661594177343375</v>
          </cell>
          <cell r="P9">
            <v>3.9038687889538326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2.6380777206721735</v>
          </cell>
          <cell r="C4">
            <v>2.6650269396468884</v>
          </cell>
        </row>
        <row r="92">
          <cell r="W92">
            <v>1.7569899567153886</v>
          </cell>
          <cell r="Z92">
            <v>3.5446062937327474</v>
          </cell>
        </row>
      </sheetData>
      <sheetData sheetId="4">
        <row r="9">
          <cell r="B9">
            <v>2.0283553471721678</v>
          </cell>
          <cell r="C9">
            <v>2.6171559003960807</v>
          </cell>
          <cell r="D9">
            <v>3.0263313250340893</v>
          </cell>
          <cell r="E9">
            <v>1.942084770207418</v>
          </cell>
          <cell r="F9">
            <v>3.026345560294216</v>
          </cell>
          <cell r="G9">
            <v>3.0358636105310692</v>
          </cell>
          <cell r="H9">
            <v>2.2744221217970479</v>
          </cell>
          <cell r="I9">
            <v>2.7810279689455371</v>
          </cell>
          <cell r="J9">
            <v>2.6149977469219823</v>
          </cell>
          <cell r="K9">
            <v>2.7875245854667696</v>
          </cell>
          <cell r="L9">
            <v>2.9396817898667593</v>
          </cell>
          <cell r="N9">
            <v>2.7677427488627235</v>
          </cell>
          <cell r="O9">
            <v>2.6430718842393763</v>
          </cell>
          <cell r="P9">
            <v>2.7810279689455371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104</v>
          </cell>
        </row>
        <row r="4">
          <cell r="B4">
            <v>2.3682684747913236</v>
          </cell>
          <cell r="C4">
            <v>2.3692669139619924</v>
          </cell>
        </row>
        <row r="104">
          <cell r="W104">
            <v>1.414479428983356</v>
          </cell>
          <cell r="Z104">
            <v>3.5897156764066662</v>
          </cell>
        </row>
      </sheetData>
      <sheetData sheetId="4">
        <row r="9">
          <cell r="B9">
            <v>2.8210005729845475</v>
          </cell>
          <cell r="C9">
            <v>2.8770889315513219</v>
          </cell>
          <cell r="D9">
            <v>3.6964042729608773</v>
          </cell>
          <cell r="E9">
            <v>1.8563632420337928</v>
          </cell>
          <cell r="F9">
            <v>1.4636491623171564</v>
          </cell>
          <cell r="G9">
            <v>2.246683158680657</v>
          </cell>
          <cell r="H9">
            <v>2.5437012661003719</v>
          </cell>
          <cell r="I9">
            <v>2.5505600792194003</v>
          </cell>
          <cell r="J9">
            <v>2.8291879393370456</v>
          </cell>
          <cell r="K9">
            <v>1.3547482711159831</v>
          </cell>
          <cell r="L9">
            <v>2.4101109030815411</v>
          </cell>
          <cell r="N9">
            <v>2.4309795829802265</v>
          </cell>
          <cell r="O9">
            <v>2.4226816181256998</v>
          </cell>
          <cell r="P9">
            <v>2.5437012661003719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0.84533853002796222</v>
          </cell>
          <cell r="C4">
            <v>0.94811736518235568</v>
          </cell>
        </row>
        <row r="82">
          <cell r="W82">
            <v>1.6470412426401179E-2</v>
          </cell>
          <cell r="Z82">
            <v>2.1981844664090926</v>
          </cell>
        </row>
      </sheetData>
      <sheetData sheetId="4">
        <row r="9">
          <cell r="B9">
            <v>1.8678382194738261</v>
          </cell>
          <cell r="C9">
            <v>0.89453917662537363</v>
          </cell>
          <cell r="D9">
            <v>0.50323172967687868</v>
          </cell>
          <cell r="E9">
            <v>1.3651079958354229</v>
          </cell>
          <cell r="F9">
            <v>0.88762702407351968</v>
          </cell>
          <cell r="G9">
            <v>0.26318536216289412</v>
          </cell>
          <cell r="H9">
            <v>0.66905603930513036</v>
          </cell>
          <cell r="I9">
            <v>0.81338945578734767</v>
          </cell>
          <cell r="J9">
            <v>0.53861219125562243</v>
          </cell>
          <cell r="K9">
            <v>1.1501083765356968</v>
          </cell>
          <cell r="L9">
            <v>0.53581478021539319</v>
          </cell>
          <cell r="N9">
            <v>0.83160167373961558</v>
          </cell>
          <cell r="O9">
            <v>0.8625918500861004</v>
          </cell>
          <cell r="P9">
            <v>0.81338945578734767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110</v>
          </cell>
        </row>
        <row r="4">
          <cell r="B4">
            <v>4.0327509237893846</v>
          </cell>
          <cell r="C4">
            <v>4.2691690009592556</v>
          </cell>
        </row>
        <row r="110">
          <cell r="W110">
            <v>1.1031323501979959</v>
          </cell>
          <cell r="Z110">
            <v>8.3994286731182157</v>
          </cell>
        </row>
      </sheetData>
      <sheetData sheetId="4">
        <row r="9">
          <cell r="B9">
            <v>4.6208051232604559</v>
          </cell>
          <cell r="C9">
            <v>2.9574880576460765</v>
          </cell>
          <cell r="D9">
            <v>2.8576519732717962</v>
          </cell>
          <cell r="E9">
            <v>5.3240101891280833</v>
          </cell>
          <cell r="F9">
            <v>6.1077816045953792</v>
          </cell>
          <cell r="G9">
            <v>7.2472050444420741</v>
          </cell>
          <cell r="H9">
            <v>4.5102287291881806</v>
          </cell>
          <cell r="I9">
            <v>3.7692549406278677</v>
          </cell>
          <cell r="J9">
            <v>5.3752920690811701</v>
          </cell>
          <cell r="K9">
            <v>1.0660791590127332</v>
          </cell>
          <cell r="L9">
            <v>1.2824189623013882</v>
          </cell>
          <cell r="N9">
            <v>4.2381255626919954</v>
          </cell>
          <cell r="O9">
            <v>4.1016559865959268</v>
          </cell>
          <cell r="P9">
            <v>4.5102287291881806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108</v>
          </cell>
        </row>
        <row r="4">
          <cell r="B4">
            <v>4.4956931578790105</v>
          </cell>
          <cell r="C4">
            <v>4.7403254604146277</v>
          </cell>
        </row>
        <row r="108">
          <cell r="W108">
            <v>1.9009175925897792</v>
          </cell>
          <cell r="Z108">
            <v>9.2712258761644257</v>
          </cell>
        </row>
      </sheetData>
      <sheetData sheetId="4">
        <row r="9">
          <cell r="B9">
            <v>2.368545964605838</v>
          </cell>
          <cell r="C9">
            <v>1.5278288071264119</v>
          </cell>
          <cell r="D9">
            <v>2.910862152334718</v>
          </cell>
          <cell r="E9">
            <v>2.9075521377368534</v>
          </cell>
          <cell r="F9">
            <v>2.8867547620263632</v>
          </cell>
          <cell r="G9">
            <v>5.2526963471458732</v>
          </cell>
          <cell r="H9">
            <v>2.89684368947839</v>
          </cell>
          <cell r="I9">
            <v>5.7115053999369323</v>
          </cell>
          <cell r="J9">
            <v>6.0027267636921264</v>
          </cell>
          <cell r="K9">
            <v>7.1686552535976684</v>
          </cell>
          <cell r="L9">
            <v>7.7148566327315447</v>
          </cell>
          <cell r="N9">
            <v>4.3076552569759885</v>
          </cell>
          <cell r="O9">
            <v>4.3044389009466109</v>
          </cell>
          <cell r="P9">
            <v>2.910862152334718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0.78393843119031748</v>
          </cell>
          <cell r="C4">
            <v>0.77607472965612478</v>
          </cell>
        </row>
        <row r="102">
          <cell r="W102">
            <v>0.18513588916451099</v>
          </cell>
          <cell r="Z102">
            <v>1.8073815181956578</v>
          </cell>
        </row>
      </sheetData>
      <sheetData sheetId="4">
        <row r="9">
          <cell r="B9">
            <v>0.15491588289418667</v>
          </cell>
          <cell r="C9">
            <v>0.61659687909917138</v>
          </cell>
          <cell r="D9">
            <v>1.1213529486719271</v>
          </cell>
          <cell r="E9">
            <v>0.17969497000000001</v>
          </cell>
          <cell r="F9">
            <v>0.44012978709808503</v>
          </cell>
          <cell r="G9">
            <v>0.19289856999999999</v>
          </cell>
          <cell r="H9">
            <v>1.1263278461576753</v>
          </cell>
          <cell r="I9">
            <v>1.005053569368844</v>
          </cell>
          <cell r="J9">
            <v>0.60680771612457685</v>
          </cell>
          <cell r="K9">
            <v>0.99061381530060511</v>
          </cell>
          <cell r="L9">
            <v>0.69297049719196113</v>
          </cell>
          <cell r="N9">
            <v>0.90189211891408827</v>
          </cell>
          <cell r="O9">
            <v>0.64794204380973031</v>
          </cell>
          <cell r="P9">
            <v>0.61659687909917138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76</v>
          </cell>
        </row>
        <row r="4">
          <cell r="B4">
            <v>0.39403462589831939</v>
          </cell>
          <cell r="C4">
            <v>0.56860644648580927</v>
          </cell>
        </row>
        <row r="76">
          <cell r="W76">
            <v>1.0803348217651134E-2</v>
          </cell>
          <cell r="Z76">
            <v>1.7309998604109245</v>
          </cell>
        </row>
      </sheetData>
      <sheetData sheetId="4">
        <row r="9">
          <cell r="B9">
            <v>0.41714752863535037</v>
          </cell>
          <cell r="C9">
            <v>1.0807506641139319</v>
          </cell>
          <cell r="D9">
            <v>0.23007855993566703</v>
          </cell>
          <cell r="E9">
            <v>1.164067398020483</v>
          </cell>
          <cell r="F9">
            <v>0.93709281159552182</v>
          </cell>
          <cell r="G9">
            <v>0.19232396841981941</v>
          </cell>
          <cell r="H9">
            <v>0.20725006985487074</v>
          </cell>
          <cell r="I9">
            <v>0.26832364586087354</v>
          </cell>
          <cell r="J9">
            <v>0.73401700258087832</v>
          </cell>
          <cell r="K9">
            <v>2.8227842999999999E-2</v>
          </cell>
          <cell r="L9">
            <v>0.24028352713045273</v>
          </cell>
          <cell r="N9">
            <v>0.36771654275934074</v>
          </cell>
          <cell r="O9">
            <v>0.49996027446798624</v>
          </cell>
          <cell r="P9">
            <v>0.26832364586087354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100</v>
          </cell>
        </row>
        <row r="4">
          <cell r="B4">
            <v>4.3681561355378165</v>
          </cell>
          <cell r="C4">
            <v>4.3438753393875524</v>
          </cell>
        </row>
        <row r="100">
          <cell r="W100">
            <v>1.4929259213704364</v>
          </cell>
          <cell r="Z100">
            <v>7.7074171184328906</v>
          </cell>
        </row>
      </sheetData>
      <sheetData sheetId="4">
        <row r="9">
          <cell r="B9">
            <v>2.5295299231324999</v>
          </cell>
          <cell r="C9">
            <v>3.4260603167012316</v>
          </cell>
          <cell r="D9">
            <v>4.798773559949618</v>
          </cell>
          <cell r="E9">
            <v>5.6038917256508674</v>
          </cell>
          <cell r="F9">
            <v>2.3009867996539657</v>
          </cell>
          <cell r="G9">
            <v>3.1435435165772367</v>
          </cell>
          <cell r="H9">
            <v>4.9800563646405971</v>
          </cell>
          <cell r="I9">
            <v>7.1960016570350458</v>
          </cell>
          <cell r="J9">
            <v>6.9021456712587277</v>
          </cell>
          <cell r="K9">
            <v>4.2334758546210942</v>
          </cell>
          <cell r="L9">
            <v>2.0555621114198135</v>
          </cell>
          <cell r="N9">
            <v>4.2464910690029871</v>
          </cell>
          <cell r="O9">
            <v>4.288184318240063</v>
          </cell>
          <cell r="P9">
            <v>4.2334758546210942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3.9381366999999998</v>
          </cell>
          <cell r="C4">
            <v>3.9780423236067288</v>
          </cell>
        </row>
        <row r="90">
          <cell r="W90">
            <v>2.5058788306360182</v>
          </cell>
          <cell r="Z90">
            <v>5.369291491108104</v>
          </cell>
        </row>
      </sheetData>
      <sheetData sheetId="4">
        <row r="9">
          <cell r="B9">
            <v>4.1820404166774452</v>
          </cell>
          <cell r="C9">
            <v>5.3030490288131729</v>
          </cell>
          <cell r="D9">
            <v>3.3633704548601306</v>
          </cell>
          <cell r="E9">
            <v>4.1599949418457287</v>
          </cell>
          <cell r="F9">
            <v>3.5700059589084514</v>
          </cell>
          <cell r="G9">
            <v>3.7744575289187785</v>
          </cell>
          <cell r="H9">
            <v>2.5386180391309749</v>
          </cell>
          <cell r="I9">
            <v>3.8795835157645078</v>
          </cell>
          <cell r="J9">
            <v>3.7839841964740937</v>
          </cell>
          <cell r="K9">
            <v>4.8009476549427124</v>
          </cell>
          <cell r="L9">
            <v>4.045162701979959</v>
          </cell>
          <cell r="N9">
            <v>3.9339173072808986</v>
          </cell>
          <cell r="O9">
            <v>3.9455649489378142</v>
          </cell>
          <cell r="P9">
            <v>3.8795835157645078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0.2834166357117493</v>
          </cell>
          <cell r="C4">
            <v>0.64526370176068881</v>
          </cell>
        </row>
        <row r="82">
          <cell r="W82">
            <v>6.1749468516384853E-2</v>
          </cell>
          <cell r="Z82">
            <v>2.0840771202902801</v>
          </cell>
        </row>
      </sheetData>
      <sheetData sheetId="4">
        <row r="9">
          <cell r="B9">
            <v>1.1447946364412716</v>
          </cell>
          <cell r="C9">
            <v>1.0753709446013087</v>
          </cell>
          <cell r="D9">
            <v>0.5439726007342176</v>
          </cell>
          <cell r="E9">
            <v>7.2549898000000002E-2</v>
          </cell>
          <cell r="F9">
            <v>0.80526501672825279</v>
          </cell>
          <cell r="G9">
            <v>0.26832049707767297</v>
          </cell>
          <cell r="H9">
            <v>0.99635005787932263</v>
          </cell>
          <cell r="I9">
            <v>0.32317649002882243</v>
          </cell>
          <cell r="J9">
            <v>0.25080299647133958</v>
          </cell>
          <cell r="K9">
            <v>0.88726679681496334</v>
          </cell>
          <cell r="L9">
            <v>1.2345138892065159</v>
          </cell>
          <cell r="N9">
            <v>0.26680500055476331</v>
          </cell>
          <cell r="O9">
            <v>0.69112580218033515</v>
          </cell>
          <cell r="P9">
            <v>0.80526501672825279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3.3673214643768503</v>
          </cell>
          <cell r="C4">
            <v>3.352826261203008</v>
          </cell>
        </row>
        <row r="90">
          <cell r="W90">
            <v>2.0416779604268402</v>
          </cell>
          <cell r="Z90">
            <v>4.4507169920044056</v>
          </cell>
        </row>
      </sheetData>
      <sheetData sheetId="4">
        <row r="9">
          <cell r="B9">
            <v>3.2234803672077912</v>
          </cell>
          <cell r="C9">
            <v>2.402373370696254</v>
          </cell>
          <cell r="D9">
            <v>3.1115564890011278</v>
          </cell>
          <cell r="E9">
            <v>3.1438013167485139</v>
          </cell>
          <cell r="F9">
            <v>3.6148277000151681</v>
          </cell>
          <cell r="G9">
            <v>3.5766760934546786</v>
          </cell>
          <cell r="H9">
            <v>3.4503645745106128</v>
          </cell>
          <cell r="I9">
            <v>3.6321687009068948</v>
          </cell>
          <cell r="J9">
            <v>3.7919456116282642</v>
          </cell>
          <cell r="K9">
            <v>3.8760470365498456</v>
          </cell>
          <cell r="L9">
            <v>2.8249106692809316</v>
          </cell>
          <cell r="N9">
            <v>3.4191434351786163</v>
          </cell>
          <cell r="O9">
            <v>3.3316501754545529</v>
          </cell>
          <cell r="P9">
            <v>3.4503645745106128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86</v>
          </cell>
        </row>
        <row r="4">
          <cell r="B4">
            <v>2.6442068827958636</v>
          </cell>
          <cell r="C4">
            <v>2.8600811042331578</v>
          </cell>
        </row>
        <row r="86">
          <cell r="W86">
            <v>0.34066558956338022</v>
          </cell>
          <cell r="Z86">
            <v>5.3182123861755359</v>
          </cell>
        </row>
      </sheetData>
      <sheetData sheetId="4">
        <row r="9">
          <cell r="B9">
            <v>42.797820686289171</v>
          </cell>
          <cell r="C9">
            <v>0</v>
          </cell>
          <cell r="D9">
            <v>2.6654544195778858</v>
          </cell>
          <cell r="E9">
            <v>1.9514692594241883</v>
          </cell>
          <cell r="F9">
            <v>2.877302632066753</v>
          </cell>
          <cell r="G9">
            <v>2.450716142657785</v>
          </cell>
          <cell r="H9">
            <v>3.0530554147067739</v>
          </cell>
          <cell r="I9">
            <v>2.4110406922315195</v>
          </cell>
          <cell r="J9">
            <v>1.8539543576013722</v>
          </cell>
          <cell r="K9">
            <v>2.3164687272853759</v>
          </cell>
          <cell r="L9">
            <v>3.1742185353206329</v>
          </cell>
          <cell r="N9">
            <v>2.7704300804874147</v>
          </cell>
          <cell r="O9">
            <v>6.5551500867161447</v>
          </cell>
          <cell r="P9">
            <v>2.5580852811178354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3.597896600235309</v>
          </cell>
          <cell r="C4">
            <v>3.6003134129172976</v>
          </cell>
        </row>
        <row r="88">
          <cell r="W88">
            <v>2.4648644491609604</v>
          </cell>
          <cell r="Z88">
            <v>4.7745704473910848</v>
          </cell>
        </row>
      </sheetData>
      <sheetData sheetId="4">
        <row r="9">
          <cell r="B9">
            <v>3.2636070228506893</v>
          </cell>
          <cell r="C9">
            <v>3.8088498683960985</v>
          </cell>
          <cell r="D9">
            <v>3.9082119886543589</v>
          </cell>
          <cell r="E9">
            <v>3.2294311921495642</v>
          </cell>
          <cell r="F9">
            <v>3.5360805683600636</v>
          </cell>
          <cell r="G9">
            <v>3.9073873525635121</v>
          </cell>
          <cell r="H9">
            <v>4.9862250447471093</v>
          </cell>
          <cell r="I9">
            <v>4.1435058260992248</v>
          </cell>
          <cell r="J9">
            <v>2.9537882757156098</v>
          </cell>
          <cell r="K9">
            <v>3.1589154864769853</v>
          </cell>
          <cell r="L9">
            <v>3.6467623112041814</v>
          </cell>
          <cell r="N9">
            <v>3.6418029222752635</v>
          </cell>
          <cell r="O9">
            <v>3.6857059033834001</v>
          </cell>
          <cell r="P9">
            <v>3.6467623112041814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7.5355520691396141</v>
          </cell>
          <cell r="C4">
            <v>8.5735620554926921</v>
          </cell>
        </row>
        <row r="98">
          <cell r="W98">
            <v>4.0297384199719684</v>
          </cell>
          <cell r="Z98">
            <v>13.358292073120408</v>
          </cell>
        </row>
      </sheetData>
      <sheetData sheetId="4">
        <row r="9">
          <cell r="B9">
            <v>6.4999252285279443</v>
          </cell>
          <cell r="C9">
            <v>5.1456087725178348</v>
          </cell>
          <cell r="D9">
            <v>7.3399814247743063</v>
          </cell>
          <cell r="E9">
            <v>6.4879158626599143</v>
          </cell>
          <cell r="F9">
            <v>6.6574110433558484</v>
          </cell>
          <cell r="G9">
            <v>7.9339648421637143</v>
          </cell>
          <cell r="H9">
            <v>7.430260009267224</v>
          </cell>
          <cell r="I9">
            <v>9.470554922725281</v>
          </cell>
          <cell r="J9">
            <v>8.5321571221156418</v>
          </cell>
          <cell r="K9">
            <v>9.5980446284081395</v>
          </cell>
          <cell r="L9">
            <v>8.3170009880223823</v>
          </cell>
          <cell r="N9">
            <v>7.2452982886081765</v>
          </cell>
          <cell r="O9">
            <v>7.582984076776202</v>
          </cell>
          <cell r="P9">
            <v>7.430260009267224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3.2100612051262818</v>
          </cell>
          <cell r="C4">
            <v>3.2216322550511682</v>
          </cell>
        </row>
        <row r="96">
          <cell r="W96">
            <v>2.1008277615165669</v>
          </cell>
          <cell r="Z96">
            <v>4.3816287500324327</v>
          </cell>
        </row>
      </sheetData>
      <sheetData sheetId="4">
        <row r="9">
          <cell r="B9">
            <v>3.326903468850702</v>
          </cell>
          <cell r="C9">
            <v>2.4837680884315723</v>
          </cell>
          <cell r="D9">
            <v>2.8961776155179493</v>
          </cell>
          <cell r="E9">
            <v>4.186813308192022</v>
          </cell>
          <cell r="F9">
            <v>4.0521881819806183</v>
          </cell>
          <cell r="G9">
            <v>3.4686387233629423</v>
          </cell>
          <cell r="H9">
            <v>3.5140572838022353</v>
          </cell>
          <cell r="I9">
            <v>2.4673315549841508</v>
          </cell>
          <cell r="J9">
            <v>2.9516537252322399</v>
          </cell>
          <cell r="K9">
            <v>3.0471424326650101</v>
          </cell>
          <cell r="L9">
            <v>2.7281775959838548</v>
          </cell>
          <cell r="N9">
            <v>3.2209806177457416</v>
          </cell>
          <cell r="O9">
            <v>3.1929865435457545</v>
          </cell>
          <cell r="P9">
            <v>3.0471424326650101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104</v>
          </cell>
        </row>
        <row r="4">
          <cell r="B4">
            <v>6.151911449974377</v>
          </cell>
          <cell r="C4">
            <v>6.2149153234914367</v>
          </cell>
        </row>
        <row r="104">
          <cell r="W104">
            <v>5.2443519401792127</v>
          </cell>
          <cell r="Z104">
            <v>7.3751594724300267</v>
          </cell>
        </row>
      </sheetData>
      <sheetData sheetId="4">
        <row r="9">
          <cell r="B9">
            <v>6.0042204794713463</v>
          </cell>
          <cell r="C9">
            <v>5.7208405394087958</v>
          </cell>
          <cell r="D9">
            <v>6.1969020362990639</v>
          </cell>
          <cell r="E9">
            <v>6.5025129119163552</v>
          </cell>
          <cell r="F9">
            <v>5.9088157066054317</v>
          </cell>
          <cell r="G9">
            <v>6.5838904783277332</v>
          </cell>
          <cell r="H9">
            <v>5.9361630735926898</v>
          </cell>
          <cell r="I9">
            <v>6.3393270697254129</v>
          </cell>
          <cell r="J9">
            <v>6.9005889776649036</v>
          </cell>
          <cell r="K9">
            <v>6.143517428820525</v>
          </cell>
          <cell r="L9">
            <v>6.2256761508166427</v>
          </cell>
          <cell r="N9">
            <v>6.1938149282764607</v>
          </cell>
          <cell r="O9">
            <v>6.2238595320589898</v>
          </cell>
          <cell r="P9">
            <v>6.1969020362990639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120</v>
          </cell>
        </row>
        <row r="4">
          <cell r="B4">
            <v>11.04909647566781</v>
          </cell>
          <cell r="C4">
            <v>11.433216474185837</v>
          </cell>
        </row>
        <row r="120">
          <cell r="W120">
            <v>6.6720366398176107</v>
          </cell>
          <cell r="Z120">
            <v>17.488643200976561</v>
          </cell>
        </row>
      </sheetData>
      <sheetData sheetId="4">
        <row r="9">
          <cell r="B9">
            <v>12.050094090321039</v>
          </cell>
          <cell r="C9">
            <v>15.154184968940314</v>
          </cell>
          <cell r="D9">
            <v>13.953675035662542</v>
          </cell>
          <cell r="E9">
            <v>18.923014194349349</v>
          </cell>
          <cell r="F9">
            <v>16.258771967308245</v>
          </cell>
          <cell r="G9">
            <v>12.820238878108539</v>
          </cell>
          <cell r="H9">
            <v>6.7940321730216047</v>
          </cell>
          <cell r="I9">
            <v>8.1344210465692708</v>
          </cell>
          <cell r="J9">
            <v>6.6336478186298677</v>
          </cell>
          <cell r="K9">
            <v>8.7313961549977765</v>
          </cell>
          <cell r="L9">
            <v>7.4020452966749692</v>
          </cell>
          <cell r="N9">
            <v>10.784268326383021</v>
          </cell>
          <cell r="O9">
            <v>11.532320147689411</v>
          </cell>
          <cell r="P9">
            <v>12.050094090321039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3.5152452615444725</v>
          </cell>
          <cell r="C4">
            <v>3.6356130776536317</v>
          </cell>
        </row>
        <row r="96">
          <cell r="W96">
            <v>1.9870319632447553</v>
          </cell>
          <cell r="Z96">
            <v>6.239088531618572</v>
          </cell>
        </row>
      </sheetData>
      <sheetData sheetId="4">
        <row r="9">
          <cell r="B9">
            <v>2.8627972481763839</v>
          </cell>
          <cell r="C9">
            <v>4.2348305059954017</v>
          </cell>
          <cell r="D9">
            <v>1.928321632892557</v>
          </cell>
          <cell r="E9">
            <v>3.5262866721652744</v>
          </cell>
          <cell r="F9">
            <v>4.7819677835839167</v>
          </cell>
          <cell r="G9">
            <v>4.1349285510157392</v>
          </cell>
          <cell r="H9">
            <v>4.8539445172748934</v>
          </cell>
          <cell r="I9">
            <v>3.1106734827710056</v>
          </cell>
          <cell r="J9">
            <v>4.2198412300451089</v>
          </cell>
          <cell r="K9">
            <v>3.1710163032059371</v>
          </cell>
          <cell r="L9">
            <v>3.5582558914386282</v>
          </cell>
          <cell r="N9">
            <v>3.5880001644469766</v>
          </cell>
          <cell r="O9">
            <v>3.6711694380513493</v>
          </cell>
          <cell r="P9">
            <v>3.5582558914386282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1.9050922663436558</v>
          </cell>
          <cell r="C4">
            <v>1.7991806011650042</v>
          </cell>
        </row>
        <row r="78">
          <cell r="W78">
            <v>0.23010113524242121</v>
          </cell>
          <cell r="Z78">
            <v>2.8321414038543518</v>
          </cell>
        </row>
      </sheetData>
      <sheetData sheetId="4">
        <row r="9">
          <cell r="B9">
            <v>1.9585874105590682</v>
          </cell>
          <cell r="C9">
            <v>2.0139289668174416</v>
          </cell>
          <cell r="D9">
            <v>1.2863286375004308</v>
          </cell>
          <cell r="E9">
            <v>2.2279388521700878</v>
          </cell>
          <cell r="F9">
            <v>2.3466692700761724</v>
          </cell>
          <cell r="G9">
            <v>1.8140197528162676</v>
          </cell>
          <cell r="H9">
            <v>2.2430042769495779</v>
          </cell>
          <cell r="I9">
            <v>1.9365247233980756</v>
          </cell>
          <cell r="J9">
            <v>1.6997663633039233</v>
          </cell>
          <cell r="K9">
            <v>1.4649244009274427</v>
          </cell>
          <cell r="L9">
            <v>1.7415450604714364</v>
          </cell>
          <cell r="N9">
            <v>1.9055695915842159</v>
          </cell>
          <cell r="O9">
            <v>1.8848397922718114</v>
          </cell>
          <cell r="P9">
            <v>1.9365247233980756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104</v>
          </cell>
        </row>
        <row r="4">
          <cell r="B4">
            <v>4.1556442250407981</v>
          </cell>
          <cell r="C4">
            <v>4.1626123441096272</v>
          </cell>
        </row>
        <row r="104">
          <cell r="W104">
            <v>3.3739271302298626</v>
          </cell>
          <cell r="Z104">
            <v>4.8779016943434881</v>
          </cell>
        </row>
      </sheetData>
      <sheetData sheetId="4">
        <row r="9">
          <cell r="B9">
            <v>3.9655491224313288</v>
          </cell>
          <cell r="C9">
            <v>4.5020087032346483</v>
          </cell>
          <cell r="D9">
            <v>4.5733501731542487</v>
          </cell>
          <cell r="E9">
            <v>5.105974200810742</v>
          </cell>
          <cell r="F9">
            <v>4.8107497815444793</v>
          </cell>
          <cell r="G9">
            <v>3.5669327463643898</v>
          </cell>
          <cell r="H9">
            <v>3.7156625239247303</v>
          </cell>
          <cell r="I9">
            <v>3.9204529667624</v>
          </cell>
          <cell r="J9">
            <v>4.2353045095737185</v>
          </cell>
          <cell r="K9">
            <v>3.7167451130194724</v>
          </cell>
          <cell r="L9">
            <v>3.7740819744670264</v>
          </cell>
          <cell r="N9">
            <v>4.1785844917406703</v>
          </cell>
          <cell r="O9">
            <v>4.1715283468442896</v>
          </cell>
          <cell r="P9">
            <v>3.9655491224313288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110</v>
          </cell>
        </row>
        <row r="4">
          <cell r="B4">
            <v>3.7233325783122675</v>
          </cell>
          <cell r="C4">
            <v>3.726008807165992</v>
          </cell>
        </row>
        <row r="110">
          <cell r="W110">
            <v>2.695639547168069</v>
          </cell>
          <cell r="Z110">
            <v>4.6435434971538916</v>
          </cell>
        </row>
      </sheetData>
      <sheetData sheetId="4">
        <row r="9">
          <cell r="B9">
            <v>4.4029132049197734</v>
          </cell>
          <cell r="C9">
            <v>3.6398233485572611</v>
          </cell>
          <cell r="D9">
            <v>4.079614570898153</v>
          </cell>
          <cell r="E9">
            <v>3.5820023381347332</v>
          </cell>
          <cell r="F9">
            <v>2.9577260146106426</v>
          </cell>
          <cell r="G9">
            <v>4.8749438634929136</v>
          </cell>
          <cell r="H9">
            <v>3.5076186436444918</v>
          </cell>
          <cell r="I9">
            <v>3.7938699319927975</v>
          </cell>
          <cell r="J9">
            <v>4.0213015982424363</v>
          </cell>
          <cell r="K9">
            <v>3.1992316546651742</v>
          </cell>
          <cell r="L9">
            <v>3.3785227838206811</v>
          </cell>
          <cell r="N9">
            <v>3.7227965890738668</v>
          </cell>
          <cell r="O9">
            <v>3.7670516320890055</v>
          </cell>
          <cell r="P9">
            <v>3.6398233485572611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3.3692797156320742</v>
          </cell>
          <cell r="C4">
            <v>3.3952378858297516</v>
          </cell>
        </row>
        <row r="96">
          <cell r="W96">
            <v>2.7415395730913792</v>
          </cell>
          <cell r="Z96">
            <v>4.0966835300559774</v>
          </cell>
        </row>
      </sheetData>
      <sheetData sheetId="4">
        <row r="9">
          <cell r="B9">
            <v>3.8316992555812135</v>
          </cell>
          <cell r="C9">
            <v>4.0788397515278891</v>
          </cell>
          <cell r="D9">
            <v>3.6979433125105485</v>
          </cell>
          <cell r="E9">
            <v>2.7494516068681678</v>
          </cell>
          <cell r="F9">
            <v>2.7522117027563833</v>
          </cell>
          <cell r="G9">
            <v>3.2814987097729191</v>
          </cell>
          <cell r="H9">
            <v>3.2246899826397888</v>
          </cell>
          <cell r="I9">
            <v>3.3581432806027744</v>
          </cell>
          <cell r="J9">
            <v>3.4682451708411146</v>
          </cell>
          <cell r="K9">
            <v>3.4634414768284332</v>
          </cell>
          <cell r="L9">
            <v>3.4297475866963532</v>
          </cell>
          <cell r="N9">
            <v>3.4032191327987524</v>
          </cell>
          <cell r="O9">
            <v>3.3941738033295987</v>
          </cell>
          <cell r="P9">
            <v>3.4297475866963532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2.171748597315057</v>
          </cell>
          <cell r="C4">
            <v>2.1505623250323591</v>
          </cell>
        </row>
        <row r="94">
          <cell r="W94">
            <v>1.2052638595763943</v>
          </cell>
          <cell r="Z94">
            <v>3.0258332719956091</v>
          </cell>
        </row>
      </sheetData>
      <sheetData sheetId="4">
        <row r="9">
          <cell r="B9">
            <v>2.8675261953357447</v>
          </cell>
          <cell r="C9">
            <v>1.5304973822509473</v>
          </cell>
          <cell r="D9">
            <v>1.8605162473129713</v>
          </cell>
          <cell r="E9">
            <v>2.2714873947016074</v>
          </cell>
          <cell r="F9">
            <v>1.475129732754854</v>
          </cell>
          <cell r="G9">
            <v>2.9276293986719475</v>
          </cell>
          <cell r="H9">
            <v>2.6336736401030159</v>
          </cell>
          <cell r="I9">
            <v>2.464531415001542</v>
          </cell>
          <cell r="J9">
            <v>2.455443853800082</v>
          </cell>
          <cell r="K9">
            <v>1.8414465967498805</v>
          </cell>
          <cell r="L9">
            <v>2.0320025460406912</v>
          </cell>
          <cell r="N9">
            <v>2.1571358554289719</v>
          </cell>
          <cell r="O9">
            <v>2.2145349457021166</v>
          </cell>
          <cell r="P9">
            <v>2.2714873947016074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2.3800059977214749</v>
          </cell>
          <cell r="C4">
            <v>2.3739773477296073</v>
          </cell>
        </row>
        <row r="92">
          <cell r="W92">
            <v>1.7010121467581309</v>
          </cell>
          <cell r="Z92">
            <v>3.0764734577480279</v>
          </cell>
        </row>
      </sheetData>
      <sheetData sheetId="4">
        <row r="9">
          <cell r="B9">
            <v>2.1776216855485391</v>
          </cell>
          <cell r="C9">
            <v>2.3176670643016162</v>
          </cell>
          <cell r="D9">
            <v>2.3130886441222471</v>
          </cell>
          <cell r="E9">
            <v>2.7866392676343388</v>
          </cell>
          <cell r="F9">
            <v>2.103800796502477</v>
          </cell>
          <cell r="G9">
            <v>2.1973484851521481</v>
          </cell>
          <cell r="H9">
            <v>2.5102208779572499</v>
          </cell>
          <cell r="I9">
            <v>2.5277204062838687</v>
          </cell>
          <cell r="J9">
            <v>2.5320836619955158</v>
          </cell>
          <cell r="K9">
            <v>2.2985953275736373</v>
          </cell>
          <cell r="L9">
            <v>2.2509697539049331</v>
          </cell>
          <cell r="N9">
            <v>2.3957883091478389</v>
          </cell>
          <cell r="O9">
            <v>2.3650687246342335</v>
          </cell>
          <cell r="P9">
            <v>2.3130886441222471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3.9411874421434643</v>
          </cell>
          <cell r="C4">
            <v>3.9455756537107356</v>
          </cell>
        </row>
        <row r="92">
          <cell r="W92">
            <v>1.7959418691813764</v>
          </cell>
          <cell r="Z92">
            <v>5.6765214990652408</v>
          </cell>
        </row>
      </sheetData>
      <sheetData sheetId="4">
        <row r="9">
          <cell r="B9">
            <v>3.605994273613176</v>
          </cell>
          <cell r="C9">
            <v>3.6047522871652178</v>
          </cell>
          <cell r="D9">
            <v>4.7061910053534879</v>
          </cell>
          <cell r="E9">
            <v>2.5634050179413013</v>
          </cell>
          <cell r="F9">
            <v>4.5408059174727695</v>
          </cell>
          <cell r="G9">
            <v>3.4050382127238801</v>
          </cell>
          <cell r="H9">
            <v>4.1829572931755958</v>
          </cell>
          <cell r="I9">
            <v>5.319539006540686</v>
          </cell>
          <cell r="J9">
            <v>4.0962085206709729</v>
          </cell>
          <cell r="K9">
            <v>2.828223043374535</v>
          </cell>
          <cell r="L9">
            <v>4.5976384661357201</v>
          </cell>
          <cell r="N9">
            <v>3.9231783499471096</v>
          </cell>
          <cell r="O9">
            <v>3.9500684585606676</v>
          </cell>
          <cell r="P9">
            <v>4.0962085206709729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5.0062706490523956</v>
          </cell>
          <cell r="C4">
            <v>5.0067934097326114</v>
          </cell>
        </row>
        <row r="102">
          <cell r="W102">
            <v>3.027025504212665</v>
          </cell>
          <cell r="Z102">
            <v>7.2827968512282197</v>
          </cell>
        </row>
      </sheetData>
      <sheetData sheetId="4">
        <row r="9">
          <cell r="B9">
            <v>3.7407797660821513</v>
          </cell>
          <cell r="C9">
            <v>4.0897759279632933</v>
          </cell>
          <cell r="D9">
            <v>5.3250769376294311</v>
          </cell>
          <cell r="E9">
            <v>4.7370075207667446</v>
          </cell>
          <cell r="F9">
            <v>3.3902668521340571</v>
          </cell>
          <cell r="G9">
            <v>5.1888779498754332</v>
          </cell>
          <cell r="H9">
            <v>6.3845449822484079</v>
          </cell>
          <cell r="I9">
            <v>5.1658114677566225</v>
          </cell>
          <cell r="J9">
            <v>5.7742832546999869</v>
          </cell>
          <cell r="K9">
            <v>6.7637706487249218</v>
          </cell>
          <cell r="L9">
            <v>5.083814779317489</v>
          </cell>
          <cell r="N9">
            <v>5.0452360310034141</v>
          </cell>
          <cell r="O9">
            <v>5.0585463715635051</v>
          </cell>
          <cell r="P9">
            <v>5.1658114677566225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86</v>
          </cell>
        </row>
        <row r="4">
          <cell r="B4">
            <v>4.1170104241528698</v>
          </cell>
          <cell r="C4">
            <v>4.0967233327015817</v>
          </cell>
        </row>
        <row r="86">
          <cell r="W86">
            <v>1.8470857708503174</v>
          </cell>
          <cell r="Z86">
            <v>6.7198491849009718</v>
          </cell>
        </row>
      </sheetData>
      <sheetData sheetId="4">
        <row r="9">
          <cell r="B9">
            <v>4.3367498762504848</v>
          </cell>
          <cell r="C9">
            <v>4.6040414599935477</v>
          </cell>
          <cell r="D9">
            <v>3.2542328090684602</v>
          </cell>
          <cell r="E9">
            <v>3.0026925606245238</v>
          </cell>
          <cell r="F9">
            <v>3.228086571461684</v>
          </cell>
          <cell r="G9">
            <v>3.6718670436926986</v>
          </cell>
          <cell r="H9">
            <v>3.9603269264535723</v>
          </cell>
          <cell r="I9">
            <v>3.9422940976691376</v>
          </cell>
          <cell r="J9">
            <v>5.0359852366545672</v>
          </cell>
          <cell r="K9">
            <v>2.2728654563922768</v>
          </cell>
          <cell r="L9">
            <v>6.0806009931153158</v>
          </cell>
          <cell r="N9">
            <v>3.9859142967248431</v>
          </cell>
          <cell r="O9">
            <v>3.9445220937614791</v>
          </cell>
          <cell r="P9">
            <v>3.9422940976691376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2.4882228789995229</v>
          </cell>
          <cell r="C4">
            <v>2.9249315611598909</v>
          </cell>
        </row>
        <row r="82">
          <cell r="W82">
            <v>0.24587675961009403</v>
          </cell>
          <cell r="Z82">
            <v>8.7948395701846103</v>
          </cell>
        </row>
      </sheetData>
      <sheetData sheetId="4">
        <row r="9">
          <cell r="B9">
            <v>3.171213679874616</v>
          </cell>
          <cell r="C9">
            <v>5.404986176602403</v>
          </cell>
          <cell r="D9">
            <v>3.3155212118770065</v>
          </cell>
          <cell r="E9">
            <v>1.9063828215615624</v>
          </cell>
          <cell r="F9">
            <v>0.2365296056896079</v>
          </cell>
          <cell r="G9">
            <v>2.0762119671826462</v>
          </cell>
          <cell r="H9">
            <v>0.97684608394825978</v>
          </cell>
          <cell r="I9">
            <v>5.227840796134279</v>
          </cell>
          <cell r="J9">
            <v>3.0773648068036907</v>
          </cell>
          <cell r="K9">
            <v>0.88652144128451205</v>
          </cell>
          <cell r="L9">
            <v>3.5246685881095385</v>
          </cell>
          <cell r="N9">
            <v>2.5675292063689832</v>
          </cell>
          <cell r="O9">
            <v>2.7094624708243749</v>
          </cell>
          <cell r="P9">
            <v>3.0773648068036907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1.8942248774431856</v>
          </cell>
          <cell r="C4">
            <v>1.885888584970786</v>
          </cell>
        </row>
        <row r="82">
          <cell r="W82">
            <v>0.92680091523938102</v>
          </cell>
          <cell r="Z82">
            <v>2.9814206720453251</v>
          </cell>
        </row>
      </sheetData>
      <sheetData sheetId="4">
        <row r="9">
          <cell r="B9">
            <v>2.2811074813306518</v>
          </cell>
          <cell r="C9">
            <v>1.7530719935123356</v>
          </cell>
          <cell r="D9">
            <v>1.6447446865461177</v>
          </cell>
          <cell r="E9">
            <v>2.1820966273617937</v>
          </cell>
          <cell r="F9">
            <v>1.465040707772326</v>
          </cell>
          <cell r="G9">
            <v>1.5817439754491525</v>
          </cell>
          <cell r="H9">
            <v>1.5431493235650775</v>
          </cell>
          <cell r="I9">
            <v>2.3755752716270711</v>
          </cell>
          <cell r="J9">
            <v>1.474484860964226</v>
          </cell>
          <cell r="K9">
            <v>2.1067675438758031</v>
          </cell>
          <cell r="L9">
            <v>2.1268909476806739</v>
          </cell>
          <cell r="N9">
            <v>1.9324613351720039</v>
          </cell>
          <cell r="O9">
            <v>1.8667884926986573</v>
          </cell>
          <cell r="P9">
            <v>1.7530719935123356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110</v>
          </cell>
        </row>
        <row r="4">
          <cell r="B4">
            <v>4.3141607225646172</v>
          </cell>
          <cell r="C4">
            <v>4.3562605678916713</v>
          </cell>
        </row>
        <row r="110">
          <cell r="W110">
            <v>2.9368813918123107</v>
          </cell>
          <cell r="Z110">
            <v>6.2016791248784422</v>
          </cell>
        </row>
      </sheetData>
      <sheetData sheetId="4">
        <row r="9">
          <cell r="B9">
            <v>5.1493730694214443</v>
          </cell>
          <cell r="C9">
            <v>4.664205642645336</v>
          </cell>
          <cell r="D9">
            <v>5.0768875983660093</v>
          </cell>
          <cell r="E9">
            <v>3.5633023762701774</v>
          </cell>
          <cell r="F9">
            <v>4.9044286073074561</v>
          </cell>
          <cell r="G9">
            <v>4.5710495394129298</v>
          </cell>
          <cell r="H9">
            <v>3.6324302215673345</v>
          </cell>
          <cell r="I9">
            <v>3.4048551805211194</v>
          </cell>
          <cell r="J9">
            <v>5.6794374447952256</v>
          </cell>
          <cell r="K9">
            <v>3.4265367522517587</v>
          </cell>
          <cell r="L9">
            <v>4.0815790673247578</v>
          </cell>
          <cell r="N9">
            <v>4.3431807796340101</v>
          </cell>
          <cell r="O9">
            <v>4.3776441363530489</v>
          </cell>
          <cell r="P9">
            <v>4.5710495394129298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0.27820670109429158</v>
          </cell>
          <cell r="C4">
            <v>0.2945769725450374</v>
          </cell>
        </row>
        <row r="96">
          <cell r="W96">
            <v>2.5839306442726761E-2</v>
          </cell>
          <cell r="Z96">
            <v>0.88964871074860152</v>
          </cell>
        </row>
      </sheetData>
      <sheetData sheetId="4">
        <row r="9">
          <cell r="B9">
            <v>0.30796858995413984</v>
          </cell>
          <cell r="C9">
            <v>0.73350045088816807</v>
          </cell>
          <cell r="D9">
            <v>0.3095349365618083</v>
          </cell>
          <cell r="E9">
            <v>0.30238660557585489</v>
          </cell>
          <cell r="F9">
            <v>0.11948224987629763</v>
          </cell>
          <cell r="G9">
            <v>0.18069973256409821</v>
          </cell>
          <cell r="H9">
            <v>0.25087491257109384</v>
          </cell>
          <cell r="I9">
            <v>0.62618868732708011</v>
          </cell>
          <cell r="J9">
            <v>0.18175715102610074</v>
          </cell>
          <cell r="K9">
            <v>5.2739451508497757E-2</v>
          </cell>
          <cell r="L9">
            <v>8.5723542E-2</v>
          </cell>
          <cell r="N9">
            <v>0.31515657138498115</v>
          </cell>
          <cell r="O9">
            <v>0.28644148271392172</v>
          </cell>
          <cell r="P9">
            <v>0.25087491257109384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4.0472289102763517</v>
          </cell>
          <cell r="C4">
            <v>4.0858907776710423</v>
          </cell>
        </row>
        <row r="90">
          <cell r="W90">
            <v>2.9418411630474064</v>
          </cell>
          <cell r="Z90">
            <v>5.6528971581011147</v>
          </cell>
        </row>
      </sheetData>
      <sheetData sheetId="4">
        <row r="9">
          <cell r="B9">
            <v>4.1007696172547474</v>
          </cell>
          <cell r="C9">
            <v>5.2264897279964933</v>
          </cell>
          <cell r="D9">
            <v>5.3979922320477511</v>
          </cell>
          <cell r="E9">
            <v>4.0380124070668568</v>
          </cell>
          <cell r="F9">
            <v>4.7242617863197509</v>
          </cell>
          <cell r="G9">
            <v>3.1169274016512607</v>
          </cell>
          <cell r="H9">
            <v>3.1920647516715581</v>
          </cell>
          <cell r="I9">
            <v>3.0102682786828341</v>
          </cell>
          <cell r="J9">
            <v>3.6296708514680769</v>
          </cell>
          <cell r="K9">
            <v>4.3317514878893721</v>
          </cell>
          <cell r="L9">
            <v>4.2078628286234263</v>
          </cell>
          <cell r="N9">
            <v>4.1547854560884536</v>
          </cell>
          <cell r="O9">
            <v>4.0887337609701939</v>
          </cell>
          <cell r="P9">
            <v>4.1007696172547474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3.6802642868850923</v>
          </cell>
          <cell r="C4">
            <v>3.6019864792560981</v>
          </cell>
        </row>
        <row r="92">
          <cell r="W92">
            <v>2.0742872156957706</v>
          </cell>
          <cell r="Z92">
            <v>4.9436993643942042</v>
          </cell>
        </row>
      </sheetData>
      <sheetData sheetId="4">
        <row r="9">
          <cell r="B9">
            <v>0</v>
          </cell>
          <cell r="C9">
            <v>3.7615206949436297</v>
          </cell>
          <cell r="D9">
            <v>3.8544149592770691</v>
          </cell>
          <cell r="E9">
            <v>3.5592459035383399</v>
          </cell>
          <cell r="F9">
            <v>2.7792340336051167</v>
          </cell>
          <cell r="G9">
            <v>4.2660329478545611</v>
          </cell>
          <cell r="H9">
            <v>3.9955809841690004</v>
          </cell>
          <cell r="I9">
            <v>4.3506665545002621</v>
          </cell>
          <cell r="J9">
            <v>2.2908136727179573</v>
          </cell>
          <cell r="K9">
            <v>3.2499350771866973</v>
          </cell>
          <cell r="L9">
            <v>4.6509326753063815</v>
          </cell>
          <cell r="N9">
            <v>3.9502753588696917</v>
          </cell>
          <cell r="O9">
            <v>3.6758377503099013</v>
          </cell>
          <cell r="P9">
            <v>3.8079678271103496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1.5158702541917279</v>
          </cell>
          <cell r="C4">
            <v>1.5088532194611814</v>
          </cell>
        </row>
        <row r="88">
          <cell r="W88">
            <v>2.5931393226676581E-2</v>
          </cell>
          <cell r="Z88">
            <v>4.0176343611743368</v>
          </cell>
        </row>
      </sheetData>
      <sheetData sheetId="4">
        <row r="9">
          <cell r="B9">
            <v>3.1033807028513389</v>
          </cell>
          <cell r="C9">
            <v>1.7322159353115385</v>
          </cell>
          <cell r="D9">
            <v>2.1908297560898036</v>
          </cell>
          <cell r="E9">
            <v>0.11754441668447206</v>
          </cell>
          <cell r="F9">
            <v>0.88658158660333197</v>
          </cell>
          <cell r="G9">
            <v>3.4817927030349395E-2</v>
          </cell>
          <cell r="H9">
            <v>1.9570486087563796</v>
          </cell>
          <cell r="I9">
            <v>0.84462691221201502</v>
          </cell>
          <cell r="J9">
            <v>1.8044746601086707</v>
          </cell>
          <cell r="K9">
            <v>0.24103875648708223</v>
          </cell>
          <cell r="L9">
            <v>0.25440501138392413</v>
          </cell>
          <cell r="N9">
            <v>1.7401297324309601</v>
          </cell>
          <cell r="O9">
            <v>1.1969967521380822</v>
          </cell>
          <cell r="P9">
            <v>0.88658158660333197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70</v>
          </cell>
        </row>
        <row r="4">
          <cell r="B4">
            <v>2.1281345882327054</v>
          </cell>
          <cell r="C4">
            <v>2.1043639016945561</v>
          </cell>
        </row>
        <row r="70">
          <cell r="W70">
            <v>0.31127932438471762</v>
          </cell>
          <cell r="Z70">
            <v>4.4190120931290595</v>
          </cell>
        </row>
      </sheetData>
      <sheetData sheetId="4">
        <row r="9">
          <cell r="B9">
            <v>0.57766100636200823</v>
          </cell>
          <cell r="C9">
            <v>2.3718815880148312</v>
          </cell>
          <cell r="D9">
            <v>1.3824917042164899</v>
          </cell>
          <cell r="E9">
            <v>2.9694947810946735</v>
          </cell>
          <cell r="F9">
            <v>2.173752366852117</v>
          </cell>
          <cell r="G9">
            <v>1.9857104648602748</v>
          </cell>
          <cell r="H9">
            <v>2.6116917482366042</v>
          </cell>
          <cell r="I9">
            <v>4.2963928580194644</v>
          </cell>
          <cell r="J9">
            <v>0</v>
          </cell>
          <cell r="K9">
            <v>0.36088126017689598</v>
          </cell>
          <cell r="L9">
            <v>2.0415505725776044</v>
          </cell>
          <cell r="N9">
            <v>2.5009602046957999</v>
          </cell>
          <cell r="O9">
            <v>2.0771508350410963</v>
          </cell>
          <cell r="P9">
            <v>2.1076514697148605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4.8665395556352919</v>
          </cell>
          <cell r="C4">
            <v>6.0679911197686227</v>
          </cell>
        </row>
        <row r="102">
          <cell r="W102">
            <v>1.4939699197272928E-2</v>
          </cell>
          <cell r="Z102">
            <v>18.53447262793436</v>
          </cell>
        </row>
      </sheetData>
      <sheetData sheetId="4">
        <row r="9">
          <cell r="B9">
            <v>5.0685769392078965</v>
          </cell>
          <cell r="C9">
            <v>5.4376492200012132</v>
          </cell>
          <cell r="D9">
            <v>5.9937886174932418</v>
          </cell>
          <cell r="E9">
            <v>4.7358099798019948</v>
          </cell>
          <cell r="F9">
            <v>0</v>
          </cell>
          <cell r="G9">
            <v>3.3903976628421768</v>
          </cell>
          <cell r="H9">
            <v>1.2999327972732568</v>
          </cell>
          <cell r="I9">
            <v>0</v>
          </cell>
          <cell r="J9">
            <v>3.9085513732637982</v>
          </cell>
          <cell r="K9">
            <v>4.7139283504060208</v>
          </cell>
          <cell r="L9">
            <v>0.26684511178410814</v>
          </cell>
          <cell r="N9">
            <v>5.5869454667365801</v>
          </cell>
          <cell r="O9">
            <v>3.8683866724526337</v>
          </cell>
          <cell r="P9">
            <v>4.7139283504060208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114</v>
          </cell>
        </row>
        <row r="4">
          <cell r="B4">
            <v>3.324726815216545</v>
          </cell>
          <cell r="C4">
            <v>3.2475822078760785</v>
          </cell>
        </row>
        <row r="114">
          <cell r="W114">
            <v>1.203389484653993</v>
          </cell>
          <cell r="Z114">
            <v>5.432569554141244</v>
          </cell>
        </row>
      </sheetData>
      <sheetData sheetId="4">
        <row r="9">
          <cell r="B9">
            <v>1.7378062880206093</v>
          </cell>
          <cell r="C9">
            <v>1.828030222254871</v>
          </cell>
          <cell r="D9">
            <v>0.96356891365174557</v>
          </cell>
          <cell r="E9">
            <v>6.1837916230750034</v>
          </cell>
          <cell r="F9">
            <v>4.1748689348734978</v>
          </cell>
          <cell r="G9">
            <v>4.3536695308066449</v>
          </cell>
          <cell r="H9">
            <v>3.5472105216028083</v>
          </cell>
          <cell r="I9">
            <v>3.5655257630258599</v>
          </cell>
          <cell r="J9">
            <v>4.3962492508801754</v>
          </cell>
          <cell r="K9">
            <v>1.4479433687650725</v>
          </cell>
          <cell r="L9">
            <v>2.5702183525732631</v>
          </cell>
          <cell r="N9">
            <v>3.3379874216181382</v>
          </cell>
          <cell r="O9">
            <v>3.1608075245026863</v>
          </cell>
          <cell r="P9">
            <v>3.5472105216028083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114</v>
          </cell>
        </row>
        <row r="4">
          <cell r="B4">
            <v>3.57519935574161</v>
          </cell>
          <cell r="C4">
            <v>3.6044538779155402</v>
          </cell>
        </row>
        <row r="114">
          <cell r="W114">
            <v>1.8144980741593666</v>
          </cell>
          <cell r="Z114">
            <v>5.7448745744616883</v>
          </cell>
        </row>
      </sheetData>
      <sheetData sheetId="4">
        <row r="9">
          <cell r="B9">
            <v>4.023683614868518</v>
          </cell>
          <cell r="C9">
            <v>3.0852836120615703</v>
          </cell>
          <cell r="D9">
            <v>3.8500441147466113</v>
          </cell>
          <cell r="E9">
            <v>2.2375493840391596</v>
          </cell>
          <cell r="F9">
            <v>3.2064510197815452</v>
          </cell>
          <cell r="G9">
            <v>2.5578270326004535</v>
          </cell>
          <cell r="H9">
            <v>5.1995374868137461</v>
          </cell>
          <cell r="I9">
            <v>3.5602060185417215</v>
          </cell>
          <cell r="J9">
            <v>3.528145031710511</v>
          </cell>
          <cell r="K9">
            <v>3.2987444658866107</v>
          </cell>
          <cell r="L9">
            <v>4.2066130828910513</v>
          </cell>
          <cell r="N9">
            <v>3.530852365449813</v>
          </cell>
          <cell r="O9">
            <v>3.5230986239946818</v>
          </cell>
          <cell r="P9">
            <v>3.528145031710511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1.1858575002613398</v>
          </cell>
          <cell r="C4">
            <v>1.4374994906465819</v>
          </cell>
        </row>
        <row r="82">
          <cell r="W82">
            <v>2.1269116437499347E-2</v>
          </cell>
          <cell r="Z82">
            <v>5.262628816216032</v>
          </cell>
        </row>
      </sheetData>
      <sheetData sheetId="4">
        <row r="9">
          <cell r="B9">
            <v>1.7344052084733828</v>
          </cell>
          <cell r="C9">
            <v>1.1648345448501716</v>
          </cell>
          <cell r="D9">
            <v>0.17256987378125047</v>
          </cell>
          <cell r="E9">
            <v>1.6050604644082862</v>
          </cell>
          <cell r="F9">
            <v>1.2495051383495246</v>
          </cell>
          <cell r="G9">
            <v>1.4275525620633649</v>
          </cell>
          <cell r="H9">
            <v>0.32195002120314198</v>
          </cell>
          <cell r="I9">
            <v>1.4800458168733657</v>
          </cell>
          <cell r="J9">
            <v>4.0583231884537287</v>
          </cell>
          <cell r="K9">
            <v>0.24680142924064652</v>
          </cell>
          <cell r="L9">
            <v>2.4214445425782709</v>
          </cell>
          <cell r="N9">
            <v>1.3925449851055962</v>
          </cell>
          <cell r="O9">
            <v>1.4438629809341033</v>
          </cell>
          <cell r="P9">
            <v>1.4275525620633649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80</v>
          </cell>
        </row>
        <row r="4">
          <cell r="B4">
            <v>2.2503929437958954</v>
          </cell>
          <cell r="C4">
            <v>2.2595802083571277</v>
          </cell>
        </row>
        <row r="80">
          <cell r="W80">
            <v>1.2441749981611832</v>
          </cell>
          <cell r="Z80">
            <v>3.2972085579167749</v>
          </cell>
        </row>
      </sheetData>
      <sheetData sheetId="4">
        <row r="9">
          <cell r="B9">
            <v>1.9367354014576412</v>
          </cell>
          <cell r="C9">
            <v>2.8872383919685589</v>
          </cell>
          <cell r="D9">
            <v>1.9878685642070115</v>
          </cell>
          <cell r="E9">
            <v>2.7196017719582559</v>
          </cell>
          <cell r="F9">
            <v>1.7660475099710173</v>
          </cell>
          <cell r="G9">
            <v>2.4244782180936379</v>
          </cell>
          <cell r="H9">
            <v>2.1561327020685623</v>
          </cell>
          <cell r="I9">
            <v>2.886576831704788</v>
          </cell>
          <cell r="J9">
            <v>1.8753672690790071</v>
          </cell>
          <cell r="K9">
            <v>2.56286771110801</v>
          </cell>
          <cell r="L9">
            <v>2.0845228428497191</v>
          </cell>
          <cell r="N9">
            <v>2.3493539933207295</v>
          </cell>
          <cell r="O9">
            <v>2.2988579285878368</v>
          </cell>
          <cell r="P9">
            <v>2.1561327020685623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3.6053650732494367</v>
          </cell>
          <cell r="C4">
            <v>3.7044095028033661</v>
          </cell>
        </row>
        <row r="94">
          <cell r="W94">
            <v>2.0212937370959576</v>
          </cell>
          <cell r="Z94">
            <v>5.7625257658801088</v>
          </cell>
        </row>
      </sheetData>
      <sheetData sheetId="4">
        <row r="9">
          <cell r="B9">
            <v>4.4794977227254655</v>
          </cell>
          <cell r="C9">
            <v>2.8071866737597562</v>
          </cell>
          <cell r="D9">
            <v>3.7249923050722304</v>
          </cell>
          <cell r="E9">
            <v>2.9916853372521772</v>
          </cell>
          <cell r="F9">
            <v>3.3015873668831257</v>
          </cell>
          <cell r="G9">
            <v>2.6431154127866332</v>
          </cell>
          <cell r="H9">
            <v>3.6504191969383815</v>
          </cell>
          <cell r="I9">
            <v>4.2820742659044999</v>
          </cell>
          <cell r="J9">
            <v>3.3903068211040139</v>
          </cell>
          <cell r="K9">
            <v>4.0983578503974094</v>
          </cell>
          <cell r="L9">
            <v>4.5479678367683869</v>
          </cell>
          <cell r="N9">
            <v>3.6711590560714931</v>
          </cell>
          <cell r="O9">
            <v>3.6288355263265526</v>
          </cell>
          <cell r="P9">
            <v>3.6504191969383815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Sheet1"/>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154</v>
          </cell>
        </row>
        <row r="4">
          <cell r="B4">
            <v>12.264703111967446</v>
          </cell>
          <cell r="C4">
            <v>12.543983141398828</v>
          </cell>
        </row>
        <row r="154">
          <cell r="W154">
            <v>4.8025447163006678</v>
          </cell>
          <cell r="Z154">
            <v>19.94246840937377</v>
          </cell>
        </row>
      </sheetData>
      <sheetData sheetId="4"/>
      <sheetData sheetId="5">
        <row r="9">
          <cell r="B9">
            <v>14.399423096491546</v>
          </cell>
          <cell r="C9">
            <v>11.170381820780406</v>
          </cell>
          <cell r="D9">
            <v>10.648741000268192</v>
          </cell>
          <cell r="E9">
            <v>10.027664451119694</v>
          </cell>
          <cell r="F9">
            <v>3.4465235481198828</v>
          </cell>
          <cell r="G9">
            <v>13.835849989811967</v>
          </cell>
          <cell r="H9">
            <v>8.3434127450036843</v>
          </cell>
          <cell r="I9">
            <v>13.22751542712637</v>
          </cell>
          <cell r="J9">
            <v>15.955421778633047</v>
          </cell>
          <cell r="K9">
            <v>18.680063737423094</v>
          </cell>
          <cell r="L9">
            <v>16.944261890854868</v>
          </cell>
          <cell r="N9">
            <v>12.292770325456891</v>
          </cell>
          <cell r="O9">
            <v>12.425387225966615</v>
          </cell>
          <cell r="P9">
            <v>13.22751542712637</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1.679722304806246</v>
          </cell>
          <cell r="C4">
            <v>1.7036012617145133</v>
          </cell>
        </row>
        <row r="92">
          <cell r="W92">
            <v>7.6338646180990594E-2</v>
          </cell>
          <cell r="Z92">
            <v>4.5302220270563787</v>
          </cell>
        </row>
      </sheetData>
      <sheetData sheetId="4">
        <row r="9">
          <cell r="B9">
            <v>1.3727719395694531</v>
          </cell>
          <cell r="C9">
            <v>1.2258876942129575</v>
          </cell>
          <cell r="D9">
            <v>0.82047155462861177</v>
          </cell>
          <cell r="E9">
            <v>0.2036080377017401</v>
          </cell>
          <cell r="F9">
            <v>0.82159262289516122</v>
          </cell>
          <cell r="G9">
            <v>1.8175722465072546</v>
          </cell>
          <cell r="H9">
            <v>1.1481449213782996E-2</v>
          </cell>
          <cell r="I9">
            <v>3.5998018102205109</v>
          </cell>
          <cell r="J9">
            <v>1.8167958540571241</v>
          </cell>
          <cell r="K9">
            <v>2.6281795006602766</v>
          </cell>
          <cell r="L9">
            <v>0.65880452538689016</v>
          </cell>
          <cell r="N9">
            <v>1.6411517668096383</v>
          </cell>
          <cell r="O9">
            <v>1.3615424759139785</v>
          </cell>
          <cell r="P9">
            <v>1.2258876942129575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2.1860144609837926</v>
          </cell>
          <cell r="C4">
            <v>2.1909312886268673</v>
          </cell>
        </row>
        <row r="94">
          <cell r="W94">
            <v>0.91625059386524688</v>
          </cell>
          <cell r="Z94">
            <v>3.754428822674921</v>
          </cell>
        </row>
      </sheetData>
      <sheetData sheetId="4">
        <row r="9">
          <cell r="B9">
            <v>2.4160598074342676</v>
          </cell>
          <cell r="C9">
            <v>2.2290105504916333</v>
          </cell>
          <cell r="D9">
            <v>1.4481144895351525</v>
          </cell>
          <cell r="E9">
            <v>2.3206431746174596</v>
          </cell>
          <cell r="F9">
            <v>3.3568905069418413</v>
          </cell>
          <cell r="G9">
            <v>2.0479017954496883</v>
          </cell>
          <cell r="H9">
            <v>2.2347298934371467</v>
          </cell>
          <cell r="I9">
            <v>1.5692579722311768</v>
          </cell>
          <cell r="J9">
            <v>1.962501587551466</v>
          </cell>
          <cell r="K9">
            <v>2.0937665664388843</v>
          </cell>
          <cell r="L9">
            <v>2.5758716658691023</v>
          </cell>
          <cell r="N9">
            <v>2.1552732422993954</v>
          </cell>
          <cell r="O9">
            <v>2.2049770918179834</v>
          </cell>
          <cell r="P9">
            <v>2.2290105504916333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86</v>
          </cell>
        </row>
        <row r="4">
          <cell r="B4">
            <v>1.4841977647033129</v>
          </cell>
          <cell r="C4">
            <v>1.6346297527132725</v>
          </cell>
        </row>
        <row r="86">
          <cell r="W86">
            <v>1.1282603062220783E-6</v>
          </cell>
          <cell r="Z86">
            <v>4.6711962339633191</v>
          </cell>
        </row>
      </sheetData>
      <sheetData sheetId="4">
        <row r="9">
          <cell r="B9">
            <v>0.46907646316546736</v>
          </cell>
          <cell r="C9">
            <v>2.4308685036646476</v>
          </cell>
          <cell r="D9">
            <v>2.6193129603932634</v>
          </cell>
          <cell r="E9">
            <v>1.1061792440648082</v>
          </cell>
          <cell r="F9">
            <v>1.9793234706454432</v>
          </cell>
          <cell r="G9">
            <v>1.4599087047649406</v>
          </cell>
          <cell r="H9">
            <v>1.9909913702734012</v>
          </cell>
          <cell r="I9">
            <v>2.6682438463013893</v>
          </cell>
          <cell r="J9">
            <v>2.4903181413975219</v>
          </cell>
          <cell r="K9">
            <v>3.3523456E-2</v>
          </cell>
          <cell r="L9">
            <v>0.99245541421783989</v>
          </cell>
          <cell r="N9">
            <v>1.7196820927478558</v>
          </cell>
          <cell r="O9">
            <v>1.6582001431717024</v>
          </cell>
          <cell r="P9">
            <v>1.9793234706454432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3.6549555267686369</v>
          </cell>
          <cell r="C4">
            <v>3.6370129867623131</v>
          </cell>
        </row>
        <row r="94">
          <cell r="W94">
            <v>0.68746968969627942</v>
          </cell>
          <cell r="Z94">
            <v>6.2819313610017637</v>
          </cell>
        </row>
      </sheetData>
      <sheetData sheetId="4">
        <row r="9">
          <cell r="B9">
            <v>2.2087403591492016</v>
          </cell>
          <cell r="C9">
            <v>5.5978538942720233</v>
          </cell>
          <cell r="D9">
            <v>3.0744704696302452</v>
          </cell>
          <cell r="E9">
            <v>3.3149824195607978</v>
          </cell>
          <cell r="F9">
            <v>6.2541936847458821</v>
          </cell>
          <cell r="G9">
            <v>4.70162412752323</v>
          </cell>
          <cell r="H9">
            <v>3.5369162203676154</v>
          </cell>
          <cell r="I9">
            <v>2.93070292284344</v>
          </cell>
          <cell r="J9">
            <v>3.4578690207003957</v>
          </cell>
          <cell r="K9">
            <v>3.6472316887592515</v>
          </cell>
          <cell r="L9">
            <v>3.2594746084203714</v>
          </cell>
          <cell r="N9">
            <v>3.929208332415465</v>
          </cell>
          <cell r="O9">
            <v>3.8167326741793137</v>
          </cell>
          <cell r="P9">
            <v>3.4578690207003957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5.4699316516482268</v>
          </cell>
          <cell r="C4">
            <v>5.5233757572231923</v>
          </cell>
        </row>
        <row r="96">
          <cell r="W96">
            <v>4.2529188206539175</v>
          </cell>
          <cell r="Z96">
            <v>6.966566066434555</v>
          </cell>
        </row>
      </sheetData>
      <sheetData sheetId="4">
        <row r="9">
          <cell r="B9">
            <v>5.1408178794729595</v>
          </cell>
          <cell r="C9">
            <v>4.5713514141266511</v>
          </cell>
          <cell r="D9">
            <v>5.6059520529597622</v>
          </cell>
          <cell r="E9">
            <v>5.3002829656137065</v>
          </cell>
          <cell r="F9">
            <v>5.6570793929730598</v>
          </cell>
          <cell r="G9">
            <v>4.5934173676634913</v>
          </cell>
          <cell r="H9">
            <v>6.7208802405915282</v>
          </cell>
          <cell r="I9">
            <v>5.0643423508358012</v>
          </cell>
          <cell r="J9">
            <v>6.208291587496455</v>
          </cell>
          <cell r="K9">
            <v>5.4515006797394943</v>
          </cell>
          <cell r="L9">
            <v>5.7876785350927902</v>
          </cell>
          <cell r="N9">
            <v>5.4794674293589587</v>
          </cell>
          <cell r="O9">
            <v>5.4637813151423362</v>
          </cell>
          <cell r="P9">
            <v>5.4515006797394943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4.7735666808436692</v>
          </cell>
          <cell r="C4">
            <v>4.8660398556969096</v>
          </cell>
        </row>
        <row r="82">
          <cell r="W82">
            <v>2.7076521461772409</v>
          </cell>
          <cell r="Z82">
            <v>7.4274093689549066</v>
          </cell>
        </row>
      </sheetData>
      <sheetData sheetId="4">
        <row r="9">
          <cell r="B9">
            <v>4.6855845915474941</v>
          </cell>
          <cell r="C9">
            <v>4.9024629318693087</v>
          </cell>
          <cell r="D9">
            <v>6.3558907082851714</v>
          </cell>
          <cell r="E9">
            <v>4.3995063736744466</v>
          </cell>
          <cell r="F9">
            <v>3.8713654575206946</v>
          </cell>
          <cell r="G9">
            <v>3.7547946506507288</v>
          </cell>
          <cell r="H9">
            <v>5.4384873989074451</v>
          </cell>
          <cell r="I9">
            <v>3.2083705906822155</v>
          </cell>
          <cell r="J9">
            <v>5.5083128322138508</v>
          </cell>
          <cell r="K9">
            <v>4.4691712148321043</v>
          </cell>
          <cell r="L9">
            <v>6.0163725390576452</v>
          </cell>
          <cell r="N9">
            <v>4.7840080471057469</v>
          </cell>
          <cell r="O9">
            <v>4.7827562990219183</v>
          </cell>
          <cell r="P9">
            <v>4.6855845915474941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100</v>
          </cell>
        </row>
        <row r="4">
          <cell r="B4">
            <v>1.4863936259046122</v>
          </cell>
          <cell r="C4">
            <v>2.6193098339302803</v>
          </cell>
        </row>
        <row r="100">
          <cell r="W100">
            <v>8.9682831725030939E-3</v>
          </cell>
          <cell r="Z100">
            <v>9.6946113144772124</v>
          </cell>
        </row>
      </sheetData>
      <sheetData sheetId="4">
        <row r="9">
          <cell r="B9">
            <v>0</v>
          </cell>
          <cell r="C9">
            <v>4.2486988863472614</v>
          </cell>
          <cell r="D9">
            <v>5.6725894968210424</v>
          </cell>
          <cell r="E9">
            <v>5.0728701122411213</v>
          </cell>
          <cell r="F9">
            <v>5.1256922467754311</v>
          </cell>
          <cell r="G9">
            <v>2.906536319602953</v>
          </cell>
          <cell r="H9">
            <v>2.114997941120845</v>
          </cell>
          <cell r="I9">
            <v>5.0987303154393295</v>
          </cell>
          <cell r="J9">
            <v>0.91827967136518929</v>
          </cell>
          <cell r="K9">
            <v>5.5684552443185975</v>
          </cell>
          <cell r="L9">
            <v>5.5996705647176633E-2</v>
          </cell>
          <cell r="N9">
            <v>4.6036906409299112</v>
          </cell>
          <cell r="O9">
            <v>3.6782846939678948</v>
          </cell>
          <cell r="P9">
            <v>4.6607844992941914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70</v>
          </cell>
        </row>
        <row r="4">
          <cell r="B4">
            <v>2.2166299772357547</v>
          </cell>
          <cell r="C4">
            <v>2.2750333465829224</v>
          </cell>
        </row>
        <row r="70">
          <cell r="W70">
            <v>1.2337088587862173</v>
          </cell>
          <cell r="Z70">
            <v>3.5882030159002625</v>
          </cell>
        </row>
      </sheetData>
      <sheetData sheetId="4">
        <row r="9">
          <cell r="B9">
            <v>2.1045257039246796</v>
          </cell>
          <cell r="C9">
            <v>1.8374941158697971</v>
          </cell>
          <cell r="D9">
            <v>2.2734482280215338</v>
          </cell>
          <cell r="E9">
            <v>2.2210214315222006</v>
          </cell>
          <cell r="F9">
            <v>3.0368318051176466</v>
          </cell>
          <cell r="G9">
            <v>1.4544406153435008</v>
          </cell>
          <cell r="H9">
            <v>2.3116816680208796</v>
          </cell>
          <cell r="I9">
            <v>2.2986839402554464</v>
          </cell>
          <cell r="J9">
            <v>2.8377495022506385</v>
          </cell>
          <cell r="K9">
            <v>2.6500200507368814</v>
          </cell>
          <cell r="L9">
            <v>2.4527190186272607</v>
          </cell>
          <cell r="N9">
            <v>2.3185790597278064</v>
          </cell>
          <cell r="O9">
            <v>2.3162378254264055</v>
          </cell>
          <cell r="P9">
            <v>2.2986839402554464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100</v>
          </cell>
        </row>
        <row r="4">
          <cell r="B4">
            <v>4.6864711292708705</v>
          </cell>
          <cell r="C4">
            <v>4.8214170221691504</v>
          </cell>
        </row>
        <row r="100">
          <cell r="W100">
            <v>3.6505489575775756</v>
          </cell>
          <cell r="Z100">
            <v>6.5564623251860423</v>
          </cell>
        </row>
      </sheetData>
      <sheetData sheetId="4">
        <row r="9">
          <cell r="B9">
            <v>5.2308354949993179</v>
          </cell>
          <cell r="C9">
            <v>4.0839545976996607</v>
          </cell>
          <cell r="D9">
            <v>4.4232442475482721</v>
          </cell>
          <cell r="E9">
            <v>4.7564934830893062</v>
          </cell>
          <cell r="F9">
            <v>4.3426906220109416</v>
          </cell>
          <cell r="G9">
            <v>4.3137743943897862</v>
          </cell>
          <cell r="H9">
            <v>4.4016201821983643</v>
          </cell>
          <cell r="I9">
            <v>5.5210285541702566</v>
          </cell>
          <cell r="J9">
            <v>5.3804608189005076</v>
          </cell>
          <cell r="K9">
            <v>4.4968229825955017</v>
          </cell>
          <cell r="L9">
            <v>4.1745445012082296</v>
          </cell>
          <cell r="N9">
            <v>4.6687622455387272</v>
          </cell>
          <cell r="O9">
            <v>4.6477699889827404</v>
          </cell>
          <cell r="P9">
            <v>4.4232442475482721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5.1661145242774316</v>
          </cell>
          <cell r="C4">
            <v>5.1120241214627056</v>
          </cell>
        </row>
        <row r="96">
          <cell r="W96">
            <v>3.6166312547717951</v>
          </cell>
          <cell r="Z96">
            <v>6.8506147280610206</v>
          </cell>
        </row>
      </sheetData>
      <sheetData sheetId="4">
        <row r="9">
          <cell r="B9">
            <v>4.0623906304361714</v>
          </cell>
          <cell r="C9">
            <v>5.3450196699414008</v>
          </cell>
          <cell r="D9">
            <v>4.6084913607393787</v>
          </cell>
          <cell r="E9">
            <v>7.9430479266128833</v>
          </cell>
          <cell r="F9">
            <v>4.807027966637742</v>
          </cell>
          <cell r="G9">
            <v>5.5106631155374242</v>
          </cell>
          <cell r="H9">
            <v>4.9601277085117799</v>
          </cell>
          <cell r="I9">
            <v>4.7626724145226973</v>
          </cell>
          <cell r="J9">
            <v>5.9105371419483266</v>
          </cell>
          <cell r="K9">
            <v>5.0303306574195279</v>
          </cell>
          <cell r="L9">
            <v>4.3760412599259348</v>
          </cell>
          <cell r="N9">
            <v>5.1139284910348382</v>
          </cell>
          <cell r="O9">
            <v>5.2105772592939328</v>
          </cell>
          <cell r="P9">
            <v>4.9601277085117799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4.6678806671082906</v>
          </cell>
          <cell r="C4">
            <v>4.7488536583659888</v>
          </cell>
        </row>
        <row r="92">
          <cell r="W92">
            <v>3.2234525564223979</v>
          </cell>
          <cell r="Z92">
            <v>6.5415888826141941</v>
          </cell>
        </row>
      </sheetData>
      <sheetData sheetId="4">
        <row r="9">
          <cell r="B9">
            <v>4.4848754680554404</v>
          </cell>
          <cell r="C9">
            <v>6.286948151715845</v>
          </cell>
          <cell r="D9">
            <v>4.4818187798328033</v>
          </cell>
          <cell r="E9">
            <v>3.9364241848388404</v>
          </cell>
          <cell r="F9">
            <v>4.1694749344178845</v>
          </cell>
          <cell r="G9">
            <v>6.6663190211606764</v>
          </cell>
          <cell r="H9">
            <v>4.8718300350789381</v>
          </cell>
          <cell r="I9">
            <v>4.5817350728609654</v>
          </cell>
          <cell r="J9">
            <v>4.4990346275926401</v>
          </cell>
          <cell r="K9">
            <v>4.8606945750659856</v>
          </cell>
          <cell r="L9">
            <v>4.6111220452863284</v>
          </cell>
          <cell r="N9">
            <v>4.7863152552506856</v>
          </cell>
          <cell r="O9">
            <v>4.8591160814460315</v>
          </cell>
          <cell r="P9">
            <v>4.5817350728609654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84</v>
          </cell>
        </row>
        <row r="4">
          <cell r="B4">
            <v>2.6432273355462099</v>
          </cell>
          <cell r="C4">
            <v>2.6347152472503019</v>
          </cell>
        </row>
        <row r="84">
          <cell r="W84">
            <v>1.8716991294283079</v>
          </cell>
          <cell r="Z84">
            <v>3.4696411548766384</v>
          </cell>
        </row>
      </sheetData>
      <sheetData sheetId="4">
        <row r="9">
          <cell r="B9">
            <v>3.1756454311023958</v>
          </cell>
          <cell r="C9">
            <v>2.251880419637275</v>
          </cell>
          <cell r="D9">
            <v>2.6585920403832595</v>
          </cell>
          <cell r="E9">
            <v>2.1460826420158807</v>
          </cell>
          <cell r="F9">
            <v>3.0840450385039508</v>
          </cell>
          <cell r="G9">
            <v>2.829283103775539</v>
          </cell>
          <cell r="H9">
            <v>2.4129513828033762</v>
          </cell>
          <cell r="I9">
            <v>2.5351169835304899</v>
          </cell>
          <cell r="J9">
            <v>2.4639080769332615</v>
          </cell>
          <cell r="K9">
            <v>2.4824921215319717</v>
          </cell>
          <cell r="L9">
            <v>3.0684340014444178</v>
          </cell>
          <cell r="N9">
            <v>2.6477386218407624</v>
          </cell>
          <cell r="O9">
            <v>2.6462210219692563</v>
          </cell>
          <cell r="P9">
            <v>2.5351169835304899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1.2359846326836277</v>
          </cell>
          <cell r="C4">
            <v>1.1851125256239667</v>
          </cell>
        </row>
        <row r="82">
          <cell r="W82">
            <v>0.34299492717044067</v>
          </cell>
          <cell r="Z82">
            <v>2.1027557932812844</v>
          </cell>
        </row>
      </sheetData>
      <sheetData sheetId="4">
        <row r="9">
          <cell r="B9">
            <v>1.5111581814802808</v>
          </cell>
          <cell r="C9">
            <v>1.3925894843109794</v>
          </cell>
          <cell r="D9">
            <v>1.3223963385763982</v>
          </cell>
          <cell r="E9">
            <v>1.327375637211138</v>
          </cell>
          <cell r="F9">
            <v>1.9603278094688379</v>
          </cell>
          <cell r="G9">
            <v>1.6156642989267069</v>
          </cell>
          <cell r="H9">
            <v>1.2881873295287949</v>
          </cell>
          <cell r="I9">
            <v>0.8877897952216588</v>
          </cell>
          <cell r="J9">
            <v>1.0623072778659428</v>
          </cell>
          <cell r="K9">
            <v>1.2253614716762844</v>
          </cell>
          <cell r="L9">
            <v>0.8089576552304294</v>
          </cell>
          <cell r="N9">
            <v>1.4146576652086269</v>
          </cell>
          <cell r="O9">
            <v>1.3092832072270411</v>
          </cell>
          <cell r="P9">
            <v>1.3223963385763982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5.4842984450380428</v>
          </cell>
          <cell r="C4">
            <v>5.4880215737693296</v>
          </cell>
        </row>
        <row r="102">
          <cell r="W102">
            <v>4.5317924099903877</v>
          </cell>
          <cell r="Z102">
            <v>6.4411852567830605</v>
          </cell>
        </row>
      </sheetData>
      <sheetData sheetId="4">
        <row r="9">
          <cell r="B9">
            <v>5.9096731793033115</v>
          </cell>
          <cell r="C9">
            <v>4.9191015271702589</v>
          </cell>
          <cell r="D9">
            <v>5.4119355942773515</v>
          </cell>
          <cell r="E9">
            <v>5.4048018548996932</v>
          </cell>
          <cell r="F9">
            <v>5.5855069488275557</v>
          </cell>
          <cell r="G9">
            <v>5.7139933945650876</v>
          </cell>
          <cell r="H9">
            <v>5.5246735710784041</v>
          </cell>
          <cell r="I9">
            <v>5.5987471803755255</v>
          </cell>
          <cell r="J9">
            <v>5.3251782761684954</v>
          </cell>
          <cell r="K9">
            <v>5.6453279306090858</v>
          </cell>
          <cell r="L9">
            <v>5.3716003176414695</v>
          </cell>
          <cell r="N9">
            <v>5.505872706437362</v>
          </cell>
          <cell r="O9">
            <v>5.491867252265112</v>
          </cell>
          <cell r="P9">
            <v>5.5246735710784041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104</v>
          </cell>
        </row>
        <row r="4">
          <cell r="B4">
            <v>3.3864468354208439</v>
          </cell>
          <cell r="C4">
            <v>3.3445109496908221</v>
          </cell>
        </row>
        <row r="104">
          <cell r="W104">
            <v>2.2166380666560861</v>
          </cell>
          <cell r="Z104">
            <v>4.5520385885944759</v>
          </cell>
        </row>
      </sheetData>
      <sheetData sheetId="4">
        <row r="9">
          <cell r="B9">
            <v>2.5891048218428647</v>
          </cell>
          <cell r="C9">
            <v>4.0566469272109353</v>
          </cell>
          <cell r="D9">
            <v>3.5393788135176631</v>
          </cell>
          <cell r="E9">
            <v>4.0396854552571186</v>
          </cell>
          <cell r="F9">
            <v>3.8024663367248905</v>
          </cell>
          <cell r="G9">
            <v>3.2527792475320987</v>
          </cell>
          <cell r="H9">
            <v>2.057399751389589</v>
          </cell>
          <cell r="I9">
            <v>3.7092032059733149</v>
          </cell>
          <cell r="J9">
            <v>3.5321604975834413</v>
          </cell>
          <cell r="K9">
            <v>3.3759749798978551</v>
          </cell>
          <cell r="L9">
            <v>3.6857448527278489</v>
          </cell>
          <cell r="N9">
            <v>3.4458648481555141</v>
          </cell>
          <cell r="O9">
            <v>3.4218677172416019</v>
          </cell>
          <cell r="P9">
            <v>3.5393788135176631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2.9612576874274792</v>
          </cell>
          <cell r="C4">
            <v>2.9606165154458726</v>
          </cell>
        </row>
        <row r="102">
          <cell r="W102">
            <v>2.3720507356958729</v>
          </cell>
          <cell r="Z102">
            <v>3.4601382546978789</v>
          </cell>
        </row>
      </sheetData>
      <sheetData sheetId="4">
        <row r="9">
          <cell r="B9">
            <v>3.1811851406338807</v>
          </cell>
          <cell r="C9">
            <v>2.8569740752428712</v>
          </cell>
          <cell r="D9">
            <v>2.9162307579007503</v>
          </cell>
          <cell r="E9">
            <v>2.7974816901653798</v>
          </cell>
          <cell r="F9">
            <v>2.7254797140626059</v>
          </cell>
          <cell r="G9">
            <v>3.1095326519652109</v>
          </cell>
          <cell r="H9">
            <v>3.1469070186281427</v>
          </cell>
          <cell r="I9">
            <v>3.0604067490445668</v>
          </cell>
          <cell r="J9">
            <v>3.4171362267029011</v>
          </cell>
          <cell r="K9">
            <v>2.9269416527878254</v>
          </cell>
          <cell r="L9">
            <v>2.3458635353131143</v>
          </cell>
          <cell r="N9">
            <v>2.9777428959635448</v>
          </cell>
          <cell r="O9">
            <v>2.9531035647679316</v>
          </cell>
          <cell r="P9">
            <v>2.9269416527878254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86</v>
          </cell>
        </row>
        <row r="4">
          <cell r="B4">
            <v>1.9534951132615652</v>
          </cell>
          <cell r="C4">
            <v>1.9765603269407948</v>
          </cell>
        </row>
        <row r="86">
          <cell r="W86">
            <v>1.3898851291359891</v>
          </cell>
          <cell r="Z86">
            <v>2.6824855530832594</v>
          </cell>
        </row>
      </sheetData>
      <sheetData sheetId="4">
        <row r="9">
          <cell r="B9">
            <v>1.7853810009956885</v>
          </cell>
          <cell r="C9">
            <v>2.0245548717142947</v>
          </cell>
          <cell r="D9">
            <v>2.2807067167678072</v>
          </cell>
          <cell r="E9">
            <v>2.0539403073785945</v>
          </cell>
          <cell r="F9">
            <v>2.4977009617286945</v>
          </cell>
          <cell r="G9">
            <v>1.6346796515433459</v>
          </cell>
          <cell r="H9">
            <v>2.0221132003769311</v>
          </cell>
          <cell r="I9">
            <v>2.3947104819212948</v>
          </cell>
          <cell r="J9">
            <v>1.6880894844024104</v>
          </cell>
          <cell r="K9">
            <v>1.7377295093709642</v>
          </cell>
          <cell r="L9">
            <v>1.8071714005734516</v>
          </cell>
          <cell r="N9">
            <v>2.0115302931093821</v>
          </cell>
          <cell r="O9">
            <v>1.9933434169794071</v>
          </cell>
          <cell r="P9">
            <v>2.0221132003769311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84</v>
          </cell>
        </row>
        <row r="4">
          <cell r="B4">
            <v>0.42721140822554582</v>
          </cell>
          <cell r="C4">
            <v>0.54450212404552945</v>
          </cell>
        </row>
        <row r="84">
          <cell r="W84">
            <v>4.9150042638235622E-2</v>
          </cell>
          <cell r="Z84">
            <v>1.4102863742890095</v>
          </cell>
        </row>
      </sheetData>
      <sheetData sheetId="4">
        <row r="9">
          <cell r="B9">
            <v>0.84040137094735223</v>
          </cell>
          <cell r="C9">
            <v>3.6573685115595719E-3</v>
          </cell>
          <cell r="D9">
            <v>0.5817956959820203</v>
          </cell>
          <cell r="E9">
            <v>1.4290071973701899</v>
          </cell>
          <cell r="F9">
            <v>0.19734310881469319</v>
          </cell>
          <cell r="G9">
            <v>0.22248702230389281</v>
          </cell>
          <cell r="H9">
            <v>0.93709020324604131</v>
          </cell>
          <cell r="I9">
            <v>0.26891757400461641</v>
          </cell>
          <cell r="J9">
            <v>0.16199891387736798</v>
          </cell>
          <cell r="K9">
            <v>0.18233808196164766</v>
          </cell>
          <cell r="L9">
            <v>0.183504722103488</v>
          </cell>
          <cell r="N9">
            <v>0.72063752760594557</v>
          </cell>
          <cell r="O9">
            <v>0.45532193264753362</v>
          </cell>
          <cell r="P9">
            <v>0.22248702230389281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84</v>
          </cell>
        </row>
        <row r="4">
          <cell r="B4">
            <v>1.4948727442467926</v>
          </cell>
          <cell r="C4">
            <v>2.4250234560989377</v>
          </cell>
        </row>
        <row r="84">
          <cell r="W84">
            <v>4.6535973764365761E-3</v>
          </cell>
          <cell r="Z84">
            <v>15.381410165922002</v>
          </cell>
        </row>
      </sheetData>
      <sheetData sheetId="4">
        <row r="9">
          <cell r="B9">
            <v>4.2928064487686557</v>
          </cell>
          <cell r="C9">
            <v>0.29854648556280283</v>
          </cell>
          <cell r="D9">
            <v>1.1176863192868924</v>
          </cell>
          <cell r="E9">
            <v>0.37079190191030559</v>
          </cell>
          <cell r="F9">
            <v>1.2111921982738074</v>
          </cell>
          <cell r="G9">
            <v>2.0961880017718846</v>
          </cell>
          <cell r="H9">
            <v>4.1811605496492081</v>
          </cell>
          <cell r="I9">
            <v>1.2814352362225119</v>
          </cell>
          <cell r="J9">
            <v>0.2687553329037688</v>
          </cell>
          <cell r="K9">
            <v>0.27061078</v>
          </cell>
          <cell r="L9">
            <v>0.98924656974635572</v>
          </cell>
          <cell r="N9">
            <v>1.6098190443243943</v>
          </cell>
          <cell r="O9">
            <v>1.4889472567360178</v>
          </cell>
          <cell r="P9">
            <v>1.1176863192868924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72</v>
          </cell>
        </row>
        <row r="4">
          <cell r="B4">
            <v>2.4877080061892469</v>
          </cell>
          <cell r="C4">
            <v>2.4566899975247067</v>
          </cell>
        </row>
        <row r="72">
          <cell r="W72">
            <v>0.35629255441929614</v>
          </cell>
          <cell r="Z72">
            <v>4.0451911624978942</v>
          </cell>
        </row>
      </sheetData>
      <sheetData sheetId="4">
        <row r="9">
          <cell r="B9">
            <v>2.5386137625197471</v>
          </cell>
          <cell r="C9">
            <v>1.9960678326833305</v>
          </cell>
          <cell r="D9">
            <v>2.3643791467055233</v>
          </cell>
          <cell r="E9">
            <v>3.0371514412171008</v>
          </cell>
          <cell r="F9">
            <v>2.3258484778432043</v>
          </cell>
          <cell r="G9">
            <v>2.2443447817017099</v>
          </cell>
          <cell r="H9">
            <v>4.1522661827277298</v>
          </cell>
          <cell r="I9">
            <v>3.091019480865655</v>
          </cell>
          <cell r="J9">
            <v>2.5540491710216289</v>
          </cell>
          <cell r="K9">
            <v>1.444723608309026</v>
          </cell>
          <cell r="L9">
            <v>1.8403901983787805</v>
          </cell>
          <cell r="N9">
            <v>2.4613024986262007</v>
          </cell>
          <cell r="O9">
            <v>2.5080776439975847</v>
          </cell>
          <cell r="P9">
            <v>2.3643791467055233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114</v>
          </cell>
        </row>
        <row r="4">
          <cell r="B4">
            <v>3.7070640560216663</v>
          </cell>
          <cell r="C4">
            <v>3.7197637526430487</v>
          </cell>
        </row>
        <row r="114">
          <cell r="W114">
            <v>2.7565085347254716</v>
          </cell>
          <cell r="Z114">
            <v>4.5706137388051511</v>
          </cell>
        </row>
      </sheetData>
      <sheetData sheetId="4">
        <row r="9">
          <cell r="B9">
            <v>3.6431882296417601</v>
          </cell>
          <cell r="C9">
            <v>3.5439169057321811</v>
          </cell>
          <cell r="D9">
            <v>3.6135344965683149</v>
          </cell>
          <cell r="E9">
            <v>3.9340692711873904</v>
          </cell>
          <cell r="F9">
            <v>4.0085586024778586</v>
          </cell>
          <cell r="G9">
            <v>3.4089193161945466</v>
          </cell>
          <cell r="H9">
            <v>4.3951337232800345</v>
          </cell>
          <cell r="I9">
            <v>3.7339194070266926</v>
          </cell>
          <cell r="J9">
            <v>3.694390407481531</v>
          </cell>
          <cell r="K9">
            <v>3.2444692188815529</v>
          </cell>
          <cell r="L9">
            <v>3.5350329922291026</v>
          </cell>
          <cell r="N9">
            <v>3.7649382182149598</v>
          </cell>
          <cell r="O9">
            <v>3.7050120518819067</v>
          </cell>
          <cell r="P9">
            <v>3.6431882296417601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84</v>
          </cell>
        </row>
        <row r="4">
          <cell r="B4">
            <v>3.055640094339394</v>
          </cell>
          <cell r="C4">
            <v>3.0216962920386039</v>
          </cell>
        </row>
        <row r="84">
          <cell r="W84">
            <v>0.37162649866974889</v>
          </cell>
          <cell r="Z84">
            <v>6.0445200374505808</v>
          </cell>
        </row>
      </sheetData>
      <sheetData sheetId="4">
        <row r="9">
          <cell r="B9">
            <v>2.2536273140252812</v>
          </cell>
          <cell r="C9">
            <v>2.8208216982363346</v>
          </cell>
          <cell r="D9">
            <v>3.6828930784714666</v>
          </cell>
          <cell r="E9">
            <v>2.3413671534546268</v>
          </cell>
          <cell r="F9">
            <v>3.7727058562132672</v>
          </cell>
          <cell r="G9">
            <v>3.9409188465015617</v>
          </cell>
          <cell r="H9">
            <v>5.1339924926690541</v>
          </cell>
          <cell r="I9">
            <v>3.4480032312909756</v>
          </cell>
          <cell r="J9">
            <v>4.9152721948346496</v>
          </cell>
          <cell r="K9">
            <v>3.4012038015135126</v>
          </cell>
          <cell r="L9">
            <v>2.0918218281520722</v>
          </cell>
          <cell r="N9">
            <v>3.3312602701476002</v>
          </cell>
          <cell r="O9">
            <v>3.4366024995784361</v>
          </cell>
          <cell r="P9">
            <v>3.4480032312909756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1.7212543793463044</v>
          </cell>
          <cell r="C4">
            <v>2.5282898328426917</v>
          </cell>
        </row>
        <row r="88">
          <cell r="W88">
            <v>0.33646764103553506</v>
          </cell>
          <cell r="Z88">
            <v>8.0457243489168775</v>
          </cell>
        </row>
      </sheetData>
      <sheetData sheetId="4">
        <row r="9">
          <cell r="B9">
            <v>2.0055386989450676</v>
          </cell>
          <cell r="C9">
            <v>5.2786271752868652</v>
          </cell>
          <cell r="D9">
            <v>4.5677599257602228</v>
          </cell>
          <cell r="E9">
            <v>1.8804785692273238</v>
          </cell>
          <cell r="F9">
            <v>2.7499842922615354</v>
          </cell>
          <cell r="G9">
            <v>1.2811662909694659</v>
          </cell>
          <cell r="H9">
            <v>1.4240849236602313</v>
          </cell>
          <cell r="I9">
            <v>4.3497841039343468E-2</v>
          </cell>
          <cell r="J9">
            <v>1.9842140172576772</v>
          </cell>
          <cell r="K9">
            <v>0.31462373276582589</v>
          </cell>
          <cell r="L9">
            <v>2.8559939529376583</v>
          </cell>
          <cell r="N9">
            <v>1.65218385499934</v>
          </cell>
          <cell r="O9">
            <v>2.2169063109192013</v>
          </cell>
          <cell r="P9">
            <v>1.9842140172576772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80</v>
          </cell>
        </row>
        <row r="4">
          <cell r="B4">
            <v>1.4196391962700801</v>
          </cell>
          <cell r="C4">
            <v>1.4246247981419651</v>
          </cell>
        </row>
        <row r="80">
          <cell r="W80">
            <v>0.28245906925705705</v>
          </cell>
          <cell r="Z80">
            <v>2.0819159822808224</v>
          </cell>
        </row>
      </sheetData>
      <sheetData sheetId="4">
        <row r="9">
          <cell r="B9">
            <v>1.476126789776538</v>
          </cell>
          <cell r="C9">
            <v>1.9315588829159818</v>
          </cell>
          <cell r="D9">
            <v>1.2424280150771041</v>
          </cell>
          <cell r="E9">
            <v>1.7768240622613787</v>
          </cell>
          <cell r="F9">
            <v>2.1501145650781983</v>
          </cell>
          <cell r="G9">
            <v>1.1392184273157047</v>
          </cell>
          <cell r="H9">
            <v>1.5886411959542661</v>
          </cell>
          <cell r="I9">
            <v>1.3907261871949959</v>
          </cell>
          <cell r="J9">
            <v>1.0560470021380064</v>
          </cell>
          <cell r="K9">
            <v>1.1267150186825237</v>
          </cell>
          <cell r="L9">
            <v>1.5557284588739171</v>
          </cell>
          <cell r="N9">
            <v>1.4615742276468118</v>
          </cell>
          <cell r="O9">
            <v>1.4940116913880559</v>
          </cell>
          <cell r="P9">
            <v>1.476126789776538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118</v>
          </cell>
        </row>
        <row r="4">
          <cell r="B4">
            <v>6.0010927184156575</v>
          </cell>
          <cell r="C4">
            <v>5.9929308538135402</v>
          </cell>
        </row>
        <row r="118">
          <cell r="W118">
            <v>4.5509881662715568</v>
          </cell>
          <cell r="Z118">
            <v>7.7977893806554706</v>
          </cell>
        </row>
      </sheetData>
      <sheetData sheetId="4">
        <row r="9">
          <cell r="B9">
            <v>6.9422754811380347</v>
          </cell>
          <cell r="C9">
            <v>4.1624650268398353</v>
          </cell>
          <cell r="D9">
            <v>4.9117467048495485</v>
          </cell>
          <cell r="E9">
            <v>5.5175422160462402</v>
          </cell>
          <cell r="F9">
            <v>6.1699069479646527</v>
          </cell>
          <cell r="G9">
            <v>7.0616350652846966</v>
          </cell>
          <cell r="H9">
            <v>5.262985844465252</v>
          </cell>
          <cell r="I9">
            <v>5.6881340005532239</v>
          </cell>
          <cell r="J9">
            <v>5.9356150128195369</v>
          </cell>
          <cell r="K9">
            <v>6.9373368831336499</v>
          </cell>
          <cell r="L9">
            <v>6.9394091452626752</v>
          </cell>
          <cell r="N9">
            <v>5.9641640430467824</v>
          </cell>
          <cell r="O9">
            <v>5.9571865753052125</v>
          </cell>
          <cell r="P9">
            <v>5.9356150128195369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2.7849808440835497</v>
          </cell>
          <cell r="C4">
            <v>2.7045983655773478</v>
          </cell>
        </row>
        <row r="90">
          <cell r="W90">
            <v>1.3738826969619271</v>
          </cell>
          <cell r="Z90">
            <v>3.7842366957570284</v>
          </cell>
        </row>
      </sheetData>
      <sheetData sheetId="4">
        <row r="9">
          <cell r="B9">
            <v>3.6258671776069535</v>
          </cell>
          <cell r="C9">
            <v>2.5534012733901128</v>
          </cell>
          <cell r="D9">
            <v>1.7915183207771266</v>
          </cell>
          <cell r="E9">
            <v>2.0901383664198576</v>
          </cell>
          <cell r="F9">
            <v>2.79838821880834</v>
          </cell>
          <cell r="G9">
            <v>2.0119715804732996</v>
          </cell>
          <cell r="H9">
            <v>2.2412429420207465</v>
          </cell>
          <cell r="I9">
            <v>1.4971081720839208</v>
          </cell>
          <cell r="J9">
            <v>3.9864007987952701</v>
          </cell>
          <cell r="K9">
            <v>3.2592020563230011</v>
          </cell>
          <cell r="L9">
            <v>4.7969256922796895</v>
          </cell>
          <cell r="N9">
            <v>2.7528623445927187</v>
          </cell>
          <cell r="O9">
            <v>2.7865604180889378</v>
          </cell>
          <cell r="P9">
            <v>2.5534012733901128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72</v>
          </cell>
        </row>
        <row r="4">
          <cell r="B4">
            <v>1.69589630016335</v>
          </cell>
          <cell r="C4">
            <v>1.9323931543651887</v>
          </cell>
        </row>
        <row r="72">
          <cell r="W72">
            <v>0.14414124410692858</v>
          </cell>
          <cell r="Z72">
            <v>5.8969622115348566</v>
          </cell>
        </row>
      </sheetData>
      <sheetData sheetId="4">
        <row r="9">
          <cell r="B9">
            <v>1.473405420667262</v>
          </cell>
          <cell r="C9">
            <v>1.0104831983878719</v>
          </cell>
          <cell r="D9">
            <v>2.1188035998449641</v>
          </cell>
          <cell r="E9">
            <v>2.2324168854790178</v>
          </cell>
          <cell r="F9">
            <v>2.7358806770709498</v>
          </cell>
          <cell r="G9">
            <v>3.0340080274966161</v>
          </cell>
          <cell r="H9">
            <v>0.10003521</v>
          </cell>
          <cell r="I9">
            <v>1.1867874882027223</v>
          </cell>
          <cell r="J9">
            <v>2.3206004492558709</v>
          </cell>
          <cell r="K9">
            <v>0.42876851530274696</v>
          </cell>
          <cell r="L9">
            <v>1.1238684157400427</v>
          </cell>
          <cell r="N9">
            <v>1.9506126273278115</v>
          </cell>
          <cell r="O9">
            <v>1.6150052624952784</v>
          </cell>
          <cell r="P9">
            <v>1.473405420667262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1.5855405668701643</v>
          </cell>
          <cell r="C4">
            <v>1.6802927544984456</v>
          </cell>
        </row>
        <row r="102">
          <cell r="W102">
            <v>7.7244310345496933E-3</v>
          </cell>
          <cell r="Z102">
            <v>3.9211140902264825</v>
          </cell>
        </row>
      </sheetData>
      <sheetData sheetId="4">
        <row r="9">
          <cell r="B9">
            <v>2.7382503780470127</v>
          </cell>
          <cell r="C9">
            <v>1.9035665240972406</v>
          </cell>
          <cell r="D9">
            <v>1.5757932326954902</v>
          </cell>
          <cell r="E9">
            <v>2.4051345406476345</v>
          </cell>
          <cell r="F9">
            <v>1.800315007645549</v>
          </cell>
          <cell r="G9">
            <v>1.8277234985892155</v>
          </cell>
          <cell r="H9">
            <v>1.786285164776114</v>
          </cell>
          <cell r="I9">
            <v>1.4606538628330601</v>
          </cell>
          <cell r="J9">
            <v>0.82012636078029055</v>
          </cell>
          <cell r="K9">
            <v>2.4301950192699415</v>
          </cell>
          <cell r="L9">
            <v>4.7193899153657179</v>
          </cell>
          <cell r="N9">
            <v>1.7932071761685373</v>
          </cell>
          <cell r="O9">
            <v>2.1334030458861153</v>
          </cell>
          <cell r="P9">
            <v>1.8277234985892155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4.6634129251487506</v>
          </cell>
          <cell r="C4">
            <v>4.7149792099800463</v>
          </cell>
        </row>
        <row r="92">
          <cell r="W92">
            <v>3.212836712037884</v>
          </cell>
          <cell r="Z92">
            <v>6.6288681754058221</v>
          </cell>
        </row>
      </sheetData>
      <sheetData sheetId="4">
        <row r="9">
          <cell r="B9">
            <v>4.7107358334950549</v>
          </cell>
          <cell r="C9">
            <v>4.6306561349664834</v>
          </cell>
          <cell r="D9">
            <v>3.7876947959364284</v>
          </cell>
          <cell r="E9">
            <v>5.8467051762173332</v>
          </cell>
          <cell r="F9">
            <v>4.2997266725631125</v>
          </cell>
          <cell r="G9">
            <v>4.2555493606031565</v>
          </cell>
          <cell r="H9">
            <v>4.8659112712465715</v>
          </cell>
          <cell r="I9">
            <v>6.3321046950696127</v>
          </cell>
          <cell r="J9">
            <v>4.9527033501398048</v>
          </cell>
          <cell r="K9">
            <v>3.6717299383051558</v>
          </cell>
          <cell r="L9">
            <v>5.123195982096024</v>
          </cell>
          <cell r="N9">
            <v>4.7264720963559723</v>
          </cell>
          <cell r="O9">
            <v>4.770610291876249</v>
          </cell>
          <cell r="P9">
            <v>4.7107358334950549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86</v>
          </cell>
        </row>
        <row r="4">
          <cell r="B4">
            <v>3.1810182758385457</v>
          </cell>
          <cell r="C4">
            <v>3.2947347229984598</v>
          </cell>
        </row>
        <row r="86">
          <cell r="W86">
            <v>1.1431795422942366</v>
          </cell>
          <cell r="Z86">
            <v>6.0830734681168845</v>
          </cell>
        </row>
      </sheetData>
      <sheetData sheetId="4">
        <row r="9">
          <cell r="B9">
            <v>1.3943029904291686</v>
          </cell>
          <cell r="C9">
            <v>5.4196459896637021</v>
          </cell>
          <cell r="D9">
            <v>4.8342952605412188</v>
          </cell>
          <cell r="E9">
            <v>2.6567578526959061</v>
          </cell>
          <cell r="F9">
            <v>4.4031519985850105</v>
          </cell>
          <cell r="G9">
            <v>2.273480936565583</v>
          </cell>
          <cell r="H9">
            <v>2.8752287158231153</v>
          </cell>
          <cell r="I9">
            <v>4.8196283530074675</v>
          </cell>
          <cell r="J9">
            <v>1.7316843731295484</v>
          </cell>
          <cell r="K9">
            <v>2.8559299025002267</v>
          </cell>
          <cell r="L9">
            <v>2.0349668894447372</v>
          </cell>
          <cell r="N9">
            <v>3.1115288335925722</v>
          </cell>
          <cell r="O9">
            <v>3.2090066602168807</v>
          </cell>
          <cell r="P9">
            <v>2.8559299025002267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80</v>
          </cell>
        </row>
        <row r="4">
          <cell r="B4">
            <v>2.4926872578285013</v>
          </cell>
          <cell r="C4">
            <v>2.5812929556050017</v>
          </cell>
        </row>
        <row r="80">
          <cell r="W80">
            <v>1.6267562727427762</v>
          </cell>
          <cell r="Z80">
            <v>3.8111694615449996</v>
          </cell>
        </row>
      </sheetData>
      <sheetData sheetId="4">
        <row r="9">
          <cell r="B9">
            <v>2.2642518200815935</v>
          </cell>
          <cell r="C9">
            <v>2.2894631670279524</v>
          </cell>
          <cell r="D9">
            <v>2.8883151938928497</v>
          </cell>
          <cell r="E9">
            <v>3.0523366973696224</v>
          </cell>
          <cell r="F9">
            <v>2.2929399027789605</v>
          </cell>
          <cell r="G9">
            <v>2.4786519446836786</v>
          </cell>
          <cell r="H9">
            <v>2.969019814007916</v>
          </cell>
          <cell r="I9">
            <v>2.9844991471905056</v>
          </cell>
          <cell r="J9">
            <v>2.1046379712840637</v>
          </cell>
          <cell r="K9">
            <v>2.1066117778591655</v>
          </cell>
          <cell r="L9">
            <v>3.6541620704470357</v>
          </cell>
          <cell r="N9">
            <v>2.5943220878002515</v>
          </cell>
          <cell r="O9">
            <v>2.6440808642384854</v>
          </cell>
          <cell r="P9">
            <v>2.4786519446836786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126</v>
          </cell>
        </row>
        <row r="4">
          <cell r="B4">
            <v>6.2012934785884548</v>
          </cell>
          <cell r="C4">
            <v>6.0709046195800056</v>
          </cell>
        </row>
        <row r="126">
          <cell r="W126">
            <v>1.3833187446803816</v>
          </cell>
          <cell r="Z126">
            <v>11.128569255211085</v>
          </cell>
        </row>
      </sheetData>
      <sheetData sheetId="4">
        <row r="9">
          <cell r="B9">
            <v>5.1580921618272653</v>
          </cell>
          <cell r="C9">
            <v>7.5669612932236356</v>
          </cell>
          <cell r="D9">
            <v>1.2813235961655731</v>
          </cell>
          <cell r="E9">
            <v>9.7390772019712522</v>
          </cell>
          <cell r="F9">
            <v>5.7847811011593517</v>
          </cell>
          <cell r="G9">
            <v>6.9513212456569473</v>
          </cell>
          <cell r="H9">
            <v>3.4272906496247306</v>
          </cell>
          <cell r="I9">
            <v>7.3352743192106118</v>
          </cell>
          <cell r="J9">
            <v>1.4769238517004044</v>
          </cell>
          <cell r="K9">
            <v>8.7286174943136956</v>
          </cell>
          <cell r="L9">
            <v>6.8702785412298617</v>
          </cell>
          <cell r="N9">
            <v>6.4267139726937739</v>
          </cell>
          <cell r="O9">
            <v>5.8472674050984841</v>
          </cell>
          <cell r="P9">
            <v>6.8702785412298617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168</v>
          </cell>
        </row>
        <row r="4">
          <cell r="B4">
            <v>11.089711834186685</v>
          </cell>
          <cell r="C4">
            <v>11.124028743012738</v>
          </cell>
        </row>
        <row r="168">
          <cell r="W168">
            <v>9.3876607290292515</v>
          </cell>
          <cell r="Z168">
            <v>13.030859742457201</v>
          </cell>
        </row>
      </sheetData>
      <sheetData sheetId="4">
        <row r="9">
          <cell r="B9">
            <v>11.181709</v>
          </cell>
          <cell r="C9">
            <v>10.768468</v>
          </cell>
          <cell r="D9">
            <v>10.508433999999999</v>
          </cell>
          <cell r="E9">
            <v>9.4940944999999992</v>
          </cell>
          <cell r="F9">
            <v>11.681765</v>
          </cell>
          <cell r="G9">
            <v>11.401897999999999</v>
          </cell>
          <cell r="H9">
            <v>12.05641</v>
          </cell>
          <cell r="I9">
            <v>11.556687999999999</v>
          </cell>
          <cell r="J9">
            <v>12.312106</v>
          </cell>
          <cell r="K9">
            <v>11.634763</v>
          </cell>
          <cell r="L9">
            <v>11.380568999999999</v>
          </cell>
          <cell r="N9">
            <v>11.264077</v>
          </cell>
          <cell r="O9">
            <v>11.27062768181818</v>
          </cell>
          <cell r="P9">
            <v>11.401897999999999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0.2196011276127619</v>
          </cell>
          <cell r="C4">
            <v>0.26343569676782469</v>
          </cell>
        </row>
        <row r="82">
          <cell r="W82">
            <v>1.4460583046353663E-2</v>
          </cell>
          <cell r="Z82">
            <v>0.70183156593280371</v>
          </cell>
        </row>
      </sheetData>
      <sheetData sheetId="4">
        <row r="9">
          <cell r="B9">
            <v>6.3245719227889192E-3</v>
          </cell>
          <cell r="C9">
            <v>6.1370530258591904E-2</v>
          </cell>
          <cell r="D9">
            <v>0.20566638732454404</v>
          </cell>
          <cell r="E9">
            <v>0.51481292498086129</v>
          </cell>
          <cell r="F9">
            <v>4.3988023000000001E-2</v>
          </cell>
          <cell r="G9">
            <v>0.49047494186255497</v>
          </cell>
          <cell r="H9">
            <v>0.24170244337015773</v>
          </cell>
          <cell r="I9">
            <v>6.6365426412417286E-3</v>
          </cell>
          <cell r="J9">
            <v>0.22402350628124854</v>
          </cell>
          <cell r="K9">
            <v>2.3525396000000001E-2</v>
          </cell>
          <cell r="L9">
            <v>0.21600812418267418</v>
          </cell>
          <cell r="N9">
            <v>0.20097086226645267</v>
          </cell>
          <cell r="O9">
            <v>0.1849575810749694</v>
          </cell>
          <cell r="P9">
            <v>0.20566638732454404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1.5444377377704623</v>
          </cell>
          <cell r="C4">
            <v>1.5680502426551559</v>
          </cell>
        </row>
        <row r="102">
          <cell r="W102">
            <v>0.25027741700816991</v>
          </cell>
          <cell r="Z102">
            <v>2.9104370248746032</v>
          </cell>
        </row>
      </sheetData>
      <sheetData sheetId="4">
        <row r="9">
          <cell r="B9">
            <v>0.45219364205182799</v>
          </cell>
          <cell r="C9">
            <v>1.5921067676828118</v>
          </cell>
          <cell r="D9">
            <v>1.6540232486035047</v>
          </cell>
          <cell r="E9">
            <v>1.065018578374739</v>
          </cell>
          <cell r="F9">
            <v>1.5129352994262983</v>
          </cell>
          <cell r="G9">
            <v>1.7967058570771817</v>
          </cell>
          <cell r="H9">
            <v>1.5421818873965416</v>
          </cell>
          <cell r="I9">
            <v>3.4068802000000002E-2</v>
          </cell>
          <cell r="J9">
            <v>1.8098395978901478</v>
          </cell>
          <cell r="K9">
            <v>1.3897121722690291</v>
          </cell>
          <cell r="L9">
            <v>2.3600504822624275</v>
          </cell>
          <cell r="N9">
            <v>1.6935729122470211</v>
          </cell>
          <cell r="O9">
            <v>1.3826214850031371</v>
          </cell>
          <cell r="P9">
            <v>1.5421818873965416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112</v>
          </cell>
        </row>
        <row r="4">
          <cell r="B4">
            <v>5.3135992576311075</v>
          </cell>
          <cell r="C4">
            <v>6.6281771085837464</v>
          </cell>
        </row>
        <row r="112">
          <cell r="W112">
            <v>2.6059960744269848</v>
          </cell>
          <cell r="Z112">
            <v>16.988852988862369</v>
          </cell>
        </row>
      </sheetData>
      <sheetData sheetId="4">
        <row r="9">
          <cell r="B9">
            <v>6.9649918097013721</v>
          </cell>
          <cell r="C9">
            <v>5.6967416629718386</v>
          </cell>
          <cell r="D9">
            <v>4.0014805555458253</v>
          </cell>
          <cell r="E9">
            <v>10.514076916295263</v>
          </cell>
          <cell r="F9">
            <v>5.894989599511324</v>
          </cell>
          <cell r="G9">
            <v>1.6484981362306441</v>
          </cell>
          <cell r="H9">
            <v>7.1624136932401408</v>
          </cell>
          <cell r="I9">
            <v>7.4806286226097471</v>
          </cell>
          <cell r="J9">
            <v>8.8164657283466763</v>
          </cell>
          <cell r="K9">
            <v>3.921911080790609</v>
          </cell>
          <cell r="L9">
            <v>4.4457773128017744</v>
          </cell>
          <cell r="N9">
            <v>6.0477531924812613</v>
          </cell>
          <cell r="O9">
            <v>6.0498159198222927</v>
          </cell>
          <cell r="P9">
            <v>5.894989599511324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116</v>
          </cell>
        </row>
        <row r="4">
          <cell r="B4">
            <v>6.1895216276883813</v>
          </cell>
          <cell r="C4">
            <v>6.1850538645171067</v>
          </cell>
        </row>
        <row r="116">
          <cell r="W116">
            <v>3.7250713827065636</v>
          </cell>
          <cell r="Z116">
            <v>9.1484744857582374</v>
          </cell>
        </row>
      </sheetData>
      <sheetData sheetId="4">
        <row r="9">
          <cell r="B9">
            <v>7.7757519283474066</v>
          </cell>
          <cell r="C9">
            <v>8.5205089888351697</v>
          </cell>
          <cell r="D9">
            <v>6.721746180487254</v>
          </cell>
          <cell r="E9">
            <v>7.6343875335801448</v>
          </cell>
          <cell r="F9">
            <v>8.9716631677875736</v>
          </cell>
          <cell r="G9">
            <v>7.3723192423539183</v>
          </cell>
          <cell r="H9">
            <v>5.709227326856948</v>
          </cell>
          <cell r="I9">
            <v>5.2405830652736674</v>
          </cell>
          <cell r="J9">
            <v>4.5583693849086515</v>
          </cell>
          <cell r="K9">
            <v>3.5358561503267993</v>
          </cell>
          <cell r="L9">
            <v>4.3743498496553803</v>
          </cell>
          <cell r="N9">
            <v>6.4075284677985405</v>
          </cell>
          <cell r="O9">
            <v>6.4013420744011738</v>
          </cell>
          <cell r="P9">
            <v>6.721746180487254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2.7536748783088552</v>
          </cell>
          <cell r="C4">
            <v>2.7673955279488216</v>
          </cell>
        </row>
        <row r="106">
          <cell r="W106">
            <v>1.7612857548045779</v>
          </cell>
          <cell r="Z106">
            <v>3.7978428650094731</v>
          </cell>
        </row>
      </sheetData>
      <sheetData sheetId="4">
        <row r="9">
          <cell r="B9">
            <v>3.3831306109986712</v>
          </cell>
          <cell r="C9">
            <v>2.4593856336182776</v>
          </cell>
          <cell r="D9">
            <v>2.783446636738196</v>
          </cell>
          <cell r="E9">
            <v>2.8876976132773575</v>
          </cell>
          <cell r="F9">
            <v>3.5543995705546276</v>
          </cell>
          <cell r="G9">
            <v>3.2894327320660532</v>
          </cell>
          <cell r="H9">
            <v>2.6914434350239129</v>
          </cell>
          <cell r="I9">
            <v>3.6999714622646724</v>
          </cell>
          <cell r="J9">
            <v>1.3481896600583847</v>
          </cell>
          <cell r="K9">
            <v>2.3660506360926741</v>
          </cell>
          <cell r="L9">
            <v>2.4565220495782985</v>
          </cell>
          <cell r="N9">
            <v>2.7713693837683122</v>
          </cell>
          <cell r="O9">
            <v>2.8108790945701028</v>
          </cell>
          <cell r="P9">
            <v>2.783446636738196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2.898759177792591</v>
          </cell>
          <cell r="C4">
            <v>2.8693527058246899</v>
          </cell>
        </row>
        <row r="98">
          <cell r="W98">
            <v>1.5647986701043872</v>
          </cell>
          <cell r="Z98">
            <v>4.2908212992097363</v>
          </cell>
        </row>
      </sheetData>
      <sheetData sheetId="4">
        <row r="9">
          <cell r="B9">
            <v>2.8213810644550197</v>
          </cell>
          <cell r="C9">
            <v>3.4107414794150155</v>
          </cell>
          <cell r="D9">
            <v>2.7488894260098382</v>
          </cell>
          <cell r="E9">
            <v>2.852530064192595</v>
          </cell>
          <cell r="F9">
            <v>3.4215803386280932</v>
          </cell>
          <cell r="G9">
            <v>2.3059766905526735</v>
          </cell>
          <cell r="H9">
            <v>4.1459254711401057</v>
          </cell>
          <cell r="I9">
            <v>1.876899374394408</v>
          </cell>
          <cell r="J9">
            <v>3.2868768361365697</v>
          </cell>
          <cell r="K9">
            <v>1.7884568774353486</v>
          </cell>
          <cell r="L9">
            <v>2.9660179953147399</v>
          </cell>
          <cell r="N9">
            <v>2.9599905958824202</v>
          </cell>
          <cell r="O9">
            <v>2.8750250561522188</v>
          </cell>
          <cell r="P9">
            <v>2.852530064192595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72</v>
          </cell>
        </row>
        <row r="4">
          <cell r="B4">
            <v>1.3929511756310455</v>
          </cell>
          <cell r="C4">
            <v>1.4155028551731428</v>
          </cell>
        </row>
        <row r="72">
          <cell r="W72">
            <v>0.25956573586889037</v>
          </cell>
          <cell r="Z72">
            <v>2.7267466377307277</v>
          </cell>
        </row>
      </sheetData>
      <sheetData sheetId="4">
        <row r="9">
          <cell r="B9">
            <v>0.85615023972282112</v>
          </cell>
          <cell r="C9">
            <v>1.2006610158827162</v>
          </cell>
          <cell r="D9">
            <v>1.1618729450830374</v>
          </cell>
          <cell r="E9">
            <v>1.0509804011860158</v>
          </cell>
          <cell r="F9">
            <v>1.5337346532678306</v>
          </cell>
          <cell r="G9">
            <v>0.92978587953604441</v>
          </cell>
          <cell r="H9">
            <v>2.1972443596149422</v>
          </cell>
          <cell r="I9">
            <v>1.6635095852617408</v>
          </cell>
          <cell r="J9">
            <v>2.0185993637948441</v>
          </cell>
          <cell r="K9">
            <v>1.0286608820441447</v>
          </cell>
          <cell r="L9">
            <v>9.7669900103655546E-2</v>
          </cell>
          <cell r="N9">
            <v>1.4793486989260625</v>
          </cell>
          <cell r="O9">
            <v>1.2489881114088903</v>
          </cell>
          <cell r="P9">
            <v>1.1618729450830374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132</v>
          </cell>
        </row>
        <row r="4">
          <cell r="B4">
            <v>7.4043318890182928</v>
          </cell>
          <cell r="C4">
            <v>7.464268981031613</v>
          </cell>
        </row>
        <row r="132">
          <cell r="W132">
            <v>5.7598087818569788</v>
          </cell>
          <cell r="Z132">
            <v>9.4864854979578084</v>
          </cell>
        </row>
      </sheetData>
      <sheetData sheetId="4">
        <row r="9">
          <cell r="B9">
            <v>11.229907791917656</v>
          </cell>
          <cell r="C9">
            <v>7.7742652910068717</v>
          </cell>
          <cell r="D9">
            <v>10.798504773758427</v>
          </cell>
          <cell r="E9">
            <v>6.7138874186297945</v>
          </cell>
          <cell r="F9">
            <v>7.314147764603943</v>
          </cell>
          <cell r="G9">
            <v>7.280643594855567</v>
          </cell>
          <cell r="H9">
            <v>6.5961792136527002</v>
          </cell>
          <cell r="I9">
            <v>5.9448145961832095</v>
          </cell>
          <cell r="J9">
            <v>6.2250697184225929</v>
          </cell>
          <cell r="K9">
            <v>6.5610089860336114</v>
          </cell>
          <cell r="L9">
            <v>7.5291551916652235</v>
          </cell>
          <cell r="N9">
            <v>7.4582458777042291</v>
          </cell>
          <cell r="O9">
            <v>7.6334167582481456</v>
          </cell>
          <cell r="P9">
            <v>7.280643594855567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112</v>
          </cell>
        </row>
        <row r="4">
          <cell r="B4">
            <v>5.5809154496544711</v>
          </cell>
          <cell r="C4">
            <v>5.6509897363104509</v>
          </cell>
        </row>
        <row r="112">
          <cell r="W112">
            <v>4.2300419918769032</v>
          </cell>
          <cell r="Z112">
            <v>7.4614300724121208</v>
          </cell>
        </row>
      </sheetData>
      <sheetData sheetId="4">
        <row r="9">
          <cell r="B9">
            <v>4.5114572787021308</v>
          </cell>
          <cell r="C9">
            <v>6.5230184985654018</v>
          </cell>
          <cell r="D9">
            <v>6.1817166866707138</v>
          </cell>
          <cell r="E9">
            <v>5.088126987573224</v>
          </cell>
          <cell r="F9">
            <v>5.6252761068669077</v>
          </cell>
          <cell r="G9">
            <v>7.032104449068866</v>
          </cell>
          <cell r="H9">
            <v>5.7559917566780445</v>
          </cell>
          <cell r="I9">
            <v>5.4818963071732254</v>
          </cell>
          <cell r="J9">
            <v>1.8190059050720946</v>
          </cell>
          <cell r="K9">
            <v>7.0488592620396986</v>
          </cell>
          <cell r="L9">
            <v>5.6367811322624739</v>
          </cell>
          <cell r="N9">
            <v>5.7505761440009691</v>
          </cell>
          <cell r="O9">
            <v>5.5185667609702529</v>
          </cell>
          <cell r="P9">
            <v>5.6367811322624739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2.9685955711658041</v>
          </cell>
          <cell r="C4">
            <v>2.9745152816686469</v>
          </cell>
        </row>
        <row r="90">
          <cell r="W90">
            <v>2.2598834247016542</v>
          </cell>
          <cell r="Z90">
            <v>3.8411037571384021</v>
          </cell>
        </row>
      </sheetData>
      <sheetData sheetId="4">
        <row r="9">
          <cell r="B9">
            <v>3.1559386769856452</v>
          </cell>
          <cell r="C9">
            <v>2.4509961249667764</v>
          </cell>
          <cell r="D9">
            <v>2.4799569792744305</v>
          </cell>
          <cell r="E9">
            <v>2.5987704394816271</v>
          </cell>
          <cell r="F9">
            <v>3.5517911601811876</v>
          </cell>
          <cell r="G9">
            <v>3.5684521948241454</v>
          </cell>
          <cell r="H9">
            <v>3.2075071387558136</v>
          </cell>
          <cell r="I9">
            <v>3.3311303236760992</v>
          </cell>
          <cell r="J9">
            <v>2.8054639396695942</v>
          </cell>
          <cell r="K9">
            <v>3.3040172552328442</v>
          </cell>
          <cell r="L9">
            <v>2.9951732887171518</v>
          </cell>
          <cell r="N9">
            <v>3.0401982295669359</v>
          </cell>
          <cell r="O9">
            <v>3.0408361383423013</v>
          </cell>
          <cell r="P9">
            <v>3.1559386769856452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3.2238402156452528</v>
          </cell>
          <cell r="C4">
            <v>3.4118003544863451</v>
          </cell>
        </row>
        <row r="102">
          <cell r="W102">
            <v>1.9541598520427523</v>
          </cell>
          <cell r="Z102">
            <v>5.8945624606404801</v>
          </cell>
        </row>
      </sheetData>
      <sheetData sheetId="4">
        <row r="9">
          <cell r="B9">
            <v>4.1039876219335634</v>
          </cell>
          <cell r="C9">
            <v>1.9822643286829251</v>
          </cell>
          <cell r="D9">
            <v>2.4091394630302432</v>
          </cell>
          <cell r="E9">
            <v>3.6990174979582737</v>
          </cell>
          <cell r="F9">
            <v>4.9270773893921245</v>
          </cell>
          <cell r="G9">
            <v>2.8989842991612003</v>
          </cell>
          <cell r="H9">
            <v>5.3260633406413387</v>
          </cell>
          <cell r="I9">
            <v>2.9029429868364263</v>
          </cell>
          <cell r="J9">
            <v>2.9538310472631584</v>
          </cell>
          <cell r="K9">
            <v>3.3705738689896432</v>
          </cell>
          <cell r="L9">
            <v>4.9264323932753129</v>
          </cell>
          <cell r="N9">
            <v>3.3736064090534055</v>
          </cell>
          <cell r="O9">
            <v>3.5909376579240186</v>
          </cell>
          <cell r="P9">
            <v>3.3705738689896432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146</v>
          </cell>
        </row>
        <row r="4">
          <cell r="B4">
            <v>11.836290448747427</v>
          </cell>
          <cell r="C4">
            <v>11.919315291396135</v>
          </cell>
        </row>
        <row r="146">
          <cell r="W146">
            <v>10.407152206833748</v>
          </cell>
          <cell r="Z146">
            <v>13.584702284033646</v>
          </cell>
        </row>
      </sheetData>
      <sheetData sheetId="4">
        <row r="9">
          <cell r="B9">
            <v>13.07373168576818</v>
          </cell>
          <cell r="C9">
            <v>11.21828849062778</v>
          </cell>
          <cell r="D9">
            <v>12.069263842104327</v>
          </cell>
          <cell r="E9">
            <v>12.559537366846937</v>
          </cell>
          <cell r="F9">
            <v>11.528313263912933</v>
          </cell>
          <cell r="G9">
            <v>12.329537132903853</v>
          </cell>
          <cell r="H9">
            <v>13.219785748804782</v>
          </cell>
          <cell r="I9">
            <v>10.980253458947356</v>
          </cell>
          <cell r="J9">
            <v>12.22437408377678</v>
          </cell>
          <cell r="K9">
            <v>11.3166646904881</v>
          </cell>
          <cell r="L9">
            <v>11.008481755162595</v>
          </cell>
          <cell r="N9">
            <v>11.923159402653114</v>
          </cell>
          <cell r="O9">
            <v>11.957111956303965</v>
          </cell>
          <cell r="P9">
            <v>12.069263842104327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2.4447710441730237</v>
          </cell>
          <cell r="C4">
            <v>2.4231058369605636</v>
          </cell>
        </row>
        <row r="90">
          <cell r="W90">
            <v>0.38560339054807091</v>
          </cell>
          <cell r="Z90">
            <v>4.0802820672813649</v>
          </cell>
        </row>
      </sheetData>
      <sheetData sheetId="4">
        <row r="9">
          <cell r="B9">
            <v>2.501266553342866</v>
          </cell>
          <cell r="C9">
            <v>2.9743042947368359</v>
          </cell>
          <cell r="D9">
            <v>1.6006068059491103</v>
          </cell>
          <cell r="E9">
            <v>3.1926256015850067</v>
          </cell>
          <cell r="F9">
            <v>2.5261004277966785</v>
          </cell>
          <cell r="G9">
            <v>1.4139128791458584</v>
          </cell>
          <cell r="H9">
            <v>2.3592191051436138</v>
          </cell>
          <cell r="I9">
            <v>3.1092330094052905</v>
          </cell>
          <cell r="J9">
            <v>4.5536740706750969</v>
          </cell>
          <cell r="K9">
            <v>1.5936054396305788</v>
          </cell>
          <cell r="L9">
            <v>2.6254492555138258</v>
          </cell>
          <cell r="N9">
            <v>2.5113879545485034</v>
          </cell>
          <cell r="O9">
            <v>2.5863634039022507</v>
          </cell>
          <cell r="P9">
            <v>2.5261004277966785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3.3893530058746557</v>
          </cell>
          <cell r="C4">
            <v>3.3904262734477673</v>
          </cell>
        </row>
        <row r="102">
          <cell r="W102">
            <v>2.487240612414094</v>
          </cell>
          <cell r="Z102">
            <v>4.4309982494543068</v>
          </cell>
        </row>
      </sheetData>
      <sheetData sheetId="4">
        <row r="9">
          <cell r="B9">
            <v>2.7283995468868265</v>
          </cell>
          <cell r="C9">
            <v>3.6567331394829861</v>
          </cell>
          <cell r="D9">
            <v>3.814567315225049</v>
          </cell>
          <cell r="E9">
            <v>3.4779501597544882</v>
          </cell>
          <cell r="F9">
            <v>3.2687420832235472</v>
          </cell>
          <cell r="G9">
            <v>4.0949266936998239</v>
          </cell>
          <cell r="H9">
            <v>3.2746408317535334</v>
          </cell>
          <cell r="I9">
            <v>3.577498287072312</v>
          </cell>
          <cell r="J9">
            <v>2.7567370376271305</v>
          </cell>
          <cell r="K9">
            <v>2.8065206646327527</v>
          </cell>
          <cell r="L9">
            <v>3.3110779806471751</v>
          </cell>
          <cell r="N9">
            <v>3.3954910131611573</v>
          </cell>
          <cell r="O9">
            <v>3.3425267036368753</v>
          </cell>
          <cell r="P9">
            <v>3.3110779806471751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2.6529874187234661</v>
          </cell>
          <cell r="C4">
            <v>2.6836672400725092</v>
          </cell>
        </row>
        <row r="90">
          <cell r="W90">
            <v>1.364691643386712</v>
          </cell>
          <cell r="Z90">
            <v>4.0597903406983944</v>
          </cell>
        </row>
      </sheetData>
      <sheetData sheetId="4">
        <row r="9">
          <cell r="B9">
            <v>2.1104363823053305</v>
          </cell>
          <cell r="C9">
            <v>2.4465980182114095</v>
          </cell>
          <cell r="D9">
            <v>2.2302050525700441</v>
          </cell>
          <cell r="E9">
            <v>1.7606384120015273</v>
          </cell>
          <cell r="F9">
            <v>2.1763094198438555</v>
          </cell>
          <cell r="G9">
            <v>2.1374608607199219</v>
          </cell>
          <cell r="H9">
            <v>2.6842665381152448</v>
          </cell>
          <cell r="I9">
            <v>2.4964330937674344</v>
          </cell>
          <cell r="J9">
            <v>0</v>
          </cell>
          <cell r="K9">
            <v>4.0058809631474279</v>
          </cell>
          <cell r="L9">
            <v>4.0008058041427494</v>
          </cell>
          <cell r="N9">
            <v>2.7033840333291983</v>
          </cell>
          <cell r="O9">
            <v>2.6049034544824941</v>
          </cell>
          <cell r="P9">
            <v>2.3384015353907266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0.96469817557313386</v>
          </cell>
          <cell r="C4">
            <v>0.96679430958298906</v>
          </cell>
        </row>
        <row r="90">
          <cell r="W90">
            <v>0.17320167934338004</v>
          </cell>
          <cell r="Z90">
            <v>1.8807599578589325</v>
          </cell>
        </row>
      </sheetData>
      <sheetData sheetId="4">
        <row r="9">
          <cell r="B9">
            <v>0.68677265362075468</v>
          </cell>
          <cell r="C9">
            <v>1.3403425766977617</v>
          </cell>
          <cell r="D9">
            <v>0.26482621451613719</v>
          </cell>
          <cell r="E9">
            <v>1.0649749099635037</v>
          </cell>
          <cell r="F9">
            <v>0.6545466041568796</v>
          </cell>
          <cell r="G9">
            <v>1.008512238653561</v>
          </cell>
          <cell r="H9">
            <v>1.5404638595495594</v>
          </cell>
          <cell r="I9">
            <v>1.2430248746846744</v>
          </cell>
          <cell r="J9">
            <v>0.78468001921068753</v>
          </cell>
          <cell r="K9">
            <v>1.2328468597255784</v>
          </cell>
          <cell r="L9">
            <v>1.176556211845448</v>
          </cell>
          <cell r="N9">
            <v>1.0048963567539158</v>
          </cell>
          <cell r="O9">
            <v>0.99977700205677678</v>
          </cell>
          <cell r="P9">
            <v>1.0649749099635037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4.4995805408341631</v>
          </cell>
          <cell r="C4">
            <v>4.3596794532970202</v>
          </cell>
        </row>
        <row r="96">
          <cell r="W96">
            <v>0.3120376030507111</v>
          </cell>
          <cell r="Z96">
            <v>6.5734660960524787</v>
          </cell>
        </row>
      </sheetData>
      <sheetData sheetId="4">
        <row r="9">
          <cell r="B9">
            <v>4.2242127372196947</v>
          </cell>
          <cell r="C9">
            <v>5.3627854880376624</v>
          </cell>
          <cell r="D9">
            <v>3.6854565035411455</v>
          </cell>
          <cell r="E9">
            <v>5.515287967768006</v>
          </cell>
          <cell r="F9">
            <v>2.730259945515852</v>
          </cell>
          <cell r="G9">
            <v>6.0100441835376985</v>
          </cell>
          <cell r="H9">
            <v>4.7020865439402195</v>
          </cell>
          <cell r="I9">
            <v>5.3631587074739135</v>
          </cell>
          <cell r="J9">
            <v>4.6118343199580902</v>
          </cell>
          <cell r="K9">
            <v>5.2173783175649753</v>
          </cell>
          <cell r="L9">
            <v>5.2129217889674688</v>
          </cell>
          <cell r="N9">
            <v>4.7229299652230212</v>
          </cell>
          <cell r="O9">
            <v>4.7850387730477033</v>
          </cell>
          <cell r="P9">
            <v>5.2129217889674688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116</v>
          </cell>
        </row>
        <row r="4">
          <cell r="B4">
            <v>5.9212578778287925</v>
          </cell>
          <cell r="C4">
            <v>6.0546434804843621</v>
          </cell>
        </row>
        <row r="116">
          <cell r="W116">
            <v>4.9632634987731343</v>
          </cell>
          <cell r="Z116">
            <v>8.5305023718428874</v>
          </cell>
        </row>
      </sheetData>
      <sheetData sheetId="4">
        <row r="9">
          <cell r="B9">
            <v>8.0095249347461088</v>
          </cell>
          <cell r="C9">
            <v>5.9019525034456786</v>
          </cell>
          <cell r="D9">
            <v>5.2992477987101054</v>
          </cell>
          <cell r="E9">
            <v>5.8900079653911881</v>
          </cell>
          <cell r="F9">
            <v>7.2806986351703316</v>
          </cell>
          <cell r="G9">
            <v>5.5333153934213195</v>
          </cell>
          <cell r="H9">
            <v>6.1469354020023497</v>
          </cell>
          <cell r="I9">
            <v>5.5377825972288743</v>
          </cell>
          <cell r="J9">
            <v>5.8191470718875635</v>
          </cell>
          <cell r="K9">
            <v>5.3965888178910584</v>
          </cell>
          <cell r="L9">
            <v>5.1975165383193866</v>
          </cell>
          <cell r="N9">
            <v>5.9056784941514229</v>
          </cell>
          <cell r="O9">
            <v>6.0011561507467235</v>
          </cell>
          <cell r="P9">
            <v>5.8191470718875635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118</v>
          </cell>
        </row>
        <row r="4">
          <cell r="B4">
            <v>4.2192244688129978</v>
          </cell>
          <cell r="C4">
            <v>4.2273157515593995</v>
          </cell>
        </row>
        <row r="118">
          <cell r="W118">
            <v>2.7075077725390178</v>
          </cell>
          <cell r="Z118">
            <v>5.8480380705126045</v>
          </cell>
        </row>
      </sheetData>
      <sheetData sheetId="4">
        <row r="9">
          <cell r="B9">
            <v>5.0632367287972722</v>
          </cell>
          <cell r="C9">
            <v>3.8883254007262176</v>
          </cell>
          <cell r="D9">
            <v>3.6274343994453169</v>
          </cell>
          <cell r="E9">
            <v>3.8157524408388035</v>
          </cell>
          <cell r="F9">
            <v>4.3152335514648827</v>
          </cell>
          <cell r="G9">
            <v>2.6034889204745393</v>
          </cell>
          <cell r="H9">
            <v>3.9908516754296675</v>
          </cell>
          <cell r="I9">
            <v>4.8335216812524591</v>
          </cell>
          <cell r="J9">
            <v>4.5116804640947592</v>
          </cell>
          <cell r="K9">
            <v>4.5510130500963548</v>
          </cell>
          <cell r="L9">
            <v>5.5759719690241543</v>
          </cell>
          <cell r="N9">
            <v>4.2640840873889392</v>
          </cell>
          <cell r="O9">
            <v>4.2524100256040382</v>
          </cell>
          <cell r="P9">
            <v>4.3152335514648827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86</v>
          </cell>
        </row>
        <row r="4">
          <cell r="B4">
            <v>2.3393075064649103</v>
          </cell>
          <cell r="C4">
            <v>2.3546541741175742</v>
          </cell>
        </row>
        <row r="86">
          <cell r="W86">
            <v>0.99139656466943071</v>
          </cell>
          <cell r="Z86">
            <v>3.8241398958804043</v>
          </cell>
        </row>
      </sheetData>
      <sheetData sheetId="4">
        <row r="9">
          <cell r="B9">
            <v>2.9576814239274305</v>
          </cell>
          <cell r="C9">
            <v>2.9194642836551661</v>
          </cell>
          <cell r="D9">
            <v>2.0988824946330387</v>
          </cell>
          <cell r="E9">
            <v>1.2750640544316629</v>
          </cell>
          <cell r="F9">
            <v>3.1942468815435858</v>
          </cell>
          <cell r="G9">
            <v>2.1869990941203139</v>
          </cell>
          <cell r="H9">
            <v>2.5148672160974321</v>
          </cell>
          <cell r="I9">
            <v>2.1628268886645499</v>
          </cell>
          <cell r="J9">
            <v>1.4754446212114392</v>
          </cell>
          <cell r="K9">
            <v>1.3833671431892722</v>
          </cell>
          <cell r="L9">
            <v>2.6536339748687912</v>
          </cell>
          <cell r="N9">
            <v>2.4057020869646406</v>
          </cell>
          <cell r="O9">
            <v>2.256588916031153</v>
          </cell>
          <cell r="P9">
            <v>2.1869990941203139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80</v>
          </cell>
        </row>
        <row r="4">
          <cell r="B4">
            <v>2.3309744017013756</v>
          </cell>
          <cell r="C4">
            <v>2.30487926178888</v>
          </cell>
        </row>
        <row r="80">
          <cell r="W80">
            <v>1.2880843090940131</v>
          </cell>
          <cell r="Z80">
            <v>3.2218057273194649</v>
          </cell>
        </row>
      </sheetData>
      <sheetData sheetId="4">
        <row r="9">
          <cell r="B9">
            <v>2.2782431670713965</v>
          </cell>
          <cell r="C9">
            <v>2.3989401806700079</v>
          </cell>
          <cell r="D9">
            <v>2.0063960712393869</v>
          </cell>
          <cell r="E9">
            <v>2.1265990107352648</v>
          </cell>
          <cell r="F9">
            <v>2.7808810228423972</v>
          </cell>
          <cell r="G9">
            <v>2.561088635912288</v>
          </cell>
          <cell r="H9">
            <v>2.0074615685254349</v>
          </cell>
          <cell r="I9">
            <v>2.433544405248798</v>
          </cell>
          <cell r="J9">
            <v>1.670560468562355</v>
          </cell>
          <cell r="K9">
            <v>2.518885203122343</v>
          </cell>
          <cell r="L9">
            <v>2.7237011088775063</v>
          </cell>
          <cell r="N9">
            <v>2.3500412206295422</v>
          </cell>
          <cell r="O9">
            <v>2.3187546220733797</v>
          </cell>
          <cell r="P9">
            <v>2.3989401806700079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140</v>
          </cell>
        </row>
        <row r="4">
          <cell r="B4">
            <v>11.495325822322716</v>
          </cell>
          <cell r="C4">
            <v>11.574319202125302</v>
          </cell>
        </row>
        <row r="140">
          <cell r="W140">
            <v>9.3037180468122838</v>
          </cell>
          <cell r="Z140">
            <v>14.257713222645783</v>
          </cell>
        </row>
      </sheetData>
      <sheetData sheetId="4">
        <row r="9">
          <cell r="B9">
            <v>10.64119183856825</v>
          </cell>
          <cell r="C9">
            <v>11.450800376110482</v>
          </cell>
          <cell r="D9">
            <v>9.9918595556990653</v>
          </cell>
          <cell r="E9">
            <v>12.209001003724302</v>
          </cell>
          <cell r="F9">
            <v>12.411220642785034</v>
          </cell>
          <cell r="G9">
            <v>12.745875159793249</v>
          </cell>
          <cell r="H9">
            <v>11.518663135889849</v>
          </cell>
          <cell r="I9">
            <v>10.500824114981912</v>
          </cell>
          <cell r="J9">
            <v>12.581180065926924</v>
          </cell>
          <cell r="K9">
            <v>11.714775261132637</v>
          </cell>
          <cell r="L9">
            <v>10.635302083264291</v>
          </cell>
          <cell r="N9">
            <v>11.525562336223478</v>
          </cell>
          <cell r="O9">
            <v>11.490972112534182</v>
          </cell>
          <cell r="P9">
            <v>11.518663135889849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80</v>
          </cell>
        </row>
        <row r="4">
          <cell r="B4">
            <v>2.9005893745090532</v>
          </cell>
          <cell r="C4">
            <v>2.7905927902129544</v>
          </cell>
        </row>
        <row r="80">
          <cell r="W80">
            <v>0.34043309896359014</v>
          </cell>
          <cell r="Z80">
            <v>5.0623768659828787</v>
          </cell>
        </row>
      </sheetData>
      <sheetData sheetId="4">
        <row r="9">
          <cell r="B9">
            <v>3.9835218359661662</v>
          </cell>
          <cell r="C9">
            <v>2.9637007357937866</v>
          </cell>
          <cell r="D9">
            <v>2.3247657421559915</v>
          </cell>
          <cell r="E9">
            <v>1.6955778881024248</v>
          </cell>
          <cell r="F9">
            <v>3.8802451766480544</v>
          </cell>
          <cell r="G9">
            <v>3.0119272241801465</v>
          </cell>
          <cell r="H9">
            <v>3.4952630835510186</v>
          </cell>
          <cell r="I9">
            <v>3.433489880333441</v>
          </cell>
          <cell r="J9">
            <v>2.1683936809753832</v>
          </cell>
          <cell r="K9">
            <v>3.211164100264706</v>
          </cell>
          <cell r="L9">
            <v>2.2524545218242387</v>
          </cell>
          <cell r="N9">
            <v>3.1431329567494286</v>
          </cell>
          <cell r="O9">
            <v>2.9473185336177603</v>
          </cell>
          <cell r="P9">
            <v>3.0119272241801465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120</v>
          </cell>
        </row>
        <row r="4">
          <cell r="B4">
            <v>6.440709973209966</v>
          </cell>
          <cell r="C4">
            <v>6.5003167779288002</v>
          </cell>
        </row>
        <row r="120">
          <cell r="W120">
            <v>5.182022920058226</v>
          </cell>
          <cell r="Z120">
            <v>8.0424719392717456</v>
          </cell>
        </row>
      </sheetData>
      <sheetData sheetId="4">
        <row r="9">
          <cell r="B9">
            <v>6.2012765170495507</v>
          </cell>
          <cell r="C9">
            <v>6.2096533356843322</v>
          </cell>
          <cell r="D9">
            <v>5.8087418379253428</v>
          </cell>
          <cell r="E9">
            <v>6.7115260000578054</v>
          </cell>
          <cell r="F9">
            <v>6.350394268349782</v>
          </cell>
          <cell r="G9">
            <v>7.0153568959478383</v>
          </cell>
          <cell r="H9">
            <v>6.6451341770627304</v>
          </cell>
          <cell r="I9">
            <v>7.216961179015521</v>
          </cell>
          <cell r="J9">
            <v>6.083095545674106</v>
          </cell>
          <cell r="K9">
            <v>6.5340029615764355</v>
          </cell>
          <cell r="L9">
            <v>6.3209901717500232</v>
          </cell>
          <cell r="N9">
            <v>6.5045953994600172</v>
          </cell>
          <cell r="O9">
            <v>6.4633757172812238</v>
          </cell>
          <cell r="P9">
            <v>6.350394268349782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100</v>
          </cell>
        </row>
        <row r="4">
          <cell r="B4">
            <v>3.5433923289141864</v>
          </cell>
          <cell r="C4">
            <v>3.5476399807202892</v>
          </cell>
        </row>
        <row r="100">
          <cell r="W100">
            <v>2.4707952657741918</v>
          </cell>
          <cell r="Z100">
            <v>4.5571183692086077</v>
          </cell>
        </row>
      </sheetData>
      <sheetData sheetId="4">
        <row r="9">
          <cell r="B9">
            <v>3.5641338072316198</v>
          </cell>
          <cell r="C9">
            <v>3.1503529372312054</v>
          </cell>
          <cell r="D9">
            <v>2.6260534559512529</v>
          </cell>
          <cell r="E9">
            <v>3.3693061932729718</v>
          </cell>
          <cell r="F9">
            <v>4.3659942201878525</v>
          </cell>
          <cell r="G9">
            <v>3.285575398894153</v>
          </cell>
          <cell r="H9">
            <v>4.3872362845261819</v>
          </cell>
          <cell r="I9">
            <v>3.568722838499597</v>
          </cell>
          <cell r="J9">
            <v>3.6705407035679807</v>
          </cell>
          <cell r="K9">
            <v>3.3936602510566298</v>
          </cell>
          <cell r="L9">
            <v>4.3237463168307366</v>
          </cell>
          <cell r="N9">
            <v>3.592724136951289</v>
          </cell>
          <cell r="O9">
            <v>3.6095747642954708</v>
          </cell>
          <cell r="P9">
            <v>3.5641338072316198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2.9377688972412095</v>
          </cell>
          <cell r="C4">
            <v>2.944526471294675</v>
          </cell>
        </row>
        <row r="90">
          <cell r="W90">
            <v>1.7410638670596497</v>
          </cell>
          <cell r="Z90">
            <v>4.2952180327458871</v>
          </cell>
        </row>
      </sheetData>
      <sheetData sheetId="4">
        <row r="9">
          <cell r="B9">
            <v>2.7202476779935534</v>
          </cell>
          <cell r="C9">
            <v>2.2427832163675392</v>
          </cell>
          <cell r="D9">
            <v>2.9704678114829131</v>
          </cell>
          <cell r="E9">
            <v>3.186233271267283</v>
          </cell>
          <cell r="F9">
            <v>3.8553304060305167</v>
          </cell>
          <cell r="G9">
            <v>1.8539792078965796</v>
          </cell>
          <cell r="H9">
            <v>3.3331282722499456</v>
          </cell>
          <cell r="I9">
            <v>2.5479932652106094</v>
          </cell>
          <cell r="J9">
            <v>3.3195066762570073</v>
          </cell>
          <cell r="K9">
            <v>2.5229094214985035</v>
          </cell>
          <cell r="L9">
            <v>3.8723779429768821</v>
          </cell>
          <cell r="N9">
            <v>3.0313261099758892</v>
          </cell>
          <cell r="O9">
            <v>2.9477233790210304</v>
          </cell>
          <cell r="P9">
            <v>2.9704678114829131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5.1084674583166958</v>
          </cell>
          <cell r="C4">
            <v>5.1596291121427882</v>
          </cell>
        </row>
        <row r="96">
          <cell r="W96">
            <v>3.9761606683900208</v>
          </cell>
          <cell r="Z96">
            <v>6.7554721671718925</v>
          </cell>
        </row>
      </sheetData>
      <sheetData sheetId="4">
        <row r="9">
          <cell r="B9">
            <v>5.5835409937771612</v>
          </cell>
          <cell r="C9">
            <v>5.3456292384685025</v>
          </cell>
          <cell r="D9">
            <v>6.223116231209711</v>
          </cell>
          <cell r="E9">
            <v>5.1989018228999546</v>
          </cell>
          <cell r="F9">
            <v>6.1555694875697453</v>
          </cell>
          <cell r="G9">
            <v>4.1932475405054808</v>
          </cell>
          <cell r="H9">
            <v>5.0103016923743535</v>
          </cell>
          <cell r="I9">
            <v>5.60310199772535</v>
          </cell>
          <cell r="J9">
            <v>4.7333239073643618</v>
          </cell>
          <cell r="K9">
            <v>4.9524750193072435</v>
          </cell>
          <cell r="L9">
            <v>4.553908369907278</v>
          </cell>
          <cell r="N9">
            <v>5.1703015318778478</v>
          </cell>
          <cell r="O9">
            <v>5.2321014819190133</v>
          </cell>
          <cell r="P9">
            <v>5.1989018228999546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3.5055605464656248</v>
          </cell>
          <cell r="C4">
            <v>3.5085114208360606</v>
          </cell>
        </row>
        <row r="102">
          <cell r="W102">
            <v>2.4957081367021927</v>
          </cell>
          <cell r="Z102">
            <v>4.7182674999999996</v>
          </cell>
        </row>
      </sheetData>
      <sheetData sheetId="4">
        <row r="9">
          <cell r="B9">
            <v>3.3300296929630724</v>
          </cell>
          <cell r="C9">
            <v>4.3587015408959484</v>
          </cell>
          <cell r="D9">
            <v>3.5376044745527992</v>
          </cell>
          <cell r="E9">
            <v>3.4197810416895438</v>
          </cell>
          <cell r="F9">
            <v>4.4962733650940425</v>
          </cell>
          <cell r="G9">
            <v>4.0135797411924745</v>
          </cell>
          <cell r="H9">
            <v>3.7362774563490793</v>
          </cell>
          <cell r="I9">
            <v>2.857346535796216</v>
          </cell>
          <cell r="J9">
            <v>2.6565783705200419</v>
          </cell>
          <cell r="K9">
            <v>3.4483202699613464</v>
          </cell>
          <cell r="L9">
            <v>3.3726184090522411</v>
          </cell>
          <cell r="N9">
            <v>3.5333140861587409</v>
          </cell>
          <cell r="O9">
            <v>3.5661009907333461</v>
          </cell>
          <cell r="P9">
            <v>3.4483202699613464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3.2882358704940349</v>
          </cell>
          <cell r="C4">
            <v>3.2837775378733682</v>
          </cell>
        </row>
        <row r="106">
          <cell r="W106">
            <v>2.2176795234990485</v>
          </cell>
          <cell r="Z106">
            <v>4.1952534451452967</v>
          </cell>
        </row>
      </sheetData>
      <sheetData sheetId="4">
        <row r="9">
          <cell r="B9">
            <v>4.207034478656829</v>
          </cell>
          <cell r="C9">
            <v>3.6766306463948899</v>
          </cell>
          <cell r="D9">
            <v>3.1988921182890286</v>
          </cell>
          <cell r="E9">
            <v>3.2565757538063345</v>
          </cell>
          <cell r="F9">
            <v>2.1878605614799307</v>
          </cell>
          <cell r="G9">
            <v>4.1244569835576446</v>
          </cell>
          <cell r="H9">
            <v>3.3565271563207477</v>
          </cell>
          <cell r="I9">
            <v>2.7324246770820273</v>
          </cell>
          <cell r="J9">
            <v>3.5309770893165831</v>
          </cell>
          <cell r="K9">
            <v>3.2137215614640069</v>
          </cell>
          <cell r="L9">
            <v>3.4250183702059838</v>
          </cell>
          <cell r="N9">
            <v>3.321415577717814</v>
          </cell>
          <cell r="O9">
            <v>3.355465399688546</v>
          </cell>
          <cell r="P9">
            <v>3.3565271563207477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4.9657936716594921</v>
          </cell>
          <cell r="C4">
            <v>6.022840001122761</v>
          </cell>
        </row>
        <row r="94">
          <cell r="W94">
            <v>2.1769664760579621</v>
          </cell>
          <cell r="Z94">
            <v>15.360702509229846</v>
          </cell>
        </row>
      </sheetData>
      <sheetData sheetId="4">
        <row r="9">
          <cell r="B9">
            <v>0</v>
          </cell>
          <cell r="C9">
            <v>5.0088716011140804</v>
          </cell>
          <cell r="D9">
            <v>6.8761457709155485</v>
          </cell>
          <cell r="E9">
            <v>6.6532783543459884</v>
          </cell>
          <cell r="F9">
            <v>6.708896119612576</v>
          </cell>
          <cell r="G9">
            <v>3.9525264829865128</v>
          </cell>
          <cell r="H9">
            <v>5.9427588897353001</v>
          </cell>
          <cell r="I9">
            <v>3.3726469989876393</v>
          </cell>
          <cell r="J9">
            <v>4.2625391909765646</v>
          </cell>
          <cell r="K9">
            <v>4.2810250651200938</v>
          </cell>
          <cell r="L9">
            <v>0</v>
          </cell>
          <cell r="N9">
            <v>5.0180150336815084</v>
          </cell>
          <cell r="O9">
            <v>5.2287431637549231</v>
          </cell>
          <cell r="P9">
            <v>5.0088716011140804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172</v>
          </cell>
        </row>
        <row r="4">
          <cell r="B4">
            <v>13.782839001097075</v>
          </cell>
          <cell r="C4">
            <v>13.928062980010589</v>
          </cell>
        </row>
        <row r="172">
          <cell r="W172">
            <v>11.424950981921373</v>
          </cell>
          <cell r="Z172">
            <v>16.733537403061373</v>
          </cell>
        </row>
      </sheetData>
      <sheetData sheetId="4">
        <row r="9">
          <cell r="B9">
            <v>14.128379002799184</v>
          </cell>
          <cell r="C9">
            <v>13.466465614098279</v>
          </cell>
          <cell r="D9">
            <v>14.974651129538898</v>
          </cell>
          <cell r="E9">
            <v>16.892007649124146</v>
          </cell>
          <cell r="F9">
            <v>14.196453425435735</v>
          </cell>
          <cell r="G9">
            <v>12.920479194975725</v>
          </cell>
          <cell r="H9">
            <v>16.578275211145641</v>
          </cell>
          <cell r="I9">
            <v>13.375557084349055</v>
          </cell>
          <cell r="J9">
            <v>11.901389066111536</v>
          </cell>
          <cell r="K9">
            <v>13.587863193017256</v>
          </cell>
          <cell r="L9">
            <v>11.5046403588067</v>
          </cell>
          <cell r="N9">
            <v>13.880560480412946</v>
          </cell>
          <cell r="O9">
            <v>13.956923720854745</v>
          </cell>
          <cell r="P9">
            <v>13.587863193017256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126</v>
          </cell>
        </row>
        <row r="4">
          <cell r="B4">
            <v>5.3978197076221246</v>
          </cell>
          <cell r="C4">
            <v>5.3336550817021804</v>
          </cell>
        </row>
        <row r="126">
          <cell r="W126">
            <v>4.1315329007270263</v>
          </cell>
          <cell r="Z126">
            <v>6.5445870320771391</v>
          </cell>
        </row>
      </sheetData>
      <sheetData sheetId="4">
        <row r="9">
          <cell r="B9">
            <v>4.4819838396771754</v>
          </cell>
          <cell r="C9">
            <v>4.5574115348106741</v>
          </cell>
          <cell r="D9">
            <v>3.9312734176927115</v>
          </cell>
          <cell r="E9">
            <v>5.6237615389191733</v>
          </cell>
          <cell r="F9">
            <v>5.650343795608161</v>
          </cell>
          <cell r="G9">
            <v>4.6661299094763748</v>
          </cell>
          <cell r="H9">
            <v>6.2244314369811686</v>
          </cell>
          <cell r="I9">
            <v>5.3379837926596982</v>
          </cell>
          <cell r="J9">
            <v>6.1460344427333871</v>
          </cell>
          <cell r="K9">
            <v>6.5191997527981869</v>
          </cell>
          <cell r="L9">
            <v>5.3701632986405539</v>
          </cell>
          <cell r="N9">
            <v>5.3374091150160332</v>
          </cell>
          <cell r="O9">
            <v>5.3189742509088429</v>
          </cell>
          <cell r="P9">
            <v>5.3701632986405539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2.0359110611352706</v>
          </cell>
          <cell r="C4">
            <v>2.0349647866613152</v>
          </cell>
        </row>
        <row r="78">
          <cell r="W78">
            <v>0.8836674532869554</v>
          </cell>
          <cell r="Z78">
            <v>3.0445283305236388</v>
          </cell>
        </row>
      </sheetData>
      <sheetData sheetId="4">
        <row r="9">
          <cell r="B9">
            <v>2.5616523413568744</v>
          </cell>
          <cell r="C9">
            <v>2.3819698404196186</v>
          </cell>
          <cell r="D9">
            <v>2.1873727788921502</v>
          </cell>
          <cell r="E9">
            <v>2.6720010189142513</v>
          </cell>
          <cell r="F9">
            <v>2.2480093388942786</v>
          </cell>
          <cell r="G9">
            <v>1.704061261326425</v>
          </cell>
          <cell r="H9">
            <v>1.7482382870668829</v>
          </cell>
          <cell r="I9">
            <v>2.1040509279451243</v>
          </cell>
          <cell r="J9">
            <v>1.4779343614613454</v>
          </cell>
          <cell r="K9">
            <v>1.7345541373329767</v>
          </cell>
          <cell r="L9">
            <v>2.0781065061427602</v>
          </cell>
          <cell r="N9">
            <v>2.0954744886956269</v>
          </cell>
          <cell r="O9">
            <v>2.0816318908866078</v>
          </cell>
          <cell r="P9">
            <v>2.1040509279451243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112</v>
          </cell>
        </row>
        <row r="4">
          <cell r="B4">
            <v>2.5385734325253519</v>
          </cell>
          <cell r="C4">
            <v>2.5589014871300062</v>
          </cell>
        </row>
        <row r="112">
          <cell r="W112">
            <v>1.4743071392367444</v>
          </cell>
          <cell r="Z112">
            <v>3.8121287661485055</v>
          </cell>
        </row>
      </sheetData>
      <sheetData sheetId="4">
        <row r="9">
          <cell r="B9">
            <v>2.1235795222185039</v>
          </cell>
          <cell r="C9">
            <v>2.2181926657819568</v>
          </cell>
          <cell r="D9">
            <v>3.7175932888119365</v>
          </cell>
          <cell r="E9">
            <v>2.2469858176472819</v>
          </cell>
          <cell r="F9">
            <v>3.0976902981254217</v>
          </cell>
          <cell r="G9">
            <v>2.0072009008022857</v>
          </cell>
          <cell r="H9">
            <v>3.0747272998026438</v>
          </cell>
          <cell r="I9">
            <v>2.8964488955947849</v>
          </cell>
          <cell r="J9">
            <v>3.3821229774943147</v>
          </cell>
          <cell r="K9">
            <v>1.7129422568244572</v>
          </cell>
          <cell r="L9">
            <v>2.3663269573760868</v>
          </cell>
          <cell r="N9">
            <v>2.607438356701878</v>
          </cell>
          <cell r="O9">
            <v>2.6221646254981521</v>
          </cell>
          <cell r="P9">
            <v>2.3663269573760868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4.3157357352859513</v>
          </cell>
          <cell r="C4">
            <v>4.3860308107721515</v>
          </cell>
        </row>
        <row r="92">
          <cell r="W92">
            <v>3.2190486874017488</v>
          </cell>
          <cell r="Z92">
            <v>5.7555660003009486</v>
          </cell>
        </row>
      </sheetData>
      <sheetData sheetId="4">
        <row r="9">
          <cell r="B9">
            <v>3.6301112854653521</v>
          </cell>
          <cell r="C9">
            <v>3.9586669446055947</v>
          </cell>
          <cell r="D9">
            <v>4.6051707342028321</v>
          </cell>
          <cell r="E9">
            <v>4.9950856504143815</v>
          </cell>
          <cell r="F9">
            <v>5.3692580247567543</v>
          </cell>
          <cell r="G9">
            <v>5.0415806512857166</v>
          </cell>
          <cell r="H9">
            <v>3.8846703878931454</v>
          </cell>
          <cell r="I9">
            <v>4.6969582879089957</v>
          </cell>
          <cell r="J9">
            <v>4.7661192532671866</v>
          </cell>
          <cell r="K9">
            <v>3.804749778705022</v>
          </cell>
          <cell r="L9">
            <v>4.6033563049011059</v>
          </cell>
          <cell r="N9">
            <v>4.4071124980130172</v>
          </cell>
          <cell r="O9">
            <v>4.4868843003096437</v>
          </cell>
          <cell r="P9">
            <v>4.6051707342028321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3.9617470012605693</v>
          </cell>
          <cell r="C4">
            <v>4.1878916628717411</v>
          </cell>
        </row>
        <row r="92">
          <cell r="W92">
            <v>0.34922544618007806</v>
          </cell>
          <cell r="Z92">
            <v>9.1250149450401654</v>
          </cell>
        </row>
      </sheetData>
      <sheetData sheetId="4">
        <row r="9">
          <cell r="B9">
            <v>3.5812320105333981</v>
          </cell>
          <cell r="C9">
            <v>3.84349657717955</v>
          </cell>
          <cell r="D9">
            <v>3.31242875521006</v>
          </cell>
          <cell r="E9">
            <v>0</v>
          </cell>
          <cell r="F9">
            <v>5.3434887811128151</v>
          </cell>
          <cell r="G9">
            <v>5.2609639360006861</v>
          </cell>
          <cell r="H9">
            <v>0.84100125055118891</v>
          </cell>
          <cell r="I9">
            <v>1.6693134478057299</v>
          </cell>
          <cell r="J9">
            <v>6.4191986064513014</v>
          </cell>
          <cell r="K9">
            <v>6.0081274832773346</v>
          </cell>
          <cell r="L9">
            <v>4.6181420178158517</v>
          </cell>
          <cell r="N9">
            <v>4.122733792773742</v>
          </cell>
          <cell r="O9">
            <v>4.0897392865937912</v>
          </cell>
          <cell r="P9">
            <v>4.2308192974977006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5.875697535850942</v>
          </cell>
          <cell r="C4">
            <v>6.2193491835186387</v>
          </cell>
        </row>
        <row r="106">
          <cell r="W106">
            <v>3.6449458907822194</v>
          </cell>
          <cell r="Z106">
            <v>10.272491900079512</v>
          </cell>
        </row>
      </sheetData>
      <sheetData sheetId="4">
        <row r="9">
          <cell r="B9">
            <v>8.5541292947166188</v>
          </cell>
          <cell r="C9">
            <v>6.6612391094410226</v>
          </cell>
          <cell r="D9">
            <v>8.2025051852065065</v>
          </cell>
          <cell r="E9">
            <v>4.9280540128644779</v>
          </cell>
          <cell r="F9">
            <v>6.7876154689764192</v>
          </cell>
          <cell r="G9">
            <v>4.6900320271348992</v>
          </cell>
          <cell r="H9">
            <v>5.6055305234424413</v>
          </cell>
          <cell r="I9">
            <v>6.5454457512819229</v>
          </cell>
          <cell r="J9">
            <v>6.1834302787073838</v>
          </cell>
          <cell r="K9">
            <v>3.5908081500465463</v>
          </cell>
          <cell r="L9">
            <v>0</v>
          </cell>
          <cell r="N9">
            <v>6.0968604587792434</v>
          </cell>
          <cell r="O9">
            <v>6.1748789801818242</v>
          </cell>
          <cell r="P9">
            <v>6.3644380149946533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4.3124661364384327</v>
          </cell>
          <cell r="C4">
            <v>4.3600480244735884</v>
          </cell>
        </row>
        <row r="94">
          <cell r="W94">
            <v>2.9761767153802778</v>
          </cell>
          <cell r="Z94">
            <v>6.2753541693012167</v>
          </cell>
        </row>
      </sheetData>
      <sheetData sheetId="4">
        <row r="9">
          <cell r="B9">
            <v>5.1388789398024537</v>
          </cell>
          <cell r="C9">
            <v>6.6507042639134095</v>
          </cell>
          <cell r="D9">
            <v>3.610147291824823</v>
          </cell>
          <cell r="E9">
            <v>4.3707981782030147</v>
          </cell>
          <cell r="F9">
            <v>4.0910622803438503</v>
          </cell>
          <cell r="G9">
            <v>3.4119855874509066</v>
          </cell>
          <cell r="H9">
            <v>5.4153361499947366</v>
          </cell>
          <cell r="I9">
            <v>4.0563510304731905</v>
          </cell>
          <cell r="J9">
            <v>3.7198004170787944</v>
          </cell>
          <cell r="K9">
            <v>3.7610075694063916</v>
          </cell>
          <cell r="L9">
            <v>4.0873427588499949</v>
          </cell>
          <cell r="N9">
            <v>4.3508277458505678</v>
          </cell>
          <cell r="O9">
            <v>4.3921285879401424</v>
          </cell>
          <cell r="P9">
            <v>4.0873427588499949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3.1651045999999998</v>
          </cell>
          <cell r="C4">
            <v>3.1301304339965332</v>
          </cell>
        </row>
        <row r="96">
          <cell r="W96">
            <v>1.192482154430007</v>
          </cell>
          <cell r="Z96">
            <v>4.7738228303490198</v>
          </cell>
        </row>
      </sheetData>
      <sheetData sheetId="4">
        <row r="9">
          <cell r="B9">
            <v>4.4559626329709969</v>
          </cell>
          <cell r="C9">
            <v>2.7441200993850243</v>
          </cell>
          <cell r="D9">
            <v>1.6653877362506246</v>
          </cell>
          <cell r="E9">
            <v>2.9949428621038989</v>
          </cell>
          <cell r="F9">
            <v>1.8014637274153382</v>
          </cell>
          <cell r="G9">
            <v>3.5800922430979285</v>
          </cell>
          <cell r="H9">
            <v>2.8934717095682685</v>
          </cell>
          <cell r="I9">
            <v>4.4316159632539582</v>
          </cell>
          <cell r="J9">
            <v>5.4744239123004022</v>
          </cell>
          <cell r="K9">
            <v>2.5368569300973274</v>
          </cell>
          <cell r="L9">
            <v>2.6524355731258087</v>
          </cell>
          <cell r="N9">
            <v>3.1818753905481478</v>
          </cell>
          <cell r="O9">
            <v>3.2027975808699609</v>
          </cell>
          <cell r="P9">
            <v>2.8934717095682685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140</v>
          </cell>
        </row>
        <row r="4">
          <cell r="B4">
            <v>7.4118510990446893</v>
          </cell>
          <cell r="C4">
            <v>7.4363371009739145</v>
          </cell>
        </row>
        <row r="140">
          <cell r="W140">
            <v>5.9038636001372353</v>
          </cell>
          <cell r="Z140">
            <v>8.9900484578063509</v>
          </cell>
        </row>
      </sheetData>
      <sheetData sheetId="4">
        <row r="9">
          <cell r="B9">
            <v>5.0241874692656072</v>
          </cell>
          <cell r="C9">
            <v>5.7063151242628214</v>
          </cell>
          <cell r="D9">
            <v>6.0383639613318474</v>
          </cell>
          <cell r="E9">
            <v>7.5814499095724983</v>
          </cell>
          <cell r="F9">
            <v>7.8851668078598118</v>
          </cell>
          <cell r="G9">
            <v>7.6227220423741766</v>
          </cell>
          <cell r="H9">
            <v>8.9606285162931769</v>
          </cell>
          <cell r="I9">
            <v>8.8139312008493533</v>
          </cell>
          <cell r="J9">
            <v>8.9433147969282132</v>
          </cell>
          <cell r="K9">
            <v>9.5694093123905475</v>
          </cell>
          <cell r="L9">
            <v>7.8425016650233204</v>
          </cell>
          <cell r="N9">
            <v>7.4554487316085947</v>
          </cell>
          <cell r="O9">
            <v>7.6352718914683066</v>
          </cell>
          <cell r="P9">
            <v>7.8425016650233204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118</v>
          </cell>
        </row>
        <row r="4">
          <cell r="B4">
            <v>5.532450770826042</v>
          </cell>
          <cell r="C4">
            <v>5.516324688586332</v>
          </cell>
        </row>
        <row r="118">
          <cell r="W118">
            <v>4.6367248608551979</v>
          </cell>
          <cell r="Z118">
            <v>6.424745732130579</v>
          </cell>
        </row>
      </sheetData>
      <sheetData sheetId="4">
        <row r="9">
          <cell r="B9">
            <v>6.7177070587026968</v>
          </cell>
          <cell r="C9">
            <v>4.9818165681872024</v>
          </cell>
          <cell r="D9">
            <v>5.3668157551751818</v>
          </cell>
          <cell r="E9">
            <v>5.7948628937463722</v>
          </cell>
          <cell r="F9">
            <v>5.7786825332016134</v>
          </cell>
          <cell r="G9">
            <v>5.3194136832227121</v>
          </cell>
          <cell r="H9">
            <v>5.3805412131677111</v>
          </cell>
          <cell r="I9">
            <v>4.6629186673262497</v>
          </cell>
          <cell r="J9">
            <v>5.4797011277723406</v>
          </cell>
          <cell r="K9">
            <v>5.1956707022512187</v>
          </cell>
          <cell r="L9">
            <v>5.6314458926435993</v>
          </cell>
          <cell r="N9">
            <v>5.4816758591748318</v>
          </cell>
          <cell r="O9">
            <v>5.4826887359451737</v>
          </cell>
          <cell r="P9">
            <v>5.3805412131677111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112</v>
          </cell>
        </row>
        <row r="4">
          <cell r="B4">
            <v>4.2738822753333832</v>
          </cell>
          <cell r="C4">
            <v>4.2531189150842046</v>
          </cell>
        </row>
        <row r="112">
          <cell r="W112">
            <v>3.1054152127511592</v>
          </cell>
          <cell r="Z112">
            <v>5.4305082374560953</v>
          </cell>
        </row>
      </sheetData>
      <sheetData sheetId="4">
        <row r="9">
          <cell r="B9">
            <v>4.9452009801715375</v>
          </cell>
          <cell r="C9">
            <v>4.0125606114433641</v>
          </cell>
          <cell r="D9">
            <v>4.4498561515976318</v>
          </cell>
          <cell r="E9">
            <v>3.8731085271238315</v>
          </cell>
          <cell r="F9">
            <v>4.1951427022696777</v>
          </cell>
          <cell r="G9">
            <v>4.3522782859857481</v>
          </cell>
          <cell r="H9">
            <v>4.5656797763088255</v>
          </cell>
          <cell r="I9">
            <v>4.4911117414785986</v>
          </cell>
          <cell r="J9">
            <v>3.2595093439980332</v>
          </cell>
          <cell r="K9">
            <v>4.0186707545064815</v>
          </cell>
          <cell r="L9">
            <v>3.7262302615512137</v>
          </cell>
          <cell r="N9">
            <v>4.2453052001103746</v>
          </cell>
          <cell r="O9">
            <v>4.1717590124031769</v>
          </cell>
          <cell r="P9">
            <v>4.1951427022696777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1.9251429650215299</v>
          </cell>
          <cell r="C4">
            <v>1.864226207025244</v>
          </cell>
        </row>
        <row r="106">
          <cell r="W106">
            <v>0.62666471550681913</v>
          </cell>
          <cell r="Z106">
            <v>2.943802876249924</v>
          </cell>
        </row>
      </sheetData>
      <sheetData sheetId="4">
        <row r="9">
          <cell r="B9">
            <v>2.938684839918341</v>
          </cell>
          <cell r="C9">
            <v>2.67533400400692</v>
          </cell>
          <cell r="D9">
            <v>2.5241368539077671</v>
          </cell>
          <cell r="E9">
            <v>2.6288615918135609</v>
          </cell>
          <cell r="F9">
            <v>0.97244189711637297</v>
          </cell>
          <cell r="G9">
            <v>0.61454247030220921</v>
          </cell>
          <cell r="H9">
            <v>1.3058460670799621</v>
          </cell>
          <cell r="I9">
            <v>1.8533623963017203</v>
          </cell>
          <cell r="J9">
            <v>2.4045500780553417</v>
          </cell>
          <cell r="K9">
            <v>2.2133806855208955</v>
          </cell>
          <cell r="L9">
            <v>2.2031529936686569</v>
          </cell>
          <cell r="N9">
            <v>2.0806317493606512</v>
          </cell>
          <cell r="O9">
            <v>2.0303903525174314</v>
          </cell>
          <cell r="P9">
            <v>2.2133806855208955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4.9032026243392508</v>
          </cell>
          <cell r="C4">
            <v>5.0567767892152613</v>
          </cell>
        </row>
        <row r="102">
          <cell r="W102">
            <v>3.0542096621999693</v>
          </cell>
          <cell r="Z102">
            <v>6.9658770001783932</v>
          </cell>
        </row>
      </sheetData>
      <sheetData sheetId="4">
        <row r="9">
          <cell r="B9">
            <v>5.8915096295748723</v>
          </cell>
          <cell r="C9">
            <v>4.2048167152538367</v>
          </cell>
          <cell r="D9">
            <v>4.4438381472888961</v>
          </cell>
          <cell r="E9">
            <v>4.1048121417152927</v>
          </cell>
          <cell r="F9">
            <v>4.48639605138532</v>
          </cell>
          <cell r="G9">
            <v>3.9946013295434453</v>
          </cell>
          <cell r="H9">
            <v>4.829078123538598</v>
          </cell>
          <cell r="I9">
            <v>4.1534501507052903</v>
          </cell>
          <cell r="J9">
            <v>7.9111716274826982</v>
          </cell>
          <cell r="K9">
            <v>6.385623742751628</v>
          </cell>
          <cell r="L9">
            <v>5.8554790373538159</v>
          </cell>
          <cell r="N9">
            <v>4.9958148734012005</v>
          </cell>
          <cell r="O9">
            <v>5.1146160633266993</v>
          </cell>
          <cell r="P9">
            <v>4.48639605138532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86</v>
          </cell>
        </row>
        <row r="4">
          <cell r="B4">
            <v>2.0684285344396818</v>
          </cell>
          <cell r="C4">
            <v>2.0535018010559498</v>
          </cell>
        </row>
        <row r="86">
          <cell r="W86">
            <v>1.6201294568844804</v>
          </cell>
          <cell r="Z86">
            <v>2.5196730178903302</v>
          </cell>
        </row>
      </sheetData>
      <sheetData sheetId="4">
        <row r="9">
          <cell r="B9">
            <v>1.785073652474189</v>
          </cell>
          <cell r="C9">
            <v>2.2781183096456585</v>
          </cell>
          <cell r="D9">
            <v>2.2098694305620379</v>
          </cell>
          <cell r="E9">
            <v>2.1349559964684941</v>
          </cell>
          <cell r="F9">
            <v>1.9907137652096576</v>
          </cell>
          <cell r="G9">
            <v>1.9544814310057856</v>
          </cell>
          <cell r="H9">
            <v>2.0259071961775672</v>
          </cell>
          <cell r="I9">
            <v>1.9142962283664497</v>
          </cell>
          <cell r="J9">
            <v>2.22134949077777</v>
          </cell>
          <cell r="K9">
            <v>1.9906995600112454</v>
          </cell>
          <cell r="L9">
            <v>2.1227941985543648</v>
          </cell>
          <cell r="N9">
            <v>2.081033791105515</v>
          </cell>
          <cell r="O9">
            <v>2.0571144781139292</v>
          </cell>
          <cell r="P9">
            <v>2.0259071961775672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5.5757283556451043</v>
          </cell>
          <cell r="C4">
            <v>5.5943643474884501</v>
          </cell>
        </row>
        <row r="102">
          <cell r="W102">
            <v>4.4473876650586099</v>
          </cell>
          <cell r="Z102">
            <v>7.2474258806516509</v>
          </cell>
        </row>
      </sheetData>
      <sheetData sheetId="4">
        <row r="9">
          <cell r="B9">
            <v>5.9217815124560209</v>
          </cell>
          <cell r="C9">
            <v>5.1076913751398143</v>
          </cell>
          <cell r="D9">
            <v>6.6268022695760314</v>
          </cell>
          <cell r="E9">
            <v>4.8568084901978805</v>
          </cell>
          <cell r="F9">
            <v>6.1887725151009416</v>
          </cell>
          <cell r="G9">
            <v>5.8532751466849886</v>
          </cell>
          <cell r="H9">
            <v>5.9680983015139049</v>
          </cell>
          <cell r="I9">
            <v>6.8268499450803724</v>
          </cell>
          <cell r="J9">
            <v>4.7144460829875019</v>
          </cell>
          <cell r="K9">
            <v>5.9816518085964363</v>
          </cell>
          <cell r="L9">
            <v>4.5630555090388274</v>
          </cell>
          <cell r="N9">
            <v>5.6280978542591065</v>
          </cell>
          <cell r="O9">
            <v>5.6917484505793388</v>
          </cell>
          <cell r="P9">
            <v>5.9217815124560209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4.8018725938245499</v>
          </cell>
          <cell r="C4">
            <v>4.7678204744056751</v>
          </cell>
        </row>
        <row r="94">
          <cell r="W94">
            <v>3.2067470384042371</v>
          </cell>
          <cell r="Z94">
            <v>6.5229032067152293</v>
          </cell>
        </row>
      </sheetData>
      <sheetData sheetId="4">
        <row r="9">
          <cell r="B9">
            <v>0</v>
          </cell>
          <cell r="C9">
            <v>5.2876400388075142</v>
          </cell>
          <cell r="D9">
            <v>5.9165179838193387</v>
          </cell>
          <cell r="E9">
            <v>3.6129551339983674</v>
          </cell>
          <cell r="F9">
            <v>4.3849264588259604</v>
          </cell>
          <cell r="G9">
            <v>4.5681027178933862</v>
          </cell>
          <cell r="H9">
            <v>4.0043331633162902</v>
          </cell>
          <cell r="I9">
            <v>5.0063207288234599</v>
          </cell>
          <cell r="J9">
            <v>4.3924012220800766</v>
          </cell>
          <cell r="K9">
            <v>5.8851420619200665</v>
          </cell>
          <cell r="L9">
            <v>4.5959133888119368</v>
          </cell>
          <cell r="N9">
            <v>4.9136489081584021</v>
          </cell>
          <cell r="O9">
            <v>4.765425289829639</v>
          </cell>
          <cell r="P9">
            <v>4.582008053352661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104</v>
          </cell>
        </row>
        <row r="4">
          <cell r="B4">
            <v>3.6272060640645174</v>
          </cell>
          <cell r="C4">
            <v>3.6920056855142751</v>
          </cell>
        </row>
        <row r="104">
          <cell r="W104">
            <v>2.6963540474850078</v>
          </cell>
          <cell r="Z104">
            <v>4.8413981818758449</v>
          </cell>
        </row>
      </sheetData>
      <sheetData sheetId="4">
        <row r="9">
          <cell r="B9">
            <v>2.9634134100710838</v>
          </cell>
          <cell r="C9">
            <v>3.1806396503991956</v>
          </cell>
          <cell r="D9">
            <v>4.4459949043827161</v>
          </cell>
          <cell r="E9">
            <v>3.86381087683817</v>
          </cell>
          <cell r="F9">
            <v>3.6092043946176915</v>
          </cell>
          <cell r="G9">
            <v>3.4171276718490784</v>
          </cell>
          <cell r="H9">
            <v>3.1165322433181029</v>
          </cell>
          <cell r="I9">
            <v>3.6981273464896267</v>
          </cell>
          <cell r="J9">
            <v>4.5978329365730124</v>
          </cell>
          <cell r="K9">
            <v>4.0728771761292446</v>
          </cell>
          <cell r="L9">
            <v>3.475392678520024</v>
          </cell>
          <cell r="N9">
            <v>3.6141224081901164</v>
          </cell>
          <cell r="O9">
            <v>3.6764502990170866</v>
          </cell>
          <cell r="P9">
            <v>3.6092043946176915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2.2836538538986639</v>
          </cell>
          <cell r="C4">
            <v>2.9334802827402338</v>
          </cell>
        </row>
        <row r="106">
          <cell r="W106">
            <v>1.1290552631612447E-2</v>
          </cell>
          <cell r="Z106">
            <v>11.553204516053018</v>
          </cell>
        </row>
      </sheetData>
      <sheetData sheetId="4">
        <row r="9">
          <cell r="B9">
            <v>6.1897559248238719E-2</v>
          </cell>
          <cell r="C9">
            <v>5.2700745104613897</v>
          </cell>
          <cell r="D9">
            <v>5.9615426560193807</v>
          </cell>
          <cell r="E9">
            <v>1.3528280758169935</v>
          </cell>
          <cell r="F9">
            <v>2.6403205379886461</v>
          </cell>
          <cell r="G9">
            <v>1.3253431385098893</v>
          </cell>
          <cell r="H9">
            <v>3.649815959118671</v>
          </cell>
          <cell r="I9">
            <v>3.1927369927501389E-3</v>
          </cell>
          <cell r="J9">
            <v>2.7250086154728757</v>
          </cell>
          <cell r="K9">
            <v>7.6074111E-2</v>
          </cell>
          <cell r="L9">
            <v>3.2290831428621165</v>
          </cell>
          <cell r="N9">
            <v>2.5083066809306973</v>
          </cell>
          <cell r="O9">
            <v>2.3904710039537234</v>
          </cell>
          <cell r="P9">
            <v>2.6403205379886461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0.53019925283029856</v>
          </cell>
          <cell r="C4">
            <v>0.92532888982522254</v>
          </cell>
        </row>
        <row r="102">
          <cell r="W102">
            <v>6.5004536348758513E-7</v>
          </cell>
          <cell r="Z102">
            <v>3.9739455878644097</v>
          </cell>
        </row>
      </sheetData>
      <sheetData sheetId="4">
        <row r="9">
          <cell r="B9">
            <v>0.2310969679527152</v>
          </cell>
          <cell r="C9">
            <v>0.24153809239165777</v>
          </cell>
          <cell r="D9">
            <v>1.3147707586345552</v>
          </cell>
          <cell r="E9">
            <v>0.10789103999999999</v>
          </cell>
          <cell r="F9">
            <v>0.24112884641996485</v>
          </cell>
          <cell r="G9">
            <v>1.2480797121036482</v>
          </cell>
          <cell r="H9">
            <v>1.0776688081381356</v>
          </cell>
          <cell r="I9">
            <v>0.22578224740260583</v>
          </cell>
          <cell r="J9">
            <v>1.2322154459478407</v>
          </cell>
          <cell r="K9">
            <v>0.20597596581627975</v>
          </cell>
          <cell r="L9">
            <v>2.5855339966310615</v>
          </cell>
          <cell r="N9">
            <v>0.25771297753089578</v>
          </cell>
          <cell r="O9">
            <v>0.79197108013076944</v>
          </cell>
          <cell r="P9">
            <v>0.24153809239165777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3.9492113280198318</v>
          </cell>
          <cell r="C4">
            <v>3.9953735805787183</v>
          </cell>
        </row>
        <row r="106">
          <cell r="W106">
            <v>2.9290263179758411</v>
          </cell>
          <cell r="Z106">
            <v>5.0845272919963715</v>
          </cell>
        </row>
      </sheetData>
      <sheetData sheetId="4">
        <row r="9">
          <cell r="B9">
            <v>3.7554453230989773</v>
          </cell>
          <cell r="C9">
            <v>4.3499343323580701</v>
          </cell>
          <cell r="D9">
            <v>4.2303014212770735</v>
          </cell>
          <cell r="E9">
            <v>3.3215239474256268</v>
          </cell>
          <cell r="F9">
            <v>4.6255610478422025</v>
          </cell>
          <cell r="G9">
            <v>4.4155124156361474</v>
          </cell>
          <cell r="H9">
            <v>4.1787645506241518</v>
          </cell>
          <cell r="I9">
            <v>4.6314829124934933</v>
          </cell>
          <cell r="J9">
            <v>3.9852514770318246</v>
          </cell>
          <cell r="K9">
            <v>2.7943146578626488</v>
          </cell>
          <cell r="L9">
            <v>3.7466456087350815</v>
          </cell>
          <cell r="N9">
            <v>3.9454112820656846</v>
          </cell>
          <cell r="O9">
            <v>4.0031579722168456</v>
          </cell>
          <cell r="P9">
            <v>4.1787645506241518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1.7782679959298253</v>
          </cell>
          <cell r="C4">
            <v>1.8810913483772094</v>
          </cell>
        </row>
        <row r="94">
          <cell r="W94">
            <v>0.6572091929848769</v>
          </cell>
          <cell r="Z94">
            <v>3.9607050942101574</v>
          </cell>
        </row>
      </sheetData>
      <sheetData sheetId="4">
        <row r="9">
          <cell r="B9">
            <v>3.0238495126460965</v>
          </cell>
          <cell r="C9">
            <v>1.3399254164427896</v>
          </cell>
          <cell r="D9">
            <v>2.2482128373061294</v>
          </cell>
          <cell r="E9">
            <v>3.3844499499271201</v>
          </cell>
          <cell r="F9">
            <v>1.3375553532266018</v>
          </cell>
          <cell r="G9">
            <v>1.9807239013970535</v>
          </cell>
          <cell r="H9">
            <v>0.85190410583267318</v>
          </cell>
          <cell r="I9">
            <v>1.6515372171129266</v>
          </cell>
          <cell r="J9">
            <v>2.4795321463514282</v>
          </cell>
          <cell r="K9">
            <v>1.7500445016968511</v>
          </cell>
          <cell r="L9">
            <v>1.2720818532519957</v>
          </cell>
          <cell r="N9">
            <v>1.7450210143373237</v>
          </cell>
          <cell r="O9">
            <v>1.9381651631992427</v>
          </cell>
          <cell r="P9">
            <v>1.7500445016968511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0.8896080428783808</v>
          </cell>
          <cell r="C4">
            <v>1.1528902185640897</v>
          </cell>
        </row>
        <row r="82">
          <cell r="W82">
            <v>0.18920560259828559</v>
          </cell>
          <cell r="Z82">
            <v>3.4437681541554848</v>
          </cell>
        </row>
      </sheetData>
      <sheetData sheetId="4">
        <row r="9">
          <cell r="B9">
            <v>2.0087274421702817</v>
          </cell>
          <cell r="C9">
            <v>1.3492094712213292</v>
          </cell>
          <cell r="D9">
            <v>1.8514253357114754</v>
          </cell>
          <cell r="E9">
            <v>0.72371742493205682</v>
          </cell>
          <cell r="F9">
            <v>2.3101297811394592</v>
          </cell>
          <cell r="G9">
            <v>0.61865178083725891</v>
          </cell>
          <cell r="H9">
            <v>0.90355097520778571</v>
          </cell>
          <cell r="I9">
            <v>6.1600398504220139E-2</v>
          </cell>
          <cell r="J9">
            <v>0.14531104434779424</v>
          </cell>
          <cell r="K9">
            <v>0.88556372320399712</v>
          </cell>
          <cell r="L9">
            <v>0.74994417617009668</v>
          </cell>
          <cell r="N9">
            <v>0.93467880331517272</v>
          </cell>
          <cell r="O9">
            <v>1.0552574139496143</v>
          </cell>
          <cell r="P9">
            <v>0.88556372320399712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0.26298962181302254</v>
          </cell>
          <cell r="C4">
            <v>0.40596861426200276</v>
          </cell>
        </row>
        <row r="82">
          <cell r="W82">
            <v>1.3991495229452552E-2</v>
          </cell>
          <cell r="Z82">
            <v>1.0658464999999999</v>
          </cell>
        </row>
      </sheetData>
      <sheetData sheetId="4">
        <row r="9">
          <cell r="B9">
            <v>0.15445387104518052</v>
          </cell>
          <cell r="C9">
            <v>0.93957109407884176</v>
          </cell>
          <cell r="D9">
            <v>7.9192798999999994E-2</v>
          </cell>
          <cell r="E9">
            <v>0.14485880433235487</v>
          </cell>
          <cell r="F9">
            <v>5.4349376999999997E-2</v>
          </cell>
          <cell r="G9">
            <v>0.15782599423212459</v>
          </cell>
          <cell r="H9">
            <v>0.24542309027441289</v>
          </cell>
          <cell r="I9">
            <v>0.89146974243114385</v>
          </cell>
          <cell r="J9">
            <v>0.50480043930807617</v>
          </cell>
          <cell r="K9">
            <v>0.39869673907031972</v>
          </cell>
          <cell r="L9">
            <v>0.57200308495129126</v>
          </cell>
          <cell r="N9">
            <v>0.53642444409868384</v>
          </cell>
          <cell r="O9">
            <v>0.37660409415670415</v>
          </cell>
          <cell r="P9">
            <v>0.24542309027441289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168</v>
          </cell>
        </row>
        <row r="4">
          <cell r="B4">
            <v>8.1033553014854078</v>
          </cell>
          <cell r="C4">
            <v>8.0668728078598679</v>
          </cell>
        </row>
        <row r="168">
          <cell r="W168">
            <v>4.8756195336821504</v>
          </cell>
          <cell r="Z168">
            <v>11.518840002677642</v>
          </cell>
        </row>
      </sheetData>
      <sheetData sheetId="4">
        <row r="9">
          <cell r="B9">
            <v>8.8485222390398341</v>
          </cell>
          <cell r="C9">
            <v>4.7586196920172394</v>
          </cell>
          <cell r="D9">
            <v>8.6648791063912523</v>
          </cell>
          <cell r="E9">
            <v>7.2997538512813822</v>
          </cell>
          <cell r="F9">
            <v>10.739937746043973</v>
          </cell>
          <cell r="G9">
            <v>9.1995290000000001</v>
          </cell>
          <cell r="H9">
            <v>7.1732662398556286</v>
          </cell>
          <cell r="I9">
            <v>6.8222567297953756</v>
          </cell>
          <cell r="J9">
            <v>7.4687234589733915</v>
          </cell>
          <cell r="K9">
            <v>10.138398019365901</v>
          </cell>
          <cell r="L9">
            <v>12.830914214283029</v>
          </cell>
          <cell r="N9">
            <v>8.1943297622894704</v>
          </cell>
          <cell r="O9">
            <v>8.540436390640636</v>
          </cell>
          <cell r="P9">
            <v>8.6648791063912523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172</v>
          </cell>
        </row>
        <row r="4">
          <cell r="B4">
            <v>11.933411335483891</v>
          </cell>
          <cell r="C4">
            <v>12.051426444854592</v>
          </cell>
        </row>
        <row r="172">
          <cell r="W172">
            <v>9.8761384159522745</v>
          </cell>
          <cell r="Z172">
            <v>14.743407844022721</v>
          </cell>
        </row>
      </sheetData>
      <sheetData sheetId="4">
        <row r="9">
          <cell r="B9">
            <v>11.852371385067631</v>
          </cell>
          <cell r="C9">
            <v>9.8534287965972549</v>
          </cell>
          <cell r="D9">
            <v>12.492650935054252</v>
          </cell>
          <cell r="E9">
            <v>12.079108076228824</v>
          </cell>
          <cell r="F9">
            <v>11.695559241083588</v>
          </cell>
          <cell r="G9">
            <v>11.979523074122355</v>
          </cell>
          <cell r="H9">
            <v>12.654227223915587</v>
          </cell>
          <cell r="I9">
            <v>12.904934605459619</v>
          </cell>
          <cell r="J9">
            <v>12.745621840792861</v>
          </cell>
          <cell r="K9">
            <v>13.491984718147043</v>
          </cell>
          <cell r="L9">
            <v>9.1272245526007563</v>
          </cell>
          <cell r="N9">
            <v>11.876566662139174</v>
          </cell>
          <cell r="O9">
            <v>11.897875859006342</v>
          </cell>
          <cell r="P9">
            <v>12.079108076228824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4.3528671081453085</v>
          </cell>
          <cell r="C4">
            <v>4.404498024283491</v>
          </cell>
        </row>
        <row r="98">
          <cell r="W98">
            <v>1.2038963275396717</v>
          </cell>
          <cell r="Z98">
            <v>8.1467068467957002</v>
          </cell>
        </row>
      </sheetData>
      <sheetData sheetId="4">
        <row r="9">
          <cell r="B9">
            <v>6.6557986414544601</v>
          </cell>
          <cell r="C9">
            <v>5.9766263448841555</v>
          </cell>
          <cell r="D9">
            <v>4.5453803206565455</v>
          </cell>
          <cell r="E9">
            <v>5.4391649474691572</v>
          </cell>
          <cell r="F9">
            <v>6.153743984173131</v>
          </cell>
          <cell r="G9">
            <v>1.7175652777313726</v>
          </cell>
          <cell r="H9">
            <v>4.9130856375593748</v>
          </cell>
          <cell r="I9">
            <v>4.4050475745043052</v>
          </cell>
          <cell r="J9">
            <v>4.1870978675177355</v>
          </cell>
          <cell r="K9">
            <v>3.4106347581508931</v>
          </cell>
          <cell r="L9">
            <v>3.2481289663952793</v>
          </cell>
          <cell r="N9">
            <v>4.6948960662830421</v>
          </cell>
          <cell r="O9">
            <v>4.6047522109542189</v>
          </cell>
          <cell r="P9">
            <v>4.5453803206565455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1.1262523169100047</v>
          </cell>
          <cell r="C4">
            <v>1.2250993559920165</v>
          </cell>
        </row>
        <row r="82">
          <cell r="W82">
            <v>7.2019085617410908E-7</v>
          </cell>
          <cell r="Z82">
            <v>3.1094595080576806</v>
          </cell>
        </row>
      </sheetData>
      <sheetData sheetId="4">
        <row r="9">
          <cell r="B9">
            <v>1.2160518651798891</v>
          </cell>
          <cell r="C9">
            <v>1.523710274920975</v>
          </cell>
          <cell r="D9">
            <v>2.3626411872198214</v>
          </cell>
          <cell r="E9">
            <v>0.71800974123704764</v>
          </cell>
          <cell r="F9">
            <v>0.23487042617647699</v>
          </cell>
          <cell r="G9">
            <v>2.8701756477211453</v>
          </cell>
          <cell r="H9">
            <v>2.2487371357088426</v>
          </cell>
          <cell r="I9">
            <v>0.54681313025567591</v>
          </cell>
          <cell r="J9">
            <v>1.4878079351263827</v>
          </cell>
          <cell r="K9">
            <v>0.81583086329110721</v>
          </cell>
          <cell r="L9">
            <v>2.596081153853786</v>
          </cell>
          <cell r="N9">
            <v>1.2634251479149226</v>
          </cell>
          <cell r="O9">
            <v>1.5109753964264678</v>
          </cell>
          <cell r="P9">
            <v>1.4878079351263827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0.40144249317660508</v>
          </cell>
          <cell r="C4">
            <v>0.98929883683947506</v>
          </cell>
        </row>
        <row r="98">
          <cell r="W98">
            <v>7.1322911497398821E-8</v>
          </cell>
          <cell r="Z98">
            <v>4.0000616437162355</v>
          </cell>
        </row>
      </sheetData>
      <sheetData sheetId="4">
        <row r="9">
          <cell r="B9">
            <v>3.2163968612052716</v>
          </cell>
          <cell r="C9">
            <v>0.63624911399520134</v>
          </cell>
          <cell r="D9">
            <v>4.1014029613854697E-2</v>
          </cell>
          <cell r="E9">
            <v>0.61183041363252533</v>
          </cell>
          <cell r="F9">
            <v>5.4639941999999997E-2</v>
          </cell>
          <cell r="G9">
            <v>3.4360287621990389</v>
          </cell>
          <cell r="H9">
            <v>1.0484091211185138</v>
          </cell>
          <cell r="I9">
            <v>1.3920694456638925</v>
          </cell>
          <cell r="J9">
            <v>1.6352427921792432</v>
          </cell>
          <cell r="K9">
            <v>0.24733282528665926</v>
          </cell>
          <cell r="L9">
            <v>2.1476789837862356</v>
          </cell>
          <cell r="N9">
            <v>0.87503053644480355</v>
          </cell>
          <cell r="O9">
            <v>1.3151720264254942</v>
          </cell>
          <cell r="P9">
            <v>1.0484091211185138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84</v>
          </cell>
        </row>
        <row r="4">
          <cell r="B4">
            <v>0.35455791036748752</v>
          </cell>
          <cell r="C4">
            <v>0.91364005099180912</v>
          </cell>
        </row>
        <row r="84">
          <cell r="W84">
            <v>1.7566319616724124E-2</v>
          </cell>
          <cell r="Z84">
            <v>4.6905041030439873</v>
          </cell>
        </row>
      </sheetData>
      <sheetData sheetId="4">
        <row r="9">
          <cell r="B9">
            <v>2.3639869064785626</v>
          </cell>
          <cell r="C9">
            <v>2.8332953919305659</v>
          </cell>
          <cell r="D9">
            <v>0.34924669598836627</v>
          </cell>
          <cell r="E9">
            <v>2.2778219195096732</v>
          </cell>
          <cell r="F9">
            <v>0.18579040548926232</v>
          </cell>
          <cell r="G9">
            <v>0.23661469049375572</v>
          </cell>
          <cell r="H9">
            <v>1.0778231153193607</v>
          </cell>
          <cell r="I9">
            <v>0.20486752764582325</v>
          </cell>
          <cell r="J9">
            <v>0.37880222451288398</v>
          </cell>
          <cell r="K9">
            <v>0.76631016273577346</v>
          </cell>
          <cell r="L9">
            <v>0.16650430850372167</v>
          </cell>
          <cell r="N9">
            <v>1.1654091030078815</v>
          </cell>
          <cell r="O9">
            <v>0.98555121350979535</v>
          </cell>
          <cell r="P9">
            <v>0.37880222451288398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130</v>
          </cell>
        </row>
        <row r="4">
          <cell r="B4">
            <v>7.5433953957164572</v>
          </cell>
          <cell r="C4">
            <v>7.4813442238033518</v>
          </cell>
        </row>
        <row r="130">
          <cell r="W130">
            <v>4.7564588884421237</v>
          </cell>
          <cell r="Z130">
            <v>10.077908223598696</v>
          </cell>
        </row>
      </sheetData>
      <sheetData sheetId="4">
        <row r="9">
          <cell r="B9">
            <v>0</v>
          </cell>
          <cell r="C9">
            <v>0</v>
          </cell>
          <cell r="D9">
            <v>9.358896602295486</v>
          </cell>
          <cell r="E9">
            <v>8.505184109109468</v>
          </cell>
          <cell r="F9">
            <v>6.1908993731404713</v>
          </cell>
          <cell r="G9">
            <v>5.592607805860534</v>
          </cell>
          <cell r="H9">
            <v>8.0208282451661255</v>
          </cell>
          <cell r="I9">
            <v>6.4442208385614101</v>
          </cell>
          <cell r="J9">
            <v>7.7979710756749689</v>
          </cell>
          <cell r="K9">
            <v>6.8488486416601182</v>
          </cell>
          <cell r="L9">
            <v>7.1922649871355757</v>
          </cell>
          <cell r="N9">
            <v>7.4554776303310319</v>
          </cell>
          <cell r="O9">
            <v>7.3279690754004623</v>
          </cell>
          <cell r="P9">
            <v>7.1922649871355757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84</v>
          </cell>
        </row>
        <row r="4">
          <cell r="B4">
            <v>2.698903051459371</v>
          </cell>
          <cell r="C4">
            <v>4.4240115569217089</v>
          </cell>
        </row>
        <row r="84">
          <cell r="W84">
            <v>9.7366702080764381E-2</v>
          </cell>
          <cell r="Z84">
            <v>38.646909949615726</v>
          </cell>
        </row>
      </sheetData>
      <sheetData sheetId="4">
        <row r="9">
          <cell r="B9">
            <v>3.9387020226023197</v>
          </cell>
          <cell r="C9">
            <v>4.6624094796376845</v>
          </cell>
          <cell r="D9">
            <v>0.21091690527944656</v>
          </cell>
          <cell r="E9">
            <v>4.8208055327434733</v>
          </cell>
          <cell r="F9">
            <v>4.9287630874097337</v>
          </cell>
          <cell r="G9">
            <v>2.9939895971483939</v>
          </cell>
          <cell r="H9">
            <v>1.2322413837908459</v>
          </cell>
          <cell r="I9">
            <v>2.0820682347900994</v>
          </cell>
          <cell r="J9">
            <v>2.4589591458418569</v>
          </cell>
          <cell r="K9">
            <v>3.6054154934581883</v>
          </cell>
          <cell r="L9">
            <v>2.7544013242895247</v>
          </cell>
          <cell r="N9">
            <v>3.1732772880546172</v>
          </cell>
          <cell r="O9">
            <v>3.0626065642719609</v>
          </cell>
          <cell r="P9">
            <v>2.9939895971483939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0.43678813007287437</v>
          </cell>
          <cell r="C4">
            <v>0.79345097137523135</v>
          </cell>
        </row>
        <row r="88">
          <cell r="W88">
            <v>0.10286399623449034</v>
          </cell>
          <cell r="Z88">
            <v>2.3531550761136546</v>
          </cell>
        </row>
      </sheetData>
      <sheetData sheetId="4">
        <row r="9">
          <cell r="B9">
            <v>1.0268649870923738</v>
          </cell>
          <cell r="C9">
            <v>0.3891495196688935</v>
          </cell>
          <cell r="D9">
            <v>3.0031772035271927E-9</v>
          </cell>
          <cell r="E9">
            <v>1.0270434153915982</v>
          </cell>
          <cell r="F9">
            <v>0.10607503055384014</v>
          </cell>
          <cell r="G9">
            <v>1.3479471586163498</v>
          </cell>
          <cell r="H9">
            <v>3.2726169365880269</v>
          </cell>
          <cell r="I9">
            <v>0.92085209774149501</v>
          </cell>
          <cell r="J9">
            <v>0.65461385172456765</v>
          </cell>
          <cell r="K9">
            <v>0.32508190404756659</v>
          </cell>
          <cell r="L9">
            <v>0.34242906768403447</v>
          </cell>
          <cell r="N9">
            <v>1.0266266298730604</v>
          </cell>
          <cell r="O9">
            <v>0.85569763382835684</v>
          </cell>
          <cell r="P9">
            <v>0.65461385172456765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134</v>
          </cell>
        </row>
        <row r="4">
          <cell r="B4">
            <v>11.251819736820787</v>
          </cell>
          <cell r="C4">
            <v>11.233320161687809</v>
          </cell>
        </row>
        <row r="134">
          <cell r="W134">
            <v>8.8828240219529171</v>
          </cell>
          <cell r="Z134">
            <v>13.466266664320555</v>
          </cell>
        </row>
      </sheetData>
      <sheetData sheetId="4">
        <row r="9">
          <cell r="B9">
            <v>12.572288829732372</v>
          </cell>
          <cell r="C9">
            <v>14.843743706796317</v>
          </cell>
          <cell r="D9">
            <v>11.363555980731423</v>
          </cell>
          <cell r="E9">
            <v>12.012002927281404</v>
          </cell>
          <cell r="F9">
            <v>10.210000380923676</v>
          </cell>
          <cell r="G9">
            <v>11.755558907369878</v>
          </cell>
          <cell r="H9">
            <v>11.455866323928603</v>
          </cell>
          <cell r="I9">
            <v>8.3425073329957868</v>
          </cell>
          <cell r="J9">
            <v>9.9552165505102437</v>
          </cell>
          <cell r="K9">
            <v>12.017113323764478</v>
          </cell>
          <cell r="L9">
            <v>10.486990317689203</v>
          </cell>
          <cell r="N9">
            <v>11.350005377423402</v>
          </cell>
          <cell r="O9">
            <v>11.364985871065763</v>
          </cell>
          <cell r="P9">
            <v>11.455866323928603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110</v>
          </cell>
        </row>
        <row r="4">
          <cell r="B4">
            <v>4.8527154576809268</v>
          </cell>
          <cell r="C4">
            <v>4.860756257313338</v>
          </cell>
        </row>
        <row r="110">
          <cell r="W110">
            <v>3.8337460447556566</v>
          </cell>
          <cell r="Z110">
            <v>5.8607956133245454</v>
          </cell>
        </row>
      </sheetData>
      <sheetData sheetId="4">
        <row r="9">
          <cell r="B9">
            <v>6.3329332112536489</v>
          </cell>
          <cell r="C9">
            <v>5.5832789957438305</v>
          </cell>
          <cell r="D9">
            <v>5.7987792325957015</v>
          </cell>
          <cell r="E9">
            <v>4.9989445934915722</v>
          </cell>
          <cell r="F9">
            <v>4.7833583656175653</v>
          </cell>
          <cell r="G9">
            <v>4.7167316746528742</v>
          </cell>
          <cell r="H9">
            <v>4.37359907934934</v>
          </cell>
          <cell r="I9">
            <v>3.8809851522037113</v>
          </cell>
          <cell r="J9">
            <v>3.8429941458188552</v>
          </cell>
          <cell r="K9">
            <v>4.7130065506042458</v>
          </cell>
          <cell r="L9">
            <v>4.5236951635842546</v>
          </cell>
          <cell r="N9">
            <v>4.8780597937787622</v>
          </cell>
          <cell r="O9">
            <v>4.8680278331741462</v>
          </cell>
          <cell r="P9">
            <v>4.7167316746528742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3.6994406112713252</v>
          </cell>
          <cell r="C4">
            <v>3.7072946655120269</v>
          </cell>
        </row>
        <row r="88">
          <cell r="W88">
            <v>2.6149254602982213</v>
          </cell>
          <cell r="Z88">
            <v>4.9852398631905821</v>
          </cell>
        </row>
      </sheetData>
      <sheetData sheetId="4">
        <row r="9">
          <cell r="B9">
            <v>3.3004437079853082</v>
          </cell>
          <cell r="C9">
            <v>2.9208209857796046</v>
          </cell>
          <cell r="D9">
            <v>3.2735241013338841</v>
          </cell>
          <cell r="E9">
            <v>4.2718334020429154</v>
          </cell>
          <cell r="F9">
            <v>4.0193619351355672</v>
          </cell>
          <cell r="G9">
            <v>3.3462418124376812</v>
          </cell>
          <cell r="H9">
            <v>4.8969985163349055</v>
          </cell>
          <cell r="I9">
            <v>3.8598545090603666</v>
          </cell>
          <cell r="J9">
            <v>4.0850732089930295</v>
          </cell>
          <cell r="K9">
            <v>4.8860490069592215</v>
          </cell>
          <cell r="L9">
            <v>3.875544095587399</v>
          </cell>
          <cell r="N9">
            <v>3.776869329425705</v>
          </cell>
          <cell r="O9">
            <v>3.8850677528772617</v>
          </cell>
          <cell r="P9">
            <v>3.875544095587399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132</v>
          </cell>
        </row>
        <row r="4">
          <cell r="B4">
            <v>3.3370105206597276</v>
          </cell>
          <cell r="C4">
            <v>3.3369628570215104</v>
          </cell>
        </row>
        <row r="132">
          <cell r="W132">
            <v>2.2395247155135132</v>
          </cell>
          <cell r="Z132">
            <v>4.3701121558728806</v>
          </cell>
        </row>
      </sheetData>
      <sheetData sheetId="4">
        <row r="9">
          <cell r="B9">
            <v>3.4979320728754959</v>
          </cell>
          <cell r="C9">
            <v>3.778869032545487</v>
          </cell>
          <cell r="D9">
            <v>3.9712449347415526</v>
          </cell>
          <cell r="E9">
            <v>2.8430846602204443</v>
          </cell>
          <cell r="F9">
            <v>3.3200302342570001</v>
          </cell>
          <cell r="G9">
            <v>3.5269540443394707</v>
          </cell>
          <cell r="H9">
            <v>3.6296685844711134</v>
          </cell>
          <cell r="I9">
            <v>2.507202705958131</v>
          </cell>
          <cell r="J9">
            <v>2.4670469010743634</v>
          </cell>
          <cell r="K9">
            <v>2.9421285107336423</v>
          </cell>
          <cell r="L9">
            <v>2.8876194928966297</v>
          </cell>
          <cell r="N9">
            <v>3.2529771069003162</v>
          </cell>
          <cell r="O9">
            <v>3.2156164703739396</v>
          </cell>
          <cell r="P9">
            <v>3.3200302342570001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190</v>
          </cell>
        </row>
        <row r="4">
          <cell r="B4">
            <v>13.289023013413274</v>
          </cell>
          <cell r="C4">
            <v>13.219044148201977</v>
          </cell>
        </row>
        <row r="190">
          <cell r="W190">
            <v>10.227080820551132</v>
          </cell>
          <cell r="Z190">
            <v>17.334643699511595</v>
          </cell>
        </row>
      </sheetData>
      <sheetData sheetId="4">
        <row r="9">
          <cell r="B9">
            <v>15.452595291136786</v>
          </cell>
          <cell r="C9">
            <v>15.576142904192574</v>
          </cell>
          <cell r="D9">
            <v>11.693284814998755</v>
          </cell>
          <cell r="E9">
            <v>13.473157415261777</v>
          </cell>
          <cell r="F9">
            <v>12.419509285897233</v>
          </cell>
          <cell r="G9">
            <v>9.786265657033967</v>
          </cell>
          <cell r="H9">
            <v>13.016367801829132</v>
          </cell>
          <cell r="I9">
            <v>11.871881419836106</v>
          </cell>
          <cell r="J9">
            <v>12.600412703798982</v>
          </cell>
          <cell r="K9">
            <v>18.654281849501629</v>
          </cell>
          <cell r="L9">
            <v>11.699429431413373</v>
          </cell>
          <cell r="N9">
            <v>13.255783369938881</v>
          </cell>
          <cell r="O9">
            <v>13.294848052263665</v>
          </cell>
          <cell r="P9">
            <v>12.600412703798982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2.2470095440391238</v>
          </cell>
          <cell r="C4">
            <v>2.2163306836549066</v>
          </cell>
        </row>
        <row r="96">
          <cell r="W96">
            <v>1.2703563141024743</v>
          </cell>
          <cell r="Z96">
            <v>3.1243153866648914</v>
          </cell>
        </row>
      </sheetData>
      <sheetData sheetId="4">
        <row r="9">
          <cell r="B9">
            <v>2.2659128909928086</v>
          </cell>
          <cell r="C9">
            <v>1.9900136955171528</v>
          </cell>
          <cell r="D9">
            <v>1.9974030085811012</v>
          </cell>
          <cell r="E9">
            <v>3.2204959481484594</v>
          </cell>
          <cell r="F9">
            <v>2.5925928092708728</v>
          </cell>
          <cell r="G9">
            <v>1.9976617641278835</v>
          </cell>
          <cell r="H9">
            <v>2.1355275117624126</v>
          </cell>
          <cell r="I9">
            <v>2.2701245052665584</v>
          </cell>
          <cell r="J9">
            <v>1.9562687807602923</v>
          </cell>
          <cell r="K9">
            <v>1.4697313909601462</v>
          </cell>
          <cell r="L9">
            <v>2.205865718803746</v>
          </cell>
          <cell r="N9">
            <v>2.2307330539923442</v>
          </cell>
          <cell r="O9">
            <v>2.1910543658355852</v>
          </cell>
          <cell r="P9">
            <v>2.1355275117624126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76</v>
          </cell>
        </row>
        <row r="4">
          <cell r="B4">
            <v>0.80992101332466637</v>
          </cell>
          <cell r="C4">
            <v>0.79357827279725623</v>
          </cell>
        </row>
        <row r="76">
          <cell r="W76">
            <v>0.21040510445300739</v>
          </cell>
          <cell r="Z76">
            <v>1.7502429855742292</v>
          </cell>
        </row>
      </sheetData>
      <sheetData sheetId="4">
        <row r="9">
          <cell r="B9">
            <v>0.25384956725659835</v>
          </cell>
          <cell r="C9">
            <v>1.0260036112019431</v>
          </cell>
          <cell r="D9">
            <v>0.54396544699840688</v>
          </cell>
          <cell r="E9">
            <v>1.0683340721084325</v>
          </cell>
          <cell r="F9">
            <v>1.2725552258243511</v>
          </cell>
          <cell r="G9">
            <v>0.50966344938913632</v>
          </cell>
          <cell r="H9">
            <v>1.0743123226753817</v>
          </cell>
          <cell r="I9">
            <v>0.22113474671815683</v>
          </cell>
          <cell r="J9">
            <v>0.6063197987828548</v>
          </cell>
          <cell r="K9">
            <v>1.0968230255990303</v>
          </cell>
          <cell r="L9">
            <v>0.99837248542068635</v>
          </cell>
          <cell r="N9">
            <v>1.0649764738223548</v>
          </cell>
          <cell r="O9">
            <v>0.78830306836136155</v>
          </cell>
          <cell r="P9">
            <v>0.99837248542068635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2.8665546429224706</v>
          </cell>
          <cell r="C4">
            <v>2.8812548742520105</v>
          </cell>
        </row>
        <row r="94">
          <cell r="W94">
            <v>1.9588076663947112</v>
          </cell>
          <cell r="Z94">
            <v>3.7346810969272104</v>
          </cell>
        </row>
      </sheetData>
      <sheetData sheetId="4">
        <row r="9">
          <cell r="B9">
            <v>2.9737168683753454</v>
          </cell>
          <cell r="C9">
            <v>2.7653506881979029</v>
          </cell>
          <cell r="D9">
            <v>2.9124670779276181</v>
          </cell>
          <cell r="E9">
            <v>2.6465925845253215</v>
          </cell>
          <cell r="F9">
            <v>2.2780376225308796</v>
          </cell>
          <cell r="G9">
            <v>2.6522402100078368</v>
          </cell>
          <cell r="H9">
            <v>3.5685305458559231</v>
          </cell>
          <cell r="I9">
            <v>2.4430183534581347</v>
          </cell>
          <cell r="J9">
            <v>2.9504290621830722</v>
          </cell>
          <cell r="K9">
            <v>2.760233863309923</v>
          </cell>
          <cell r="L9">
            <v>3.3502931759121566</v>
          </cell>
          <cell r="N9">
            <v>2.8873075208546477</v>
          </cell>
          <cell r="O9">
            <v>2.8455372774803744</v>
          </cell>
          <cell r="P9">
            <v>2.7653506881979029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100</v>
          </cell>
        </row>
        <row r="4">
          <cell r="B4">
            <v>1.4747995978859527</v>
          </cell>
          <cell r="C4">
            <v>2.0929969342622829</v>
          </cell>
        </row>
        <row r="100">
          <cell r="W100">
            <v>0.23850066517502036</v>
          </cell>
          <cell r="Z100">
            <v>10.174422923658909</v>
          </cell>
        </row>
      </sheetData>
      <sheetData sheetId="4">
        <row r="9">
          <cell r="B9">
            <v>1.713016581615022</v>
          </cell>
          <cell r="C9">
            <v>1.8707653081536639</v>
          </cell>
          <cell r="D9">
            <v>2.2854005318210322</v>
          </cell>
          <cell r="E9">
            <v>2.3332187843534076</v>
          </cell>
          <cell r="F9">
            <v>2.2243902691748061</v>
          </cell>
          <cell r="G9">
            <v>1.0055663856767154</v>
          </cell>
          <cell r="H9">
            <v>1.6866030152022609</v>
          </cell>
          <cell r="I9">
            <v>0.25185140863577488</v>
          </cell>
          <cell r="J9">
            <v>0.24589601573056824</v>
          </cell>
          <cell r="K9">
            <v>1.1090182756414417</v>
          </cell>
          <cell r="L9">
            <v>1.5402614673562742</v>
          </cell>
          <cell r="N9">
            <v>1.4719791462396583</v>
          </cell>
          <cell r="O9">
            <v>1.478726185760088</v>
          </cell>
          <cell r="P9">
            <v>1.6866030152022609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2.7673915556966415</v>
          </cell>
          <cell r="C4">
            <v>2.7447771698764289</v>
          </cell>
        </row>
        <row r="78">
          <cell r="W78">
            <v>1.2521439794453622</v>
          </cell>
          <cell r="Z78">
            <v>4.0951738336479009</v>
          </cell>
        </row>
      </sheetData>
      <sheetData sheetId="4">
        <row r="9">
          <cell r="B9">
            <v>2.558421853841514</v>
          </cell>
          <cell r="C9">
            <v>2.9080530306143038</v>
          </cell>
          <cell r="D9">
            <v>2.9703165022938274</v>
          </cell>
          <cell r="E9">
            <v>2.8587193434072025</v>
          </cell>
          <cell r="F9">
            <v>3.1221885946781192</v>
          </cell>
          <cell r="G9">
            <v>1.798445721327222</v>
          </cell>
          <cell r="H9">
            <v>2.7787202416726728</v>
          </cell>
          <cell r="I9">
            <v>2.2198608138484506</v>
          </cell>
          <cell r="J9">
            <v>3.2265241823258508</v>
          </cell>
          <cell r="K9">
            <v>2.9772322605411752</v>
          </cell>
          <cell r="L9">
            <v>2.2981862760467142</v>
          </cell>
          <cell r="N9">
            <v>2.7355549013632823</v>
          </cell>
          <cell r="O9">
            <v>2.7015153473270046</v>
          </cell>
          <cell r="P9">
            <v>2.8587193434072025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1.8184813473749948</v>
          </cell>
          <cell r="C4">
            <v>1.6776283894690409</v>
          </cell>
        </row>
        <row r="82">
          <cell r="W82">
            <v>0.20796003792822437</v>
          </cell>
          <cell r="Z82">
            <v>3.1945778856547054</v>
          </cell>
        </row>
      </sheetData>
      <sheetData sheetId="4">
        <row r="9">
          <cell r="B9">
            <v>1.3153270132252677</v>
          </cell>
          <cell r="C9">
            <v>2.5742077878583363</v>
          </cell>
          <cell r="D9">
            <v>2.0107295714822921</v>
          </cell>
          <cell r="E9">
            <v>2.7505035453409197</v>
          </cell>
          <cell r="F9">
            <v>1.6082736424597521</v>
          </cell>
          <cell r="G9">
            <v>1.159142929200867</v>
          </cell>
          <cell r="H9">
            <v>0.72999170838589755</v>
          </cell>
          <cell r="I9">
            <v>2.6160024292424624</v>
          </cell>
          <cell r="J9">
            <v>2.2097865165922004</v>
          </cell>
          <cell r="K9">
            <v>1.7213897928942923</v>
          </cell>
          <cell r="L9">
            <v>2.2413936158504999</v>
          </cell>
          <cell r="N9">
            <v>1.8266087500044661</v>
          </cell>
          <cell r="O9">
            <v>1.9033407775029803</v>
          </cell>
          <cell r="P9">
            <v>2.0107295714822921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192</v>
          </cell>
        </row>
        <row r="4">
          <cell r="B4">
            <v>14.879242624951644</v>
          </cell>
          <cell r="C4">
            <v>14.965735753966724</v>
          </cell>
        </row>
        <row r="192">
          <cell r="W192">
            <v>13.102073822700516</v>
          </cell>
          <cell r="Z192">
            <v>16.961456626021178</v>
          </cell>
        </row>
      </sheetData>
      <sheetData sheetId="4">
        <row r="9">
          <cell r="B9">
            <v>16.590997080470267</v>
          </cell>
          <cell r="C9">
            <v>15.579227079442067</v>
          </cell>
          <cell r="D9">
            <v>15.108540438603258</v>
          </cell>
          <cell r="E9">
            <v>15.908574337043397</v>
          </cell>
          <cell r="F9">
            <v>14.072362635359713</v>
          </cell>
          <cell r="G9">
            <v>14.378310697585203</v>
          </cell>
          <cell r="H9">
            <v>15.577999857288569</v>
          </cell>
          <cell r="I9">
            <v>15.749415602138503</v>
          </cell>
          <cell r="J9">
            <v>15.485874939504185</v>
          </cell>
          <cell r="K9">
            <v>13.882147070148802</v>
          </cell>
          <cell r="L9">
            <v>13.081339301916342</v>
          </cell>
          <cell r="N9">
            <v>15.069007825555513</v>
          </cell>
          <cell r="O9">
            <v>15.037708094500028</v>
          </cell>
          <cell r="P9">
            <v>15.485874939504185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114</v>
          </cell>
        </row>
        <row r="4">
          <cell r="B4">
            <v>6.1890067255238925</v>
          </cell>
          <cell r="C4">
            <v>6.1706839089485106</v>
          </cell>
        </row>
        <row r="114">
          <cell r="W114">
            <v>5.0212590827378074</v>
          </cell>
          <cell r="Z114">
            <v>7.3463245533008203</v>
          </cell>
        </row>
      </sheetData>
      <sheetData sheetId="4">
        <row r="9">
          <cell r="B9">
            <v>7.1368781551176088</v>
          </cell>
          <cell r="C9">
            <v>6.1537196423499507</v>
          </cell>
          <cell r="D9">
            <v>6.1319441605228588</v>
          </cell>
          <cell r="E9">
            <v>5.7679971068469893</v>
          </cell>
          <cell r="F9">
            <v>6.6163378206999424</v>
          </cell>
          <cell r="G9">
            <v>5.1479111642018873</v>
          </cell>
          <cell r="H9">
            <v>5.3858351906588675</v>
          </cell>
          <cell r="I9">
            <v>5.9222603871567907</v>
          </cell>
          <cell r="J9">
            <v>5.7500864384640025</v>
          </cell>
          <cell r="K9">
            <v>5.9578622910668608</v>
          </cell>
          <cell r="L9">
            <v>7.7017811347646417</v>
          </cell>
          <cell r="N9">
            <v>6.2199693524597377</v>
          </cell>
          <cell r="O9">
            <v>6.1520557719864</v>
          </cell>
          <cell r="P9">
            <v>5.9578622910668608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100</v>
          </cell>
        </row>
        <row r="4">
          <cell r="B4">
            <v>6.2766976229568279</v>
          </cell>
          <cell r="C4">
            <v>6.5284865008580457</v>
          </cell>
        </row>
        <row r="100">
          <cell r="W100">
            <v>3.8153086992159428</v>
          </cell>
          <cell r="Z100">
            <v>10.864035910261316</v>
          </cell>
        </row>
      </sheetData>
      <sheetData sheetId="4">
        <row r="9">
          <cell r="B9">
            <v>7.0460701458284651</v>
          </cell>
          <cell r="C9">
            <v>6.7394454371465384</v>
          </cell>
          <cell r="D9">
            <v>9.5763409712381726</v>
          </cell>
          <cell r="E9">
            <v>9.0340113055775451</v>
          </cell>
          <cell r="F9">
            <v>7.1165596876048562</v>
          </cell>
          <cell r="G9">
            <v>5.8284051162636104</v>
          </cell>
          <cell r="H9">
            <v>6.3937346342447254</v>
          </cell>
          <cell r="I9">
            <v>3.7206839634521964</v>
          </cell>
          <cell r="J9">
            <v>5.6568521601876069</v>
          </cell>
          <cell r="K9">
            <v>5.94008149333205</v>
          </cell>
          <cell r="L9">
            <v>5.3112568265351365</v>
          </cell>
          <cell r="N9">
            <v>6.3129273363221925</v>
          </cell>
          <cell r="O9">
            <v>6.5784947037646271</v>
          </cell>
          <cell r="P9">
            <v>6.3937346342447254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2.2498788983472764</v>
          </cell>
          <cell r="C4">
            <v>2.2192016441642965</v>
          </cell>
        </row>
        <row r="96">
          <cell r="W96">
            <v>1.4144140242568344</v>
          </cell>
          <cell r="Z96">
            <v>2.9347209982357754</v>
          </cell>
        </row>
      </sheetData>
      <sheetData sheetId="4">
        <row r="9">
          <cell r="B9">
            <v>2.6018521178823333</v>
          </cell>
          <cell r="C9">
            <v>2.2821034643444515</v>
          </cell>
          <cell r="D9">
            <v>1.8356119941305207</v>
          </cell>
          <cell r="E9">
            <v>2.140850414776752</v>
          </cell>
          <cell r="F9">
            <v>2.5051154592399523</v>
          </cell>
          <cell r="G9">
            <v>2.1457033466414202</v>
          </cell>
          <cell r="H9">
            <v>2.0038518379775727</v>
          </cell>
          <cell r="I9">
            <v>1.8492382068122417</v>
          </cell>
          <cell r="J9">
            <v>2.2000724001814436</v>
          </cell>
          <cell r="K9">
            <v>2.6676055424829186</v>
          </cell>
          <cell r="L9">
            <v>2.2786729967796608</v>
          </cell>
          <cell r="N9">
            <v>2.2367341765230666</v>
          </cell>
          <cell r="O9">
            <v>2.2282434346590243</v>
          </cell>
          <cell r="P9">
            <v>2.2000724001814436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104</v>
          </cell>
        </row>
        <row r="4">
          <cell r="B4">
            <v>5.3994530970011745</v>
          </cell>
          <cell r="C4">
            <v>5.4249495802032675</v>
          </cell>
        </row>
        <row r="104">
          <cell r="W104">
            <v>4.2840404450533107</v>
          </cell>
          <cell r="Z104">
            <v>6.7984285829488238</v>
          </cell>
        </row>
      </sheetData>
      <sheetData sheetId="4">
        <row r="9">
          <cell r="B9">
            <v>5.7421201412195542</v>
          </cell>
          <cell r="C9">
            <v>5.5966541220011177</v>
          </cell>
          <cell r="D9">
            <v>5.0432230806881559</v>
          </cell>
          <cell r="E9">
            <v>4.8031199940496982</v>
          </cell>
          <cell r="F9">
            <v>6.2036756339100432</v>
          </cell>
          <cell r="G9">
            <v>4.8311223960242335</v>
          </cell>
          <cell r="H9">
            <v>4.2350833179450014</v>
          </cell>
          <cell r="I9">
            <v>4.881799912292565</v>
          </cell>
          <cell r="J9">
            <v>6.2118004872265189</v>
          </cell>
          <cell r="K9">
            <v>5.8974631524133976</v>
          </cell>
          <cell r="L9">
            <v>5.0428670556424597</v>
          </cell>
          <cell r="N9">
            <v>5.3617378620739764</v>
          </cell>
          <cell r="O9">
            <v>5.3171753903102505</v>
          </cell>
          <cell r="P9">
            <v>5.0432230806881559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84</v>
          </cell>
        </row>
        <row r="4">
          <cell r="B4">
            <v>1.6749799609199085</v>
          </cell>
          <cell r="C4">
            <v>2.4149107829034104</v>
          </cell>
        </row>
        <row r="84">
          <cell r="W84">
            <v>3.9447527323857523E-6</v>
          </cell>
          <cell r="Z84">
            <v>7.4226510687671992</v>
          </cell>
        </row>
      </sheetData>
      <sheetData sheetId="4">
        <row r="9">
          <cell r="B9">
            <v>0.24582284718336958</v>
          </cell>
          <cell r="C9">
            <v>0.83903161057661668</v>
          </cell>
          <cell r="D9">
            <v>2.9794505307567212</v>
          </cell>
          <cell r="E9">
            <v>0</v>
          </cell>
          <cell r="F9">
            <v>0.22293583571680825</v>
          </cell>
          <cell r="G9">
            <v>2.7132439108209563</v>
          </cell>
          <cell r="H9">
            <v>5.6659838570744428E-2</v>
          </cell>
          <cell r="I9">
            <v>5.8643000000000002E-3</v>
          </cell>
          <cell r="J9">
            <v>4.5851739618883931</v>
          </cell>
          <cell r="K9">
            <v>1.9765606211681788</v>
          </cell>
          <cell r="L9">
            <v>0.1090345700553593</v>
          </cell>
          <cell r="N9">
            <v>2.4486303049906883</v>
          </cell>
          <cell r="O9">
            <v>1.3733778026737147</v>
          </cell>
          <cell r="P9">
            <v>0.54242722887999317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1.6319566816519251</v>
          </cell>
          <cell r="C4">
            <v>2.2521781747815277</v>
          </cell>
        </row>
        <row r="88">
          <cell r="W88">
            <v>5.8807080257115819E-2</v>
          </cell>
          <cell r="Z88">
            <v>9.3532371507490168</v>
          </cell>
        </row>
      </sheetData>
      <sheetData sheetId="4">
        <row r="9">
          <cell r="B9">
            <v>1.2696918904713979</v>
          </cell>
          <cell r="C9">
            <v>3.0252999506617524</v>
          </cell>
          <cell r="D9">
            <v>0.27670704907860211</v>
          </cell>
          <cell r="E9">
            <v>2.2118239598620297</v>
          </cell>
          <cell r="F9">
            <v>5.0682565207561682E-2</v>
          </cell>
          <cell r="G9">
            <v>0.23156255158005279</v>
          </cell>
          <cell r="H9">
            <v>0.22614972227444702</v>
          </cell>
          <cell r="I9">
            <v>9.7335265024729292E-2</v>
          </cell>
          <cell r="J9">
            <v>0.78108701050741236</v>
          </cell>
          <cell r="K9">
            <v>0</v>
          </cell>
          <cell r="L9">
            <v>0.83547372266520947</v>
          </cell>
          <cell r="N9">
            <v>1.6516258175042837</v>
          </cell>
          <cell r="O9">
            <v>0.90058136873331962</v>
          </cell>
          <cell r="P9">
            <v>0.52889702979300723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0.21436378727075883</v>
          </cell>
          <cell r="C4">
            <v>0.80420858088021641</v>
          </cell>
        </row>
        <row r="88">
          <cell r="W88">
            <v>1.4311495288291528E-6</v>
          </cell>
          <cell r="Z88">
            <v>5.4218090413097446</v>
          </cell>
        </row>
      </sheetData>
      <sheetData sheetId="4">
        <row r="9">
          <cell r="B9">
            <v>1.5753889192428452E-2</v>
          </cell>
          <cell r="C9">
            <v>0.17573222198593555</v>
          </cell>
          <cell r="D9">
            <v>4.8510448999999997E-2</v>
          </cell>
          <cell r="E9">
            <v>0.21775844694055599</v>
          </cell>
          <cell r="F9">
            <v>0.28977951764152199</v>
          </cell>
          <cell r="G9">
            <v>0.12938887186360731</v>
          </cell>
          <cell r="H9">
            <v>3.7531139572885217E-2</v>
          </cell>
          <cell r="I9">
            <v>0.22769642944115984</v>
          </cell>
          <cell r="J9">
            <v>1.0223507048617633</v>
          </cell>
          <cell r="K9">
            <v>0.18358924294692516</v>
          </cell>
          <cell r="L9">
            <v>6.3308421000000004E-2</v>
          </cell>
          <cell r="N9">
            <v>0.22494030287297387</v>
          </cell>
          <cell r="O9">
            <v>0.21921812131334392</v>
          </cell>
          <cell r="P9">
            <v>0.17573222198593555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refreshError="1"/>
      <sheetData sheetId="1" refreshError="1"/>
      <sheetData sheetId="2" refreshError="1"/>
      <sheetData sheetId="3">
        <row r="1">
          <cell r="U1">
            <v>130</v>
          </cell>
        </row>
        <row r="4">
          <cell r="B4">
            <v>0.39716789293355692</v>
          </cell>
          <cell r="C4">
            <v>1.8838169863905008</v>
          </cell>
        </row>
        <row r="130">
          <cell r="W130">
            <v>3.5621967847670167E-8</v>
          </cell>
          <cell r="Z130">
            <v>8.2348314634815694</v>
          </cell>
        </row>
      </sheetData>
      <sheetData sheetId="4">
        <row r="9">
          <cell r="B9">
            <v>1.3535093224621253</v>
          </cell>
          <cell r="C9">
            <v>4.7252047462294847E-2</v>
          </cell>
          <cell r="D9">
            <v>2.837915001964165</v>
          </cell>
          <cell r="E9">
            <v>0.19784737555983092</v>
          </cell>
          <cell r="F9">
            <v>0.61486498473668849</v>
          </cell>
          <cell r="G9">
            <v>0.65452038499761844</v>
          </cell>
          <cell r="H9">
            <v>0.69918830540702614</v>
          </cell>
          <cell r="I9">
            <v>1.0135214E-2</v>
          </cell>
          <cell r="J9">
            <v>0.11918198956253497</v>
          </cell>
          <cell r="K9">
            <v>7.4069913988713029E-2</v>
          </cell>
          <cell r="L9">
            <v>0.25518705492478594</v>
          </cell>
          <cell r="N9">
            <v>3.359938064899743</v>
          </cell>
          <cell r="O9">
            <v>0.62397014500598036</v>
          </cell>
          <cell r="P9">
            <v>0.25518705492478594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1.6958640909220302</v>
          </cell>
          <cell r="C4">
            <v>1.8101036491230205</v>
          </cell>
        </row>
        <row r="98">
          <cell r="W98">
            <v>0.89711013994967126</v>
          </cell>
          <cell r="Z98">
            <v>3.2814480536618587</v>
          </cell>
        </row>
      </sheetData>
      <sheetData sheetId="4">
        <row r="9">
          <cell r="B9">
            <v>2.6244186765907318</v>
          </cell>
          <cell r="C9">
            <v>1.0205792768076261</v>
          </cell>
          <cell r="D9">
            <v>1.2793921977511804</v>
          </cell>
          <cell r="E9">
            <v>0.88381443962361483</v>
          </cell>
          <cell r="F9">
            <v>2.3172077438266769</v>
          </cell>
          <cell r="G9">
            <v>1.6042788709630833</v>
          </cell>
          <cell r="H9">
            <v>1.4967225278543401</v>
          </cell>
          <cell r="I9">
            <v>1.9304101174200525</v>
          </cell>
          <cell r="J9">
            <v>1.8273347308540282</v>
          </cell>
          <cell r="K9">
            <v>1.55491964401407</v>
          </cell>
          <cell r="L9">
            <v>1.9987768150660843</v>
          </cell>
          <cell r="N9">
            <v>1.7679778626394471</v>
          </cell>
          <cell r="O9">
            <v>1.6852595491610443</v>
          </cell>
          <cell r="P9">
            <v>1.6042788709630833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3.4520025366259448</v>
          </cell>
          <cell r="C4">
            <v>3.4605084278361473</v>
          </cell>
        </row>
        <row r="102">
          <cell r="W102">
            <v>2.1465390487423908</v>
          </cell>
          <cell r="Z102">
            <v>4.9478749347004962</v>
          </cell>
        </row>
      </sheetData>
      <sheetData sheetId="4">
        <row r="9">
          <cell r="B9">
            <v>3.7928339279909373</v>
          </cell>
          <cell r="C9">
            <v>3.4999127068661995</v>
          </cell>
          <cell r="D9">
            <v>3.6274463991823493</v>
          </cell>
          <cell r="E9">
            <v>3.6275312893778273</v>
          </cell>
          <cell r="F9">
            <v>4.8645236273641252</v>
          </cell>
          <cell r="G9">
            <v>3.2876668905540667</v>
          </cell>
          <cell r="H9">
            <v>3.2444845709192345</v>
          </cell>
          <cell r="I9">
            <v>3.0513654326575996</v>
          </cell>
          <cell r="J9">
            <v>3.9893531265580564</v>
          </cell>
          <cell r="K9">
            <v>2.4164877421952609</v>
          </cell>
          <cell r="L9">
            <v>2.4552839319738129</v>
          </cell>
          <cell r="N9">
            <v>3.4457094311547882</v>
          </cell>
          <cell r="O9">
            <v>3.4415354223308601</v>
          </cell>
          <cell r="P9">
            <v>3.4999127068661995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116</v>
          </cell>
        </row>
        <row r="4">
          <cell r="B4">
            <v>7.0242779826854731</v>
          </cell>
          <cell r="C4">
            <v>7.0857650974961004</v>
          </cell>
        </row>
        <row r="116">
          <cell r="W116">
            <v>3.4814287164815823</v>
          </cell>
          <cell r="Z116">
            <v>11.235112222152031</v>
          </cell>
        </row>
      </sheetData>
      <sheetData sheetId="4">
        <row r="9">
          <cell r="B9">
            <v>5.6374144501058625</v>
          </cell>
          <cell r="C9">
            <v>6.9066997029495178</v>
          </cell>
          <cell r="D9">
            <v>6.4682815962524023</v>
          </cell>
          <cell r="E9">
            <v>6.2054918653900302</v>
          </cell>
          <cell r="F9">
            <v>7.9519859750444475</v>
          </cell>
          <cell r="G9">
            <v>6.9528805307285726</v>
          </cell>
          <cell r="H9">
            <v>9.9720702293877164</v>
          </cell>
          <cell r="I9">
            <v>7.4674536545897521</v>
          </cell>
          <cell r="J9">
            <v>6.0971878943822864</v>
          </cell>
          <cell r="K9">
            <v>3.4848403547997795</v>
          </cell>
          <cell r="L9">
            <v>6.6932269882415172</v>
          </cell>
          <cell r="N9">
            <v>6.8731845387432413</v>
          </cell>
          <cell r="O9">
            <v>6.7125030219883541</v>
          </cell>
          <cell r="P9">
            <v>6.6932269882415172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1.5145005046075324</v>
          </cell>
          <cell r="C4">
            <v>1.5463327736436541</v>
          </cell>
        </row>
        <row r="82">
          <cell r="W82">
            <v>4.6531388985596889E-2</v>
          </cell>
          <cell r="Z82">
            <v>3.4512552023586656</v>
          </cell>
        </row>
      </sheetData>
      <sheetData sheetId="4">
        <row r="9">
          <cell r="B9">
            <v>1.7010727776513435</v>
          </cell>
          <cell r="C9">
            <v>1.8479128045481961</v>
          </cell>
          <cell r="D9">
            <v>0.77676477759390072</v>
          </cell>
          <cell r="E9">
            <v>2.0545641852955181</v>
          </cell>
          <cell r="F9">
            <v>2.4296140078138051</v>
          </cell>
          <cell r="G9">
            <v>2.2083791708548564</v>
          </cell>
          <cell r="H9">
            <v>1.607198474642541</v>
          </cell>
          <cell r="I9">
            <v>2.701955477339431</v>
          </cell>
          <cell r="J9">
            <v>0.9587208956855261</v>
          </cell>
          <cell r="K9">
            <v>1.1684893108034917</v>
          </cell>
          <cell r="L9">
            <v>2.3632129569305138</v>
          </cell>
          <cell r="N9">
            <v>1.6452770170881084</v>
          </cell>
          <cell r="O9">
            <v>1.8016258944690113</v>
          </cell>
          <cell r="P9">
            <v>1.8479128045481961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1.7947479763187975</v>
          </cell>
          <cell r="C4">
            <v>1.8664146715685939</v>
          </cell>
        </row>
        <row r="82">
          <cell r="W82">
            <v>0.76267477713188514</v>
          </cell>
          <cell r="Z82">
            <v>3.2449839952471602</v>
          </cell>
        </row>
      </sheetData>
      <sheetData sheetId="4">
        <row r="9">
          <cell r="B9">
            <v>0.75885059967829438</v>
          </cell>
          <cell r="C9">
            <v>1.971347054230657</v>
          </cell>
          <cell r="D9">
            <v>1.7758114468572039</v>
          </cell>
          <cell r="E9">
            <v>2.5563047338446561</v>
          </cell>
          <cell r="F9">
            <v>1.8884170926306509</v>
          </cell>
          <cell r="G9">
            <v>0.90772073819305288</v>
          </cell>
          <cell r="H9">
            <v>1.6730361670964129</v>
          </cell>
          <cell r="I9">
            <v>1.5230965436880166</v>
          </cell>
          <cell r="J9">
            <v>2.0848994352741674</v>
          </cell>
          <cell r="K9">
            <v>2.1127946055147548</v>
          </cell>
          <cell r="L9">
            <v>2.7477760839226253</v>
          </cell>
          <cell r="N9">
            <v>1.9019384781992013</v>
          </cell>
          <cell r="O9">
            <v>1.8181867728118626</v>
          </cell>
          <cell r="P9">
            <v>1.8884170926306509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144</v>
          </cell>
        </row>
        <row r="4">
          <cell r="B4">
            <v>14.471226859493406</v>
          </cell>
          <cell r="C4">
            <v>14.552472419481216</v>
          </cell>
        </row>
        <row r="144">
          <cell r="W144">
            <v>11.145642324000677</v>
          </cell>
          <cell r="Z144">
            <v>17.80926041221219</v>
          </cell>
        </row>
      </sheetData>
      <sheetData sheetId="4">
        <row r="9">
          <cell r="B9">
            <v>14.515845952496237</v>
          </cell>
          <cell r="C9">
            <v>13.904481847528364</v>
          </cell>
          <cell r="D9">
            <v>16.635249221951149</v>
          </cell>
          <cell r="E9">
            <v>17.255575424223924</v>
          </cell>
          <cell r="F9">
            <v>12.746749429787068</v>
          </cell>
          <cell r="G9">
            <v>14.483339026393166</v>
          </cell>
          <cell r="H9">
            <v>14.443135761284685</v>
          </cell>
          <cell r="I9">
            <v>14.771590712488001</v>
          </cell>
          <cell r="J9">
            <v>15.525152563806866</v>
          </cell>
          <cell r="K9">
            <v>13.251784680596403</v>
          </cell>
          <cell r="L9">
            <v>12.409997129268861</v>
          </cell>
          <cell r="N9">
            <v>14.460299123130092</v>
          </cell>
          <cell r="O9">
            <v>14.540263795438614</v>
          </cell>
          <cell r="P9">
            <v>14.483339026393166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142</v>
          </cell>
        </row>
        <row r="4">
          <cell r="B4">
            <v>5.7356392100535336</v>
          </cell>
          <cell r="C4">
            <v>5.8277471152790632</v>
          </cell>
        </row>
        <row r="142">
          <cell r="W142">
            <v>4.0440906553722735</v>
          </cell>
          <cell r="Z142">
            <v>8.4911106868427275</v>
          </cell>
        </row>
      </sheetData>
      <sheetData sheetId="4">
        <row r="9">
          <cell r="B9">
            <v>6.788463038352921</v>
          </cell>
          <cell r="C9">
            <v>6.4522017739050064</v>
          </cell>
          <cell r="D9">
            <v>5.8874812244349339</v>
          </cell>
          <cell r="E9">
            <v>8.0558393514908957</v>
          </cell>
          <cell r="F9">
            <v>6.0511829385026408</v>
          </cell>
          <cell r="G9">
            <v>5.1594316220063323</v>
          </cell>
          <cell r="H9">
            <v>4.3127890342766788</v>
          </cell>
          <cell r="I9">
            <v>5.1104952152626542</v>
          </cell>
          <cell r="J9">
            <v>5.4712349769764499</v>
          </cell>
          <cell r="K9">
            <v>5.2754740282836785</v>
          </cell>
          <cell r="L9">
            <v>6.2344647128935202</v>
          </cell>
          <cell r="N9">
            <v>5.7954651302861757</v>
          </cell>
          <cell r="O9">
            <v>5.8908234469441547</v>
          </cell>
          <cell r="P9">
            <v>5.8874812244349339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180</v>
          </cell>
        </row>
        <row r="4">
          <cell r="B4">
            <v>10.693327850871867</v>
          </cell>
          <cell r="C4">
            <v>10.708903859784154</v>
          </cell>
        </row>
        <row r="180">
          <cell r="W180">
            <v>9.0080244671955541</v>
          </cell>
          <cell r="Z180">
            <v>12.743575019752841</v>
          </cell>
        </row>
      </sheetData>
      <sheetData sheetId="4">
        <row r="9">
          <cell r="B9">
            <v>10.97172248857842</v>
          </cell>
          <cell r="C9">
            <v>12.378948472549039</v>
          </cell>
          <cell r="D9">
            <v>9.4854031845768425</v>
          </cell>
          <cell r="E9">
            <v>10.370890804497668</v>
          </cell>
          <cell r="F9">
            <v>10.915842129859541</v>
          </cell>
          <cell r="G9">
            <v>11.068999735186596</v>
          </cell>
          <cell r="H9">
            <v>10.658685299548763</v>
          </cell>
          <cell r="I9">
            <v>11.269582832801756</v>
          </cell>
          <cell r="J9">
            <v>8.8611780857319307</v>
          </cell>
          <cell r="K9">
            <v>10.332304277161278</v>
          </cell>
          <cell r="L9">
            <v>11.637467284006583</v>
          </cell>
          <cell r="N9">
            <v>10.776036069354589</v>
          </cell>
          <cell r="O9">
            <v>10.722820417681676</v>
          </cell>
          <cell r="P9">
            <v>10.915842129859541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104</v>
          </cell>
        </row>
        <row r="4">
          <cell r="B4">
            <v>4.3225731925955406</v>
          </cell>
          <cell r="C4">
            <v>4.2975029016087731</v>
          </cell>
        </row>
        <row r="104">
          <cell r="W104">
            <v>3.249971308863258</v>
          </cell>
          <cell r="Z104">
            <v>5.4395551037596173</v>
          </cell>
        </row>
      </sheetData>
      <sheetData sheetId="4">
        <row r="9">
          <cell r="B9">
            <v>2.9835389980009541</v>
          </cell>
          <cell r="C9">
            <v>4.7673331037190003</v>
          </cell>
          <cell r="D9">
            <v>4.8549036093210018</v>
          </cell>
          <cell r="E9">
            <v>3.3542928973665158</v>
          </cell>
          <cell r="F9">
            <v>4.8045515657904749</v>
          </cell>
          <cell r="G9">
            <v>3.8610362386572326</v>
          </cell>
          <cell r="H9">
            <v>4.4315471922391652</v>
          </cell>
          <cell r="I9">
            <v>3.861601083468968</v>
          </cell>
          <cell r="J9">
            <v>4.4573856473821261</v>
          </cell>
          <cell r="K9">
            <v>4.6662191362979835</v>
          </cell>
          <cell r="L9">
            <v>4.5760770470068213</v>
          </cell>
          <cell r="N9">
            <v>4.2805004210670408</v>
          </cell>
          <cell r="O9">
            <v>4.2380442290227487</v>
          </cell>
          <cell r="P9">
            <v>4.4573856473821261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1.9912818483923109</v>
          </cell>
          <cell r="C4">
            <v>1.870813721882578</v>
          </cell>
        </row>
        <row r="92">
          <cell r="W92">
            <v>0.33684708580701406</v>
          </cell>
          <cell r="Z92">
            <v>3.2504436810373885</v>
          </cell>
        </row>
      </sheetData>
      <sheetData sheetId="4">
        <row r="9">
          <cell r="B9">
            <v>2.2255485980510206</v>
          </cell>
          <cell r="C9">
            <v>2.7997451419250337</v>
          </cell>
          <cell r="D9">
            <v>2.4506511603173275</v>
          </cell>
          <cell r="E9">
            <v>2.1120869792763202</v>
          </cell>
          <cell r="F9">
            <v>2.1357077121601749</v>
          </cell>
          <cell r="G9">
            <v>2.0404971085360226</v>
          </cell>
          <cell r="H9">
            <v>2.0127181416847608</v>
          </cell>
          <cell r="I9">
            <v>1.7025629917971348</v>
          </cell>
          <cell r="J9">
            <v>2.1328868441541871</v>
          </cell>
          <cell r="K9">
            <v>1.9741258541291979</v>
          </cell>
          <cell r="L9">
            <v>0.88726379381707843</v>
          </cell>
          <cell r="N9">
            <v>2.0360683825180357</v>
          </cell>
          <cell r="O9">
            <v>2.0430722114407507</v>
          </cell>
          <cell r="P9">
            <v>2.1120869792763202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74</v>
          </cell>
        </row>
        <row r="4">
          <cell r="B4">
            <v>1.2197132513052968</v>
          </cell>
          <cell r="C4">
            <v>1.1620724854610121</v>
          </cell>
        </row>
        <row r="74">
          <cell r="W74">
            <v>0.22864522540484211</v>
          </cell>
          <cell r="Z74">
            <v>2.1634397486716743</v>
          </cell>
        </row>
      </sheetData>
      <sheetData sheetId="4">
        <row r="9">
          <cell r="B9">
            <v>1.1277264662141515</v>
          </cell>
          <cell r="C9">
            <v>1.9191660890156057</v>
          </cell>
          <cell r="D9">
            <v>1.7319451228129643</v>
          </cell>
          <cell r="E9">
            <v>1.2091923699783564</v>
          </cell>
          <cell r="F9">
            <v>1.3053131017318622</v>
          </cell>
          <cell r="G9">
            <v>1.4993467759121342</v>
          </cell>
          <cell r="H9">
            <v>0.22282358334379915</v>
          </cell>
          <cell r="I9">
            <v>0.85599965886816765</v>
          </cell>
          <cell r="J9">
            <v>1.2275157746819161</v>
          </cell>
          <cell r="K9">
            <v>1.1398891196837284</v>
          </cell>
          <cell r="L9">
            <v>0.82725741383532958</v>
          </cell>
          <cell r="N9">
            <v>1.3511839300885466</v>
          </cell>
          <cell r="O9">
            <v>1.1878341341889105</v>
          </cell>
          <cell r="P9">
            <v>1.2091923699783564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196</v>
          </cell>
        </row>
        <row r="4">
          <cell r="B4">
            <v>14.58466305877938</v>
          </cell>
          <cell r="C4">
            <v>14.631062612776391</v>
          </cell>
        </row>
        <row r="196">
          <cell r="W196">
            <v>11.899973976135625</v>
          </cell>
          <cell r="Z196">
            <v>18.148829587138572</v>
          </cell>
        </row>
      </sheetData>
      <sheetData sheetId="4">
        <row r="9">
          <cell r="B9">
            <v>13.033545964102194</v>
          </cell>
          <cell r="C9">
            <v>14.445840443772216</v>
          </cell>
          <cell r="D9">
            <v>12.914229221048137</v>
          </cell>
          <cell r="E9">
            <v>17.693497629152674</v>
          </cell>
          <cell r="F9">
            <v>16.945647992679351</v>
          </cell>
          <cell r="G9">
            <v>14.347188994139643</v>
          </cell>
          <cell r="H9">
            <v>13.894109270073161</v>
          </cell>
          <cell r="I9">
            <v>14.545946545081014</v>
          </cell>
          <cell r="J9">
            <v>12.561532624789248</v>
          </cell>
          <cell r="K9">
            <v>14.652169606759495</v>
          </cell>
          <cell r="L9">
            <v>16.016833284552213</v>
          </cell>
          <cell r="N9">
            <v>14.589567956431461</v>
          </cell>
          <cell r="O9">
            <v>14.640958325104485</v>
          </cell>
          <cell r="P9">
            <v>14.445840443772216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6.6276100628797847</v>
          </cell>
          <cell r="C4">
            <v>6.7334467703854788</v>
          </cell>
        </row>
        <row r="106">
          <cell r="W106">
            <v>3.7423190646614497</v>
          </cell>
          <cell r="Z106">
            <v>10.176123692822022</v>
          </cell>
        </row>
      </sheetData>
      <sheetData sheetId="4">
        <row r="9">
          <cell r="B9">
            <v>6.6991696771012634</v>
          </cell>
          <cell r="C9">
            <v>8.3313930491465076</v>
          </cell>
          <cell r="D9">
            <v>6.9465419983370991</v>
          </cell>
          <cell r="E9">
            <v>0</v>
          </cell>
          <cell r="F9">
            <v>7.6215895751078815</v>
          </cell>
          <cell r="G9">
            <v>6.2746316932400594</v>
          </cell>
          <cell r="H9">
            <v>8.4486881840313952</v>
          </cell>
          <cell r="I9">
            <v>0</v>
          </cell>
          <cell r="J9">
            <v>4.2550495843757137</v>
          </cell>
          <cell r="K9">
            <v>0</v>
          </cell>
          <cell r="L9">
            <v>5.121802840919595</v>
          </cell>
          <cell r="N9">
            <v>6.8306474170392271</v>
          </cell>
          <cell r="O9">
            <v>6.7123583252824393</v>
          </cell>
          <cell r="P9">
            <v>6.8228558377191817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104</v>
          </cell>
        </row>
        <row r="4">
          <cell r="B4">
            <v>4.1279267267685853</v>
          </cell>
          <cell r="C4">
            <v>4.152154849305421</v>
          </cell>
        </row>
        <row r="104">
          <cell r="W104">
            <v>2.8273159850882306</v>
          </cell>
          <cell r="Z104">
            <v>5.6119908509403187</v>
          </cell>
        </row>
      </sheetData>
      <sheetData sheetId="4">
        <row r="9">
          <cell r="B9">
            <v>2.3211996582737164</v>
          </cell>
          <cell r="C9">
            <v>3.4879315859041511</v>
          </cell>
          <cell r="D9">
            <v>3.6203363371403565</v>
          </cell>
          <cell r="E9">
            <v>3.6387552451099441</v>
          </cell>
          <cell r="F9">
            <v>4.0633753939560293</v>
          </cell>
          <cell r="G9">
            <v>3.8195301320009025</v>
          </cell>
          <cell r="H9">
            <v>2.9661103</v>
          </cell>
          <cell r="I9">
            <v>5.0254046251608653</v>
          </cell>
          <cell r="J9">
            <v>5.3981418536567567</v>
          </cell>
          <cell r="K9">
            <v>5.5754785618179339</v>
          </cell>
          <cell r="L9">
            <v>5.2425738603027412</v>
          </cell>
          <cell r="N9">
            <v>4.0576912601492623</v>
          </cell>
          <cell r="O9">
            <v>4.1053488684839445</v>
          </cell>
          <cell r="P9">
            <v>3.8195301320009025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128</v>
          </cell>
        </row>
        <row r="4">
          <cell r="B4">
            <v>3.6349554675795943</v>
          </cell>
          <cell r="C4">
            <v>3.6992435523095986</v>
          </cell>
        </row>
        <row r="128">
          <cell r="W128">
            <v>0.84180432976000141</v>
          </cell>
          <cell r="Z128">
            <v>7.22319785827424</v>
          </cell>
        </row>
      </sheetData>
      <sheetData sheetId="4">
        <row r="9">
          <cell r="B9">
            <v>2.4749925277813039</v>
          </cell>
          <cell r="C9">
            <v>6.0972417095444573</v>
          </cell>
          <cell r="D9">
            <v>3.2327289168691751</v>
          </cell>
          <cell r="E9">
            <v>5.486586856455185</v>
          </cell>
          <cell r="F9">
            <v>7.5387141224998562</v>
          </cell>
          <cell r="G9">
            <v>1.875813390483277</v>
          </cell>
          <cell r="H9">
            <v>3.6221642733460344</v>
          </cell>
          <cell r="I9">
            <v>3.2394849318994821</v>
          </cell>
          <cell r="J9">
            <v>2.7185958134308699</v>
          </cell>
          <cell r="K9">
            <v>3.5326421899494154</v>
          </cell>
          <cell r="L9">
            <v>0.72770874215428161</v>
          </cell>
          <cell r="N9">
            <v>3.7219884899562099</v>
          </cell>
          <cell r="O9">
            <v>3.6860612249466667</v>
          </cell>
          <cell r="P9">
            <v>3.2394849318994821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3.3182401090217915</v>
          </cell>
          <cell r="C4">
            <v>3.3130305794745345</v>
          </cell>
        </row>
        <row r="96">
          <cell r="W96">
            <v>1.8207791774200039</v>
          </cell>
          <cell r="Z96">
            <v>4.6942782230848863</v>
          </cell>
        </row>
      </sheetData>
      <sheetData sheetId="4">
        <row r="9">
          <cell r="B9">
            <v>3.5276081763290561</v>
          </cell>
          <cell r="C9">
            <v>3.0040709451836705</v>
          </cell>
          <cell r="D9">
            <v>3.2112317446568386</v>
          </cell>
          <cell r="E9">
            <v>3.0549588405270049</v>
          </cell>
          <cell r="F9">
            <v>3.0094708131270758</v>
          </cell>
          <cell r="G9">
            <v>3.3485510232367619</v>
          </cell>
          <cell r="H9">
            <v>3.3577532247142012</v>
          </cell>
          <cell r="I9">
            <v>2.9965199538708918</v>
          </cell>
          <cell r="J9">
            <v>3.1731856356830819</v>
          </cell>
          <cell r="K9">
            <v>4.0852289190960196</v>
          </cell>
          <cell r="L9">
            <v>4.0257052172340737</v>
          </cell>
          <cell r="N9">
            <v>3.339198296387432</v>
          </cell>
          <cell r="O9">
            <v>3.3449349539689708</v>
          </cell>
          <cell r="P9">
            <v>3.2112317446568386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5.1115888854728802</v>
          </cell>
          <cell r="C4">
            <v>5.0569483602055829</v>
          </cell>
        </row>
        <row r="96">
          <cell r="W96">
            <v>3.0310337072256375</v>
          </cell>
          <cell r="Z96">
            <v>6.9863570006988258</v>
          </cell>
        </row>
      </sheetData>
      <sheetData sheetId="4">
        <row r="9">
          <cell r="B9">
            <v>4.337619122212522</v>
          </cell>
          <cell r="C9">
            <v>5.0604677139539778</v>
          </cell>
          <cell r="D9">
            <v>4.4764524088196778</v>
          </cell>
          <cell r="E9">
            <v>4.6241426639742551</v>
          </cell>
          <cell r="F9">
            <v>3.8569315802474704</v>
          </cell>
          <cell r="G9">
            <v>3.6140634579202549</v>
          </cell>
          <cell r="H9">
            <v>5.5772348626054988</v>
          </cell>
          <cell r="I9">
            <v>7.2544625539510763</v>
          </cell>
          <cell r="J9">
            <v>4.4807595537307883</v>
          </cell>
          <cell r="K9">
            <v>5.9809367704774026</v>
          </cell>
          <cell r="L9">
            <v>5.4663278171146326</v>
          </cell>
          <cell r="N9">
            <v>5.1910197578179265</v>
          </cell>
          <cell r="O9">
            <v>4.975399864091596</v>
          </cell>
          <cell r="P9">
            <v>4.6241426639742551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3.97198785470954</v>
          </cell>
          <cell r="C4">
            <v>3.9840187800006066</v>
          </cell>
        </row>
        <row r="106">
          <cell r="W106">
            <v>2.8891893297236142</v>
          </cell>
          <cell r="Z106">
            <v>5.1678014983116434</v>
          </cell>
        </row>
      </sheetData>
      <sheetData sheetId="4">
        <row r="9">
          <cell r="B9">
            <v>3.8320466003614619</v>
          </cell>
          <cell r="C9">
            <v>3.6891261882237161</v>
          </cell>
          <cell r="D9">
            <v>3.9521273039438949</v>
          </cell>
          <cell r="E9">
            <v>2.8389077447115225</v>
          </cell>
          <cell r="F9">
            <v>3.9165018020543956</v>
          </cell>
          <cell r="G9">
            <v>4.4763417624212822</v>
          </cell>
          <cell r="H9">
            <v>4.624746534720221</v>
          </cell>
          <cell r="I9">
            <v>4.9771049686052971</v>
          </cell>
          <cell r="J9">
            <v>4.0106247581679444</v>
          </cell>
          <cell r="K9">
            <v>3.6121513073097415</v>
          </cell>
          <cell r="L9">
            <v>4.2539894225473143</v>
          </cell>
          <cell r="N9">
            <v>3.9830392844023774</v>
          </cell>
          <cell r="O9">
            <v>4.0166971266424349</v>
          </cell>
          <cell r="P9">
            <v>3.9521273039438949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2.5850285552295817</v>
          </cell>
          <cell r="C4">
            <v>2.5785699861998084</v>
          </cell>
        </row>
        <row r="92">
          <cell r="W92">
            <v>1.8140355750578125</v>
          </cell>
          <cell r="Z92">
            <v>3.4076259717247859</v>
          </cell>
        </row>
      </sheetData>
      <sheetData sheetId="4">
        <row r="9">
          <cell r="B9">
            <v>2.9927419349006588</v>
          </cell>
          <cell r="C9">
            <v>2.7307175918831357</v>
          </cell>
          <cell r="D9">
            <v>3.0864474339064931</v>
          </cell>
          <cell r="E9">
            <v>2.0503265706261562</v>
          </cell>
          <cell r="F9">
            <v>2.3104108959739023</v>
          </cell>
          <cell r="G9">
            <v>2.8315334461221373</v>
          </cell>
          <cell r="H9">
            <v>2.4588142021330368</v>
          </cell>
          <cell r="I9">
            <v>2.9557371000446531</v>
          </cell>
          <cell r="J9">
            <v>2.6737444158701944</v>
          </cell>
          <cell r="K9">
            <v>2.2480471215790874</v>
          </cell>
          <cell r="L9">
            <v>1.7757557575025824</v>
          </cell>
          <cell r="N9">
            <v>2.5471916060722739</v>
          </cell>
          <cell r="O9">
            <v>2.555843315503822</v>
          </cell>
          <cell r="P9">
            <v>2.6737444158701944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2.1425844708696746</v>
          </cell>
          <cell r="C4">
            <v>2.2412959878423551</v>
          </cell>
        </row>
        <row r="78">
          <cell r="W78">
            <v>1.3192136545926716</v>
          </cell>
          <cell r="Z78">
            <v>3.2946811293300216</v>
          </cell>
        </row>
      </sheetData>
      <sheetData sheetId="4">
        <row r="9">
          <cell r="B9">
            <v>1.7622241426915461</v>
          </cell>
          <cell r="C9">
            <v>1.5982065081430317</v>
          </cell>
          <cell r="D9">
            <v>2.6395608775075199</v>
          </cell>
          <cell r="E9">
            <v>2.721513788961345</v>
          </cell>
          <cell r="F9">
            <v>2.7353282028128687</v>
          </cell>
          <cell r="G9">
            <v>1.7282549534729519</v>
          </cell>
          <cell r="H9">
            <v>2.0733272252640274</v>
          </cell>
          <cell r="I9">
            <v>2.157499743861937</v>
          </cell>
          <cell r="J9">
            <v>3.9859405051767558</v>
          </cell>
          <cell r="K9">
            <v>1.8420092743332948</v>
          </cell>
          <cell r="L9">
            <v>3.0365293321288389</v>
          </cell>
          <cell r="N9">
            <v>2.2530564011020324</v>
          </cell>
          <cell r="O9">
            <v>2.3891267776685563</v>
          </cell>
          <cell r="P9">
            <v>2.157499743861937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68</v>
          </cell>
        </row>
        <row r="4">
          <cell r="B4">
            <v>0.7839466508759656</v>
          </cell>
          <cell r="C4">
            <v>0.82850429403495229</v>
          </cell>
        </row>
        <row r="68">
          <cell r="W68">
            <v>9.0882207108321206E-2</v>
          </cell>
          <cell r="Z68">
            <v>1.922382682210596</v>
          </cell>
        </row>
      </sheetData>
      <sheetData sheetId="4">
        <row r="9">
          <cell r="B9">
            <v>0.88603352055087359</v>
          </cell>
          <cell r="C9">
            <v>0.79516573622923492</v>
          </cell>
          <cell r="D9">
            <v>0.74330417440200924</v>
          </cell>
          <cell r="E9">
            <v>0.87783869031084449</v>
          </cell>
          <cell r="F9">
            <v>0.57817654792639861</v>
          </cell>
          <cell r="G9">
            <v>0.27491388794533506</v>
          </cell>
          <cell r="H9">
            <v>0.94707261517217656</v>
          </cell>
          <cell r="I9">
            <v>0.28421247847793207</v>
          </cell>
          <cell r="J9">
            <v>1.0884003577286516</v>
          </cell>
          <cell r="K9">
            <v>0.2909853452281011</v>
          </cell>
          <cell r="L9">
            <v>1.3141793206011176</v>
          </cell>
          <cell r="N9">
            <v>0.88367692767168327</v>
          </cell>
          <cell r="O9">
            <v>0.73457115223387959</v>
          </cell>
          <cell r="P9">
            <v>0.79516573622923492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208</v>
          </cell>
        </row>
        <row r="4">
          <cell r="B4">
            <v>14.752161953628217</v>
          </cell>
          <cell r="C4">
            <v>14.721652362964393</v>
          </cell>
        </row>
        <row r="208">
          <cell r="W208">
            <v>12.19512760812518</v>
          </cell>
          <cell r="Z208">
            <v>17.368392471134332</v>
          </cell>
        </row>
      </sheetData>
      <sheetData sheetId="4">
        <row r="9">
          <cell r="B9">
            <v>14.543310121800459</v>
          </cell>
          <cell r="C9">
            <v>14.660317069459396</v>
          </cell>
          <cell r="D9">
            <v>14.988505995812814</v>
          </cell>
          <cell r="E9">
            <v>14.246613850349602</v>
          </cell>
          <cell r="F9">
            <v>14.764769119554428</v>
          </cell>
          <cell r="G9">
            <v>13.76790080025234</v>
          </cell>
          <cell r="H9">
            <v>12.602474949159209</v>
          </cell>
          <cell r="I9">
            <v>15.050573851165618</v>
          </cell>
          <cell r="J9">
            <v>16.578967109084736</v>
          </cell>
          <cell r="K9">
            <v>16.756402887420528</v>
          </cell>
          <cell r="L9">
            <v>14.119099063856023</v>
          </cell>
          <cell r="N9">
            <v>14.687383197822911</v>
          </cell>
          <cell r="O9">
            <v>14.734448619810468</v>
          </cell>
          <cell r="P9">
            <v>14.660317069459396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3.0038289875130202</v>
          </cell>
          <cell r="C4">
            <v>2.9925673292834034</v>
          </cell>
        </row>
        <row r="92">
          <cell r="W92">
            <v>1.9379926932977911</v>
          </cell>
          <cell r="Z92">
            <v>3.8107860047886075</v>
          </cell>
        </row>
      </sheetData>
      <sheetData sheetId="4">
        <row r="9">
          <cell r="B9">
            <v>2.4845295057401429</v>
          </cell>
          <cell r="C9">
            <v>2.9201887173656167</v>
          </cell>
          <cell r="D9">
            <v>2.7436970680705848</v>
          </cell>
          <cell r="E9">
            <v>1.8577826254570449</v>
          </cell>
          <cell r="F9">
            <v>2.9285437158047158</v>
          </cell>
          <cell r="G9">
            <v>3.4716637908084564</v>
          </cell>
          <cell r="H9">
            <v>3.1337514435244698</v>
          </cell>
          <cell r="I9">
            <v>3.8691231545285674</v>
          </cell>
          <cell r="J9">
            <v>3.641480057238256</v>
          </cell>
          <cell r="K9">
            <v>3.4624099873268599</v>
          </cell>
          <cell r="L9">
            <v>2.6656291115402824</v>
          </cell>
          <cell r="N9">
            <v>3.1069140761261829</v>
          </cell>
          <cell r="O9">
            <v>3.0162544706731818</v>
          </cell>
          <cell r="P9">
            <v>2.9285437158047158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2.4014478651701499</v>
          </cell>
          <cell r="C4">
            <v>2.4002449317969963</v>
          </cell>
        </row>
        <row r="90">
          <cell r="W90">
            <v>1.3858624022778441</v>
          </cell>
          <cell r="Z90">
            <v>3.3597797221040753</v>
          </cell>
        </row>
      </sheetData>
      <sheetData sheetId="4">
        <row r="9">
          <cell r="B9">
            <v>2.6784622238359557</v>
          </cell>
          <cell r="C9">
            <v>2.3220579521069888</v>
          </cell>
          <cell r="D9">
            <v>2.0537529922441218</v>
          </cell>
          <cell r="E9">
            <v>2.7965587276320214</v>
          </cell>
          <cell r="F9">
            <v>2.6695273221866609</v>
          </cell>
          <cell r="G9">
            <v>2.362457975260881</v>
          </cell>
          <cell r="H9">
            <v>2.205022147918712</v>
          </cell>
          <cell r="I9">
            <v>2.0486927996451088</v>
          </cell>
          <cell r="J9">
            <v>2.1776070591644761</v>
          </cell>
          <cell r="K9">
            <v>3.1625005329165639</v>
          </cell>
          <cell r="L9">
            <v>1.7694749267140939</v>
          </cell>
          <cell r="N9">
            <v>2.3765835451462531</v>
          </cell>
          <cell r="O9">
            <v>2.3860104236023258</v>
          </cell>
          <cell r="P9">
            <v>2.3220579521069888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0.87926456861904412</v>
          </cell>
          <cell r="C4">
            <v>0.81592594807002183</v>
          </cell>
        </row>
        <row r="102">
          <cell r="W102">
            <v>7.0247528875165569E-2</v>
          </cell>
          <cell r="Z102">
            <v>1.4460634268345991</v>
          </cell>
        </row>
      </sheetData>
      <sheetData sheetId="4">
        <row r="9">
          <cell r="B9">
            <v>0.88867386900722756</v>
          </cell>
          <cell r="C9">
            <v>0.76641239563487151</v>
          </cell>
          <cell r="D9">
            <v>0.65411499546366769</v>
          </cell>
          <cell r="E9">
            <v>0.75190150377912923</v>
          </cell>
          <cell r="F9">
            <v>0.83745091828291873</v>
          </cell>
          <cell r="G9">
            <v>0.9079677421281922</v>
          </cell>
          <cell r="H9">
            <v>0.85150176841321279</v>
          </cell>
          <cell r="I9">
            <v>1.0667994828720679</v>
          </cell>
          <cell r="J9">
            <v>0.95333156822133958</v>
          </cell>
          <cell r="K9">
            <v>1.022487600864729</v>
          </cell>
          <cell r="L9">
            <v>0.81943183762272909</v>
          </cell>
          <cell r="N9">
            <v>0.90564763390220748</v>
          </cell>
          <cell r="O9">
            <v>0.86546124384455325</v>
          </cell>
          <cell r="P9">
            <v>0.85150176841321279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124</v>
          </cell>
        </row>
        <row r="4">
          <cell r="B4">
            <v>6.2678432407378066</v>
          </cell>
          <cell r="C4">
            <v>6.3568041932727519</v>
          </cell>
        </row>
        <row r="124">
          <cell r="W124">
            <v>4.0119583075136838</v>
          </cell>
          <cell r="Z124">
            <v>9.0673678654340151</v>
          </cell>
        </row>
      </sheetData>
      <sheetData sheetId="4">
        <row r="9">
          <cell r="B9">
            <v>6.9694438281962787</v>
          </cell>
          <cell r="C9">
            <v>7.3460298122649146</v>
          </cell>
          <cell r="D9">
            <v>7.2176882982887447</v>
          </cell>
          <cell r="E9">
            <v>6.7263837747596344</v>
          </cell>
          <cell r="F9">
            <v>6.6832213544545347</v>
          </cell>
          <cell r="G9">
            <v>7.8789271169447668</v>
          </cell>
          <cell r="H9">
            <v>5.0993974403390689</v>
          </cell>
          <cell r="I9">
            <v>5.4448836783173098</v>
          </cell>
          <cell r="J9">
            <v>4.9869400431186257</v>
          </cell>
          <cell r="K9">
            <v>5.0937466904681941</v>
          </cell>
          <cell r="L9">
            <v>6.3565913377697258</v>
          </cell>
          <cell r="N9">
            <v>6.4344491898481033</v>
          </cell>
          <cell r="O9">
            <v>6.3457503068110732</v>
          </cell>
          <cell r="P9">
            <v>6.6832213544545347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128</v>
          </cell>
        </row>
        <row r="4">
          <cell r="B4">
            <v>6.6753001330607962</v>
          </cell>
          <cell r="C4">
            <v>6.7014259064742756</v>
          </cell>
        </row>
        <row r="128">
          <cell r="W128">
            <v>4.9352696586041196</v>
          </cell>
          <cell r="Z128">
            <v>8.6845136598256776</v>
          </cell>
        </row>
      </sheetData>
      <sheetData sheetId="4">
        <row r="9">
          <cell r="B9">
            <v>4.9238551870297416</v>
          </cell>
          <cell r="C9">
            <v>6.8274856313057546</v>
          </cell>
          <cell r="D9">
            <v>7.2399421528200127</v>
          </cell>
          <cell r="E9">
            <v>5.9648121319954663</v>
          </cell>
          <cell r="F9">
            <v>6.2720871332805013</v>
          </cell>
          <cell r="G9">
            <v>7.3495406694999605</v>
          </cell>
          <cell r="H9">
            <v>6.9003240098703644</v>
          </cell>
          <cell r="I9">
            <v>7.0421262557561359</v>
          </cell>
          <cell r="J9">
            <v>7.6517381513741656</v>
          </cell>
          <cell r="K9">
            <v>7.5925955749857676</v>
          </cell>
          <cell r="L9">
            <v>6.4963535335933358</v>
          </cell>
          <cell r="N9">
            <v>6.8119724442496992</v>
          </cell>
          <cell r="O9">
            <v>6.7509873119555657</v>
          </cell>
          <cell r="P9">
            <v>6.9003240098703644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116</v>
          </cell>
        </row>
        <row r="4">
          <cell r="B4">
            <v>4.6099470311711919</v>
          </cell>
          <cell r="C4">
            <v>4.7058624056540967</v>
          </cell>
        </row>
        <row r="116">
          <cell r="W116">
            <v>2.950126031540778</v>
          </cell>
          <cell r="Z116">
            <v>6.6197433808413546</v>
          </cell>
        </row>
      </sheetData>
      <sheetData sheetId="4">
        <row r="9">
          <cell r="B9">
            <v>4.6592453000000003</v>
          </cell>
          <cell r="C9">
            <v>5.4909122000000004</v>
          </cell>
          <cell r="D9">
            <v>5.2081228150701504</v>
          </cell>
          <cell r="E9">
            <v>5.0006819</v>
          </cell>
          <cell r="F9">
            <v>4.448472882059086</v>
          </cell>
          <cell r="G9">
            <v>4.2120901999999996</v>
          </cell>
          <cell r="H9">
            <v>4.7054156999999996</v>
          </cell>
          <cell r="I9">
            <v>5.2574379999999996</v>
          </cell>
          <cell r="J9">
            <v>3.5272879573387295</v>
          </cell>
          <cell r="K9">
            <v>5.4880345000000004</v>
          </cell>
          <cell r="L9">
            <v>3.8780963109801028</v>
          </cell>
          <cell r="N9">
            <v>4.6851924</v>
          </cell>
          <cell r="O9">
            <v>4.7159816150407332</v>
          </cell>
          <cell r="P9">
            <v>4.7054156999999996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114</v>
          </cell>
        </row>
        <row r="4">
          <cell r="B4">
            <v>3.4334468467144807</v>
          </cell>
          <cell r="C4">
            <v>3.9988238053986502</v>
          </cell>
        </row>
        <row r="114">
          <cell r="W114">
            <v>9.1845648254404805E-2</v>
          </cell>
          <cell r="Z114">
            <v>13.400782828780631</v>
          </cell>
        </row>
      </sheetData>
      <sheetData sheetId="4">
        <row r="9">
          <cell r="B9">
            <v>4.3218605221279587</v>
          </cell>
          <cell r="C9">
            <v>5.8757315040188498</v>
          </cell>
          <cell r="D9">
            <v>5.2402726380481006</v>
          </cell>
          <cell r="E9">
            <v>3.7131791616862384</v>
          </cell>
          <cell r="F9">
            <v>5.3070458154028461</v>
          </cell>
          <cell r="G9">
            <v>1.9353620295966609</v>
          </cell>
          <cell r="H9">
            <v>4.0333958231396325</v>
          </cell>
          <cell r="I9">
            <v>0</v>
          </cell>
          <cell r="J9">
            <v>1.8651181058376112</v>
          </cell>
          <cell r="K9">
            <v>2.5643270999999999</v>
          </cell>
          <cell r="L9">
            <v>2.1096812371247102</v>
          </cell>
          <cell r="N9">
            <v>4.6076394000000001</v>
          </cell>
          <cell r="O9">
            <v>3.6965973936982608</v>
          </cell>
          <cell r="P9">
            <v>3.8732874924129357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3.3340947116968387</v>
          </cell>
          <cell r="C4">
            <v>3.3410414927251524</v>
          </cell>
        </row>
        <row r="102">
          <cell r="W102">
            <v>2.3299913941934594</v>
          </cell>
          <cell r="Z102">
            <v>4.2076718157231348</v>
          </cell>
        </row>
      </sheetData>
      <sheetData sheetId="4">
        <row r="9">
          <cell r="B9">
            <v>3.6211379102845007</v>
          </cell>
          <cell r="C9">
            <v>3.7631723371737134</v>
          </cell>
          <cell r="D9">
            <v>4.1589420364819505</v>
          </cell>
          <cell r="E9">
            <v>3.0636179221618578</v>
          </cell>
          <cell r="F9">
            <v>2.6519777719437729</v>
          </cell>
          <cell r="G9">
            <v>3.1318012732128397</v>
          </cell>
          <cell r="H9">
            <v>3.0977421721488505</v>
          </cell>
          <cell r="I9">
            <v>3.6803960645952278</v>
          </cell>
          <cell r="J9">
            <v>3.9504955586254562</v>
          </cell>
          <cell r="K9">
            <v>3.2078219715745857</v>
          </cell>
          <cell r="L9">
            <v>3.084598267091005</v>
          </cell>
          <cell r="N9">
            <v>3.3782636466375275</v>
          </cell>
          <cell r="O9">
            <v>3.4010639350267056</v>
          </cell>
          <cell r="P9">
            <v>3.2078219715745857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3.6090237416880031</v>
          </cell>
          <cell r="C4">
            <v>3.7162790791791447</v>
          </cell>
        </row>
        <row r="98">
          <cell r="W98">
            <v>2.5667448086780125</v>
          </cell>
          <cell r="Z98">
            <v>5.2852677898377847</v>
          </cell>
        </row>
      </sheetData>
      <sheetData sheetId="4">
        <row r="9">
          <cell r="B9">
            <v>4.5814690957738211</v>
          </cell>
          <cell r="C9">
            <v>5.0358401786492104</v>
          </cell>
          <cell r="D9">
            <v>4.7478150022149794</v>
          </cell>
          <cell r="E9">
            <v>4.3505519349008095</v>
          </cell>
          <cell r="F9">
            <v>3.5077839580387904</v>
          </cell>
          <cell r="G9">
            <v>3.9300431482938234</v>
          </cell>
          <cell r="H9">
            <v>3.755125088440745</v>
          </cell>
          <cell r="I9">
            <v>5.0728405104963832</v>
          </cell>
          <cell r="J9">
            <v>2.299098475276709</v>
          </cell>
          <cell r="K9">
            <v>2.4078444781713215</v>
          </cell>
          <cell r="L9">
            <v>3.6401988743918747</v>
          </cell>
          <cell r="N9">
            <v>3.8291928659035892</v>
          </cell>
          <cell r="O9">
            <v>3.9389646131498606</v>
          </cell>
          <cell r="P9">
            <v>3.9300431482938234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86</v>
          </cell>
        </row>
        <row r="4">
          <cell r="B4">
            <v>2.3382291434960427</v>
          </cell>
          <cell r="C4">
            <v>2.3470838621972292</v>
          </cell>
        </row>
        <row r="86">
          <cell r="W86">
            <v>1.2119552913577134</v>
          </cell>
          <cell r="Z86">
            <v>3.4978453125530242</v>
          </cell>
        </row>
      </sheetData>
      <sheetData sheetId="4">
        <row r="9">
          <cell r="B9">
            <v>3.0469285270406603</v>
          </cell>
          <cell r="C9">
            <v>1.7616287134757032</v>
          </cell>
          <cell r="D9">
            <v>2.5018528505623476</v>
          </cell>
          <cell r="E9">
            <v>1.7119447657683555</v>
          </cell>
          <cell r="F9">
            <v>2.1004196539540105</v>
          </cell>
          <cell r="G9">
            <v>2.1765005271924744</v>
          </cell>
          <cell r="H9">
            <v>2.2683669861527909</v>
          </cell>
          <cell r="I9">
            <v>2.161015939546477</v>
          </cell>
          <cell r="J9">
            <v>2.3741071679298611</v>
          </cell>
          <cell r="K9">
            <v>2.7123384137012736</v>
          </cell>
          <cell r="L9">
            <v>3.1111015484881905</v>
          </cell>
          <cell r="N9">
            <v>2.3910368165788984</v>
          </cell>
          <cell r="O9">
            <v>2.3569277358011043</v>
          </cell>
          <cell r="P9">
            <v>2.2683669861527909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118</v>
          </cell>
        </row>
        <row r="4">
          <cell r="B4">
            <v>4.6201584104490241</v>
          </cell>
          <cell r="C4">
            <v>4.6525244545416653</v>
          </cell>
        </row>
        <row r="118">
          <cell r="W118">
            <v>3.7774629250526162</v>
          </cell>
          <cell r="Z118">
            <v>5.4381889381486861</v>
          </cell>
        </row>
      </sheetData>
      <sheetData sheetId="4">
        <row r="9">
          <cell r="B9">
            <v>4.2751336314870567</v>
          </cell>
          <cell r="C9">
            <v>4.6249245114176265</v>
          </cell>
          <cell r="D9">
            <v>4.9877628937320946</v>
          </cell>
          <cell r="E9">
            <v>4.6362234778797289</v>
          </cell>
          <cell r="F9">
            <v>4.4444351212223498</v>
          </cell>
          <cell r="G9">
            <v>4.6409552197172816</v>
          </cell>
          <cell r="H9">
            <v>4.6275645397958929</v>
          </cell>
          <cell r="I9">
            <v>4.4073158053839103</v>
          </cell>
          <cell r="J9">
            <v>4.5604923651949791</v>
          </cell>
          <cell r="K9">
            <v>4.6067986172148139</v>
          </cell>
          <cell r="L9">
            <v>5.2759040126158068</v>
          </cell>
          <cell r="N9">
            <v>4.6785390521977979</v>
          </cell>
          <cell r="O9">
            <v>4.6443191086965037</v>
          </cell>
          <cell r="P9">
            <v>4.6249245114176265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128</v>
          </cell>
        </row>
        <row r="4">
          <cell r="B4">
            <v>3.6311197195781046</v>
          </cell>
          <cell r="C4">
            <v>3.6626777600244806</v>
          </cell>
        </row>
        <row r="128">
          <cell r="W128">
            <v>2.4773102807132399</v>
          </cell>
          <cell r="Z128">
            <v>4.8618791429784274</v>
          </cell>
        </row>
      </sheetData>
      <sheetData sheetId="4">
        <row r="9">
          <cell r="B9">
            <v>3.6039970703365922</v>
          </cell>
          <cell r="C9">
            <v>3.8648977197793428</v>
          </cell>
          <cell r="D9">
            <v>3.5853263514083724</v>
          </cell>
          <cell r="E9">
            <v>3.8577147990590754</v>
          </cell>
          <cell r="F9">
            <v>3.0493335782995246</v>
          </cell>
          <cell r="G9">
            <v>3.707445241490932</v>
          </cell>
          <cell r="H9">
            <v>3.2883794310985359</v>
          </cell>
          <cell r="I9">
            <v>4.2183706984710545</v>
          </cell>
          <cell r="J9">
            <v>3.6605454000703772</v>
          </cell>
          <cell r="K9">
            <v>3.7359060330592002</v>
          </cell>
          <cell r="L9">
            <v>2.6805109417669497</v>
          </cell>
          <cell r="N9">
            <v>3.6568947907943214</v>
          </cell>
          <cell r="O9">
            <v>3.5684024786218145</v>
          </cell>
          <cell r="P9">
            <v>3.6605454000703772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72</v>
          </cell>
        </row>
        <row r="4">
          <cell r="B4">
            <v>1.6669137704131285</v>
          </cell>
          <cell r="C4">
            <v>1.6341265001035254</v>
          </cell>
        </row>
        <row r="72">
          <cell r="W72">
            <v>0.26254370576860586</v>
          </cell>
          <cell r="Z72">
            <v>2.6307199770451022</v>
          </cell>
        </row>
      </sheetData>
      <sheetData sheetId="4">
        <row r="9">
          <cell r="B9">
            <v>1.991375738023855</v>
          </cell>
          <cell r="C9">
            <v>1.4090080244809455</v>
          </cell>
          <cell r="D9">
            <v>1.4983732145986981</v>
          </cell>
          <cell r="E9">
            <v>1.3428344001876371</v>
          </cell>
          <cell r="F9">
            <v>1.1661399289926464</v>
          </cell>
          <cell r="G9">
            <v>1.9645348183785503</v>
          </cell>
          <cell r="H9">
            <v>2.5450897751570722</v>
          </cell>
          <cell r="I9">
            <v>1.7539078476948653</v>
          </cell>
          <cell r="J9">
            <v>2.3519265945333347</v>
          </cell>
          <cell r="K9">
            <v>1.0583384045453355</v>
          </cell>
          <cell r="L9">
            <v>1.4619901766104981</v>
          </cell>
          <cell r="N9">
            <v>1.7286923576121873</v>
          </cell>
          <cell r="O9">
            <v>1.6857744475639487</v>
          </cell>
          <cell r="P9">
            <v>1.4983732145986981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1.2417609885090966</v>
          </cell>
          <cell r="C4">
            <v>1.2733258079086895</v>
          </cell>
        </row>
        <row r="82">
          <cell r="W82">
            <v>0.18560250376987622</v>
          </cell>
          <cell r="Z82">
            <v>3.7171639032747272</v>
          </cell>
        </row>
      </sheetData>
      <sheetData sheetId="4">
        <row r="9">
          <cell r="B9">
            <v>1.646140702298311</v>
          </cell>
          <cell r="C9">
            <v>0.25786377340390104</v>
          </cell>
          <cell r="D9">
            <v>1.3355318986382132</v>
          </cell>
          <cell r="E9">
            <v>1.1859573647971464</v>
          </cell>
          <cell r="F9">
            <v>1.1981957362687901</v>
          </cell>
          <cell r="G9">
            <v>1.5459822248840616</v>
          </cell>
          <cell r="H9">
            <v>1.3001279897418792</v>
          </cell>
          <cell r="I9">
            <v>0.15045648934333536</v>
          </cell>
          <cell r="J9">
            <v>0.94744402521288229</v>
          </cell>
          <cell r="K9">
            <v>1.2666039247865604</v>
          </cell>
          <cell r="L9">
            <v>1.0151196414857409</v>
          </cell>
          <cell r="N9">
            <v>1.2835995617163889</v>
          </cell>
          <cell r="O9">
            <v>1.0772203428055294</v>
          </cell>
          <cell r="P9">
            <v>1.1981957362687901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130</v>
          </cell>
        </row>
        <row r="4">
          <cell r="B4">
            <v>7.4771471656080823</v>
          </cell>
          <cell r="C4">
            <v>7.4976345584830479</v>
          </cell>
        </row>
        <row r="130">
          <cell r="W130">
            <v>5.9985961852077558</v>
          </cell>
          <cell r="Z130">
            <v>9.1978109980776015</v>
          </cell>
        </row>
      </sheetData>
      <sheetData sheetId="4">
        <row r="9">
          <cell r="B9">
            <v>8.2032015566004031</v>
          </cell>
          <cell r="C9">
            <v>7.4788981438050151</v>
          </cell>
          <cell r="D9">
            <v>9.4199227602322839</v>
          </cell>
          <cell r="E9">
            <v>8.0018066703767605</v>
          </cell>
          <cell r="F9">
            <v>8.29959902662414</v>
          </cell>
          <cell r="G9">
            <v>7.2492023983555525</v>
          </cell>
          <cell r="H9">
            <v>10.144208770205521</v>
          </cell>
          <cell r="I9">
            <v>7.9087061716332396</v>
          </cell>
          <cell r="J9">
            <v>5.8272052535804351</v>
          </cell>
          <cell r="K9">
            <v>5.0600240433396246</v>
          </cell>
          <cell r="L9">
            <v>7.2090161724198252</v>
          </cell>
          <cell r="N9">
            <v>7.5311290702665499</v>
          </cell>
          <cell r="O9">
            <v>7.7092537242884358</v>
          </cell>
          <cell r="P9">
            <v>7.9087061716332396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3.017548369178483</v>
          </cell>
          <cell r="C4">
            <v>3.015331594549731</v>
          </cell>
        </row>
        <row r="96">
          <cell r="W96">
            <v>2.3586652975484457</v>
          </cell>
          <cell r="Z96">
            <v>3.7762487420417878</v>
          </cell>
        </row>
      </sheetData>
      <sheetData sheetId="4">
        <row r="9">
          <cell r="B9">
            <v>2.9819140231581387</v>
          </cell>
          <cell r="C9">
            <v>2.8795468820295129</v>
          </cell>
          <cell r="D9">
            <v>2.8814446429277698</v>
          </cell>
          <cell r="E9">
            <v>2.9524822818934795</v>
          </cell>
          <cell r="F9">
            <v>3.0110223405512833</v>
          </cell>
          <cell r="G9">
            <v>3.2810784621131535</v>
          </cell>
          <cell r="H9">
            <v>3.7143543150588467</v>
          </cell>
          <cell r="I9">
            <v>3.2665019471928427</v>
          </cell>
          <cell r="J9">
            <v>3.5773809097334412</v>
          </cell>
          <cell r="K9">
            <v>2.4839846281911511</v>
          </cell>
          <cell r="L9">
            <v>2.9220915843742845</v>
          </cell>
          <cell r="N9">
            <v>3.0748001944510794</v>
          </cell>
          <cell r="O9">
            <v>3.0865274561112641</v>
          </cell>
          <cell r="P9">
            <v>2.9819140231581387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84</v>
          </cell>
        </row>
        <row r="4">
          <cell r="B4">
            <v>1.7680101018143985</v>
          </cell>
          <cell r="C4">
            <v>1.7270655815908171</v>
          </cell>
        </row>
        <row r="84">
          <cell r="W84">
            <v>0.27841821760904112</v>
          </cell>
          <cell r="Z84">
            <v>2.6158753233640613</v>
          </cell>
        </row>
      </sheetData>
      <sheetData sheetId="4">
        <row r="9">
          <cell r="B9">
            <v>2.6960502532618773</v>
          </cell>
          <cell r="C9">
            <v>2.5300856800946416</v>
          </cell>
          <cell r="D9">
            <v>2.2227709176178969</v>
          </cell>
          <cell r="E9">
            <v>1.577653121914494</v>
          </cell>
          <cell r="F9">
            <v>1.0956742479593293</v>
          </cell>
          <cell r="G9">
            <v>1.1941537423175954</v>
          </cell>
          <cell r="H9">
            <v>2.1945315407626858</v>
          </cell>
          <cell r="I9">
            <v>2.0480222130207548</v>
          </cell>
          <cell r="J9">
            <v>1.1446193534649654</v>
          </cell>
          <cell r="K9">
            <v>1.4996738065852881</v>
          </cell>
          <cell r="L9">
            <v>1.0670611563380858</v>
          </cell>
          <cell r="N9">
            <v>1.7994830073222461</v>
          </cell>
          <cell r="O9">
            <v>1.7518450939397829</v>
          </cell>
          <cell r="P9">
            <v>1.577653121914494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1.6104039479412777</v>
          </cell>
          <cell r="C4">
            <v>1.51198262727628</v>
          </cell>
        </row>
        <row r="78">
          <cell r="W78">
            <v>0.28430695314518739</v>
          </cell>
          <cell r="Z78">
            <v>2.6237215471592261</v>
          </cell>
        </row>
      </sheetData>
      <sheetData sheetId="4">
        <row r="9">
          <cell r="B9">
            <v>1.8546459167029503</v>
          </cell>
          <cell r="C9">
            <v>1.245439118875225</v>
          </cell>
          <cell r="D9">
            <v>1.8429407728666918</v>
          </cell>
          <cell r="E9">
            <v>1.1237550118996606</v>
          </cell>
          <cell r="F9">
            <v>1.1677628995011979</v>
          </cell>
          <cell r="G9">
            <v>1.7926340266345664</v>
          </cell>
          <cell r="H9">
            <v>1.1153164528121309</v>
          </cell>
          <cell r="I9">
            <v>1.7331741449415512</v>
          </cell>
          <cell r="J9">
            <v>0.91645746131693262</v>
          </cell>
          <cell r="K9">
            <v>1.140211774788479</v>
          </cell>
          <cell r="L9">
            <v>0.9395567453456275</v>
          </cell>
          <cell r="N9">
            <v>1.6501550565454561</v>
          </cell>
          <cell r="O9">
            <v>1.3519903932440924</v>
          </cell>
          <cell r="P9">
            <v>1.1677628995011979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1.8824879579791469</v>
          </cell>
          <cell r="C4">
            <v>1.8293022171931159</v>
          </cell>
        </row>
        <row r="78">
          <cell r="W78">
            <v>0.23210707697719551</v>
          </cell>
          <cell r="Z78">
            <v>3.1514524377428934</v>
          </cell>
        </row>
      </sheetData>
      <sheetData sheetId="4">
        <row r="9">
          <cell r="B9">
            <v>2.2214074347913404</v>
          </cell>
          <cell r="C9">
            <v>2.474848624262326</v>
          </cell>
          <cell r="D9">
            <v>2.6254307062403899</v>
          </cell>
          <cell r="E9">
            <v>2.507987714295727</v>
          </cell>
          <cell r="F9">
            <v>1.7566615024042296</v>
          </cell>
          <cell r="G9">
            <v>2.1674099301124055</v>
          </cell>
          <cell r="H9">
            <v>1.4029695343720756</v>
          </cell>
          <cell r="I9">
            <v>0.83976864743494684</v>
          </cell>
          <cell r="J9">
            <v>2.4572868861100208</v>
          </cell>
          <cell r="K9">
            <v>1.9022763465425492</v>
          </cell>
          <cell r="L9">
            <v>1.0372814938126398</v>
          </cell>
          <cell r="N9">
            <v>1.9351156299924821</v>
          </cell>
          <cell r="O9">
            <v>1.9448480745798775</v>
          </cell>
          <cell r="P9">
            <v>2.1674099301124055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126</v>
          </cell>
        </row>
        <row r="4">
          <cell r="B4">
            <v>5.8160957256430503</v>
          </cell>
          <cell r="C4">
            <v>5.8778549636582627</v>
          </cell>
        </row>
        <row r="126">
          <cell r="W126">
            <v>4.393228706820322</v>
          </cell>
          <cell r="Z126">
            <v>7.5441562030631362</v>
          </cell>
        </row>
      </sheetData>
      <sheetData sheetId="4">
        <row r="9">
          <cell r="B9">
            <v>5.4190954019256479</v>
          </cell>
          <cell r="C9">
            <v>5.6563123505947637</v>
          </cell>
          <cell r="D9">
            <v>4.9862513102720634</v>
          </cell>
          <cell r="E9">
            <v>6.2880438545227406</v>
          </cell>
          <cell r="F9">
            <v>6.8277682542695732</v>
          </cell>
          <cell r="G9">
            <v>5.9825743025587581</v>
          </cell>
          <cell r="H9">
            <v>5.8989002097169765</v>
          </cell>
          <cell r="I9">
            <v>5.2587010818510489</v>
          </cell>
          <cell r="J9">
            <v>4.8358054888183046</v>
          </cell>
          <cell r="K9">
            <v>6.8641042657141291</v>
          </cell>
          <cell r="L9">
            <v>7.1730488739054428</v>
          </cell>
          <cell r="N9">
            <v>5.8539098942956143</v>
          </cell>
          <cell r="O9">
            <v>5.9264186721954051</v>
          </cell>
          <cell r="P9">
            <v>5.8989002097169765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114</v>
          </cell>
        </row>
        <row r="4">
          <cell r="B4">
            <v>4.1396641980876705</v>
          </cell>
          <cell r="C4">
            <v>4.1195459271348058</v>
          </cell>
        </row>
        <row r="114">
          <cell r="W114">
            <v>2.898691151238499</v>
          </cell>
          <cell r="Z114">
            <v>5.1508113691321569</v>
          </cell>
        </row>
      </sheetData>
      <sheetData sheetId="4">
        <row r="9">
          <cell r="B9">
            <v>5.3272077521655747</v>
          </cell>
          <cell r="C9">
            <v>3.8243605137342271</v>
          </cell>
          <cell r="D9">
            <v>4.5202624039388537</v>
          </cell>
          <cell r="E9">
            <v>4.3719156262593897</v>
          </cell>
          <cell r="F9">
            <v>4.5262980919099807</v>
          </cell>
          <cell r="G9">
            <v>5.0243485810625934</v>
          </cell>
          <cell r="H9">
            <v>3.467020185304464</v>
          </cell>
          <cell r="I9">
            <v>3.7305044058394663</v>
          </cell>
          <cell r="J9">
            <v>3.0769278212370943</v>
          </cell>
          <cell r="K9">
            <v>4.2968389516126928</v>
          </cell>
          <cell r="L9">
            <v>3.7898314909840471</v>
          </cell>
          <cell r="N9">
            <v>4.1770314845472614</v>
          </cell>
          <cell r="O9">
            <v>4.17777416582258</v>
          </cell>
          <cell r="P9">
            <v>4.2968389516126928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3.7000630297404866</v>
          </cell>
          <cell r="C4">
            <v>4.0927771839002132</v>
          </cell>
        </row>
        <row r="92">
          <cell r="W92">
            <v>0.32004238513933103</v>
          </cell>
          <cell r="Z92">
            <v>10.583927993288953</v>
          </cell>
        </row>
      </sheetData>
      <sheetData sheetId="4">
        <row r="9">
          <cell r="B9">
            <v>0.18490132169938822</v>
          </cell>
          <cell r="C9">
            <v>2.0735255557501469</v>
          </cell>
          <cell r="D9">
            <v>3.8550009184378462</v>
          </cell>
          <cell r="E9">
            <v>1.6163659958204151</v>
          </cell>
          <cell r="F9">
            <v>0</v>
          </cell>
          <cell r="G9">
            <v>0.23570163983286646</v>
          </cell>
          <cell r="H9">
            <v>5.5460523245389171</v>
          </cell>
          <cell r="I9">
            <v>6.872911306909006</v>
          </cell>
          <cell r="J9">
            <v>1.6557532335550256</v>
          </cell>
          <cell r="K9">
            <v>3.6495360870049076</v>
          </cell>
          <cell r="L9">
            <v>2.0504665112167588</v>
          </cell>
          <cell r="N9">
            <v>3.7251218585223702</v>
          </cell>
          <cell r="O9">
            <v>2.7740214894765276</v>
          </cell>
          <cell r="P9">
            <v>2.0619960334834531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100</v>
          </cell>
        </row>
        <row r="4">
          <cell r="B4">
            <v>3.5817566008253579</v>
          </cell>
          <cell r="C4">
            <v>3.6098730713424798</v>
          </cell>
        </row>
        <row r="100">
          <cell r="W100">
            <v>2.6705587133537878</v>
          </cell>
          <cell r="Z100">
            <v>4.6411605305082908</v>
          </cell>
        </row>
      </sheetData>
      <sheetData sheetId="4">
        <row r="9">
          <cell r="B9">
            <v>2.776193764873589</v>
          </cell>
          <cell r="C9">
            <v>3.6726292222620613</v>
          </cell>
          <cell r="D9">
            <v>3.7472978908323888</v>
          </cell>
          <cell r="E9">
            <v>2.5158012510100405</v>
          </cell>
          <cell r="F9">
            <v>3.4121080043432257</v>
          </cell>
          <cell r="G9">
            <v>3.7144144225561373</v>
          </cell>
          <cell r="H9">
            <v>3.4402862314973017</v>
          </cell>
          <cell r="I9">
            <v>3.4971357890103763</v>
          </cell>
          <cell r="J9">
            <v>4.8850099413630508</v>
          </cell>
          <cell r="K9">
            <v>4.0106553991678071</v>
          </cell>
          <cell r="L9">
            <v>3.0616164287592</v>
          </cell>
          <cell r="N9">
            <v>3.6354997623787817</v>
          </cell>
          <cell r="O9">
            <v>3.5211953041522892</v>
          </cell>
          <cell r="P9">
            <v>3.4971357890103763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100</v>
          </cell>
        </row>
        <row r="4">
          <cell r="B4">
            <v>4.460058133226207</v>
          </cell>
          <cell r="C4">
            <v>4.4803096181815434</v>
          </cell>
        </row>
        <row r="100">
          <cell r="W100">
            <v>3.5449564788259549</v>
          </cell>
          <cell r="Z100">
            <v>5.4858049688699788</v>
          </cell>
        </row>
      </sheetData>
      <sheetData sheetId="4">
        <row r="9">
          <cell r="B9">
            <v>4.6777741252467528</v>
          </cell>
          <cell r="C9">
            <v>4.6319155693966589</v>
          </cell>
          <cell r="D9">
            <v>5.1913464879249025</v>
          </cell>
          <cell r="E9">
            <v>4.4513636256959597</v>
          </cell>
          <cell r="F9">
            <v>4.7956749788967246</v>
          </cell>
          <cell r="G9">
            <v>4.2170312698606836</v>
          </cell>
          <cell r="H9">
            <v>4.673036310186335</v>
          </cell>
          <cell r="I9">
            <v>3.8123481649608042</v>
          </cell>
          <cell r="J9">
            <v>3.7309694838710326</v>
          </cell>
          <cell r="K9">
            <v>3.8437190851531979</v>
          </cell>
          <cell r="L9">
            <v>4.8685781159905135</v>
          </cell>
          <cell r="N9">
            <v>4.4640711487908042</v>
          </cell>
          <cell r="O9">
            <v>4.4448870197439607</v>
          </cell>
          <cell r="P9">
            <v>4.6319155693966589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126</v>
          </cell>
        </row>
        <row r="4">
          <cell r="B4">
            <v>8.6766563565030985</v>
          </cell>
          <cell r="C4">
            <v>8.858226228557573</v>
          </cell>
        </row>
        <row r="126">
          <cell r="W126">
            <v>6.5228497749724488</v>
          </cell>
          <cell r="Z126">
            <v>12.173552721032129</v>
          </cell>
        </row>
      </sheetData>
      <sheetData sheetId="4">
        <row r="9">
          <cell r="B9">
            <v>10.454300763784218</v>
          </cell>
          <cell r="C9">
            <v>10.452198576128215</v>
          </cell>
          <cell r="D9">
            <v>10.559406506252238</v>
          </cell>
          <cell r="E9">
            <v>7.7109504615706195</v>
          </cell>
          <cell r="F9">
            <v>8.2493756582711928</v>
          </cell>
          <cell r="G9">
            <v>7.3685476245543349</v>
          </cell>
          <cell r="H9">
            <v>7.4533760831037554</v>
          </cell>
          <cell r="I9">
            <v>8.7423346154901491</v>
          </cell>
          <cell r="J9">
            <v>6.0178987359972957</v>
          </cell>
          <cell r="K9">
            <v>10.645703992203627</v>
          </cell>
          <cell r="L9">
            <v>9.0102296389034766</v>
          </cell>
          <cell r="N9">
            <v>8.8667758800987606</v>
          </cell>
          <cell r="O9">
            <v>8.7876656960235557</v>
          </cell>
          <cell r="P9">
            <v>8.7423346154901491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2.1825303782545933</v>
          </cell>
          <cell r="C4">
            <v>2.2201049104503014</v>
          </cell>
        </row>
        <row r="88">
          <cell r="W88">
            <v>1.5878294677719056</v>
          </cell>
          <cell r="Z88">
            <v>2.9940080677300185</v>
          </cell>
        </row>
      </sheetData>
      <sheetData sheetId="4">
        <row r="9">
          <cell r="B9">
            <v>1.8889478907756181</v>
          </cell>
          <cell r="C9">
            <v>2.2108109258449677</v>
          </cell>
          <cell r="D9">
            <v>2.2055365168124466</v>
          </cell>
          <cell r="E9">
            <v>2.4896586340638565</v>
          </cell>
          <cell r="F9">
            <v>2.241772447283112</v>
          </cell>
          <cell r="G9">
            <v>2.2161494041393208</v>
          </cell>
          <cell r="H9">
            <v>2.2628857644647797</v>
          </cell>
          <cell r="I9">
            <v>2.4616561523392777</v>
          </cell>
          <cell r="J9">
            <v>2.0274387930272022</v>
          </cell>
          <cell r="K9">
            <v>1.9384521826468453</v>
          </cell>
          <cell r="L9">
            <v>3.1147501449347432</v>
          </cell>
          <cell r="N9">
            <v>2.2649358567956988</v>
          </cell>
          <cell r="O9">
            <v>2.2780053505756519</v>
          </cell>
          <cell r="P9">
            <v>2.2161494041393208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2.0845823714276555</v>
          </cell>
          <cell r="C4">
            <v>2.0096055894643849</v>
          </cell>
        </row>
        <row r="82">
          <cell r="W82">
            <v>0.75773788639025375</v>
          </cell>
          <cell r="Z82">
            <v>2.770976536666633</v>
          </cell>
        </row>
      </sheetData>
      <sheetData sheetId="4">
        <row r="9">
          <cell r="B9">
            <v>1.9768410890486328</v>
          </cell>
          <cell r="C9">
            <v>1.6161885572981209</v>
          </cell>
          <cell r="D9">
            <v>2.0290073002876361</v>
          </cell>
          <cell r="E9">
            <v>1.9312458594476043</v>
          </cell>
          <cell r="F9">
            <v>2.0487002968762811</v>
          </cell>
          <cell r="G9">
            <v>2.0340368631942582</v>
          </cell>
          <cell r="H9">
            <v>2.0149929483030808</v>
          </cell>
          <cell r="I9">
            <v>2.0024920846679422</v>
          </cell>
          <cell r="J9">
            <v>1.9109414414243007</v>
          </cell>
          <cell r="K9">
            <v>2.2737360537653957</v>
          </cell>
          <cell r="L9">
            <v>2.3594125550854512</v>
          </cell>
          <cell r="N9">
            <v>2.1024934050690991</v>
          </cell>
          <cell r="O9">
            <v>2.0179631863089731</v>
          </cell>
          <cell r="P9">
            <v>2.0149929483030808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2.6241742354225797</v>
          </cell>
          <cell r="C4">
            <v>2.6458623291541552</v>
          </cell>
        </row>
        <row r="88">
          <cell r="W88">
            <v>0.78059251908888949</v>
          </cell>
          <cell r="Z88">
            <v>4.757355293205892</v>
          </cell>
        </row>
      </sheetData>
      <sheetData sheetId="4">
        <row r="9">
          <cell r="B9">
            <v>2.7680813083417979</v>
          </cell>
          <cell r="C9">
            <v>2.8143507989879937</v>
          </cell>
          <cell r="D9">
            <v>2.5902968012429186</v>
          </cell>
          <cell r="E9">
            <v>2.9246445180852754</v>
          </cell>
          <cell r="F9">
            <v>2.7206014636757732</v>
          </cell>
          <cell r="G9">
            <v>3.0393802330985484</v>
          </cell>
          <cell r="H9">
            <v>2.4368199652580773</v>
          </cell>
          <cell r="I9">
            <v>1.9005853743389298</v>
          </cell>
          <cell r="J9">
            <v>2.2969953934351754</v>
          </cell>
          <cell r="K9">
            <v>3.152782931159293</v>
          </cell>
          <cell r="L9">
            <v>2.9356575521831068</v>
          </cell>
          <cell r="N9">
            <v>2.7204839694430416</v>
          </cell>
          <cell r="O9">
            <v>2.689108758164263</v>
          </cell>
          <cell r="P9">
            <v>2.7680813083417979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114</v>
          </cell>
        </row>
        <row r="4">
          <cell r="B4">
            <v>5.3293457198789858</v>
          </cell>
          <cell r="C4">
            <v>5.2790995157688094</v>
          </cell>
        </row>
        <row r="114">
          <cell r="W114">
            <v>3.5973675845397661</v>
          </cell>
          <cell r="Z114">
            <v>7.1501838728193094</v>
          </cell>
        </row>
      </sheetData>
      <sheetData sheetId="4">
        <row r="9">
          <cell r="B9">
            <v>5.2192047967036554</v>
          </cell>
          <cell r="C9">
            <v>5.0226266661939896</v>
          </cell>
          <cell r="D9">
            <v>4.5923506353069756</v>
          </cell>
          <cell r="E9">
            <v>6.2756161330821962</v>
          </cell>
          <cell r="F9">
            <v>4.5778089734352401</v>
          </cell>
          <cell r="G9">
            <v>7.1053747815596457</v>
          </cell>
          <cell r="H9">
            <v>4.2561288295458652</v>
          </cell>
          <cell r="I9">
            <v>4.9605960933474931</v>
          </cell>
          <cell r="J9">
            <v>6.3778964556345565</v>
          </cell>
          <cell r="K9">
            <v>4.1279563899910423</v>
          </cell>
          <cell r="L9">
            <v>5.0832952441176262</v>
          </cell>
          <cell r="N9">
            <v>5.2293040114202034</v>
          </cell>
          <cell r="O9">
            <v>5.2362595453562077</v>
          </cell>
          <cell r="P9">
            <v>5.0226266661939896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1.4539577230782084</v>
          </cell>
          <cell r="C4">
            <v>1.412287558613107</v>
          </cell>
        </row>
        <row r="78">
          <cell r="W78">
            <v>0.26237636361347461</v>
          </cell>
          <cell r="Z78">
            <v>2.0700396431481392</v>
          </cell>
        </row>
      </sheetData>
      <sheetData sheetId="4">
        <row r="9">
          <cell r="B9">
            <v>1.2642028028659678</v>
          </cell>
          <cell r="C9">
            <v>1.5789917769789763</v>
          </cell>
          <cell r="D9">
            <v>1.6372975297187231</v>
          </cell>
          <cell r="E9">
            <v>1.1756890205205339</v>
          </cell>
          <cell r="F9">
            <v>1.4770645293236082</v>
          </cell>
          <cell r="G9">
            <v>1.5620686355303162</v>
          </cell>
          <cell r="H9">
            <v>1.783190104339782</v>
          </cell>
          <cell r="I9">
            <v>1.551274252796871</v>
          </cell>
          <cell r="J9">
            <v>1.5500841155544411</v>
          </cell>
          <cell r="K9">
            <v>1.2524633330396386</v>
          </cell>
          <cell r="L9">
            <v>1.1289579673499217</v>
          </cell>
          <cell r="N9">
            <v>1.4937492867067725</v>
          </cell>
          <cell r="O9">
            <v>1.4510258243653438</v>
          </cell>
          <cell r="P9">
            <v>1.5500841155544411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5.9316325393501321</v>
          </cell>
          <cell r="C4">
            <v>5.9572308242256256</v>
          </cell>
        </row>
        <row r="94">
          <cell r="W94">
            <v>4.6581849565563527</v>
          </cell>
          <cell r="Z94">
            <v>7.2823544343963285</v>
          </cell>
        </row>
      </sheetData>
      <sheetData sheetId="4">
        <row r="9">
          <cell r="B9">
            <v>5.5159004402758196</v>
          </cell>
          <cell r="C9">
            <v>6.0701472103654668</v>
          </cell>
          <cell r="D9">
            <v>6.4287312837507926</v>
          </cell>
          <cell r="E9">
            <v>6.6069727936109723</v>
          </cell>
          <cell r="F9">
            <v>6.5611827937519971</v>
          </cell>
          <cell r="G9">
            <v>5.1072425238035342</v>
          </cell>
          <cell r="H9">
            <v>5.3414579173277268</v>
          </cell>
          <cell r="I9">
            <v>6.6107790819140124</v>
          </cell>
          <cell r="J9">
            <v>6.1445452050844827</v>
          </cell>
          <cell r="K9">
            <v>5.100804922126545</v>
          </cell>
          <cell r="L9">
            <v>5.7016120232934933</v>
          </cell>
          <cell r="N9">
            <v>5.9233240874011157</v>
          </cell>
          <cell r="O9">
            <v>5.9263069268458954</v>
          </cell>
          <cell r="P9">
            <v>6.0701472103654668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86</v>
          </cell>
        </row>
        <row r="4">
          <cell r="B4">
            <v>4.2185996317038601</v>
          </cell>
          <cell r="C4">
            <v>4.2993692782296078</v>
          </cell>
        </row>
        <row r="86">
          <cell r="W86">
            <v>2.9468979290678288</v>
          </cell>
          <cell r="Z86">
            <v>6.4213488947816542</v>
          </cell>
        </row>
      </sheetData>
      <sheetData sheetId="4">
        <row r="9">
          <cell r="B9">
            <v>4.3549139124744318</v>
          </cell>
          <cell r="C9">
            <v>3.9295607748873955</v>
          </cell>
          <cell r="D9">
            <v>4.4117716834775829</v>
          </cell>
          <cell r="E9">
            <v>3.4082576644789691</v>
          </cell>
          <cell r="F9">
            <v>4.9625213409136864</v>
          </cell>
          <cell r="G9">
            <v>3.4283096272185403</v>
          </cell>
          <cell r="H9">
            <v>3.8717052874467814</v>
          </cell>
          <cell r="I9">
            <v>3.7447245875722013</v>
          </cell>
          <cell r="J9">
            <v>3.4409699517558532</v>
          </cell>
          <cell r="K9">
            <v>5.4433670921636983</v>
          </cell>
          <cell r="L9">
            <v>5.0058956856548829</v>
          </cell>
          <cell r="N9">
            <v>4.232161292356948</v>
          </cell>
          <cell r="O9">
            <v>4.1819997825494566</v>
          </cell>
          <cell r="P9">
            <v>3.9295607748873955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128</v>
          </cell>
        </row>
        <row r="4">
          <cell r="B4">
            <v>7.8867782948940564</v>
          </cell>
          <cell r="C4">
            <v>8.0063049316145971</v>
          </cell>
        </row>
        <row r="128">
          <cell r="W128">
            <v>3.266340505521979</v>
          </cell>
          <cell r="Z128">
            <v>14.164695317313372</v>
          </cell>
        </row>
      </sheetData>
      <sheetData sheetId="4">
        <row r="9">
          <cell r="B9">
            <v>8.1554156637333897</v>
          </cell>
          <cell r="C9">
            <v>6.5553436841597916</v>
          </cell>
          <cell r="D9">
            <v>7.3894179597224765</v>
          </cell>
          <cell r="E9">
            <v>7.456163850679328</v>
          </cell>
          <cell r="F9">
            <v>12.809950599445942</v>
          </cell>
          <cell r="G9">
            <v>5.9598605686592689</v>
          </cell>
          <cell r="H9">
            <v>6.4207585397908797</v>
          </cell>
          <cell r="I9">
            <v>6.8533749929746879</v>
          </cell>
          <cell r="J9">
            <v>10.904459395063975</v>
          </cell>
          <cell r="K9">
            <v>7.3839267255897081</v>
          </cell>
          <cell r="L9">
            <v>8.8809922258495178</v>
          </cell>
          <cell r="N9">
            <v>7.9601883435913301</v>
          </cell>
          <cell r="O9">
            <v>8.069969473242633</v>
          </cell>
          <cell r="P9">
            <v>7.3894179597224765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4.677269434208668</v>
          </cell>
          <cell r="C4">
            <v>4.7092462778388997</v>
          </cell>
        </row>
        <row r="98">
          <cell r="W98">
            <v>2.8962218322154722</v>
          </cell>
          <cell r="Z98">
            <v>6.9020384619634614</v>
          </cell>
        </row>
      </sheetData>
      <sheetData sheetId="4">
        <row r="9">
          <cell r="B9">
            <v>3.5268972068287865</v>
          </cell>
          <cell r="C9">
            <v>5.6056213800702688</v>
          </cell>
          <cell r="D9">
            <v>4.076145147464759</v>
          </cell>
          <cell r="E9">
            <v>4.4987972718104325</v>
          </cell>
          <cell r="F9">
            <v>4.0157794269238076</v>
          </cell>
          <cell r="G9">
            <v>4.4143025006651406</v>
          </cell>
          <cell r="H9">
            <v>4.3562483057111505</v>
          </cell>
          <cell r="I9">
            <v>4.8065732484735015</v>
          </cell>
          <cell r="J9">
            <v>5.2810394819234867</v>
          </cell>
          <cell r="K9">
            <v>7.2497136092367125</v>
          </cell>
          <cell r="L9">
            <v>4.9330402777316262</v>
          </cell>
          <cell r="N9">
            <v>4.8585510237918133</v>
          </cell>
          <cell r="O9">
            <v>4.7967416233490612</v>
          </cell>
          <cell r="P9">
            <v>4.4987972718104325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118</v>
          </cell>
        </row>
        <row r="4">
          <cell r="B4">
            <v>5.1117356427053648</v>
          </cell>
          <cell r="C4">
            <v>5.1941824114114583</v>
          </cell>
        </row>
        <row r="118">
          <cell r="W118">
            <v>3.132848728799452</v>
          </cell>
          <cell r="Z118">
            <v>7.7325603871881938</v>
          </cell>
        </row>
      </sheetData>
      <sheetData sheetId="4">
        <row r="9">
          <cell r="B9">
            <v>4.1298522721636441</v>
          </cell>
          <cell r="C9">
            <v>4.5385053437833456</v>
          </cell>
          <cell r="D9">
            <v>4.2736346997203691</v>
          </cell>
          <cell r="E9">
            <v>3.5881707663884725</v>
          </cell>
          <cell r="F9">
            <v>4.5510751141873866</v>
          </cell>
          <cell r="G9">
            <v>4.7154124300608347</v>
          </cell>
          <cell r="H9">
            <v>4.4965661811757194</v>
          </cell>
          <cell r="I9">
            <v>6.0371039702833871</v>
          </cell>
          <cell r="J9">
            <v>7.1089869387316922</v>
          </cell>
          <cell r="K9">
            <v>8.3615739485312588</v>
          </cell>
          <cell r="L9">
            <v>5.8247417392827838</v>
          </cell>
          <cell r="N9">
            <v>5.1613471339084631</v>
          </cell>
          <cell r="O9">
            <v>5.2386930367553539</v>
          </cell>
          <cell r="P9">
            <v>4.5510751141873866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74</v>
          </cell>
        </row>
        <row r="4">
          <cell r="B4">
            <v>2.6410319249414975</v>
          </cell>
          <cell r="C4">
            <v>2.7525788234309529</v>
          </cell>
        </row>
        <row r="74">
          <cell r="W74">
            <v>1.5960028646969227</v>
          </cell>
          <cell r="Z74">
            <v>4.5040507205019003</v>
          </cell>
        </row>
      </sheetData>
      <sheetData sheetId="4">
        <row r="9">
          <cell r="B9">
            <v>2.9285290070720658</v>
          </cell>
          <cell r="C9">
            <v>3.4846474383053803</v>
          </cell>
          <cell r="D9">
            <v>2.4455566224347827</v>
          </cell>
          <cell r="E9">
            <v>1.8347768237047875</v>
          </cell>
          <cell r="F9">
            <v>2.6460059608898545</v>
          </cell>
          <cell r="G9">
            <v>2.4077157704326462</v>
          </cell>
          <cell r="H9">
            <v>2.6886259134581789</v>
          </cell>
          <cell r="I9">
            <v>2.84434477644036</v>
          </cell>
          <cell r="J9">
            <v>3.0515288249474524</v>
          </cell>
          <cell r="K9">
            <v>2.1747348567810372</v>
          </cell>
          <cell r="L9">
            <v>3.1533965028031177</v>
          </cell>
          <cell r="N9">
            <v>2.6363358990768364</v>
          </cell>
          <cell r="O9">
            <v>2.6963511361154238</v>
          </cell>
          <cell r="P9">
            <v>2.6886259134581789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6.0378453717279346</v>
          </cell>
          <cell r="C4">
            <v>6.0848542932755443</v>
          </cell>
        </row>
        <row r="106">
          <cell r="W106">
            <v>5.1385349002624121</v>
          </cell>
          <cell r="Z106">
            <v>7.4438556888842839</v>
          </cell>
        </row>
      </sheetData>
      <sheetData sheetId="4">
        <row r="9">
          <cell r="B9">
            <v>5.0574823881121747</v>
          </cell>
          <cell r="C9">
            <v>5.8171747532445615</v>
          </cell>
          <cell r="D9">
            <v>5.7691399127074705</v>
          </cell>
          <cell r="E9">
            <v>6.3063335004600791</v>
          </cell>
          <cell r="F9">
            <v>5.4586564675129861</v>
          </cell>
          <cell r="G9">
            <v>5.9330944799492702</v>
          </cell>
          <cell r="H9">
            <v>5.823717969124294</v>
          </cell>
          <cell r="I9">
            <v>6.2235061403778777</v>
          </cell>
          <cell r="J9">
            <v>7.3616948886096116</v>
          </cell>
          <cell r="K9">
            <v>6.2116166661688652</v>
          </cell>
          <cell r="L9">
            <v>6.3590138960098637</v>
          </cell>
          <cell r="N9">
            <v>6.0088069134265307</v>
          </cell>
          <cell r="O9">
            <v>6.0292210056615509</v>
          </cell>
          <cell r="P9">
            <v>5.9330944799492702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86</v>
          </cell>
        </row>
        <row r="4">
          <cell r="B4">
            <v>5.1073736327377173</v>
          </cell>
          <cell r="C4">
            <v>5.1152411099894008</v>
          </cell>
        </row>
        <row r="86">
          <cell r="W86">
            <v>3.8850058239641685</v>
          </cell>
          <cell r="Z86">
            <v>6.5702561978850547</v>
          </cell>
        </row>
      </sheetData>
      <sheetData sheetId="4">
        <row r="9">
          <cell r="B9">
            <v>5.3009126281737942</v>
          </cell>
          <cell r="C9">
            <v>5.7023622219470491</v>
          </cell>
          <cell r="D9">
            <v>4.4759137480099209</v>
          </cell>
          <cell r="E9">
            <v>4.9279504836312027</v>
          </cell>
          <cell r="F9">
            <v>4.5363234329550952</v>
          </cell>
          <cell r="G9">
            <v>5.1154462419810276</v>
          </cell>
          <cell r="H9">
            <v>5.2484936533777482</v>
          </cell>
          <cell r="I9">
            <v>5.6187271832132053</v>
          </cell>
          <cell r="J9">
            <v>5.5520102616637876</v>
          </cell>
          <cell r="K9">
            <v>5.8684890441542228</v>
          </cell>
          <cell r="L9">
            <v>4.3574167259369965</v>
          </cell>
          <cell r="N9">
            <v>5.1867899068218977</v>
          </cell>
          <cell r="O9">
            <v>5.1549132386403675</v>
          </cell>
          <cell r="P9">
            <v>5.2484936533777482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1.9326977850231102</v>
          </cell>
          <cell r="C4">
            <v>1.9420388510530242</v>
          </cell>
        </row>
        <row r="106">
          <cell r="W106">
            <v>1.2616256340776031</v>
          </cell>
          <cell r="Z106">
            <v>2.5985211297438759</v>
          </cell>
        </row>
      </sheetData>
      <sheetData sheetId="4">
        <row r="9">
          <cell r="B9">
            <v>2.0983022174756414</v>
          </cell>
          <cell r="C9">
            <v>2.0058853896171245</v>
          </cell>
          <cell r="D9">
            <v>1.7992975441001822</v>
          </cell>
          <cell r="E9">
            <v>1.6685870990208225</v>
          </cell>
          <cell r="F9">
            <v>1.8079236762277784</v>
          </cell>
          <cell r="G9">
            <v>1.791486607382742</v>
          </cell>
          <cell r="H9">
            <v>1.7927156201101064</v>
          </cell>
          <cell r="I9">
            <v>2.6143893034833545</v>
          </cell>
          <cell r="J9">
            <v>2.1025151007925977</v>
          </cell>
          <cell r="K9">
            <v>2.1347590005193524</v>
          </cell>
          <cell r="L9">
            <v>2.260045327105062</v>
          </cell>
          <cell r="N9">
            <v>2.0209002928631938</v>
          </cell>
          <cell r="O9">
            <v>2.0069006259849784</v>
          </cell>
          <cell r="P9">
            <v>2.0058853896171245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2.3871811835278316</v>
          </cell>
          <cell r="C4">
            <v>2.3034762910664965</v>
          </cell>
        </row>
        <row r="92">
          <cell r="W92">
            <v>0.16200352887279673</v>
          </cell>
          <cell r="Z92">
            <v>4.8335134026453659</v>
          </cell>
        </row>
      </sheetData>
      <sheetData sheetId="4">
        <row r="9">
          <cell r="B9">
            <v>3.0831760820047656</v>
          </cell>
          <cell r="C9">
            <v>1.1030152366509178</v>
          </cell>
          <cell r="D9">
            <v>2.9228098925852275</v>
          </cell>
          <cell r="E9">
            <v>2.9055070881122895</v>
          </cell>
          <cell r="F9">
            <v>2.3611414479413462</v>
          </cell>
          <cell r="G9">
            <v>1.5538535651747385</v>
          </cell>
          <cell r="H9">
            <v>3.7926017754117769</v>
          </cell>
          <cell r="I9">
            <v>2.3517398571030665</v>
          </cell>
          <cell r="J9">
            <v>0.90834635774124595</v>
          </cell>
          <cell r="K9">
            <v>1.3560822632321685</v>
          </cell>
          <cell r="L9">
            <v>3.5129409782036261</v>
          </cell>
          <cell r="N9">
            <v>2.5802964303200748</v>
          </cell>
          <cell r="O9">
            <v>2.3501104131055608</v>
          </cell>
          <cell r="P9">
            <v>2.3611414479413462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2.7501861981147386</v>
          </cell>
          <cell r="C4">
            <v>2.7163738213483519</v>
          </cell>
        </row>
        <row r="96">
          <cell r="W96">
            <v>1.4990264396037249</v>
          </cell>
          <cell r="Z96">
            <v>3.7868272211900118</v>
          </cell>
        </row>
      </sheetData>
      <sheetData sheetId="4">
        <row r="9">
          <cell r="B9">
            <v>1.9511716751257875</v>
          </cell>
          <cell r="C9">
            <v>2.6835034072834252</v>
          </cell>
          <cell r="D9">
            <v>2.9993748718759532</v>
          </cell>
          <cell r="E9">
            <v>2.9539317930844273</v>
          </cell>
          <cell r="F9">
            <v>3.2508451650079846</v>
          </cell>
          <cell r="G9">
            <v>1.8248537178303093</v>
          </cell>
          <cell r="H9">
            <v>2.3698056218367416</v>
          </cell>
          <cell r="I9">
            <v>2.720358160420667</v>
          </cell>
          <cell r="J9">
            <v>2.9839037946093732</v>
          </cell>
          <cell r="K9">
            <v>2.5701252341716705</v>
          </cell>
          <cell r="L9">
            <v>3.1148797671410517</v>
          </cell>
          <cell r="N9">
            <v>2.7895169031976366</v>
          </cell>
          <cell r="O9">
            <v>2.6747957462170353</v>
          </cell>
          <cell r="P9">
            <v>2.720358160420667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0.79592286209961671</v>
          </cell>
          <cell r="C4">
            <v>0.83868996362873716</v>
          </cell>
        </row>
        <row r="78">
          <cell r="W78">
            <v>0.1225140256832796</v>
          </cell>
          <cell r="Z78">
            <v>1.7448397850249886</v>
          </cell>
        </row>
      </sheetData>
      <sheetData sheetId="4">
        <row r="9">
          <cell r="B9">
            <v>3.8053208677499105E-4</v>
          </cell>
          <cell r="C9">
            <v>1.1345419319864776</v>
          </cell>
          <cell r="D9">
            <v>1.1023862410812508</v>
          </cell>
          <cell r="E9">
            <v>4.2587313000000002E-2</v>
          </cell>
          <cell r="F9">
            <v>1.5806195775806833</v>
          </cell>
          <cell r="G9">
            <v>0.74900022683046052</v>
          </cell>
          <cell r="H9">
            <v>0.96801265121809099</v>
          </cell>
          <cell r="I9">
            <v>7.2847859999999997E-3</v>
          </cell>
          <cell r="J9">
            <v>0.90680572461535758</v>
          </cell>
          <cell r="K9">
            <v>1.0615038182381786</v>
          </cell>
          <cell r="L9">
            <v>0.60850777299081693</v>
          </cell>
          <cell r="N9">
            <v>0.84025199718595922</v>
          </cell>
          <cell r="O9">
            <v>0.74196641596618995</v>
          </cell>
          <cell r="P9">
            <v>0.90680572461535758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1.819016712644292</v>
          </cell>
          <cell r="C4">
            <v>1.7770458324820053</v>
          </cell>
        </row>
        <row r="96">
          <cell r="W96">
            <v>0.71056534346550826</v>
          </cell>
          <cell r="Z96">
            <v>2.9418187003597316</v>
          </cell>
        </row>
      </sheetData>
      <sheetData sheetId="4">
        <row r="9">
          <cell r="B9">
            <v>2.7495720601248457</v>
          </cell>
          <cell r="C9">
            <v>2.1422700290149028</v>
          </cell>
          <cell r="D9">
            <v>2.4149127253184841</v>
          </cell>
          <cell r="E9">
            <v>1.6276342695964059</v>
          </cell>
          <cell r="F9">
            <v>1.9620599097177862</v>
          </cell>
          <cell r="G9">
            <v>1.6747946572693588</v>
          </cell>
          <cell r="H9">
            <v>1.8647786070918084</v>
          </cell>
          <cell r="I9">
            <v>1.6478507190314338</v>
          </cell>
          <cell r="J9">
            <v>1.3215489645890255</v>
          </cell>
          <cell r="K9">
            <v>1.4053126070283761</v>
          </cell>
          <cell r="L9">
            <v>1.3077099405044548</v>
          </cell>
          <cell r="N9">
            <v>1.9466000744707779</v>
          </cell>
          <cell r="O9">
            <v>1.82894949902608</v>
          </cell>
          <cell r="P9">
            <v>1.6747946572693588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132</v>
          </cell>
        </row>
        <row r="4">
          <cell r="B4">
            <v>7.1200617432074855</v>
          </cell>
          <cell r="C4">
            <v>7.104912044894701</v>
          </cell>
        </row>
        <row r="132">
          <cell r="W132">
            <v>5.8428915310797995</v>
          </cell>
          <cell r="Z132">
            <v>8.6567891491780991</v>
          </cell>
        </row>
      </sheetData>
      <sheetData sheetId="4">
        <row r="9">
          <cell r="B9">
            <v>6.8867032257772252</v>
          </cell>
          <cell r="C9">
            <v>7.3600497518563142</v>
          </cell>
          <cell r="D9">
            <v>5.9243188699380633</v>
          </cell>
          <cell r="E9">
            <v>7.2611597711006786</v>
          </cell>
          <cell r="F9">
            <v>6.8370559770093413</v>
          </cell>
          <cell r="G9">
            <v>7.6649388922044288</v>
          </cell>
          <cell r="H9">
            <v>7.2714675710785137</v>
          </cell>
          <cell r="I9">
            <v>6.8167457291556461</v>
          </cell>
          <cell r="J9">
            <v>6.9579864093090835</v>
          </cell>
          <cell r="K9">
            <v>8.569898926534</v>
          </cell>
          <cell r="L9">
            <v>6.971698075734226</v>
          </cell>
          <cell r="N9">
            <v>7.1304261404637153</v>
          </cell>
          <cell r="O9">
            <v>7.1383657454270484</v>
          </cell>
          <cell r="P9">
            <v>6.971698075734226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84</v>
          </cell>
        </row>
        <row r="4">
          <cell r="B4">
            <v>3.0271786613131697</v>
          </cell>
          <cell r="C4">
            <v>3.2082514058575438</v>
          </cell>
        </row>
        <row r="84">
          <cell r="W84">
            <v>0.256309379911835</v>
          </cell>
          <cell r="Z84">
            <v>8.7836715775176089</v>
          </cell>
        </row>
      </sheetData>
      <sheetData sheetId="4">
        <row r="9">
          <cell r="B9">
            <v>3.7727341184942906</v>
          </cell>
          <cell r="C9">
            <v>3.2811328967188382</v>
          </cell>
          <cell r="D9">
            <v>1.5316335518128401</v>
          </cell>
          <cell r="E9">
            <v>2.0622091267746971</v>
          </cell>
          <cell r="F9">
            <v>2.6064650742102611</v>
          </cell>
          <cell r="G9">
            <v>3.9782715422709427</v>
          </cell>
          <cell r="H9">
            <v>1.1667900957793107</v>
          </cell>
          <cell r="I9">
            <v>2.8771446973995278</v>
          </cell>
          <cell r="J9">
            <v>3.6658808502888691</v>
          </cell>
          <cell r="K9">
            <v>2.8480103373720107</v>
          </cell>
          <cell r="L9">
            <v>1.1088550399008852</v>
          </cell>
          <cell r="N9">
            <v>3.1528758436519411</v>
          </cell>
          <cell r="O9">
            <v>2.6271933937293155</v>
          </cell>
          <cell r="P9">
            <v>2.8480103373720107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2.8239426054429506</v>
          </cell>
          <cell r="C4">
            <v>2.835523358755367</v>
          </cell>
        </row>
        <row r="88">
          <cell r="W88">
            <v>0.31158507122242518</v>
          </cell>
          <cell r="Z88">
            <v>6.4436617542280263</v>
          </cell>
        </row>
      </sheetData>
      <sheetData sheetId="4">
        <row r="9">
          <cell r="B9">
            <v>2.7885740715522886</v>
          </cell>
          <cell r="C9">
            <v>2.413213351979353</v>
          </cell>
          <cell r="D9">
            <v>2.5294250668565454</v>
          </cell>
          <cell r="E9">
            <v>2.8620260608077417</v>
          </cell>
          <cell r="F9">
            <v>3.0896324876960697</v>
          </cell>
          <cell r="G9">
            <v>3.0076535859879456</v>
          </cell>
          <cell r="H9">
            <v>3.4170387520206393</v>
          </cell>
          <cell r="I9">
            <v>0.77420771604636962</v>
          </cell>
          <cell r="J9">
            <v>0</v>
          </cell>
          <cell r="K9">
            <v>3.1785079256262248</v>
          </cell>
          <cell r="L9">
            <v>3.4503795683756198</v>
          </cell>
          <cell r="N9">
            <v>3.0425773417782751</v>
          </cell>
          <cell r="O9">
            <v>2.7510658586948793</v>
          </cell>
          <cell r="P9">
            <v>2.9348398233978434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72</v>
          </cell>
        </row>
        <row r="4">
          <cell r="B4">
            <v>1.7118324924004651</v>
          </cell>
          <cell r="C4">
            <v>1.6877383520229459</v>
          </cell>
        </row>
        <row r="72">
          <cell r="W72">
            <v>0.43586685252733642</v>
          </cell>
          <cell r="Z72">
            <v>2.8783124999999998</v>
          </cell>
        </row>
      </sheetData>
      <sheetData sheetId="4">
        <row r="9">
          <cell r="B9">
            <v>1.7369645421634894</v>
          </cell>
          <cell r="C9">
            <v>0.98749356405866195</v>
          </cell>
          <cell r="D9">
            <v>0.68707920425894031</v>
          </cell>
          <cell r="E9">
            <v>1.7350916516275263</v>
          </cell>
          <cell r="F9">
            <v>0.9803406592558771</v>
          </cell>
          <cell r="G9">
            <v>1.9507655653087643</v>
          </cell>
          <cell r="H9">
            <v>1.9122570574671931</v>
          </cell>
          <cell r="I9">
            <v>2.2780547754760052</v>
          </cell>
          <cell r="J9">
            <v>2.6113928660178236</v>
          </cell>
          <cell r="K9">
            <v>1.9072867583806004</v>
          </cell>
          <cell r="L9">
            <v>1.9617498503370658</v>
          </cell>
          <cell r="N9">
            <v>1.8875391962530088</v>
          </cell>
          <cell r="O9">
            <v>1.7044069540319953</v>
          </cell>
          <cell r="P9">
            <v>1.9072867583806004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84</v>
          </cell>
        </row>
        <row r="4">
          <cell r="B4">
            <v>2.3979581882838472</v>
          </cell>
          <cell r="C4">
            <v>2.4363007580498395</v>
          </cell>
        </row>
        <row r="84">
          <cell r="W84">
            <v>0.84855834489696469</v>
          </cell>
          <cell r="Z84">
            <v>4.2242230318253382</v>
          </cell>
        </row>
      </sheetData>
      <sheetData sheetId="4">
        <row r="9">
          <cell r="B9">
            <v>1.4680943200814212</v>
          </cell>
          <cell r="C9">
            <v>1.4815627257609341</v>
          </cell>
          <cell r="D9">
            <v>1.645940367433288</v>
          </cell>
          <cell r="E9">
            <v>2.6468375826826609</v>
          </cell>
          <cell r="F9">
            <v>2.2686637627020083</v>
          </cell>
          <cell r="G9">
            <v>2.4446938729813579</v>
          </cell>
          <cell r="H9">
            <v>2.3898795322206343</v>
          </cell>
          <cell r="I9">
            <v>3.5083930739561455</v>
          </cell>
          <cell r="J9">
            <v>3.0662478976159053</v>
          </cell>
          <cell r="K9">
            <v>2.7671308587678269</v>
          </cell>
          <cell r="L9">
            <v>2.6483854877045263</v>
          </cell>
          <cell r="N9">
            <v>2.3553681077693756</v>
          </cell>
          <cell r="O9">
            <v>2.3941663165369738</v>
          </cell>
          <cell r="P9">
            <v>2.4446938729813579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70</v>
          </cell>
        </row>
        <row r="4">
          <cell r="B4">
            <v>1.2092833530111129</v>
          </cell>
          <cell r="C4">
            <v>1.145362444532172</v>
          </cell>
        </row>
        <row r="70">
          <cell r="W70">
            <v>0.21339154271057606</v>
          </cell>
          <cell r="Z70">
            <v>2.1099598752279882</v>
          </cell>
        </row>
      </sheetData>
      <sheetData sheetId="4">
        <row r="9">
          <cell r="B9">
            <v>1.140923814722518</v>
          </cell>
          <cell r="C9">
            <v>1.6531393824475529</v>
          </cell>
          <cell r="D9">
            <v>1.3685961985036668</v>
          </cell>
          <cell r="E9">
            <v>1.2252026232470545</v>
          </cell>
          <cell r="F9">
            <v>1.2848866136794792</v>
          </cell>
          <cell r="G9">
            <v>1.0697770566676417</v>
          </cell>
          <cell r="H9">
            <v>1.2427062940958873</v>
          </cell>
          <cell r="I9">
            <v>1.4838883452915286</v>
          </cell>
          <cell r="J9">
            <v>1.1542020071876167</v>
          </cell>
          <cell r="K9">
            <v>1.2430726407343522</v>
          </cell>
          <cell r="L9">
            <v>1.0952181971108443</v>
          </cell>
          <cell r="N9">
            <v>1.2608969284211902</v>
          </cell>
          <cell r="O9">
            <v>1.2692375612443767</v>
          </cell>
          <cell r="P9">
            <v>1.2427062940958873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0.24767149957724746</v>
          </cell>
          <cell r="C4">
            <v>0.47031720552029327</v>
          </cell>
        </row>
        <row r="94">
          <cell r="W94">
            <v>5.7853433987954369E-4</v>
          </cell>
          <cell r="Z94">
            <v>2.7305613702745792</v>
          </cell>
        </row>
      </sheetData>
      <sheetData sheetId="4">
        <row r="9">
          <cell r="B9">
            <v>0.21057008819563727</v>
          </cell>
          <cell r="C9">
            <v>0.23479304601007567</v>
          </cell>
          <cell r="D9">
            <v>0.19658808798483965</v>
          </cell>
          <cell r="E9">
            <v>0.16639124797517743</v>
          </cell>
          <cell r="F9">
            <v>0.61210273951962413</v>
          </cell>
          <cell r="G9">
            <v>7.1722216000000005E-2</v>
          </cell>
          <cell r="H9">
            <v>0.21282608794624802</v>
          </cell>
          <cell r="I9">
            <v>0.19461968154739465</v>
          </cell>
          <cell r="J9">
            <v>0.19746508226679532</v>
          </cell>
          <cell r="K9">
            <v>0.65629469144702013</v>
          </cell>
          <cell r="L9">
            <v>0.11739257596244503</v>
          </cell>
          <cell r="N9">
            <v>0.2037138253459263</v>
          </cell>
          <cell r="O9">
            <v>0.26097868589593243</v>
          </cell>
          <cell r="P9">
            <v>0.19746508226679532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86</v>
          </cell>
        </row>
        <row r="4">
          <cell r="B4">
            <v>1.7801174819951153</v>
          </cell>
          <cell r="C4">
            <v>2.0055034911307925</v>
          </cell>
        </row>
        <row r="86">
          <cell r="W86">
            <v>0.23954285272573889</v>
          </cell>
          <cell r="Z86">
            <v>5.3909595772445362</v>
          </cell>
        </row>
      </sheetData>
      <sheetData sheetId="4">
        <row r="9">
          <cell r="B9">
            <v>2.5861782752197766</v>
          </cell>
          <cell r="C9">
            <v>3.3646050592652927</v>
          </cell>
          <cell r="D9">
            <v>1.6033332664242514</v>
          </cell>
          <cell r="E9">
            <v>2.1953900270511015</v>
          </cell>
          <cell r="F9">
            <v>2.2970953471948543</v>
          </cell>
          <cell r="G9">
            <v>1.3991384442760728</v>
          </cell>
          <cell r="H9">
            <v>1.6267603487987543</v>
          </cell>
          <cell r="I9">
            <v>1.8669246360005938</v>
          </cell>
          <cell r="J9">
            <v>2.4353432375768485</v>
          </cell>
          <cell r="K9">
            <v>1.6901617008596903</v>
          </cell>
          <cell r="L9">
            <v>0.21767924211221515</v>
          </cell>
          <cell r="N9">
            <v>1.6951646849207351</v>
          </cell>
          <cell r="O9">
            <v>1.9347826895254046</v>
          </cell>
          <cell r="P9">
            <v>1.8669246360005938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130</v>
          </cell>
        </row>
        <row r="4">
          <cell r="B4">
            <v>6.4126065143211335</v>
          </cell>
          <cell r="C4">
            <v>6.399051405121309</v>
          </cell>
        </row>
        <row r="130">
          <cell r="W130">
            <v>5.6471839967116511</v>
          </cell>
          <cell r="Z130">
            <v>7.1234740321462215</v>
          </cell>
        </row>
      </sheetData>
      <sheetData sheetId="4">
        <row r="9">
          <cell r="B9">
            <v>6.5037097199996907</v>
          </cell>
          <cell r="C9">
            <v>6.1259789960098194</v>
          </cell>
          <cell r="D9">
            <v>6.3267873870649076</v>
          </cell>
          <cell r="E9">
            <v>5.975966187788762</v>
          </cell>
          <cell r="F9">
            <v>6.1265298083704938</v>
          </cell>
          <cell r="G9">
            <v>5.8741780527593344</v>
          </cell>
          <cell r="H9">
            <v>6.0171610288154138</v>
          </cell>
          <cell r="I9">
            <v>6.7823052394973731</v>
          </cell>
          <cell r="J9">
            <v>7.105009404770672</v>
          </cell>
          <cell r="K9">
            <v>6.7134325540472304</v>
          </cell>
          <cell r="L9">
            <v>7.4714490638266104</v>
          </cell>
          <cell r="N9">
            <v>6.4457279714795996</v>
          </cell>
          <cell r="O9">
            <v>6.4565915857227543</v>
          </cell>
          <cell r="P9">
            <v>6.3267873870649076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5.8797324880772601</v>
          </cell>
          <cell r="C4">
            <v>5.943661913704573</v>
          </cell>
        </row>
        <row r="98">
          <cell r="W98">
            <v>4.3942670706428046</v>
          </cell>
          <cell r="Z98">
            <v>7.6835056005126923</v>
          </cell>
        </row>
      </sheetData>
      <sheetData sheetId="4">
        <row r="9">
          <cell r="B9">
            <v>6.816334819380284</v>
          </cell>
          <cell r="C9">
            <v>6.4929395627632989</v>
          </cell>
          <cell r="D9">
            <v>5.7419553379657025</v>
          </cell>
          <cell r="E9">
            <v>6.3976961901787135</v>
          </cell>
          <cell r="F9">
            <v>5.9097605661226948</v>
          </cell>
          <cell r="G9">
            <v>6.20873880141896</v>
          </cell>
          <cell r="H9">
            <v>5.6713255953163904</v>
          </cell>
          <cell r="I9">
            <v>5.1764364082445784</v>
          </cell>
          <cell r="J9">
            <v>6.0828002341331402</v>
          </cell>
          <cell r="K9">
            <v>4.4984026911519868</v>
          </cell>
          <cell r="L9">
            <v>5.1587129649273811</v>
          </cell>
          <cell r="N9">
            <v>5.9097630142995925</v>
          </cell>
          <cell r="O9">
            <v>5.8322821065093757</v>
          </cell>
          <cell r="P9">
            <v>5.9097605661226948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80</v>
          </cell>
        </row>
        <row r="4">
          <cell r="B4">
            <v>1.5899420397996931</v>
          </cell>
          <cell r="C4">
            <v>1.7091201042937465</v>
          </cell>
        </row>
        <row r="80">
          <cell r="W80">
            <v>0.5128437505137341</v>
          </cell>
          <cell r="Z80">
            <v>3.3140741891358401</v>
          </cell>
        </row>
      </sheetData>
      <sheetData sheetId="4">
        <row r="9">
          <cell r="B9">
            <v>1.9101325825767177</v>
          </cell>
          <cell r="C9">
            <v>0.39356475721418183</v>
          </cell>
          <cell r="D9">
            <v>1.8637403074941552</v>
          </cell>
          <cell r="E9">
            <v>2.7868420887675804</v>
          </cell>
          <cell r="F9">
            <v>1.9515469036636033</v>
          </cell>
          <cell r="G9">
            <v>1.1070094217118187</v>
          </cell>
          <cell r="H9">
            <v>1.9319838905595013</v>
          </cell>
          <cell r="I9">
            <v>1.8862477377294695</v>
          </cell>
          <cell r="J9">
            <v>1.7046257909173999</v>
          </cell>
          <cell r="K9">
            <v>2.1826708636709888</v>
          </cell>
          <cell r="L9">
            <v>2.5035887324093213</v>
          </cell>
          <cell r="N9">
            <v>1.7581301740323461</v>
          </cell>
          <cell r="O9">
            <v>1.8383593706104302</v>
          </cell>
          <cell r="P9">
            <v>1.9101325825767177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1.3978771235478149</v>
          </cell>
          <cell r="C4">
            <v>1.6314067957297724</v>
          </cell>
        </row>
        <row r="94">
          <cell r="W94">
            <v>0.10571153145199022</v>
          </cell>
          <cell r="Z94">
            <v>6.0787613422417062</v>
          </cell>
        </row>
      </sheetData>
      <sheetData sheetId="4">
        <row r="9">
          <cell r="B9">
            <v>1.5890791993788627</v>
          </cell>
          <cell r="C9">
            <v>0.95462000593323748</v>
          </cell>
          <cell r="D9">
            <v>1.6345871560873924</v>
          </cell>
          <cell r="E9">
            <v>0.95414769937466137</v>
          </cell>
          <cell r="F9">
            <v>0.17908290706407279</v>
          </cell>
          <cell r="G9">
            <v>1.6655281423364396</v>
          </cell>
          <cell r="H9">
            <v>2.1218277604410165</v>
          </cell>
          <cell r="I9">
            <v>1.6469479615338531E-3</v>
          </cell>
          <cell r="J9">
            <v>2.1734623604536241</v>
          </cell>
          <cell r="K9">
            <v>0</v>
          </cell>
          <cell r="L9">
            <v>0</v>
          </cell>
          <cell r="N9">
            <v>1.8057822103183745</v>
          </cell>
          <cell r="O9">
            <v>1.2526646865589823</v>
          </cell>
          <cell r="P9">
            <v>1.5890791993788627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84</v>
          </cell>
        </row>
        <row r="4">
          <cell r="B4">
            <v>1.1033207974845816</v>
          </cell>
          <cell r="C4">
            <v>1.4339433805035213</v>
          </cell>
        </row>
        <row r="84">
          <cell r="W84">
            <v>0.17288823992227054</v>
          </cell>
          <cell r="Z84">
            <v>2.6876304421933934</v>
          </cell>
        </row>
      </sheetData>
      <sheetData sheetId="4">
        <row r="9">
          <cell r="B9">
            <v>0.1943806022637681</v>
          </cell>
          <cell r="C9">
            <v>1.1855436803756498</v>
          </cell>
          <cell r="D9">
            <v>0.19029464348146283</v>
          </cell>
          <cell r="E9">
            <v>0.5118786019981727</v>
          </cell>
          <cell r="F9">
            <v>1.9510313759405149</v>
          </cell>
          <cell r="G9">
            <v>0.68204550617690329</v>
          </cell>
          <cell r="H9">
            <v>2.8569666531700455</v>
          </cell>
          <cell r="I9">
            <v>2.0474153216513185</v>
          </cell>
          <cell r="J9">
            <v>1.9181505363685061</v>
          </cell>
          <cell r="K9">
            <v>1.4217498767287482</v>
          </cell>
          <cell r="L9">
            <v>0.88668615807026185</v>
          </cell>
          <cell r="N9">
            <v>1.1800914793618371</v>
          </cell>
          <cell r="O9">
            <v>1.2587402687477593</v>
          </cell>
          <cell r="P9">
            <v>1.1855436803756498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1.8805471099022815</v>
          </cell>
          <cell r="C4">
            <v>2.2373527227819947</v>
          </cell>
        </row>
        <row r="106">
          <cell r="W106">
            <v>7.6950166250595448E-2</v>
          </cell>
          <cell r="Z106">
            <v>6.0601312696263721</v>
          </cell>
        </row>
      </sheetData>
      <sheetData sheetId="4">
        <row r="9">
          <cell r="B9">
            <v>4.5853529013080854</v>
          </cell>
          <cell r="C9">
            <v>0.47921744235784752</v>
          </cell>
          <cell r="D9">
            <v>2.6181725153309698</v>
          </cell>
          <cell r="E9">
            <v>0.85742731730717048</v>
          </cell>
          <cell r="F9">
            <v>0.4835684337244941</v>
          </cell>
          <cell r="G9">
            <v>0.46429471169041392</v>
          </cell>
          <cell r="H9">
            <v>2.0307281088550675</v>
          </cell>
          <cell r="I9">
            <v>1.9944140883199708</v>
          </cell>
          <cell r="J9">
            <v>1.5478487959292209</v>
          </cell>
          <cell r="K9">
            <v>2.980295537061155</v>
          </cell>
          <cell r="L9">
            <v>2.6990561880414154</v>
          </cell>
          <cell r="N9">
            <v>1.0532775784201787</v>
          </cell>
          <cell r="O9">
            <v>1.8854887309023463</v>
          </cell>
          <cell r="P9">
            <v>1.9944140883199708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0.79512042779524827</v>
          </cell>
          <cell r="C4">
            <v>0.8391591487676151</v>
          </cell>
        </row>
        <row r="90">
          <cell r="W90">
            <v>8.4654358508872818E-2</v>
          </cell>
          <cell r="Z90">
            <v>1.9513767162961744</v>
          </cell>
        </row>
      </sheetData>
      <sheetData sheetId="4">
        <row r="9">
          <cell r="B9">
            <v>1.0275939805813836</v>
          </cell>
          <cell r="C9">
            <v>0.85830954274894744</v>
          </cell>
          <cell r="D9">
            <v>1.1095833408840687</v>
          </cell>
          <cell r="E9">
            <v>0.85543345588913255</v>
          </cell>
          <cell r="F9">
            <v>0.6366347071160039</v>
          </cell>
          <cell r="G9">
            <v>0.54207697781175135</v>
          </cell>
          <cell r="H9">
            <v>0.75601179595419377</v>
          </cell>
          <cell r="I9">
            <v>1.0728505419402117</v>
          </cell>
          <cell r="J9">
            <v>0.43599062253162069</v>
          </cell>
          <cell r="K9">
            <v>0.83534243436130262</v>
          </cell>
          <cell r="L9">
            <v>0.70621042230622644</v>
          </cell>
          <cell r="N9">
            <v>0.83756064642761585</v>
          </cell>
          <cell r="O9">
            <v>0.80327616564771287</v>
          </cell>
          <cell r="P9">
            <v>0.83534243436130262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112</v>
          </cell>
        </row>
        <row r="4">
          <cell r="B4">
            <v>5.8544081605076537</v>
          </cell>
          <cell r="C4">
            <v>5.863180052686821</v>
          </cell>
        </row>
        <row r="112">
          <cell r="W112">
            <v>4.51756312070947</v>
          </cell>
          <cell r="Z112">
            <v>7.1811205622713237</v>
          </cell>
        </row>
      </sheetData>
      <sheetData sheetId="4">
        <row r="9">
          <cell r="B9">
            <v>5.2951538238492963</v>
          </cell>
          <cell r="C9">
            <v>6.6607239097723641</v>
          </cell>
          <cell r="D9">
            <v>4.9529942513891321</v>
          </cell>
          <cell r="E9">
            <v>6.1273373175754511</v>
          </cell>
          <cell r="F9">
            <v>6.4487947506282053</v>
          </cell>
          <cell r="G9">
            <v>5.1593114677557299</v>
          </cell>
          <cell r="H9">
            <v>6.683504310673035</v>
          </cell>
          <cell r="I9">
            <v>5.3215474278398496</v>
          </cell>
          <cell r="J9">
            <v>5.3599375068548563</v>
          </cell>
          <cell r="K9">
            <v>6.286591774965971</v>
          </cell>
          <cell r="L9">
            <v>6.3451456191362245</v>
          </cell>
          <cell r="N9">
            <v>5.8450657163390769</v>
          </cell>
          <cell r="O9">
            <v>5.8764583782218294</v>
          </cell>
          <cell r="P9">
            <v>6.1273373175754511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2.4177425699484387</v>
          </cell>
          <cell r="C4">
            <v>2.739520965699429</v>
          </cell>
        </row>
        <row r="94">
          <cell r="W94">
            <v>6.5086937098376152E-2</v>
          </cell>
          <cell r="Z94">
            <v>7.0842476898422131</v>
          </cell>
        </row>
      </sheetData>
      <sheetData sheetId="4">
        <row r="9">
          <cell r="B9">
            <v>4.066716520120127</v>
          </cell>
          <cell r="C9">
            <v>2.2687671369039362</v>
          </cell>
          <cell r="D9">
            <v>0.17075106265882073</v>
          </cell>
          <cell r="E9">
            <v>0.22928276541493628</v>
          </cell>
          <cell r="F9">
            <v>0.67158900013415146</v>
          </cell>
          <cell r="G9">
            <v>1.8961630344717286</v>
          </cell>
          <cell r="H9">
            <v>5.4914838879782675</v>
          </cell>
          <cell r="I9">
            <v>0.48756417300172128</v>
          </cell>
          <cell r="J9">
            <v>4.5255925510970405</v>
          </cell>
          <cell r="K9">
            <v>0.44295370752221314</v>
          </cell>
          <cell r="L9">
            <v>4.947947694110324</v>
          </cell>
          <cell r="N9">
            <v>2.8421155348763305</v>
          </cell>
          <cell r="O9">
            <v>2.2908010484921153</v>
          </cell>
          <cell r="P9">
            <v>1.8961630344717286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100</v>
          </cell>
        </row>
        <row r="4">
          <cell r="B4">
            <v>3.0442097309110441</v>
          </cell>
          <cell r="C4">
            <v>3.0030001784227802</v>
          </cell>
        </row>
        <row r="100">
          <cell r="W100">
            <v>1.523821201456004</v>
          </cell>
          <cell r="Z100">
            <v>4.5359151521037662</v>
          </cell>
        </row>
      </sheetData>
      <sheetData sheetId="4">
        <row r="9">
          <cell r="B9">
            <v>4.5147361724989148</v>
          </cell>
          <cell r="C9">
            <v>1.2211522704134572</v>
          </cell>
          <cell r="D9">
            <v>2.0061128293930177</v>
          </cell>
          <cell r="E9">
            <v>2.322897535697261</v>
          </cell>
          <cell r="F9">
            <v>3.2126671441368808</v>
          </cell>
          <cell r="G9">
            <v>2.499146353012629</v>
          </cell>
          <cell r="H9">
            <v>3.856495407251729</v>
          </cell>
          <cell r="I9">
            <v>3.5830130256263297</v>
          </cell>
          <cell r="J9">
            <v>3.4957283836050137</v>
          </cell>
          <cell r="K9">
            <v>2.4514287187075472</v>
          </cell>
          <cell r="L9">
            <v>3.6985546216365113</v>
          </cell>
          <cell r="N9">
            <v>3.0448609375894211</v>
          </cell>
          <cell r="O9">
            <v>2.9874484056344808</v>
          </cell>
          <cell r="P9">
            <v>3.2126671441368808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4.6727477234500405</v>
          </cell>
          <cell r="C4">
            <v>4.6796282842100752</v>
          </cell>
        </row>
        <row r="94">
          <cell r="W94">
            <v>3.3347975844372222</v>
          </cell>
          <cell r="Z94">
            <v>6.0221762006289863</v>
          </cell>
        </row>
      </sheetData>
      <sheetData sheetId="4">
        <row r="9">
          <cell r="B9">
            <v>4.8592097991621275</v>
          </cell>
          <cell r="C9">
            <v>4.5500719586982212</v>
          </cell>
          <cell r="D9">
            <v>3.9456164430164562</v>
          </cell>
          <cell r="E9">
            <v>4.7387863018363179</v>
          </cell>
          <cell r="F9">
            <v>3.5156583025373163</v>
          </cell>
          <cell r="G9">
            <v>4.7901989880401876</v>
          </cell>
          <cell r="H9">
            <v>4.3001878881766373</v>
          </cell>
          <cell r="I9">
            <v>4.6690591929658121</v>
          </cell>
          <cell r="J9">
            <v>5.7145588789302559</v>
          </cell>
          <cell r="K9">
            <v>5.555213332480383</v>
          </cell>
          <cell r="L9">
            <v>4.8257861319813333</v>
          </cell>
          <cell r="N9">
            <v>4.7127980390983959</v>
          </cell>
          <cell r="O9">
            <v>4.6785770198022769</v>
          </cell>
          <cell r="P9">
            <v>4.7387863018363179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1.1053488840533972</v>
          </cell>
          <cell r="C4">
            <v>1.0673737243552117</v>
          </cell>
        </row>
        <row r="98">
          <cell r="W98">
            <v>0.23589279585855186</v>
          </cell>
          <cell r="Z98">
            <v>1.7160655865533117</v>
          </cell>
        </row>
      </sheetData>
      <sheetData sheetId="4">
        <row r="9">
          <cell r="B9">
            <v>1.1974136019352595</v>
          </cell>
          <cell r="C9">
            <v>1.173104181322624</v>
          </cell>
          <cell r="D9">
            <v>1.1326982999999999</v>
          </cell>
          <cell r="E9">
            <v>1.1743062826588104</v>
          </cell>
          <cell r="F9">
            <v>1.052259790631922</v>
          </cell>
          <cell r="G9">
            <v>1.2668292590462447</v>
          </cell>
          <cell r="H9">
            <v>1.0565799728710483</v>
          </cell>
          <cell r="I9">
            <v>1.2054264272716799</v>
          </cell>
          <cell r="J9">
            <v>1.1371822251693102</v>
          </cell>
          <cell r="K9">
            <v>1.3515036</v>
          </cell>
          <cell r="L9">
            <v>1.1309390216880748</v>
          </cell>
          <cell r="N9">
            <v>1.2107941299955944</v>
          </cell>
          <cell r="O9">
            <v>1.1707493329631795</v>
          </cell>
          <cell r="P9">
            <v>1.173104181322624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86</v>
          </cell>
        </row>
        <row r="4">
          <cell r="B4">
            <v>1.6380052346401039</v>
          </cell>
          <cell r="C4">
            <v>1.6544029456238394</v>
          </cell>
        </row>
        <row r="86">
          <cell r="W86">
            <v>0.26594605067374349</v>
          </cell>
          <cell r="Z86">
            <v>2.8092650246328379</v>
          </cell>
        </row>
      </sheetData>
      <sheetData sheetId="4">
        <row r="9">
          <cell r="B9">
            <v>1.6001255154222087</v>
          </cell>
          <cell r="C9">
            <v>1.4554199980967222</v>
          </cell>
          <cell r="D9">
            <v>1.4329221467553015</v>
          </cell>
          <cell r="E9">
            <v>1.6281560796054433</v>
          </cell>
          <cell r="F9">
            <v>1.9459052039576288</v>
          </cell>
          <cell r="G9">
            <v>2.2343213356203599</v>
          </cell>
          <cell r="H9">
            <v>1.68814094969859</v>
          </cell>
          <cell r="I9">
            <v>0.66013362162646072</v>
          </cell>
          <cell r="J9">
            <v>1.3656146717180273</v>
          </cell>
          <cell r="K9">
            <v>1.8238767034699688</v>
          </cell>
          <cell r="L9">
            <v>1.9218283458818397</v>
          </cell>
          <cell r="N9">
            <v>1.7479347849147757</v>
          </cell>
          <cell r="O9">
            <v>1.6142222338047774</v>
          </cell>
          <cell r="P9">
            <v>1.6281560796054433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140</v>
          </cell>
        </row>
        <row r="4">
          <cell r="B4">
            <v>10.14926855529114</v>
          </cell>
          <cell r="C4">
            <v>10.287253658213206</v>
          </cell>
        </row>
        <row r="140">
          <cell r="W140">
            <v>8.1574031607171147</v>
          </cell>
          <cell r="Z140">
            <v>12.757876471532853</v>
          </cell>
        </row>
      </sheetData>
      <sheetData sheetId="4">
        <row r="9">
          <cell r="B9">
            <v>10.321287291040822</v>
          </cell>
          <cell r="C9">
            <v>11.67743906131107</v>
          </cell>
          <cell r="D9">
            <v>11.069513916310884</v>
          </cell>
          <cell r="E9">
            <v>9.6274749974274751</v>
          </cell>
          <cell r="F9">
            <v>11.385637173380667</v>
          </cell>
          <cell r="G9">
            <v>9.0960491518123252</v>
          </cell>
          <cell r="H9">
            <v>11.357871983972968</v>
          </cell>
          <cell r="I9">
            <v>9.3917097146044277</v>
          </cell>
          <cell r="J9">
            <v>9.3098761165605577</v>
          </cell>
          <cell r="K9">
            <v>8.751971390254969</v>
          </cell>
          <cell r="L9">
            <v>11.09985620117846</v>
          </cell>
          <cell r="N9">
            <v>10.266544353392582</v>
          </cell>
          <cell r="O9">
            <v>10.280789727077693</v>
          </cell>
          <cell r="P9">
            <v>10.321287291040822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114</v>
          </cell>
        </row>
        <row r="4">
          <cell r="B4">
            <v>5.7899772169628267</v>
          </cell>
          <cell r="C4">
            <v>5.7786318968111638</v>
          </cell>
        </row>
        <row r="114">
          <cell r="W114">
            <v>4.3054474353242203</v>
          </cell>
          <cell r="Z114">
            <v>7.2186419757155296</v>
          </cell>
        </row>
      </sheetData>
      <sheetData sheetId="4">
        <row r="9">
          <cell r="B9">
            <v>5.3418631197728912</v>
          </cell>
          <cell r="C9">
            <v>4.9379337747511984</v>
          </cell>
          <cell r="D9">
            <v>6.4547587693976469</v>
          </cell>
          <cell r="E9">
            <v>5.3465169153950622</v>
          </cell>
          <cell r="F9">
            <v>5.8708657940192053</v>
          </cell>
          <cell r="G9">
            <v>7.5189993747698693</v>
          </cell>
          <cell r="H9">
            <v>7.0852707729915121</v>
          </cell>
          <cell r="I9">
            <v>5.5292476624249645</v>
          </cell>
          <cell r="J9">
            <v>4.6933604368071338</v>
          </cell>
          <cell r="K9">
            <v>6.7747598664263693</v>
          </cell>
          <cell r="L9">
            <v>4.5180796194191961</v>
          </cell>
          <cell r="N9">
            <v>5.7846662638584263</v>
          </cell>
          <cell r="O9">
            <v>5.8246960096522766</v>
          </cell>
          <cell r="P9">
            <v>5.5292476624249645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4.2000637134031473</v>
          </cell>
          <cell r="C4">
            <v>4.1804315738424433</v>
          </cell>
        </row>
        <row r="92">
          <cell r="W92">
            <v>3.0147688919296693</v>
          </cell>
          <cell r="Z92">
            <v>5.1707895614538195</v>
          </cell>
        </row>
      </sheetData>
      <sheetData sheetId="4">
        <row r="9">
          <cell r="B9">
            <v>4.2401270721822879</v>
          </cell>
          <cell r="C9">
            <v>4.280904990567528</v>
          </cell>
          <cell r="D9">
            <v>3.6151963361505111</v>
          </cell>
          <cell r="E9">
            <v>4.6817547117265397</v>
          </cell>
          <cell r="F9">
            <v>3.4769213450170708</v>
          </cell>
          <cell r="G9">
            <v>4.1630463022080946</v>
          </cell>
          <cell r="H9">
            <v>4.4660815490268924</v>
          </cell>
          <cell r="I9">
            <v>5.2920899725466883</v>
          </cell>
          <cell r="J9">
            <v>4.390178027699263</v>
          </cell>
          <cell r="K9">
            <v>3.5544702004102109</v>
          </cell>
          <cell r="L9">
            <v>4.0567690733470192</v>
          </cell>
          <cell r="N9">
            <v>4.1961994239519118</v>
          </cell>
          <cell r="O9">
            <v>4.2015945073529188</v>
          </cell>
          <cell r="P9">
            <v>4.2401270721822879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3.0660405274316695</v>
          </cell>
          <cell r="C4">
            <v>3.1293633176591347</v>
          </cell>
        </row>
        <row r="78">
          <cell r="W78">
            <v>1.8920035195660192</v>
          </cell>
          <cell r="Z78">
            <v>4.6392408944575694</v>
          </cell>
        </row>
      </sheetData>
      <sheetData sheetId="4">
        <row r="9">
          <cell r="B9">
            <v>2.8291911228996227</v>
          </cell>
          <cell r="C9">
            <v>2.66339086256813</v>
          </cell>
          <cell r="D9">
            <v>2.9874245761707332</v>
          </cell>
          <cell r="E9">
            <v>2.3693179623033336</v>
          </cell>
          <cell r="F9">
            <v>3.0304133961342132</v>
          </cell>
          <cell r="G9">
            <v>2.4780777773997471</v>
          </cell>
          <cell r="H9">
            <v>2.4046066943793831</v>
          </cell>
          <cell r="I9">
            <v>2.877252527865521</v>
          </cell>
          <cell r="J9">
            <v>4.1507363036536837</v>
          </cell>
          <cell r="K9">
            <v>3.5693614499096853</v>
          </cell>
          <cell r="L9">
            <v>4.0295269558205034</v>
          </cell>
          <cell r="N9">
            <v>3.0768090236881971</v>
          </cell>
          <cell r="O9">
            <v>3.0353908753731416</v>
          </cell>
          <cell r="P9">
            <v>2.877252527865521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74</v>
          </cell>
        </row>
        <row r="4">
          <cell r="B4">
            <v>2.1944477900152832</v>
          </cell>
          <cell r="C4">
            <v>2.1864261343784528</v>
          </cell>
        </row>
        <row r="74">
          <cell r="W74">
            <v>1.4580275449000524</v>
          </cell>
          <cell r="Z74">
            <v>3.0704971365773366</v>
          </cell>
        </row>
      </sheetData>
      <sheetData sheetId="4">
        <row r="9">
          <cell r="B9">
            <v>2.7137254354858587</v>
          </cell>
          <cell r="C9">
            <v>1.9546462488120886</v>
          </cell>
          <cell r="D9">
            <v>2.0377620989864331</v>
          </cell>
          <cell r="E9">
            <v>1.943918926373615</v>
          </cell>
          <cell r="F9">
            <v>2.0658264804756916</v>
          </cell>
          <cell r="G9">
            <v>2.4661005715643376</v>
          </cell>
          <cell r="H9">
            <v>2.4246845903400116</v>
          </cell>
          <cell r="I9">
            <v>1.7501841422483699</v>
          </cell>
          <cell r="J9">
            <v>2.4273634942318685</v>
          </cell>
          <cell r="K9">
            <v>2.0513162978988482</v>
          </cell>
          <cell r="L9">
            <v>2.9874350039979718</v>
          </cell>
          <cell r="N9">
            <v>2.2722340768754412</v>
          </cell>
          <cell r="O9">
            <v>2.2566330264013725</v>
          </cell>
          <cell r="P9">
            <v>2.0658264804756916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134</v>
          </cell>
        </row>
        <row r="4">
          <cell r="B4">
            <v>6.4767468860775352</v>
          </cell>
          <cell r="C4">
            <v>6.560689228506658</v>
          </cell>
        </row>
        <row r="134">
          <cell r="W134">
            <v>3.9347981696231225</v>
          </cell>
          <cell r="Z134">
            <v>9.9315068919691214</v>
          </cell>
        </row>
      </sheetData>
      <sheetData sheetId="4">
        <row r="9">
          <cell r="B9">
            <v>5.6433657063031992</v>
          </cell>
          <cell r="C9">
            <v>7.4110390979155989</v>
          </cell>
          <cell r="D9">
            <v>7.1783133035489985</v>
          </cell>
          <cell r="E9">
            <v>6.1854517649437053</v>
          </cell>
          <cell r="F9">
            <v>7.3697904023124758</v>
          </cell>
          <cell r="G9">
            <v>4.7563263653542336</v>
          </cell>
          <cell r="H9">
            <v>6.0111291640949567</v>
          </cell>
          <cell r="I9">
            <v>7.4166985032000632</v>
          </cell>
          <cell r="J9">
            <v>5.8103855357406511</v>
          </cell>
          <cell r="K9">
            <v>6.1206218165270423</v>
          </cell>
          <cell r="L9">
            <v>10.562370504619631</v>
          </cell>
          <cell r="N9">
            <v>6.5621365929695319</v>
          </cell>
          <cell r="O9">
            <v>6.7695901967782328</v>
          </cell>
          <cell r="P9">
            <v>6.1854517649437053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122</v>
          </cell>
        </row>
        <row r="4">
          <cell r="B4">
            <v>6.0536639512878372</v>
          </cell>
          <cell r="C4">
            <v>6.2254865137699111</v>
          </cell>
        </row>
        <row r="122">
          <cell r="W122">
            <v>4.6836955469343762</v>
          </cell>
          <cell r="Z122">
            <v>8.6786186293696659</v>
          </cell>
        </row>
      </sheetData>
      <sheetData sheetId="4">
        <row r="9">
          <cell r="B9">
            <v>7.7822908102800072</v>
          </cell>
          <cell r="C9">
            <v>6.9623058597373033</v>
          </cell>
          <cell r="D9">
            <v>8.0733253495884387</v>
          </cell>
          <cell r="E9">
            <v>6.4767160453631858</v>
          </cell>
          <cell r="F9">
            <v>6.8123418730987089</v>
          </cell>
          <cell r="G9">
            <v>5.5022478374535764</v>
          </cell>
          <cell r="H9">
            <v>4.9743476319964834</v>
          </cell>
          <cell r="I9">
            <v>5.4595995201514276</v>
          </cell>
          <cell r="J9">
            <v>5.2222138455460589</v>
          </cell>
          <cell r="K9">
            <v>5.9879901962955255</v>
          </cell>
          <cell r="L9">
            <v>6.385909722334457</v>
          </cell>
          <cell r="N9">
            <v>6.0819916219815369</v>
          </cell>
          <cell r="O9">
            <v>6.330844426531379</v>
          </cell>
          <cell r="P9">
            <v>6.385909722334457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3.7202680611026473</v>
          </cell>
          <cell r="C4">
            <v>3.6752999151774275</v>
          </cell>
        </row>
        <row r="102">
          <cell r="W102">
            <v>2.6161400182439047</v>
          </cell>
          <cell r="Z102">
            <v>4.7312103548789652</v>
          </cell>
        </row>
      </sheetData>
      <sheetData sheetId="4">
        <row r="9">
          <cell r="B9">
            <v>3.10494488117223</v>
          </cell>
          <cell r="C9">
            <v>4.1819050876849753</v>
          </cell>
          <cell r="D9">
            <v>3.4406705546813749</v>
          </cell>
          <cell r="E9">
            <v>4.1474894529918718</v>
          </cell>
          <cell r="F9">
            <v>2.8929545160825731</v>
          </cell>
          <cell r="G9">
            <v>4.1728897695634144</v>
          </cell>
          <cell r="H9">
            <v>3.2926311310685787</v>
          </cell>
          <cell r="I9">
            <v>3.949104887688466</v>
          </cell>
          <cell r="J9">
            <v>3.9209113528504873</v>
          </cell>
          <cell r="K9">
            <v>4.2077878525038876</v>
          </cell>
          <cell r="L9">
            <v>3.5645171653490042</v>
          </cell>
          <cell r="N9">
            <v>3.7272025493475223</v>
          </cell>
          <cell r="O9">
            <v>3.7159824228760785</v>
          </cell>
          <cell r="P9">
            <v>3.9209113528504873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2.6796964057505659</v>
          </cell>
          <cell r="C4">
            <v>2.6945760521217337</v>
          </cell>
        </row>
        <row r="102">
          <cell r="W102">
            <v>1.9463997249433505</v>
          </cell>
          <cell r="Z102">
            <v>3.5448151198754196</v>
          </cell>
        </row>
      </sheetData>
      <sheetData sheetId="4">
        <row r="9">
          <cell r="B9">
            <v>3.2925249999999999</v>
          </cell>
          <cell r="C9">
            <v>2.3078213999999999</v>
          </cell>
          <cell r="D9">
            <v>3.7490562595950179</v>
          </cell>
          <cell r="E9">
            <v>2.4931247000000001</v>
          </cell>
          <cell r="F9">
            <v>2.4983109873565925</v>
          </cell>
          <cell r="G9">
            <v>2.895546208685472</v>
          </cell>
          <cell r="H9">
            <v>2.7432482999999999</v>
          </cell>
          <cell r="I9">
            <v>3.2120294</v>
          </cell>
          <cell r="J9">
            <v>2.8255587867677923</v>
          </cell>
          <cell r="K9">
            <v>2.1549514467538491</v>
          </cell>
          <cell r="L9">
            <v>2.1438223795924953</v>
          </cell>
          <cell r="N9">
            <v>2.6826283000000002</v>
          </cell>
          <cell r="O9">
            <v>2.755999533522838</v>
          </cell>
          <cell r="P9">
            <v>2.7432482999999999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2.7101880155735794</v>
          </cell>
          <cell r="C4">
            <v>2.7346751340300068</v>
          </cell>
        </row>
        <row r="92">
          <cell r="W92">
            <v>1.6965690597494787</v>
          </cell>
          <cell r="Z92">
            <v>3.7450074116830945</v>
          </cell>
        </row>
      </sheetData>
      <sheetData sheetId="4">
        <row r="9">
          <cell r="B9">
            <v>2.1677747120910005</v>
          </cell>
          <cell r="C9">
            <v>3.0986489044273777</v>
          </cell>
          <cell r="D9">
            <v>2.4075136987901242</v>
          </cell>
          <cell r="E9">
            <v>2.6436084024836277</v>
          </cell>
          <cell r="F9">
            <v>2.319843850118819</v>
          </cell>
          <cell r="G9">
            <v>2.4383347556652337</v>
          </cell>
          <cell r="H9">
            <v>2.9608606412201555</v>
          </cell>
          <cell r="I9">
            <v>2.6381743083902376</v>
          </cell>
          <cell r="J9">
            <v>3.6951150715909398</v>
          </cell>
          <cell r="K9">
            <v>2.5724612996808776</v>
          </cell>
          <cell r="L9">
            <v>3.3725289007494195</v>
          </cell>
          <cell r="N9">
            <v>2.7604543960358332</v>
          </cell>
          <cell r="O9">
            <v>2.7558967768370737</v>
          </cell>
          <cell r="P9">
            <v>2.6381743083902376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76</v>
          </cell>
        </row>
        <row r="4">
          <cell r="B4">
            <v>1.1745997596128586</v>
          </cell>
          <cell r="C4">
            <v>1.1999260671211924</v>
          </cell>
        </row>
        <row r="76">
          <cell r="W76">
            <v>0.37744904188922562</v>
          </cell>
          <cell r="Z76">
            <v>2.1181870757822598</v>
          </cell>
        </row>
      </sheetData>
      <sheetData sheetId="4">
        <row r="9">
          <cell r="B9">
            <v>1.1693580432742188</v>
          </cell>
          <cell r="C9">
            <v>1.0993326688802241</v>
          </cell>
          <cell r="D9">
            <v>1.215018757240379</v>
          </cell>
          <cell r="E9">
            <v>1.1467548688266753</v>
          </cell>
          <cell r="F9">
            <v>1.3344758735368518</v>
          </cell>
          <cell r="G9">
            <v>1.655868776037926</v>
          </cell>
          <cell r="H9">
            <v>1.4605459644383283</v>
          </cell>
          <cell r="I9">
            <v>1.3632321439664818</v>
          </cell>
          <cell r="J9">
            <v>1.0258841764878035</v>
          </cell>
          <cell r="K9">
            <v>1.2554841028086159</v>
          </cell>
          <cell r="L9">
            <v>1.1224477266658781</v>
          </cell>
          <cell r="N9">
            <v>1.358726137395138</v>
          </cell>
          <cell r="O9">
            <v>1.2589457365603076</v>
          </cell>
          <cell r="P9">
            <v>1.215018757240379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2.9038805283853391</v>
          </cell>
          <cell r="C4">
            <v>2.9183947608379492</v>
          </cell>
        </row>
        <row r="90">
          <cell r="W90">
            <v>2.1551048340110595</v>
          </cell>
          <cell r="Z90">
            <v>3.6459008564808046</v>
          </cell>
        </row>
      </sheetData>
      <sheetData sheetId="4">
        <row r="9">
          <cell r="B9">
            <v>2.7676266581824738</v>
          </cell>
          <cell r="C9">
            <v>2.489641376268938</v>
          </cell>
          <cell r="D9">
            <v>2.5324382631245044</v>
          </cell>
          <cell r="E9">
            <v>3.2505645924796958</v>
          </cell>
          <cell r="F9">
            <v>3.8401007827444347</v>
          </cell>
          <cell r="G9">
            <v>2.8785662410090613</v>
          </cell>
          <cell r="H9">
            <v>2.8340435826916539</v>
          </cell>
          <cell r="I9">
            <v>3.319699364280754</v>
          </cell>
          <cell r="J9">
            <v>3.1281949175000379</v>
          </cell>
          <cell r="K9">
            <v>3.0148036658642838</v>
          </cell>
          <cell r="L9">
            <v>2.4637854767868483</v>
          </cell>
          <cell r="N9">
            <v>2.9712714157605151</v>
          </cell>
          <cell r="O9">
            <v>2.9563149928120627</v>
          </cell>
          <cell r="P9">
            <v>2.8785662410090613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134</v>
          </cell>
        </row>
        <row r="4">
          <cell r="B4">
            <v>6.9101198814562945</v>
          </cell>
          <cell r="C4">
            <v>6.9635889491913749</v>
          </cell>
        </row>
        <row r="134">
          <cell r="W134">
            <v>0.6642655363348825</v>
          </cell>
          <cell r="Z134">
            <v>13.775343005002645</v>
          </cell>
        </row>
      </sheetData>
      <sheetData sheetId="4">
        <row r="9">
          <cell r="B9">
            <v>3.5525438656368112E-2</v>
          </cell>
          <cell r="C9">
            <v>2.8884827855011541</v>
          </cell>
          <cell r="D9">
            <v>1.0975416670130329</v>
          </cell>
          <cell r="E9">
            <v>5.4047832098647461</v>
          </cell>
          <cell r="F9">
            <v>5.5835568281513295</v>
          </cell>
          <cell r="G9">
            <v>5.8986677973599742</v>
          </cell>
          <cell r="H9">
            <v>8.8454461249651981</v>
          </cell>
          <cell r="I9">
            <v>12.045932576716286</v>
          </cell>
          <cell r="J9">
            <v>0</v>
          </cell>
          <cell r="K9">
            <v>0</v>
          </cell>
          <cell r="L9">
            <v>11.309347797864984</v>
          </cell>
          <cell r="N9">
            <v>7.0342173182555046</v>
          </cell>
          <cell r="O9">
            <v>5.9010315806770093</v>
          </cell>
          <cell r="P9">
            <v>5.5835568281513295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100</v>
          </cell>
        </row>
        <row r="4">
          <cell r="B4">
            <v>2.808618810541637</v>
          </cell>
          <cell r="C4">
            <v>2.8295146578745323</v>
          </cell>
        </row>
        <row r="100">
          <cell r="W100">
            <v>1.9611350422399851</v>
          </cell>
          <cell r="Z100">
            <v>3.9009944125352249</v>
          </cell>
        </row>
      </sheetData>
      <sheetData sheetId="4">
        <row r="9">
          <cell r="B9">
            <v>3.3168717165106809</v>
          </cell>
          <cell r="C9">
            <v>2.3780327185049543</v>
          </cell>
          <cell r="D9">
            <v>3.4916732960747101</v>
          </cell>
          <cell r="E9">
            <v>2.990895218823642</v>
          </cell>
          <cell r="F9">
            <v>2.7116857924776876</v>
          </cell>
          <cell r="G9">
            <v>2.6209831116319378</v>
          </cell>
          <cell r="H9">
            <v>2.3643729045409625</v>
          </cell>
          <cell r="I9">
            <v>2.6206625040929934</v>
          </cell>
          <cell r="J9">
            <v>2.2906653666002277</v>
          </cell>
          <cell r="K9">
            <v>3.0058194327771046</v>
          </cell>
          <cell r="L9">
            <v>2.8372663730718477</v>
          </cell>
          <cell r="N9">
            <v>2.7947488515533481</v>
          </cell>
          <cell r="O9">
            <v>2.784448039555159</v>
          </cell>
          <cell r="P9">
            <v>2.7116857924776876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2.3589769376241296</v>
          </cell>
          <cell r="C4">
            <v>2.5882926347380852</v>
          </cell>
        </row>
        <row r="90">
          <cell r="W90">
            <v>1.0928692058644576</v>
          </cell>
          <cell r="Z90">
            <v>4.9780826351980236</v>
          </cell>
        </row>
      </sheetData>
      <sheetData sheetId="4">
        <row r="9">
          <cell r="B9">
            <v>1.3358034345611163</v>
          </cell>
          <cell r="C9">
            <v>1.7146645951543908</v>
          </cell>
          <cell r="D9">
            <v>1.2406163441935805</v>
          </cell>
          <cell r="E9">
            <v>1.7150322352460976</v>
          </cell>
          <cell r="F9">
            <v>2.1522527009404193</v>
          </cell>
          <cell r="G9">
            <v>2.1505837358176501</v>
          </cell>
          <cell r="H9">
            <v>2.7183890271001889</v>
          </cell>
          <cell r="I9">
            <v>2.940705625602428</v>
          </cell>
          <cell r="J9">
            <v>3.3327907420172371</v>
          </cell>
          <cell r="K9">
            <v>2.3239103298978416</v>
          </cell>
          <cell r="L9">
            <v>2.954988988007885</v>
          </cell>
          <cell r="N9">
            <v>2.3246768398546362</v>
          </cell>
          <cell r="O9">
            <v>2.2345216144126212</v>
          </cell>
          <cell r="P9">
            <v>2.1522527009404193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3.4541327552465777</v>
          </cell>
          <cell r="C4">
            <v>3.4504051115561669</v>
          </cell>
        </row>
        <row r="94">
          <cell r="W94">
            <v>1.3742782764224566</v>
          </cell>
          <cell r="Z94">
            <v>5.1834749844602763</v>
          </cell>
        </row>
      </sheetData>
      <sheetData sheetId="4">
        <row r="9">
          <cell r="B9">
            <v>4.0698046029671318</v>
          </cell>
          <cell r="C9">
            <v>3.7970274047715384</v>
          </cell>
          <cell r="D9">
            <v>3.167185569338395</v>
          </cell>
          <cell r="E9">
            <v>2.4226864833205246</v>
          </cell>
          <cell r="F9">
            <v>3.3247649165480917</v>
          </cell>
          <cell r="G9">
            <v>2.7536237147542839</v>
          </cell>
          <cell r="H9">
            <v>2.4099649953243794</v>
          </cell>
          <cell r="I9">
            <v>4.7157838441495761</v>
          </cell>
          <cell r="J9">
            <v>3.6301420867203706</v>
          </cell>
          <cell r="K9">
            <v>4.2338569741834418</v>
          </cell>
          <cell r="L9">
            <v>2.7545345626118443</v>
          </cell>
          <cell r="N9">
            <v>3.5186242465450461</v>
          </cell>
          <cell r="O9">
            <v>3.3890341049717794</v>
          </cell>
          <cell r="P9">
            <v>3.3247649165480917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3.6246159451279198</v>
          </cell>
          <cell r="C4">
            <v>3.7404021508193237</v>
          </cell>
        </row>
        <row r="102">
          <cell r="W102">
            <v>1.6919100620901153</v>
          </cell>
          <cell r="Z102">
            <v>6.8875909471605548</v>
          </cell>
        </row>
      </sheetData>
      <sheetData sheetId="4">
        <row r="9">
          <cell r="B9">
            <v>0</v>
          </cell>
          <cell r="C9">
            <v>3.1057469214492475</v>
          </cell>
          <cell r="D9">
            <v>4.0506645405085244</v>
          </cell>
          <cell r="E9">
            <v>4.2154495952423634</v>
          </cell>
          <cell r="F9">
            <v>3.3561230028764224</v>
          </cell>
          <cell r="G9">
            <v>4.5096053799963549</v>
          </cell>
          <cell r="H9">
            <v>2.6053433842620128</v>
          </cell>
          <cell r="I9">
            <v>3.9987146849416599</v>
          </cell>
          <cell r="J9">
            <v>3.5592562907198082</v>
          </cell>
          <cell r="K9">
            <v>5.1654333111101431</v>
          </cell>
          <cell r="L9">
            <v>2.069989576108652</v>
          </cell>
          <cell r="N9">
            <v>3.6433087333495093</v>
          </cell>
          <cell r="O9">
            <v>3.6636326687215197</v>
          </cell>
          <cell r="P9">
            <v>3.7789854878307341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1.879567322609843</v>
          </cell>
          <cell r="C4">
            <v>1.8445212762685341</v>
          </cell>
        </row>
        <row r="88">
          <cell r="W88">
            <v>0.85844216728477185</v>
          </cell>
          <cell r="Z88">
            <v>2.6365550793521062</v>
          </cell>
        </row>
      </sheetData>
      <sheetData sheetId="4">
        <row r="9">
          <cell r="B9">
            <v>2.3492885936134509</v>
          </cell>
          <cell r="C9">
            <v>1.2520103419094037</v>
          </cell>
          <cell r="D9">
            <v>1.7815242525381032</v>
          </cell>
          <cell r="E9">
            <v>2.0110300164061132</v>
          </cell>
          <cell r="F9">
            <v>1.8962838181082478</v>
          </cell>
          <cell r="G9">
            <v>1.5567241253231794</v>
          </cell>
          <cell r="H9">
            <v>1.7409310209944968</v>
          </cell>
          <cell r="I9">
            <v>1.7412562747072946</v>
          </cell>
          <cell r="J9">
            <v>1.7150794279929724</v>
          </cell>
          <cell r="K9">
            <v>1.9899642645827849</v>
          </cell>
          <cell r="L9">
            <v>2.4254860229322683</v>
          </cell>
          <cell r="N9">
            <v>1.9062867990738059</v>
          </cell>
          <cell r="O9">
            <v>1.8599616508280286</v>
          </cell>
          <cell r="P9">
            <v>1.7815242525381032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2.1881285597719105</v>
          </cell>
          <cell r="C4">
            <v>2.2150224156789227</v>
          </cell>
        </row>
        <row r="82">
          <cell r="W82">
            <v>0.85524107141847128</v>
          </cell>
          <cell r="Z82">
            <v>3.929345110611421</v>
          </cell>
        </row>
      </sheetData>
      <sheetData sheetId="4">
        <row r="9">
          <cell r="B9">
            <v>2.465244370872719</v>
          </cell>
          <cell r="C9">
            <v>2.2349388161482544</v>
          </cell>
          <cell r="D9">
            <v>2.0768599254104814</v>
          </cell>
          <cell r="E9">
            <v>0</v>
          </cell>
          <cell r="F9">
            <v>2.5021846706386599</v>
          </cell>
          <cell r="G9">
            <v>2.0790357250120253</v>
          </cell>
          <cell r="H9">
            <v>2.3774759011088866</v>
          </cell>
          <cell r="I9">
            <v>2.4214555419831476</v>
          </cell>
          <cell r="J9">
            <v>1.2808968867356474</v>
          </cell>
          <cell r="K9">
            <v>2.3279887451632431</v>
          </cell>
          <cell r="L9">
            <v>1.7340624311430874</v>
          </cell>
          <cell r="N9">
            <v>2.208509530094382</v>
          </cell>
          <cell r="O9">
            <v>2.1500143014216149</v>
          </cell>
          <cell r="P9">
            <v>2.2814637806557485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140</v>
          </cell>
        </row>
        <row r="4">
          <cell r="B4">
            <v>13.660204596904778</v>
          </cell>
          <cell r="C4">
            <v>13.793216460032752</v>
          </cell>
        </row>
        <row r="140">
          <cell r="W140">
            <v>11.482350692214027</v>
          </cell>
          <cell r="Z140">
            <v>16.20080822708314</v>
          </cell>
        </row>
      </sheetData>
      <sheetData sheetId="4">
        <row r="9">
          <cell r="B9">
            <v>14.229429932070721</v>
          </cell>
          <cell r="C9">
            <v>15.643046773533952</v>
          </cell>
          <cell r="D9">
            <v>15.626546616300308</v>
          </cell>
          <cell r="E9">
            <v>14.576742533273931</v>
          </cell>
          <cell r="F9">
            <v>13.801875816853345</v>
          </cell>
          <cell r="G9">
            <v>13.891187392692894</v>
          </cell>
          <cell r="H9">
            <v>12.806274760188458</v>
          </cell>
          <cell r="I9">
            <v>14.28710857120697</v>
          </cell>
          <cell r="J9">
            <v>13.511790258921813</v>
          </cell>
          <cell r="K9">
            <v>12.778947464779177</v>
          </cell>
          <cell r="L9">
            <v>10.78569676285357</v>
          </cell>
          <cell r="N9">
            <v>13.775396563136141</v>
          </cell>
          <cell r="O9">
            <v>13.812604262061377</v>
          </cell>
          <cell r="P9">
            <v>13.891187392692894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76</v>
          </cell>
        </row>
        <row r="4">
          <cell r="B4">
            <v>1.4926226129052709</v>
          </cell>
          <cell r="C4">
            <v>3.145445089359979</v>
          </cell>
        </row>
        <row r="76">
          <cell r="W76">
            <v>1.0941768330096017E-6</v>
          </cell>
          <cell r="Z76">
            <v>28.111614392205684</v>
          </cell>
        </row>
      </sheetData>
      <sheetData sheetId="4">
        <row r="9">
          <cell r="B9">
            <v>0.25601066430494934</v>
          </cell>
          <cell r="C9">
            <v>0.23634318993810241</v>
          </cell>
          <cell r="D9">
            <v>4.0578682541496408E-2</v>
          </cell>
          <cell r="E9">
            <v>0.21883470320620241</v>
          </cell>
          <cell r="F9">
            <v>1.5664996838824983</v>
          </cell>
          <cell r="G9">
            <v>0.22868842055025956</v>
          </cell>
          <cell r="H9">
            <v>0.39105781919588301</v>
          </cell>
          <cell r="I9">
            <v>1.5376934837518943</v>
          </cell>
          <cell r="J9">
            <v>3.017644836807484</v>
          </cell>
          <cell r="K9">
            <v>0.38916812634340647</v>
          </cell>
          <cell r="L9">
            <v>2.8362410902794957</v>
          </cell>
          <cell r="N9">
            <v>2.220348403145139</v>
          </cell>
          <cell r="O9">
            <v>0.97443279098197022</v>
          </cell>
          <cell r="P9">
            <v>0.38916812634340647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3.463541193774053</v>
          </cell>
          <cell r="C4">
            <v>3.5172067222677454</v>
          </cell>
        </row>
        <row r="88">
          <cell r="W88">
            <v>1.4729890063485782</v>
          </cell>
          <cell r="Z88">
            <v>5.9456838253855278</v>
          </cell>
        </row>
      </sheetData>
      <sheetData sheetId="4">
        <row r="9">
          <cell r="B9">
            <v>4.4690672434637069</v>
          </cell>
          <cell r="C9">
            <v>3.4755936117525628</v>
          </cell>
          <cell r="D9">
            <v>3.6376812458018839</v>
          </cell>
          <cell r="E9">
            <v>3.6310950192392135</v>
          </cell>
          <cell r="F9">
            <v>2.8962302959824568</v>
          </cell>
          <cell r="G9">
            <v>3.1215441058042455</v>
          </cell>
          <cell r="H9">
            <v>2.6732845232081761</v>
          </cell>
          <cell r="I9">
            <v>3.2440962001216316</v>
          </cell>
          <cell r="J9">
            <v>2.6407791437654509</v>
          </cell>
          <cell r="K9">
            <v>4.3825880235487862</v>
          </cell>
          <cell r="L9">
            <v>4.3769168444219257</v>
          </cell>
          <cell r="N9">
            <v>3.4962468184437299</v>
          </cell>
          <cell r="O9">
            <v>3.5044432961009124</v>
          </cell>
          <cell r="P9">
            <v>3.4755936117525628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80</v>
          </cell>
        </row>
        <row r="4">
          <cell r="B4">
            <v>3.1999157218233107</v>
          </cell>
          <cell r="C4">
            <v>3.1858939445430399</v>
          </cell>
        </row>
        <row r="80">
          <cell r="W80">
            <v>0.83033475767493015</v>
          </cell>
          <cell r="Z80">
            <v>5.1245044416771792</v>
          </cell>
        </row>
      </sheetData>
      <sheetData sheetId="4">
        <row r="9">
          <cell r="B9">
            <v>3.8612811981293609</v>
          </cell>
          <cell r="C9">
            <v>3.1025872767489249</v>
          </cell>
          <cell r="D9">
            <v>3.1578572270905996</v>
          </cell>
          <cell r="E9">
            <v>1.7932289650113844</v>
          </cell>
          <cell r="F9">
            <v>2.5746251049580464</v>
          </cell>
          <cell r="G9">
            <v>2.3770834285248053</v>
          </cell>
          <cell r="H9">
            <v>3.2749091293881354</v>
          </cell>
          <cell r="I9">
            <v>3.1121871083614723</v>
          </cell>
          <cell r="J9">
            <v>3.0233126945397131</v>
          </cell>
          <cell r="K9">
            <v>4.1023222431386079</v>
          </cell>
          <cell r="L9">
            <v>3.0895908393922622</v>
          </cell>
          <cell r="N9">
            <v>3.2303690985320777</v>
          </cell>
          <cell r="O9">
            <v>3.0426350195712102</v>
          </cell>
          <cell r="P9">
            <v>3.1025872767489249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112</v>
          </cell>
        </row>
        <row r="4">
          <cell r="B4">
            <v>3.6128493931548435</v>
          </cell>
          <cell r="C4">
            <v>3.6124725444871215</v>
          </cell>
        </row>
        <row r="112">
          <cell r="W112">
            <v>2.6380616015365717</v>
          </cell>
          <cell r="Z112">
            <v>4.6111329601292415</v>
          </cell>
        </row>
      </sheetData>
      <sheetData sheetId="4">
        <row r="9">
          <cell r="B9">
            <v>3.5783411175071302</v>
          </cell>
          <cell r="C9">
            <v>3.5871694414039617</v>
          </cell>
          <cell r="D9">
            <v>3.9474073973266735</v>
          </cell>
          <cell r="E9">
            <v>4.1219659447582604</v>
          </cell>
          <cell r="F9">
            <v>3.9711047397907286</v>
          </cell>
          <cell r="G9">
            <v>3.5608915367686786</v>
          </cell>
          <cell r="H9">
            <v>4.5906269656760212</v>
          </cell>
          <cell r="I9">
            <v>4.2601772709284367</v>
          </cell>
          <cell r="J9">
            <v>3.0548343127772761</v>
          </cell>
          <cell r="K9">
            <v>2.9166182576462134</v>
          </cell>
          <cell r="L9">
            <v>3.4100160751750379</v>
          </cell>
          <cell r="N9">
            <v>3.6807750746647465</v>
          </cell>
          <cell r="O9">
            <v>3.7271957327053111</v>
          </cell>
          <cell r="P9">
            <v>3.5871694414039617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2.4459357327345654</v>
          </cell>
          <cell r="C4">
            <v>2.8157285297986738</v>
          </cell>
        </row>
        <row r="90">
          <cell r="W90">
            <v>0.94308186813565542</v>
          </cell>
          <cell r="Z90">
            <v>6.6431570426049431</v>
          </cell>
        </row>
      </sheetData>
      <sheetData sheetId="4">
        <row r="9">
          <cell r="B9">
            <v>0.99031714451852071</v>
          </cell>
          <cell r="C9">
            <v>2.4864236158491595</v>
          </cell>
          <cell r="D9">
            <v>3.0414283387573007</v>
          </cell>
          <cell r="E9">
            <v>3.3147287977042734</v>
          </cell>
          <cell r="F9">
            <v>2.3964153306812133</v>
          </cell>
          <cell r="G9">
            <v>1.2708914435363754</v>
          </cell>
          <cell r="H9">
            <v>1.8667697273029258</v>
          </cell>
          <cell r="I9">
            <v>2.2147937774475284</v>
          </cell>
          <cell r="J9">
            <v>2.1704683451872389</v>
          </cell>
          <cell r="K9">
            <v>3.4635197924422827</v>
          </cell>
          <cell r="L9">
            <v>3.7332636598197211</v>
          </cell>
          <cell r="N9">
            <v>2.468520101971639</v>
          </cell>
          <cell r="O9">
            <v>2.4499109066587761</v>
          </cell>
          <cell r="P9">
            <v>2.3964153306812133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70</v>
          </cell>
        </row>
        <row r="4">
          <cell r="B4">
            <v>1.3524104742210277</v>
          </cell>
          <cell r="C4">
            <v>1.315495192953464</v>
          </cell>
        </row>
        <row r="70">
          <cell r="W70">
            <v>0.21559764774072054</v>
          </cell>
          <cell r="Z70">
            <v>2.6093705334001664</v>
          </cell>
        </row>
      </sheetData>
      <sheetData sheetId="4">
        <row r="9">
          <cell r="B9">
            <v>0.93380676132667484</v>
          </cell>
          <cell r="C9">
            <v>1.6522141662289151</v>
          </cell>
          <cell r="D9">
            <v>1.3223972142222704</v>
          </cell>
          <cell r="E9">
            <v>2.0793183645756406</v>
          </cell>
          <cell r="F9">
            <v>1.4142819461302876</v>
          </cell>
          <cell r="G9">
            <v>1.9009414454243216</v>
          </cell>
          <cell r="H9">
            <v>2.2023882144238169</v>
          </cell>
          <cell r="I9">
            <v>1.4118055287144784</v>
          </cell>
          <cell r="J9">
            <v>1.539655712076089</v>
          </cell>
          <cell r="K9">
            <v>1.6090457370685949</v>
          </cell>
          <cell r="L9">
            <v>1.2403998667486955</v>
          </cell>
          <cell r="N9">
            <v>1.7226611570481878</v>
          </cell>
          <cell r="O9">
            <v>1.5732959051763442</v>
          </cell>
          <cell r="P9">
            <v>1.539655712076089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70</v>
          </cell>
        </row>
        <row r="4">
          <cell r="B4">
            <v>0.42646236665132298</v>
          </cell>
          <cell r="C4">
            <v>0.73624705406918944</v>
          </cell>
        </row>
        <row r="70">
          <cell r="W70">
            <v>7.1095791561646424E-3</v>
          </cell>
          <cell r="Z70">
            <v>2.0335998419983579</v>
          </cell>
        </row>
      </sheetData>
      <sheetData sheetId="4">
        <row r="9">
          <cell r="B9">
            <v>0.35756615699693828</v>
          </cell>
          <cell r="C9">
            <v>2.9581066217856927E-3</v>
          </cell>
          <cell r="D9">
            <v>6.2642686000000003E-2</v>
          </cell>
          <cell r="E9">
            <v>0.94725290443081789</v>
          </cell>
          <cell r="F9">
            <v>1.4150391999999999E-2</v>
          </cell>
          <cell r="G9">
            <v>1.0207767750245644</v>
          </cell>
          <cell r="H9">
            <v>1.6269126030449756</v>
          </cell>
          <cell r="I9">
            <v>1.7377176331014259</v>
          </cell>
          <cell r="J9">
            <v>0.85449732117656352</v>
          </cell>
          <cell r="K9">
            <v>0.43342633605611569</v>
          </cell>
          <cell r="L9">
            <v>0.70337921764038691</v>
          </cell>
          <cell r="N9">
            <v>0.71754413280703722</v>
          </cell>
          <cell r="O9">
            <v>0.70557092109941577</v>
          </cell>
          <cell r="P9">
            <v>0.70337921764038691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2.8970259210022915</v>
          </cell>
          <cell r="C4">
            <v>3.0137412706366793</v>
          </cell>
        </row>
        <row r="78">
          <cell r="W78">
            <v>1.4888509973765791</v>
          </cell>
          <cell r="Z78">
            <v>5.7372055349839766</v>
          </cell>
        </row>
      </sheetData>
      <sheetData sheetId="4">
        <row r="9">
          <cell r="B9">
            <v>2.1700861451924816</v>
          </cell>
          <cell r="C9">
            <v>4.0096450156486565</v>
          </cell>
          <cell r="D9">
            <v>5.2881704947937047</v>
          </cell>
          <cell r="E9">
            <v>2.9793418293268732</v>
          </cell>
          <cell r="F9">
            <v>2.4604569326862848</v>
          </cell>
          <cell r="G9">
            <v>2.1541861586446758</v>
          </cell>
          <cell r="H9">
            <v>1.9183537739393699</v>
          </cell>
          <cell r="I9">
            <v>3.1809028029746655</v>
          </cell>
          <cell r="J9">
            <v>4.1735972779948618</v>
          </cell>
          <cell r="K9">
            <v>3.2201802966092163</v>
          </cell>
          <cell r="L9">
            <v>2.8351140519807174</v>
          </cell>
          <cell r="N9">
            <v>2.90813912238356</v>
          </cell>
          <cell r="O9">
            <v>3.1263667981628642</v>
          </cell>
          <cell r="P9">
            <v>2.9793418293268732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1.8801743069924308</v>
          </cell>
          <cell r="C4">
            <v>1.8901434715114138</v>
          </cell>
        </row>
        <row r="88">
          <cell r="W88">
            <v>0.77105141592890125</v>
          </cell>
          <cell r="Z88">
            <v>2.9330886074017366</v>
          </cell>
        </row>
      </sheetData>
      <sheetData sheetId="4">
        <row r="9">
          <cell r="B9">
            <v>0.84446510987508749</v>
          </cell>
          <cell r="C9">
            <v>1.6874010081517985</v>
          </cell>
          <cell r="D9">
            <v>1.8028478634920209</v>
          </cell>
          <cell r="E9">
            <v>1.9149182762900778</v>
          </cell>
          <cell r="F9">
            <v>2.8227437326729361</v>
          </cell>
          <cell r="G9">
            <v>1.2601603435474331</v>
          </cell>
          <cell r="H9">
            <v>1.8931891999999999</v>
          </cell>
          <cell r="I9">
            <v>2.2009794172260948</v>
          </cell>
          <cell r="J9">
            <v>2.0221471429515696</v>
          </cell>
          <cell r="K9">
            <v>2.8734170502233263</v>
          </cell>
          <cell r="L9">
            <v>1.3340998065404341</v>
          </cell>
          <cell r="N9">
            <v>1.8455802835009736</v>
          </cell>
          <cell r="O9">
            <v>1.8778517228155254</v>
          </cell>
          <cell r="P9">
            <v>1.8931891999999999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80</v>
          </cell>
        </row>
        <row r="4">
          <cell r="B4">
            <v>0.91272138148085458</v>
          </cell>
          <cell r="C4">
            <v>0.95200517919126115</v>
          </cell>
        </row>
        <row r="80">
          <cell r="W80">
            <v>0.17994188232811886</v>
          </cell>
          <cell r="Z80">
            <v>2.7866458929099731</v>
          </cell>
        </row>
      </sheetData>
      <sheetData sheetId="4">
        <row r="9">
          <cell r="B9">
            <v>1.1496509825400143</v>
          </cell>
          <cell r="C9">
            <v>0.77767798213137929</v>
          </cell>
          <cell r="D9">
            <v>1.3110802334946172</v>
          </cell>
          <cell r="E9">
            <v>0.22800106938083006</v>
          </cell>
          <cell r="F9">
            <v>0.19904759852050022</v>
          </cell>
          <cell r="G9">
            <v>0.55018087178789288</v>
          </cell>
          <cell r="H9">
            <v>1.4755299755951892</v>
          </cell>
          <cell r="I9">
            <v>1.4314882527486146</v>
          </cell>
          <cell r="J9">
            <v>1.8567184430860848</v>
          </cell>
          <cell r="K9">
            <v>9.0750501168947187E-2</v>
          </cell>
          <cell r="L9">
            <v>2.4914031572499655</v>
          </cell>
          <cell r="N9">
            <v>0.96923024850705841</v>
          </cell>
          <cell r="O9">
            <v>1.0510480970640033</v>
          </cell>
          <cell r="P9">
            <v>1.1496509825400143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1.970595426546681</v>
          </cell>
          <cell r="C4">
            <v>1.9709831584514705</v>
          </cell>
        </row>
        <row r="96">
          <cell r="W96">
            <v>1.2801038751989482</v>
          </cell>
          <cell r="Z96">
            <v>2.7154135655670566</v>
          </cell>
        </row>
      </sheetData>
      <sheetData sheetId="4">
        <row r="9">
          <cell r="B9">
            <v>2.0555292999999999</v>
          </cell>
          <cell r="C9">
            <v>2.1742366</v>
          </cell>
          <cell r="D9">
            <v>2.3038929000000001</v>
          </cell>
          <cell r="E9">
            <v>1.8946083</v>
          </cell>
          <cell r="F9">
            <v>1.5298468000000001</v>
          </cell>
          <cell r="G9">
            <v>1.8335731757311695</v>
          </cell>
          <cell r="H9">
            <v>2.3059666000000001</v>
          </cell>
          <cell r="I9">
            <v>2.2219026323222986</v>
          </cell>
          <cell r="J9">
            <v>2.1222373999999999</v>
          </cell>
          <cell r="K9">
            <v>1.9196302999999999</v>
          </cell>
          <cell r="L9">
            <v>1.3700498000000001</v>
          </cell>
          <cell r="N9">
            <v>1.9860187</v>
          </cell>
          <cell r="O9">
            <v>1.9755885280048608</v>
          </cell>
          <cell r="P9">
            <v>2.0555292999999999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100</v>
          </cell>
        </row>
        <row r="4">
          <cell r="B4">
            <v>2.8291642571276272</v>
          </cell>
          <cell r="C4">
            <v>3.2438626570397262</v>
          </cell>
        </row>
        <row r="100">
          <cell r="W100">
            <v>6.7991390970281382E-2</v>
          </cell>
          <cell r="Z100">
            <v>8.2620452440386511</v>
          </cell>
        </row>
      </sheetData>
      <sheetData sheetId="4">
        <row r="9">
          <cell r="B9">
            <v>3.2040291861926344</v>
          </cell>
          <cell r="C9">
            <v>2.6166113712036787</v>
          </cell>
          <cell r="D9">
            <v>4.3291644669483187</v>
          </cell>
          <cell r="E9">
            <v>4.1640398451640541</v>
          </cell>
          <cell r="F9">
            <v>2.4012621498800284</v>
          </cell>
          <cell r="G9">
            <v>1.5102457020667186</v>
          </cell>
          <cell r="H9">
            <v>4.8191504607227973</v>
          </cell>
          <cell r="I9">
            <v>1.8850124008514937</v>
          </cell>
          <cell r="J9">
            <v>1.3115522280076506</v>
          </cell>
          <cell r="K9">
            <v>4.2203128540685242</v>
          </cell>
          <cell r="L9">
            <v>1.8651643327184346</v>
          </cell>
          <cell r="N9">
            <v>3.2018305673823702</v>
          </cell>
          <cell r="O9">
            <v>2.9387768179840306</v>
          </cell>
          <cell r="P9">
            <v>2.6166113712036787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3.331918350060914</v>
          </cell>
          <cell r="C4">
            <v>3.435906266035567</v>
          </cell>
        </row>
        <row r="106">
          <cell r="W106">
            <v>1.1545195516783817</v>
          </cell>
          <cell r="Z106">
            <v>5.9401244217723983</v>
          </cell>
        </row>
      </sheetData>
      <sheetData sheetId="4">
        <row r="9">
          <cell r="B9">
            <v>3.1604525626542221</v>
          </cell>
          <cell r="C9">
            <v>3.3472753280102947</v>
          </cell>
          <cell r="D9">
            <v>2.2455267709701858</v>
          </cell>
          <cell r="E9">
            <v>2.2908994478634725</v>
          </cell>
          <cell r="F9">
            <v>6.6882263123897427</v>
          </cell>
          <cell r="G9">
            <v>0.19904214141340579</v>
          </cell>
          <cell r="H9">
            <v>2.8464249445105962</v>
          </cell>
          <cell r="I9">
            <v>4.5458567461408181</v>
          </cell>
          <cell r="J9">
            <v>3.4416813460358422</v>
          </cell>
          <cell r="K9">
            <v>2.3301016027380217</v>
          </cell>
          <cell r="L9">
            <v>2.8412313081670666</v>
          </cell>
          <cell r="N9">
            <v>3.4656312568016667</v>
          </cell>
          <cell r="O9">
            <v>3.08515622826306</v>
          </cell>
          <cell r="P9">
            <v>2.8464249445105962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1.059534808399559</v>
          </cell>
          <cell r="C4">
            <v>1.0706893709612504</v>
          </cell>
        </row>
        <row r="90">
          <cell r="W90">
            <v>0.18976125515203882</v>
          </cell>
          <cell r="Z90">
            <v>1.8776657059694559</v>
          </cell>
        </row>
      </sheetData>
      <sheetData sheetId="4">
        <row r="9">
          <cell r="B9">
            <v>1.3416669927187892</v>
          </cell>
          <cell r="C9">
            <v>0.81877729908345698</v>
          </cell>
          <cell r="D9">
            <v>1.0930743597898196</v>
          </cell>
          <cell r="E9">
            <v>0.89585401373501994</v>
          </cell>
          <cell r="F9">
            <v>2.888578885984942E-2</v>
          </cell>
          <cell r="G9">
            <v>1.5389180731184628</v>
          </cell>
          <cell r="H9">
            <v>3.6700823662554276</v>
          </cell>
          <cell r="I9">
            <v>1.3504138806924368</v>
          </cell>
          <cell r="J9">
            <v>1.4451465936657817</v>
          </cell>
          <cell r="K9">
            <v>0.92033081435707709</v>
          </cell>
          <cell r="L9">
            <v>1.1771949740046386</v>
          </cell>
          <cell r="N9">
            <v>1.1378045013672451</v>
          </cell>
          <cell r="O9">
            <v>1.2982131960255237</v>
          </cell>
          <cell r="P9">
            <v>1.1771949740046386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172</v>
          </cell>
        </row>
        <row r="4">
          <cell r="B4">
            <v>10.086733459219143</v>
          </cell>
          <cell r="C4">
            <v>10.019700271311873</v>
          </cell>
        </row>
        <row r="172">
          <cell r="W172">
            <v>8.5154302964472368</v>
          </cell>
          <cell r="Z172">
            <v>11.638711718599565</v>
          </cell>
        </row>
      </sheetData>
      <sheetData sheetId="4">
        <row r="9">
          <cell r="B9">
            <v>10.025391783129059</v>
          </cell>
          <cell r="C9">
            <v>9.7448092595910953</v>
          </cell>
          <cell r="D9">
            <v>9.6801726292661421</v>
          </cell>
          <cell r="E9">
            <v>10.19204963680113</v>
          </cell>
          <cell r="F9">
            <v>9.9734417810088036</v>
          </cell>
          <cell r="G9">
            <v>10.372489943540307</v>
          </cell>
          <cell r="H9">
            <v>9.1897941180873008</v>
          </cell>
          <cell r="I9">
            <v>9.5361125215747187</v>
          </cell>
          <cell r="J9">
            <v>9.8049233669523641</v>
          </cell>
          <cell r="K9">
            <v>11.171642076214699</v>
          </cell>
          <cell r="L9">
            <v>11.214007260461948</v>
          </cell>
          <cell r="N9">
            <v>10.070219144803083</v>
          </cell>
          <cell r="O9">
            <v>10.082257670602507</v>
          </cell>
          <cell r="P9">
            <v>9.9734417810088036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104</v>
          </cell>
        </row>
        <row r="4">
          <cell r="B4">
            <v>4.0745785049437711</v>
          </cell>
          <cell r="C4">
            <v>4.152281419489066</v>
          </cell>
        </row>
        <row r="104">
          <cell r="W104">
            <v>2.0610191592410807</v>
          </cell>
          <cell r="Z104">
            <v>6.0932476313582704</v>
          </cell>
        </row>
      </sheetData>
      <sheetData sheetId="4">
        <row r="9">
          <cell r="B9">
            <v>3.6048133588544533</v>
          </cell>
          <cell r="C9">
            <v>4.4454633646845352</v>
          </cell>
          <cell r="D9">
            <v>5.0943681025686987</v>
          </cell>
          <cell r="E9">
            <v>3.3893883346417915</v>
          </cell>
          <cell r="F9">
            <v>4.0338694696651594</v>
          </cell>
          <cell r="G9">
            <v>4.9701410980513838</v>
          </cell>
          <cell r="H9">
            <v>3.9569729677673338</v>
          </cell>
          <cell r="I9">
            <v>3.8782211087474945</v>
          </cell>
          <cell r="J9">
            <v>1.8456614558169424</v>
          </cell>
          <cell r="K9">
            <v>3.5270810471195273</v>
          </cell>
          <cell r="L9">
            <v>4.5007405431984298</v>
          </cell>
          <cell r="N9">
            <v>3.9999952152737124</v>
          </cell>
          <cell r="O9">
            <v>3.9315200773741599</v>
          </cell>
          <cell r="P9">
            <v>3.9569729677673338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4.4571849100726926</v>
          </cell>
          <cell r="C4">
            <v>4.4393133704591676</v>
          </cell>
        </row>
        <row r="98">
          <cell r="W98">
            <v>2.698399860778093</v>
          </cell>
          <cell r="Z98">
            <v>6.1107310772787926</v>
          </cell>
        </row>
      </sheetData>
      <sheetData sheetId="4">
        <row r="9">
          <cell r="B9">
            <v>6.2882635177145376</v>
          </cell>
          <cell r="C9">
            <v>5.5071639519471915</v>
          </cell>
          <cell r="D9">
            <v>5.4286155592896739</v>
          </cell>
          <cell r="E9">
            <v>3.5724641789612095</v>
          </cell>
          <cell r="F9">
            <v>4.4854849278962758</v>
          </cell>
          <cell r="G9">
            <v>4.0324639503567443</v>
          </cell>
          <cell r="H9">
            <v>5.8655476638008652</v>
          </cell>
          <cell r="I9">
            <v>5.0583718795072281</v>
          </cell>
          <cell r="J9">
            <v>3.6300374609247572</v>
          </cell>
          <cell r="K9">
            <v>3.0341533440745434</v>
          </cell>
          <cell r="L9">
            <v>3.7853250030310255</v>
          </cell>
          <cell r="N9">
            <v>4.4215724715505011</v>
          </cell>
          <cell r="O9">
            <v>4.6079901306821869</v>
          </cell>
          <cell r="P9">
            <v>4.4854849278962758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3.6334459400731016</v>
          </cell>
          <cell r="C4">
            <v>3.6562016743337575</v>
          </cell>
        </row>
        <row r="94">
          <cell r="W94">
            <v>1.5615558270903276</v>
          </cell>
          <cell r="Z94">
            <v>6.2186538011990189</v>
          </cell>
        </row>
      </sheetData>
      <sheetData sheetId="4">
        <row r="9">
          <cell r="B9">
            <v>3.6564558440153343</v>
          </cell>
          <cell r="C9">
            <v>2.7105512589253244</v>
          </cell>
          <cell r="D9">
            <v>1.9251779609851742</v>
          </cell>
          <cell r="E9">
            <v>3.2485566404292552</v>
          </cell>
          <cell r="F9">
            <v>4.61435028196441</v>
          </cell>
          <cell r="G9">
            <v>0.81757165212035621</v>
          </cell>
          <cell r="H9">
            <v>4.8879635919957281</v>
          </cell>
          <cell r="I9">
            <v>3.9824669495411533</v>
          </cell>
          <cell r="J9">
            <v>2.6086774938586808</v>
          </cell>
          <cell r="K9">
            <v>5.934296143830907</v>
          </cell>
          <cell r="L9">
            <v>4.3419051747356834</v>
          </cell>
          <cell r="N9">
            <v>3.6977879026266929</v>
          </cell>
          <cell r="O9">
            <v>3.5207248174910917</v>
          </cell>
          <cell r="P9">
            <v>3.6564558440153343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112</v>
          </cell>
        </row>
        <row r="4">
          <cell r="B4">
            <v>4.9405818232279621</v>
          </cell>
          <cell r="C4">
            <v>4.9569482593116847</v>
          </cell>
        </row>
        <row r="112">
          <cell r="W112">
            <v>4.2541599087828894</v>
          </cell>
          <cell r="Z112">
            <v>5.8384787035469703</v>
          </cell>
        </row>
      </sheetData>
      <sheetData sheetId="4">
        <row r="9">
          <cell r="B9">
            <v>4.2254655636477612</v>
          </cell>
          <cell r="C9">
            <v>4.2239374730361696</v>
          </cell>
          <cell r="D9">
            <v>4.7142732139587631</v>
          </cell>
          <cell r="E9">
            <v>5.4511003154096906</v>
          </cell>
          <cell r="F9">
            <v>4.7189129655733861</v>
          </cell>
          <cell r="G9">
            <v>4.7395609286266964</v>
          </cell>
          <cell r="H9">
            <v>5.6126799854480307</v>
          </cell>
          <cell r="I9">
            <v>5.004356308918724</v>
          </cell>
          <cell r="J9">
            <v>5.3359429414572244</v>
          </cell>
          <cell r="K9">
            <v>5.31933450593462</v>
          </cell>
          <cell r="L9">
            <v>5.1948602248226194</v>
          </cell>
          <cell r="N9">
            <v>4.9453552205812059</v>
          </cell>
          <cell r="O9">
            <v>4.9582204024394265</v>
          </cell>
          <cell r="P9">
            <v>5.004356308918724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86</v>
          </cell>
        </row>
        <row r="4">
          <cell r="B4">
            <v>2.1030937234470337</v>
          </cell>
          <cell r="C4">
            <v>2.1044063708929106</v>
          </cell>
        </row>
        <row r="86">
          <cell r="W86">
            <v>1.5614368408881261</v>
          </cell>
          <cell r="Z86">
            <v>2.6869051073261048</v>
          </cell>
        </row>
      </sheetData>
      <sheetData sheetId="4">
        <row r="9">
          <cell r="B9">
            <v>1.7877880641353554</v>
          </cell>
          <cell r="C9">
            <v>2.3945155460228729</v>
          </cell>
          <cell r="D9">
            <v>2.3799407333734486</v>
          </cell>
          <cell r="E9">
            <v>2.5436985429289471</v>
          </cell>
          <cell r="F9">
            <v>1.9217560045045012</v>
          </cell>
          <cell r="G9">
            <v>2.1534514295880927</v>
          </cell>
          <cell r="H9">
            <v>2.0254707141506567</v>
          </cell>
          <cell r="I9">
            <v>1.9538094495616831</v>
          </cell>
          <cell r="J9">
            <v>2.3387231684193157</v>
          </cell>
          <cell r="K9">
            <v>1.9256167293038411</v>
          </cell>
          <cell r="L9">
            <v>1.9936823644742645</v>
          </cell>
          <cell r="N9">
            <v>2.1285415095209603</v>
          </cell>
          <cell r="O9">
            <v>2.1289502496784527</v>
          </cell>
          <cell r="P9">
            <v>2.0254707141506567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80</v>
          </cell>
        </row>
        <row r="4">
          <cell r="B4">
            <v>0.92274105467161283</v>
          </cell>
          <cell r="C4">
            <v>0.91797539138676543</v>
          </cell>
        </row>
        <row r="80">
          <cell r="W80">
            <v>0.14661854266872734</v>
          </cell>
          <cell r="Z80">
            <v>1.9131221490774126</v>
          </cell>
        </row>
      </sheetData>
      <sheetData sheetId="4">
        <row r="9">
          <cell r="B9">
            <v>0.74196594365630708</v>
          </cell>
          <cell r="C9">
            <v>1.5485044695535379</v>
          </cell>
          <cell r="D9">
            <v>1.0117965787460381</v>
          </cell>
          <cell r="E9">
            <v>1.041110342342098</v>
          </cell>
          <cell r="F9">
            <v>1.6646172919212445</v>
          </cell>
          <cell r="G9">
            <v>1.5483265656794516</v>
          </cell>
          <cell r="H9">
            <v>0.6075254972157792</v>
          </cell>
          <cell r="I9">
            <v>0.12983650327657789</v>
          </cell>
          <cell r="J9">
            <v>0.75316857824067296</v>
          </cell>
          <cell r="K9">
            <v>0.26812680070764605</v>
          </cell>
          <cell r="L9">
            <v>1.5514947326492046</v>
          </cell>
          <cell r="N9">
            <v>1.0416634806192344</v>
          </cell>
          <cell r="O9">
            <v>0.98786120945350542</v>
          </cell>
          <cell r="P9">
            <v>1.0117965787460381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70</v>
          </cell>
        </row>
        <row r="4">
          <cell r="B4">
            <v>0.93164186704089469</v>
          </cell>
          <cell r="C4">
            <v>0.89294554126834524</v>
          </cell>
        </row>
        <row r="77">
          <cell r="W77">
            <v>0.1908058553170815</v>
          </cell>
          <cell r="Z77">
            <v>1.6409043075744483</v>
          </cell>
        </row>
      </sheetData>
      <sheetData sheetId="4">
        <row r="9">
          <cell r="B9">
            <v>0.95606077690890501</v>
          </cell>
          <cell r="C9">
            <v>1.2092336729178079</v>
          </cell>
          <cell r="D9">
            <v>1.0707394009198545</v>
          </cell>
          <cell r="E9">
            <v>1.184686654347944</v>
          </cell>
          <cell r="F9">
            <v>0.99724951766067638</v>
          </cell>
          <cell r="G9">
            <v>1.0338763845268559</v>
          </cell>
          <cell r="H9">
            <v>0.65774831361206121</v>
          </cell>
          <cell r="I9">
            <v>0.73819522129025772</v>
          </cell>
          <cell r="J9">
            <v>0.81749955142928121</v>
          </cell>
          <cell r="K9">
            <v>0.88857219571202029</v>
          </cell>
          <cell r="L9">
            <v>1.1203963031503068</v>
          </cell>
          <cell r="N9">
            <v>1.11839694622699</v>
          </cell>
          <cell r="O9">
            <v>0.97038709022508829</v>
          </cell>
          <cell r="P9">
            <v>0.99724951766067638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108</v>
          </cell>
        </row>
        <row r="4">
          <cell r="B4">
            <v>4.6864609471910317</v>
          </cell>
          <cell r="C4">
            <v>5.5901777971532036</v>
          </cell>
        </row>
        <row r="108">
          <cell r="W108">
            <v>2.8911555160929279E-2</v>
          </cell>
          <cell r="Z108">
            <v>15.436205961409318</v>
          </cell>
        </row>
      </sheetData>
      <sheetData sheetId="4">
        <row r="9">
          <cell r="B9">
            <v>4.5898122409363251E-3</v>
          </cell>
          <cell r="C9">
            <v>0.18722624158611309</v>
          </cell>
          <cell r="D9">
            <v>3.1586694861347278</v>
          </cell>
          <cell r="E9">
            <v>3.9081682266398041</v>
          </cell>
          <cell r="F9">
            <v>4.9867010672960292</v>
          </cell>
          <cell r="G9">
            <v>1.3402471666961697</v>
          </cell>
          <cell r="H9">
            <v>1.4819962245646214</v>
          </cell>
          <cell r="I9">
            <v>0.16239318134623676</v>
          </cell>
          <cell r="J9">
            <v>0.91047772904680113</v>
          </cell>
          <cell r="K9">
            <v>5.0992712451162951</v>
          </cell>
          <cell r="L9">
            <v>7.4910973719192953</v>
          </cell>
          <cell r="N9">
            <v>4.7922658503381879</v>
          </cell>
          <cell r="O9">
            <v>2.6118943411442754</v>
          </cell>
          <cell r="P9">
            <v>1.4819962245646214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1.8126671426545138</v>
          </cell>
          <cell r="C4">
            <v>4.1399415815918079</v>
          </cell>
        </row>
        <row r="102">
          <cell r="W102">
            <v>1.2729530579443583E-2</v>
          </cell>
          <cell r="Z102">
            <v>39.069553228854289</v>
          </cell>
        </row>
      </sheetData>
      <sheetData sheetId="4">
        <row r="9">
          <cell r="B9">
            <v>2.644325943048444</v>
          </cell>
          <cell r="C9">
            <v>2.4675612761483166</v>
          </cell>
          <cell r="D9">
            <v>1.6828261139296101</v>
          </cell>
          <cell r="E9">
            <v>2.3176058688176421E-2</v>
          </cell>
          <cell r="F9">
            <v>4.1655160999964559E-2</v>
          </cell>
          <cell r="G9">
            <v>5.2729288538016977E-2</v>
          </cell>
          <cell r="H9">
            <v>0</v>
          </cell>
          <cell r="I9">
            <v>1.1878758997367609</v>
          </cell>
          <cell r="J9">
            <v>1.8160920415021025</v>
          </cell>
          <cell r="K9">
            <v>1.6848983555801056</v>
          </cell>
          <cell r="L9">
            <v>5.6880671587698499</v>
          </cell>
          <cell r="N9">
            <v>1.7633835487752345</v>
          </cell>
          <cell r="O9">
            <v>1.7289207296941349</v>
          </cell>
          <cell r="P9">
            <v>1.6838622347548577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0.64855849054853398</v>
          </cell>
          <cell r="C4">
            <v>1.2126984092474471</v>
          </cell>
        </row>
        <row r="78">
          <cell r="W78">
            <v>1.2627198647822469E-8</v>
          </cell>
          <cell r="Z78">
            <v>4.4098491428098123</v>
          </cell>
        </row>
      </sheetData>
      <sheetData sheetId="4">
        <row r="9">
          <cell r="B9">
            <v>8.1353091076717177E-2</v>
          </cell>
          <cell r="C9">
            <v>3.054514241391141E-8</v>
          </cell>
          <cell r="D9">
            <v>0.17437692803648094</v>
          </cell>
          <cell r="E9">
            <v>5.7686701E-2</v>
          </cell>
          <cell r="F9">
            <v>1.0312924850253364</v>
          </cell>
          <cell r="G9">
            <v>0.60383862990258552</v>
          </cell>
          <cell r="H9">
            <v>8.5375396845299018E-2</v>
          </cell>
          <cell r="I9">
            <v>1.0972429636967069</v>
          </cell>
          <cell r="J9">
            <v>1.9571588871447703</v>
          </cell>
          <cell r="K9">
            <v>3.4937609943160859</v>
          </cell>
          <cell r="L9">
            <v>1.1300243617796335</v>
          </cell>
          <cell r="N9">
            <v>0.90527624367389259</v>
          </cell>
          <cell r="O9">
            <v>0.88291913357897789</v>
          </cell>
          <cell r="P9">
            <v>0.60383862990258552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110</v>
          </cell>
        </row>
        <row r="4">
          <cell r="B4">
            <v>3.1392206073532778</v>
          </cell>
          <cell r="C4">
            <v>3.164314019727525</v>
          </cell>
        </row>
        <row r="110">
          <cell r="W110">
            <v>1.9689574680479216</v>
          </cell>
          <cell r="Z110">
            <v>4.7226777125591486</v>
          </cell>
        </row>
      </sheetData>
      <sheetData sheetId="4">
        <row r="9">
          <cell r="B9">
            <v>4.3314108318835842</v>
          </cell>
          <cell r="C9">
            <v>3.3345808960614591</v>
          </cell>
          <cell r="D9">
            <v>3.0990439603035185</v>
          </cell>
          <cell r="E9">
            <v>2.2299569216779864</v>
          </cell>
          <cell r="F9">
            <v>3.9279545567589955</v>
          </cell>
          <cell r="G9">
            <v>4.7520698082535615</v>
          </cell>
          <cell r="H9">
            <v>2.7156401774780128</v>
          </cell>
          <cell r="I9">
            <v>2.1706424780249693</v>
          </cell>
          <cell r="J9">
            <v>2.4753006706623379</v>
          </cell>
          <cell r="K9">
            <v>2.3565435558674857</v>
          </cell>
          <cell r="L9">
            <v>2.7752710728749235</v>
          </cell>
          <cell r="N9">
            <v>3.0267122444954397</v>
          </cell>
          <cell r="O9">
            <v>3.1062195390769847</v>
          </cell>
          <cell r="P9">
            <v>2.7752710728749235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2.1224785298892086</v>
          </cell>
          <cell r="C4">
            <v>2.1285520366316963</v>
          </cell>
        </row>
        <row r="98">
          <cell r="W98">
            <v>0.99470172814344804</v>
          </cell>
          <cell r="Z98">
            <v>3.1781885811683819</v>
          </cell>
        </row>
      </sheetData>
      <sheetData sheetId="4">
        <row r="9">
          <cell r="B9">
            <v>2.5104640006129006</v>
          </cell>
          <cell r="C9">
            <v>2.1112618316656202</v>
          </cell>
          <cell r="D9">
            <v>1.9197677192140394</v>
          </cell>
          <cell r="E9">
            <v>2.4632381801746339</v>
          </cell>
          <cell r="F9">
            <v>2.4402455421655436</v>
          </cell>
          <cell r="G9">
            <v>1.5080565063468039</v>
          </cell>
          <cell r="H9">
            <v>2.7354908716022073</v>
          </cell>
          <cell r="I9">
            <v>1.7004037846018785</v>
          </cell>
          <cell r="J9">
            <v>1.8232090369177001</v>
          </cell>
          <cell r="K9">
            <v>2.9588793621661398</v>
          </cell>
          <cell r="L9">
            <v>1.7574745178066939</v>
          </cell>
          <cell r="N9">
            <v>2.2335100564372055</v>
          </cell>
          <cell r="O9">
            <v>2.175317395752197</v>
          </cell>
          <cell r="P9">
            <v>2.1112618316656202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1.5989753633196315</v>
          </cell>
          <cell r="C4">
            <v>1.6107035015917426</v>
          </cell>
        </row>
        <row r="94">
          <cell r="W94">
            <v>0.27434016084748519</v>
          </cell>
          <cell r="Z94">
            <v>2.7029420397047992</v>
          </cell>
        </row>
      </sheetData>
      <sheetData sheetId="4">
        <row r="9">
          <cell r="B9">
            <v>1.8969468364347506</v>
          </cell>
          <cell r="C9">
            <v>1.5198353930784294</v>
          </cell>
          <cell r="D9">
            <v>1.205789272522201</v>
          </cell>
          <cell r="E9">
            <v>1.1866074098878441</v>
          </cell>
          <cell r="F9">
            <v>2.3476141942879711</v>
          </cell>
          <cell r="G9">
            <v>1.5129952960307698</v>
          </cell>
          <cell r="H9">
            <v>1.8503630900943198</v>
          </cell>
          <cell r="I9">
            <v>2.6035204228126929</v>
          </cell>
          <cell r="J9">
            <v>1.1380470593263516</v>
          </cell>
          <cell r="K9">
            <v>1.5808267257940853</v>
          </cell>
          <cell r="L9">
            <v>1.6875228414034387</v>
          </cell>
          <cell r="N9">
            <v>1.6336926764600761</v>
          </cell>
          <cell r="O9">
            <v>1.6845516856066232</v>
          </cell>
          <cell r="P9">
            <v>1.5808267257940853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76</v>
          </cell>
        </row>
        <row r="4">
          <cell r="B4">
            <v>1.3582963529028569</v>
          </cell>
          <cell r="C4">
            <v>1.4064386557941879</v>
          </cell>
        </row>
        <row r="76">
          <cell r="W76">
            <v>0.30778011541133665</v>
          </cell>
          <cell r="Z76">
            <v>2.6525856327746857</v>
          </cell>
        </row>
      </sheetData>
      <sheetData sheetId="4">
        <row r="9">
          <cell r="B9">
            <v>1.324064864000023</v>
          </cell>
          <cell r="C9">
            <v>1.42784272679813</v>
          </cell>
          <cell r="D9">
            <v>0.94760538585872822</v>
          </cell>
          <cell r="E9">
            <v>1.0682814243839083</v>
          </cell>
          <cell r="F9">
            <v>1.7896606888217341</v>
          </cell>
          <cell r="G9">
            <v>2.0318819507511128</v>
          </cell>
          <cell r="H9">
            <v>1.6689741881751741</v>
          </cell>
          <cell r="I9">
            <v>1.5396522453319934</v>
          </cell>
          <cell r="J9">
            <v>1.5026320564560505</v>
          </cell>
          <cell r="K9">
            <v>1.3222471956705681</v>
          </cell>
          <cell r="L9">
            <v>6.8745898E-2</v>
          </cell>
          <cell r="N9">
            <v>1.4621932618539208</v>
          </cell>
          <cell r="O9">
            <v>1.3355989658406746</v>
          </cell>
          <cell r="P9">
            <v>1.42784272679813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84</v>
          </cell>
        </row>
        <row r="4">
          <cell r="B4">
            <v>0.96192128399138177</v>
          </cell>
          <cell r="C4">
            <v>0.88486527407452509</v>
          </cell>
        </row>
        <row r="84">
          <cell r="W84">
            <v>6.4051104639584092E-2</v>
          </cell>
          <cell r="Z84">
            <v>1.5525590465382788</v>
          </cell>
        </row>
      </sheetData>
      <sheetData sheetId="4">
        <row r="9">
          <cell r="B9">
            <v>1.1761923439623569</v>
          </cell>
          <cell r="C9">
            <v>1.278111625688009E-2</v>
          </cell>
          <cell r="D9">
            <v>0.87876300225087711</v>
          </cell>
          <cell r="E9">
            <v>1.1004140308800012</v>
          </cell>
          <cell r="F9">
            <v>1.0043537907287521</v>
          </cell>
          <cell r="G9">
            <v>1.3523467957526563</v>
          </cell>
          <cell r="H9">
            <v>0.86919759773128136</v>
          </cell>
          <cell r="I9">
            <v>1.3470907831784114</v>
          </cell>
          <cell r="J9">
            <v>0.6240334752832134</v>
          </cell>
          <cell r="K9">
            <v>1.3135714927107867</v>
          </cell>
          <cell r="L9">
            <v>1.0345229278928798</v>
          </cell>
          <cell r="N9">
            <v>1.106872498611992</v>
          </cell>
          <cell r="O9">
            <v>0.97393339605709961</v>
          </cell>
          <cell r="P9">
            <v>1.0345229278928798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1.3541923965846272</v>
          </cell>
          <cell r="C4">
            <v>1.2879296515352974</v>
          </cell>
        </row>
        <row r="78">
          <cell r="W78">
            <v>0.27129605231137133</v>
          </cell>
          <cell r="Z78">
            <v>2.1400670111342692</v>
          </cell>
        </row>
      </sheetData>
      <sheetData sheetId="4">
        <row r="9">
          <cell r="B9">
            <v>1.532241942112859</v>
          </cell>
          <cell r="C9">
            <v>1.2645588927927476</v>
          </cell>
          <cell r="D9">
            <v>1.2333495928985891</v>
          </cell>
          <cell r="E9">
            <v>1.5877966864095416</v>
          </cell>
          <cell r="F9">
            <v>1.6138857264626987</v>
          </cell>
          <cell r="G9">
            <v>0.9670841376713093</v>
          </cell>
          <cell r="H9">
            <v>1.1691567204089675</v>
          </cell>
          <cell r="I9">
            <v>1.3180091030990415</v>
          </cell>
          <cell r="J9">
            <v>1.9387614167911722</v>
          </cell>
          <cell r="K9">
            <v>1.3186667456871533</v>
          </cell>
          <cell r="L9">
            <v>1.6624932252942133</v>
          </cell>
          <cell r="N9">
            <v>1.3877055393690894</v>
          </cell>
          <cell r="O9">
            <v>1.4187276536025719</v>
          </cell>
          <cell r="P9">
            <v>1.3186667456871533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4.4714810677768426</v>
          </cell>
          <cell r="C4">
            <v>4.4294756185303257</v>
          </cell>
        </row>
        <row r="106">
          <cell r="W106">
            <v>3.3976663914669181</v>
          </cell>
          <cell r="Z106">
            <v>5.2971143852031837</v>
          </cell>
        </row>
      </sheetData>
      <sheetData sheetId="4">
        <row r="9">
          <cell r="B9">
            <v>4.7941766584665784</v>
          </cell>
          <cell r="C9">
            <v>3.6824285968591877</v>
          </cell>
          <cell r="D9">
            <v>4.7866891136857888</v>
          </cell>
          <cell r="E9">
            <v>5.2379082220127913</v>
          </cell>
          <cell r="F9">
            <v>4.1496852941274209</v>
          </cell>
          <cell r="G9">
            <v>4.0229256042118706</v>
          </cell>
          <cell r="H9">
            <v>4.200608839589016</v>
          </cell>
          <cell r="I9">
            <v>4.4980465594465819</v>
          </cell>
          <cell r="J9">
            <v>4.4836271977279827</v>
          </cell>
          <cell r="K9">
            <v>5.1928894834029009</v>
          </cell>
          <cell r="L9">
            <v>4.1889691629167105</v>
          </cell>
          <cell r="N9">
            <v>4.4778730358682992</v>
          </cell>
          <cell r="O9">
            <v>4.4761777029497125</v>
          </cell>
          <cell r="P9">
            <v>4.4836271977279827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164</v>
          </cell>
        </row>
        <row r="4">
          <cell r="B4">
            <v>2.8753819833582326</v>
          </cell>
          <cell r="C4">
            <v>2.7647151604836187</v>
          </cell>
        </row>
        <row r="164">
          <cell r="W164">
            <v>0.58642908598432875</v>
          </cell>
          <cell r="Z164">
            <v>3.9827438345306949</v>
          </cell>
        </row>
      </sheetData>
      <sheetData sheetId="4">
        <row r="9">
          <cell r="B9">
            <v>2.9491636920654374</v>
          </cell>
          <cell r="C9">
            <v>2.7961540501336626</v>
          </cell>
          <cell r="D9">
            <v>2.3543583447781935</v>
          </cell>
          <cell r="E9">
            <v>2.2388796388473748</v>
          </cell>
          <cell r="F9">
            <v>2.2433374348665911</v>
          </cell>
          <cell r="G9">
            <v>2.3977674572482437</v>
          </cell>
          <cell r="H9">
            <v>2.5710386524624327</v>
          </cell>
          <cell r="I9">
            <v>2.4764799954874368</v>
          </cell>
          <cell r="J9">
            <v>2.4267065884857404</v>
          </cell>
          <cell r="K9">
            <v>3.6177561888649317</v>
          </cell>
          <cell r="L9">
            <v>3.4402315811891127</v>
          </cell>
          <cell r="N9">
            <v>2.9253075916513986</v>
          </cell>
          <cell r="O9">
            <v>2.6828976022208328</v>
          </cell>
          <cell r="P9">
            <v>2.4764799954874368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146</v>
          </cell>
        </row>
        <row r="4">
          <cell r="B4">
            <v>10.401529330355453</v>
          </cell>
          <cell r="C4">
            <v>10.560007867087371</v>
          </cell>
        </row>
        <row r="146">
          <cell r="W146">
            <v>6.3802523594177893</v>
          </cell>
          <cell r="Z146">
            <v>16.271007881743429</v>
          </cell>
        </row>
      </sheetData>
      <sheetData sheetId="4">
        <row r="9">
          <cell r="B9">
            <v>10.603210659348006</v>
          </cell>
          <cell r="C9">
            <v>8.9054177246028896</v>
          </cell>
          <cell r="D9">
            <v>10.448203109221726</v>
          </cell>
          <cell r="E9">
            <v>9.6911831799712083</v>
          </cell>
          <cell r="F9">
            <v>13.284500914848444</v>
          </cell>
          <cell r="G9">
            <v>10.457766536405488</v>
          </cell>
          <cell r="H9">
            <v>11.466900931029866</v>
          </cell>
          <cell r="I9">
            <v>10.662639426261652</v>
          </cell>
          <cell r="J9">
            <v>8.8778375851063167</v>
          </cell>
          <cell r="K9">
            <v>11.114587242464298</v>
          </cell>
          <cell r="L9">
            <v>9.7172072229311155</v>
          </cell>
          <cell r="N9">
            <v>10.361616573210615</v>
          </cell>
          <cell r="O9">
            <v>10.475404957471909</v>
          </cell>
          <cell r="P9">
            <v>10.457766536405488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124</v>
          </cell>
        </row>
        <row r="4">
          <cell r="B4">
            <v>3.4453341686638579</v>
          </cell>
          <cell r="C4">
            <v>3.5614142305490035</v>
          </cell>
        </row>
        <row r="124">
          <cell r="W124">
            <v>0.2591526063448647</v>
          </cell>
          <cell r="Z124">
            <v>8.2999437647016201</v>
          </cell>
        </row>
      </sheetData>
      <sheetData sheetId="4">
        <row r="9">
          <cell r="B9">
            <v>6.1209156486828224E-2</v>
          </cell>
          <cell r="C9">
            <v>2.4625454603513481</v>
          </cell>
          <cell r="D9">
            <v>6.5148944823786694</v>
          </cell>
          <cell r="E9">
            <v>3.2265195253160308</v>
          </cell>
          <cell r="F9">
            <v>1.4502846898455295</v>
          </cell>
          <cell r="G9">
            <v>3.2525971356660355</v>
          </cell>
          <cell r="H9">
            <v>6.1907422838779667</v>
          </cell>
          <cell r="I9">
            <v>5.4758073031833021</v>
          </cell>
          <cell r="J9">
            <v>3.5144969509635189</v>
          </cell>
          <cell r="K9">
            <v>2.6707776368903886</v>
          </cell>
          <cell r="L9">
            <v>3.2815180547555669</v>
          </cell>
          <cell r="N9">
            <v>3.6646286603365379</v>
          </cell>
          <cell r="O9">
            <v>3.4637629708831992</v>
          </cell>
          <cell r="P9">
            <v>3.2525971356660355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84</v>
          </cell>
        </row>
        <row r="4">
          <cell r="B4">
            <v>2.2087650090120299</v>
          </cell>
          <cell r="C4">
            <v>2.3570314499828893</v>
          </cell>
        </row>
        <row r="84">
          <cell r="W84">
            <v>2.2257433054286887E-7</v>
          </cell>
          <cell r="Z84">
            <v>7.7932143843517192</v>
          </cell>
        </row>
      </sheetData>
      <sheetData sheetId="4">
        <row r="9">
          <cell r="B9">
            <v>2.0886788703877244</v>
          </cell>
          <cell r="C9">
            <v>4.554732596117435</v>
          </cell>
          <cell r="D9">
            <v>2.0674083375152392</v>
          </cell>
          <cell r="E9">
            <v>3.4323385521030332</v>
          </cell>
          <cell r="F9">
            <v>0.29736009964552274</v>
          </cell>
          <cell r="G9">
            <v>0.25726108737638836</v>
          </cell>
          <cell r="H9">
            <v>2.0594552508533179</v>
          </cell>
          <cell r="I9">
            <v>4.8602148085630112</v>
          </cell>
          <cell r="J9">
            <v>0.8375251658769528</v>
          </cell>
          <cell r="K9">
            <v>1.6491911760846485</v>
          </cell>
          <cell r="L9">
            <v>3.5082849891180872</v>
          </cell>
          <cell r="N9">
            <v>2.5645741013223557</v>
          </cell>
          <cell r="O9">
            <v>2.3284046303310331</v>
          </cell>
          <cell r="P9">
            <v>2.0674083375152392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112</v>
          </cell>
        </row>
        <row r="4">
          <cell r="B4">
            <v>3.7772672476505358</v>
          </cell>
          <cell r="C4">
            <v>4.0512744557575164</v>
          </cell>
        </row>
        <row r="112">
          <cell r="W112">
            <v>2.240313263095794</v>
          </cell>
          <cell r="Z112">
            <v>7.9364976789086148</v>
          </cell>
        </row>
      </sheetData>
      <sheetData sheetId="4">
        <row r="9">
          <cell r="B9">
            <v>3.4443640675942135</v>
          </cell>
          <cell r="C9">
            <v>3.4641055194628447</v>
          </cell>
          <cell r="D9">
            <v>5.6017773214469431</v>
          </cell>
          <cell r="E9">
            <v>4.0715605402759669</v>
          </cell>
          <cell r="F9">
            <v>4.6084578576699524</v>
          </cell>
          <cell r="G9">
            <v>1.2303773308819443</v>
          </cell>
          <cell r="H9">
            <v>3.0387324361384787</v>
          </cell>
          <cell r="I9">
            <v>5.4611211200207688</v>
          </cell>
          <cell r="J9">
            <v>3.7810121412407374</v>
          </cell>
          <cell r="K9">
            <v>3.0921630309480257</v>
          </cell>
          <cell r="L9">
            <v>5.1200235489670902</v>
          </cell>
          <cell r="N9">
            <v>3.8990636665229381</v>
          </cell>
          <cell r="O9">
            <v>3.9012449922406329</v>
          </cell>
          <cell r="P9">
            <v>3.7810121412407374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84</v>
          </cell>
        </row>
        <row r="4">
          <cell r="B4">
            <v>2.7264115263000432</v>
          </cell>
          <cell r="C4">
            <v>2.660008229576432</v>
          </cell>
        </row>
        <row r="84">
          <cell r="W84">
            <v>0.26187728977175195</v>
          </cell>
          <cell r="Z84">
            <v>5.1950947109713494</v>
          </cell>
        </row>
      </sheetData>
      <sheetData sheetId="4">
        <row r="9">
          <cell r="B9">
            <v>4.7059894955333616E-3</v>
          </cell>
          <cell r="C9">
            <v>3.1235078288977394</v>
          </cell>
          <cell r="D9">
            <v>3.6939512343204584</v>
          </cell>
          <cell r="E9">
            <v>3.1035370531155699</v>
          </cell>
          <cell r="F9">
            <v>0.59585702641902849</v>
          </cell>
          <cell r="G9">
            <v>2.2093334522363262</v>
          </cell>
          <cell r="H9">
            <v>2.7241929856564</v>
          </cell>
          <cell r="I9">
            <v>3.5292521211241783</v>
          </cell>
          <cell r="J9">
            <v>1.4662329312638893</v>
          </cell>
          <cell r="K9">
            <v>3.4703050271035849</v>
          </cell>
          <cell r="L9">
            <v>4.0496643097225871</v>
          </cell>
          <cell r="N9">
            <v>2.7177915770994323</v>
          </cell>
          <cell r="O9">
            <v>2.5427763599413904</v>
          </cell>
          <cell r="P9">
            <v>3.1035370531155699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1.368759999213681</v>
          </cell>
          <cell r="C4">
            <v>2.3247961699854982</v>
          </cell>
        </row>
        <row r="82">
          <cell r="W82">
            <v>6.1762575074446616E-2</v>
          </cell>
          <cell r="Z82">
            <v>6.8944047972614815</v>
          </cell>
        </row>
      </sheetData>
      <sheetData sheetId="4">
        <row r="9">
          <cell r="B9">
            <v>0.24679051933956342</v>
          </cell>
          <cell r="C9">
            <v>3.300399930453235</v>
          </cell>
          <cell r="D9">
            <v>1.7947533431169662</v>
          </cell>
          <cell r="E9">
            <v>4.368663643886932</v>
          </cell>
          <cell r="F9">
            <v>1.3551812675767707</v>
          </cell>
          <cell r="G9">
            <v>0.19621029346494945</v>
          </cell>
          <cell r="H9">
            <v>0.16941688650289169</v>
          </cell>
          <cell r="I9">
            <v>1.971512048054231</v>
          </cell>
          <cell r="J9">
            <v>1.7054914155143632</v>
          </cell>
          <cell r="K9">
            <v>1.4505182391645421</v>
          </cell>
          <cell r="L9">
            <v>2.4751288534065354</v>
          </cell>
          <cell r="N9">
            <v>1.6699824896396804</v>
          </cell>
          <cell r="O9">
            <v>1.7303696764073619</v>
          </cell>
          <cell r="P9">
            <v>1.7054914155143632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126</v>
          </cell>
        </row>
        <row r="4">
          <cell r="B4">
            <v>5.6787381488667767</v>
          </cell>
          <cell r="C4">
            <v>5.7241223855533265</v>
          </cell>
        </row>
        <row r="126">
          <cell r="W126">
            <v>4.6636907413846433</v>
          </cell>
          <cell r="Z126">
            <v>7.2912238246768597</v>
          </cell>
        </row>
      </sheetData>
      <sheetData sheetId="4">
        <row r="9">
          <cell r="B9">
            <v>5.2838242170544243</v>
          </cell>
          <cell r="C9">
            <v>6.0148002777798792</v>
          </cell>
          <cell r="D9">
            <v>5.4292643058286387</v>
          </cell>
          <cell r="E9">
            <v>3.9867707334666287</v>
          </cell>
          <cell r="F9">
            <v>4.8459813688401887</v>
          </cell>
          <cell r="G9">
            <v>5.8753328794928681</v>
          </cell>
          <cell r="H9">
            <v>6.1918169485170838</v>
          </cell>
          <cell r="I9">
            <v>6.1653943244665106</v>
          </cell>
          <cell r="J9">
            <v>6.4234154018921057</v>
          </cell>
          <cell r="K9">
            <v>6.415705831984682</v>
          </cell>
          <cell r="L9">
            <v>5.607642371544749</v>
          </cell>
          <cell r="N9">
            <v>5.6890398789402434</v>
          </cell>
          <cell r="O9">
            <v>5.6581771509879779</v>
          </cell>
          <cell r="P9">
            <v>5.8753328794928681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4.4313881999999998</v>
          </cell>
          <cell r="C4">
            <v>4.4115397870695876</v>
          </cell>
        </row>
        <row r="102">
          <cell r="W102">
            <v>2.422712420615202</v>
          </cell>
          <cell r="Z102">
            <v>6.6924759870669943</v>
          </cell>
        </row>
      </sheetData>
      <sheetData sheetId="4">
        <row r="9">
          <cell r="B9">
            <v>4.8037985413152411</v>
          </cell>
          <cell r="C9">
            <v>2.029042183440287</v>
          </cell>
          <cell r="D9">
            <v>3.3916348859191716</v>
          </cell>
          <cell r="E9">
            <v>3.7342297715355643</v>
          </cell>
          <cell r="F9">
            <v>3.9338785801073617</v>
          </cell>
          <cell r="G9">
            <v>5.1910992819263218</v>
          </cell>
          <cell r="H9">
            <v>5.0653496570894516</v>
          </cell>
          <cell r="I9">
            <v>5.7773447548025922</v>
          </cell>
          <cell r="J9">
            <v>4.5551403060873037</v>
          </cell>
          <cell r="K9">
            <v>3.8552847380680619</v>
          </cell>
          <cell r="L9">
            <v>5.2947938931430256</v>
          </cell>
          <cell r="N9">
            <v>4.4231449117659851</v>
          </cell>
          <cell r="O9">
            <v>4.3301451448576707</v>
          </cell>
          <cell r="P9">
            <v>4.5551403060873037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114</v>
          </cell>
        </row>
        <row r="4">
          <cell r="B4">
            <v>2.1313764611365045</v>
          </cell>
          <cell r="C4">
            <v>2.2854825842654845</v>
          </cell>
        </row>
        <row r="114">
          <cell r="W114">
            <v>0.22605977709413944</v>
          </cell>
          <cell r="Z114">
            <v>5.6142991260994277</v>
          </cell>
        </row>
      </sheetData>
      <sheetData sheetId="4">
        <row r="9">
          <cell r="B9">
            <v>3.0785313006920982</v>
          </cell>
          <cell r="C9">
            <v>3.6821024502901945</v>
          </cell>
          <cell r="D9">
            <v>1.5009692234856649</v>
          </cell>
          <cell r="E9">
            <v>1.4691011471776081</v>
          </cell>
          <cell r="F9">
            <v>3.9084104720131245</v>
          </cell>
          <cell r="G9">
            <v>1.2048774043554296</v>
          </cell>
          <cell r="H9">
            <v>1.1090377614346618</v>
          </cell>
          <cell r="I9">
            <v>1.7650026664237637</v>
          </cell>
          <cell r="J9">
            <v>0.99338785235481564</v>
          </cell>
          <cell r="K9">
            <v>1.7456159928376107</v>
          </cell>
          <cell r="L9">
            <v>3.3743851306940496</v>
          </cell>
          <cell r="N9">
            <v>2.3462706452634174</v>
          </cell>
          <cell r="O9">
            <v>2.166492854705365</v>
          </cell>
          <cell r="P9">
            <v>1.7456159928376107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76</v>
          </cell>
        </row>
        <row r="4">
          <cell r="B4">
            <v>2.4855913509507026</v>
          </cell>
          <cell r="C4">
            <v>2.504746445706556</v>
          </cell>
        </row>
        <row r="76">
          <cell r="W76">
            <v>1.6246669983373225</v>
          </cell>
          <cell r="Z76">
            <v>3.6303358000000001</v>
          </cell>
        </row>
      </sheetData>
      <sheetData sheetId="4">
        <row r="9">
          <cell r="B9">
            <v>2.7196350526142434</v>
          </cell>
          <cell r="C9">
            <v>2.4635586899422783</v>
          </cell>
          <cell r="D9">
            <v>2.4118274442897434</v>
          </cell>
          <cell r="E9">
            <v>3.1140861937346882</v>
          </cell>
          <cell r="F9">
            <v>2.7700763536851714</v>
          </cell>
          <cell r="G9">
            <v>2.9623869391392215</v>
          </cell>
          <cell r="H9">
            <v>2.8283131849870475</v>
          </cell>
          <cell r="I9">
            <v>2.0449200597106345</v>
          </cell>
          <cell r="J9">
            <v>1.8523776331719308</v>
          </cell>
          <cell r="K9">
            <v>2.0528494433853544</v>
          </cell>
          <cell r="L9">
            <v>2.3421504177965971</v>
          </cell>
          <cell r="N9">
            <v>2.5476290237210626</v>
          </cell>
          <cell r="O9">
            <v>2.5056528556779005</v>
          </cell>
          <cell r="P9">
            <v>2.4635586899422783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3.4535575922707684</v>
          </cell>
          <cell r="C4">
            <v>3.500481673813606</v>
          </cell>
        </row>
        <row r="94">
          <cell r="W94">
            <v>2.4801765910384597</v>
          </cell>
          <cell r="Z94">
            <v>4.5434649042566324</v>
          </cell>
        </row>
      </sheetData>
      <sheetData sheetId="4">
        <row r="9">
          <cell r="B9">
            <v>3.5815328683684093</v>
          </cell>
          <cell r="C9">
            <v>3.7743252022700617</v>
          </cell>
          <cell r="D9">
            <v>4.7982843105370101</v>
          </cell>
          <cell r="E9">
            <v>2.9987844075125287</v>
          </cell>
          <cell r="F9">
            <v>3.5640773098203882</v>
          </cell>
          <cell r="G9">
            <v>3.3040148620880108</v>
          </cell>
          <cell r="H9">
            <v>4.2594284474265756</v>
          </cell>
          <cell r="I9">
            <v>3.7251537354147248</v>
          </cell>
          <cell r="J9">
            <v>2.359601340686333</v>
          </cell>
          <cell r="K9">
            <v>2.7087462480470985</v>
          </cell>
          <cell r="L9">
            <v>3.0766266797120063</v>
          </cell>
          <cell r="N9">
            <v>3.4821063992586829</v>
          </cell>
          <cell r="O9">
            <v>3.4682341283530134</v>
          </cell>
          <cell r="P9">
            <v>3.5640773098203882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110</v>
          </cell>
        </row>
        <row r="4">
          <cell r="B4">
            <v>1.3708278841050201</v>
          </cell>
          <cell r="C4">
            <v>1.2980606890677473</v>
          </cell>
        </row>
        <row r="110">
          <cell r="W110">
            <v>0.24186969894279306</v>
          </cell>
          <cell r="Z110">
            <v>2.2613854</v>
          </cell>
        </row>
      </sheetData>
      <sheetData sheetId="4">
        <row r="9">
          <cell r="B9">
            <v>1.1410202666652804</v>
          </cell>
          <cell r="C9">
            <v>1.3272962085477757</v>
          </cell>
          <cell r="D9">
            <v>0.75745717586155126</v>
          </cell>
          <cell r="E9">
            <v>1.6597575821732884</v>
          </cell>
          <cell r="F9">
            <v>1.2520904823049013</v>
          </cell>
          <cell r="G9">
            <v>1.2372011778759229</v>
          </cell>
          <cell r="H9">
            <v>1.2672713259055159</v>
          </cell>
          <cell r="I9">
            <v>1.6991650123993298</v>
          </cell>
          <cell r="J9">
            <v>0.88722631737373181</v>
          </cell>
          <cell r="K9">
            <v>1.4509613419280167</v>
          </cell>
          <cell r="L9">
            <v>2.2033625869582587</v>
          </cell>
          <cell r="N9">
            <v>1.4627984704958057</v>
          </cell>
          <cell r="O9">
            <v>1.3529826798175975</v>
          </cell>
          <cell r="P9">
            <v>1.2672713259055159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70</v>
          </cell>
        </row>
        <row r="4">
          <cell r="B4">
            <v>1.5070958271056727</v>
          </cell>
          <cell r="C4">
            <v>1.5574883515564217</v>
          </cell>
        </row>
        <row r="70">
          <cell r="W70">
            <v>0.34693489992462873</v>
          </cell>
          <cell r="Z70">
            <v>2.5111590702252395</v>
          </cell>
        </row>
      </sheetData>
      <sheetData sheetId="4">
        <row r="9">
          <cell r="B9">
            <v>1.7826564926385395</v>
          </cell>
          <cell r="C9">
            <v>1.5475899429582782</v>
          </cell>
          <cell r="D9">
            <v>1.1928554602539534</v>
          </cell>
          <cell r="E9">
            <v>1.2891329415288766</v>
          </cell>
          <cell r="F9">
            <v>1.9256913360886045</v>
          </cell>
          <cell r="G9">
            <v>1.3880926485618235</v>
          </cell>
          <cell r="H9">
            <v>2.4499315731142457</v>
          </cell>
          <cell r="I9">
            <v>2.1721981279436653</v>
          </cell>
          <cell r="J9">
            <v>1.728156756740366</v>
          </cell>
          <cell r="K9">
            <v>1.1887299070334005</v>
          </cell>
          <cell r="L9">
            <v>1.4188039168175424</v>
          </cell>
          <cell r="N9">
            <v>1.6148839045755503</v>
          </cell>
          <cell r="O9">
            <v>1.6439853730617542</v>
          </cell>
          <cell r="P9">
            <v>1.5475899429582782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74</v>
          </cell>
        </row>
        <row r="4">
          <cell r="B4">
            <v>0.10191601173050926</v>
          </cell>
          <cell r="C4">
            <v>0.11100478562456191</v>
          </cell>
        </row>
        <row r="74">
          <cell r="W74">
            <v>0.10018325461982788</v>
          </cell>
          <cell r="Z74">
            <v>0.10406892715848781</v>
          </cell>
        </row>
      </sheetData>
      <sheetData sheetId="4">
        <row r="9">
          <cell r="B9">
            <v>0.12568665162676787</v>
          </cell>
          <cell r="C9">
            <v>5.3235684994595599E-2</v>
          </cell>
          <cell r="D9">
            <v>8.6955845187728607E-3</v>
          </cell>
          <cell r="E9">
            <v>0.16364191934208702</v>
          </cell>
          <cell r="F9">
            <v>2.5811313342786652E-2</v>
          </cell>
          <cell r="G9">
            <v>0.1350119673877028</v>
          </cell>
          <cell r="H9">
            <v>3.6796889999999999E-3</v>
          </cell>
          <cell r="I9">
            <v>3.1376827000000003E-2</v>
          </cell>
          <cell r="J9">
            <v>0.154071488861488</v>
          </cell>
          <cell r="K9">
            <v>1.7877314665231754</v>
          </cell>
          <cell r="L9">
            <v>0.05</v>
          </cell>
          <cell r="N9">
            <v>0.10198216271874812</v>
          </cell>
          <cell r="O9">
            <v>0.23081296296339782</v>
          </cell>
          <cell r="P9">
            <v>5.3235684994595599E-2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sheetName val="L"/>
      <sheetName val="t (Audetat23)"/>
      <sheetName val="t (Cherniak)"/>
    </sheetNames>
    <sheetDataSet>
      <sheetData sheetId="0" refreshError="1"/>
      <sheetData sheetId="1">
        <row r="2">
          <cell r="A2" t="str">
            <v>CGI001-qtz01-CL-fit-1-offset</v>
          </cell>
          <cell r="J2">
            <v>5.675112947304715</v>
          </cell>
          <cell r="K2">
            <v>6.3397520649277688</v>
          </cell>
          <cell r="L2">
            <v>8.4805318919982913</v>
          </cell>
          <cell r="M2">
            <v>8.7409128954541586</v>
          </cell>
          <cell r="N2">
            <v>8.4899829905732069</v>
          </cell>
          <cell r="O2">
            <v>4.6379852663886183</v>
          </cell>
          <cell r="P2">
            <v>5.6574393503690503</v>
          </cell>
          <cell r="Q2">
            <v>4.9207826048398378</v>
          </cell>
          <cell r="R2">
            <v>4.3562667788892471</v>
          </cell>
          <cell r="S2">
            <v>4.6096206940403999</v>
          </cell>
          <cell r="T2">
            <v>4.3542342325727441</v>
          </cell>
          <cell r="V2">
            <v>5.6612296673154168</v>
          </cell>
          <cell r="W2">
            <v>6.0238747015780039</v>
          </cell>
          <cell r="X2">
            <v>5.6574393503690503</v>
          </cell>
          <cell r="Z2">
            <v>5.6223513669966021</v>
          </cell>
          <cell r="AB2">
            <v>5.6752264688713741</v>
          </cell>
          <cell r="AC2">
            <v>3.0459468401728094</v>
          </cell>
          <cell r="AD2">
            <v>8.3785364464753194</v>
          </cell>
        </row>
        <row r="3">
          <cell r="A3" t="str">
            <v>CGI001-qtz01-CL-fit-2</v>
          </cell>
          <cell r="J3">
            <v>11.181709</v>
          </cell>
          <cell r="K3">
            <v>10.768468</v>
          </cell>
          <cell r="L3">
            <v>10.508433999999999</v>
          </cell>
          <cell r="M3">
            <v>9.4940944999999992</v>
          </cell>
          <cell r="N3">
            <v>11.681765</v>
          </cell>
          <cell r="O3">
            <v>11.401897999999999</v>
          </cell>
          <cell r="P3">
            <v>12.05641</v>
          </cell>
          <cell r="Q3">
            <v>11.556687999999999</v>
          </cell>
          <cell r="R3">
            <v>12.312106</v>
          </cell>
          <cell r="S3">
            <v>11.634763</v>
          </cell>
          <cell r="T3">
            <v>11.380568999999999</v>
          </cell>
          <cell r="V3">
            <v>11.264077</v>
          </cell>
          <cell r="W3">
            <v>11.27062768181818</v>
          </cell>
          <cell r="X3">
            <v>11.401897999999999</v>
          </cell>
          <cell r="Z3">
            <v>11.089711834186685</v>
          </cell>
          <cell r="AB3">
            <v>11.124028743012738</v>
          </cell>
          <cell r="AC3">
            <v>9.3876607290292515</v>
          </cell>
          <cell r="AD3">
            <v>13.030859742457201</v>
          </cell>
        </row>
        <row r="4">
          <cell r="A4" t="str">
            <v>CGI001-qtz01-CL-fit-3</v>
          </cell>
          <cell r="J4">
            <v>4.6592453000000003</v>
          </cell>
          <cell r="K4">
            <v>5.4909122000000004</v>
          </cell>
          <cell r="L4">
            <v>5.2081228150701504</v>
          </cell>
          <cell r="M4">
            <v>5.0006819</v>
          </cell>
          <cell r="N4">
            <v>4.448472882059086</v>
          </cell>
          <cell r="O4">
            <v>4.2120901999999996</v>
          </cell>
          <cell r="P4">
            <v>4.7054156999999996</v>
          </cell>
          <cell r="Q4">
            <v>5.2574379999999996</v>
          </cell>
          <cell r="R4">
            <v>3.5272879573387295</v>
          </cell>
          <cell r="S4">
            <v>5.4880345000000004</v>
          </cell>
          <cell r="T4">
            <v>3.8780963109801028</v>
          </cell>
          <cell r="V4">
            <v>4.6851924</v>
          </cell>
          <cell r="W4">
            <v>4.7159816150407332</v>
          </cell>
          <cell r="X4">
            <v>4.7054156999999996</v>
          </cell>
          <cell r="Z4">
            <v>4.6099470311711919</v>
          </cell>
          <cell r="AB4">
            <v>4.7058624056540967</v>
          </cell>
          <cell r="AC4">
            <v>2.950126031540778</v>
          </cell>
          <cell r="AD4">
            <v>6.6197433808413546</v>
          </cell>
        </row>
        <row r="5">
          <cell r="A5" t="str">
            <v>CGI001-qtz01-CL-fit-4</v>
          </cell>
          <cell r="J5">
            <v>2.9491636920654374</v>
          </cell>
          <cell r="K5">
            <v>2.7961540501336626</v>
          </cell>
          <cell r="L5">
            <v>2.3543583447781935</v>
          </cell>
          <cell r="M5">
            <v>2.2388796388473748</v>
          </cell>
          <cell r="N5">
            <v>2.2433374348665911</v>
          </cell>
          <cell r="O5">
            <v>2.3977674572482437</v>
          </cell>
          <cell r="P5">
            <v>2.5710386524624327</v>
          </cell>
          <cell r="Q5">
            <v>2.4764799954874368</v>
          </cell>
          <cell r="R5">
            <v>2.4267065884857404</v>
          </cell>
          <cell r="S5">
            <v>3.6177561888649317</v>
          </cell>
          <cell r="T5">
            <v>3.4402315811891127</v>
          </cell>
          <cell r="V5">
            <v>2.9253075916513986</v>
          </cell>
          <cell r="W5">
            <v>2.6828976022208328</v>
          </cell>
          <cell r="X5">
            <v>2.4764799954874368</v>
          </cell>
          <cell r="Z5">
            <v>2.8753819833582326</v>
          </cell>
          <cell r="AB5">
            <v>2.7647151604836187</v>
          </cell>
          <cell r="AC5">
            <v>0.58642908598432875</v>
          </cell>
          <cell r="AD5">
            <v>3.9827438345306949</v>
          </cell>
        </row>
        <row r="6">
          <cell r="A6" t="str">
            <v>CGI001-qtz02-CL-fit-1-offset</v>
          </cell>
          <cell r="J6">
            <v>4.1924901475974883</v>
          </cell>
          <cell r="K6">
            <v>3.5787451664719483</v>
          </cell>
          <cell r="L6">
            <v>5.1374301966635043</v>
          </cell>
          <cell r="M6">
            <v>4.6129503713841205</v>
          </cell>
          <cell r="N6">
            <v>2.9818992955659485</v>
          </cell>
          <cell r="O6">
            <v>4.0122200416273222</v>
          </cell>
          <cell r="P6">
            <v>4.0151377153587804</v>
          </cell>
          <cell r="Q6">
            <v>3.4285789598388794</v>
          </cell>
          <cell r="R6">
            <v>4.115215955555362</v>
          </cell>
          <cell r="S6">
            <v>4.2091224155827884</v>
          </cell>
          <cell r="T6">
            <v>3.4375712520202653</v>
          </cell>
          <cell r="V6">
            <v>3.927990130209956</v>
          </cell>
          <cell r="W6">
            <v>3.9746692288787644</v>
          </cell>
          <cell r="X6">
            <v>4.0151377153587804</v>
          </cell>
          <cell r="Z6">
            <v>3.7877924448037188</v>
          </cell>
          <cell r="AB6">
            <v>3.8554175597644846</v>
          </cell>
          <cell r="AC6">
            <v>2.3666661457203886</v>
          </cell>
          <cell r="AD6">
            <v>5.1895942347989026</v>
          </cell>
        </row>
        <row r="7">
          <cell r="A7" t="str">
            <v>CGI001-qtz02-CL-fit-2</v>
          </cell>
          <cell r="J7">
            <v>4.9624812881175835</v>
          </cell>
          <cell r="K7">
            <v>4.8297662499668874</v>
          </cell>
          <cell r="L7">
            <v>5.3362613435951678</v>
          </cell>
          <cell r="M7">
            <v>5.9718353000000004</v>
          </cell>
          <cell r="N7">
            <v>6.3265646999999996</v>
          </cell>
          <cell r="O7">
            <v>5.8566630175283416</v>
          </cell>
          <cell r="P7">
            <v>6.3007578000000004</v>
          </cell>
          <cell r="Q7">
            <v>5.9217917</v>
          </cell>
          <cell r="R7">
            <v>6.4922005431208278</v>
          </cell>
          <cell r="S7">
            <v>5.4585179789765723</v>
          </cell>
          <cell r="T7">
            <v>5.4300577949797644</v>
          </cell>
          <cell r="W7">
            <v>5.7169907014804684</v>
          </cell>
          <cell r="X7">
            <v>5.8566630175283416</v>
          </cell>
          <cell r="Z7">
            <v>5.7616545640773431</v>
          </cell>
          <cell r="AB7">
            <v>5.7535851001953926</v>
          </cell>
          <cell r="AC7">
            <v>4.4427001458639364</v>
          </cell>
          <cell r="AD7">
            <v>7.0864201890274918</v>
          </cell>
        </row>
        <row r="8">
          <cell r="A8" t="str">
            <v>CGI001-qtz02-CL-fit-3-offset</v>
          </cell>
          <cell r="J8">
            <v>3.3132918775798958</v>
          </cell>
          <cell r="K8">
            <v>3.4009410129156326</v>
          </cell>
          <cell r="L8">
            <v>3.2618544937337259</v>
          </cell>
          <cell r="M8">
            <v>3.6104395326111849</v>
          </cell>
          <cell r="N8">
            <v>3.0996937356464245</v>
          </cell>
          <cell r="O8">
            <v>3.6021492738438847</v>
          </cell>
          <cell r="P8">
            <v>3.4000452579634013</v>
          </cell>
          <cell r="Q8">
            <v>3.7260563972003444</v>
          </cell>
          <cell r="R8">
            <v>3.5599142493233358</v>
          </cell>
          <cell r="S8">
            <v>3.2078326225759302</v>
          </cell>
          <cell r="T8">
            <v>3.0436289353995734</v>
          </cell>
          <cell r="V8">
            <v>3.4885498509337354</v>
          </cell>
          <cell r="W8">
            <v>3.3841679444357577</v>
          </cell>
          <cell r="X8">
            <v>3.4000452579634013</v>
          </cell>
          <cell r="Z8">
            <v>3.3438867841750017</v>
          </cell>
          <cell r="AB8">
            <v>3.2605155234455174</v>
          </cell>
          <cell r="AC8">
            <v>0.75816671854335693</v>
          </cell>
          <cell r="AD8">
            <v>5.0572736654380357</v>
          </cell>
        </row>
        <row r="9">
          <cell r="A9" t="str">
            <v>CGI001-qtz02-CL-fit-4-offset</v>
          </cell>
          <cell r="J9">
            <v>0.20493226141822077</v>
          </cell>
          <cell r="K9">
            <v>9.7076493728933788E-2</v>
          </cell>
          <cell r="L9">
            <v>0.15429896935118498</v>
          </cell>
          <cell r="M9">
            <v>5.5705185450409492E-2</v>
          </cell>
          <cell r="N9">
            <v>0.15504556671815298</v>
          </cell>
          <cell r="O9">
            <v>7.0928991620946874E-2</v>
          </cell>
          <cell r="P9">
            <v>8.8946849153906261E-3</v>
          </cell>
          <cell r="Q9">
            <v>0.18496271161912081</v>
          </cell>
          <cell r="R9">
            <v>0.20032711336959502</v>
          </cell>
          <cell r="S9">
            <v>1.546737714881153E-2</v>
          </cell>
          <cell r="T9">
            <v>0.10911271968659568</v>
          </cell>
          <cell r="V9">
            <v>7.4846455358985473E-2</v>
          </cell>
          <cell r="W9">
            <v>0.11425018863885116</v>
          </cell>
          <cell r="X9">
            <v>0.10911271968659568</v>
          </cell>
          <cell r="Z9">
            <v>0.20154105935868702</v>
          </cell>
          <cell r="AB9">
            <v>0.27857137503716356</v>
          </cell>
          <cell r="AC9">
            <v>6.5548548673820402E-8</v>
          </cell>
          <cell r="AD9">
            <v>1.1207528985046016</v>
          </cell>
        </row>
        <row r="10">
          <cell r="A10" t="str">
            <v>CGI001-qtz03-CL-fit-1</v>
          </cell>
          <cell r="J10">
            <v>10.275752000000001</v>
          </cell>
          <cell r="K10">
            <v>7.4697044000000004</v>
          </cell>
          <cell r="L10">
            <v>7.2984526531975771</v>
          </cell>
          <cell r="M10">
            <v>7.9453768</v>
          </cell>
          <cell r="N10">
            <v>7.7299666</v>
          </cell>
          <cell r="O10">
            <v>9.7629607625518489</v>
          </cell>
          <cell r="P10">
            <v>9.5366577597319981</v>
          </cell>
          <cell r="Q10">
            <v>8.7760025854259087</v>
          </cell>
          <cell r="R10">
            <v>7.2826036735439468</v>
          </cell>
          <cell r="S10">
            <v>8.5941361000000001</v>
          </cell>
          <cell r="T10">
            <v>8.4059122731276243</v>
          </cell>
          <cell r="V10">
            <v>8.4304932000000008</v>
          </cell>
          <cell r="W10">
            <v>8.461593237052627</v>
          </cell>
          <cell r="X10">
            <v>8.4059122731276243</v>
          </cell>
          <cell r="Z10">
            <v>8.448005658183579</v>
          </cell>
          <cell r="AB10">
            <v>8.3445947211226272</v>
          </cell>
          <cell r="AC10">
            <v>6.3065859599983156</v>
          </cell>
          <cell r="AD10">
            <v>10.017630361816725</v>
          </cell>
        </row>
        <row r="11">
          <cell r="A11" t="str">
            <v>CGI001-qtz03-CL-fit-2</v>
          </cell>
          <cell r="J11">
            <v>4.5497382000000002</v>
          </cell>
          <cell r="K11">
            <v>3.6911489</v>
          </cell>
          <cell r="L11">
            <v>3.0535054000000001</v>
          </cell>
          <cell r="M11">
            <v>2.4027283981816359</v>
          </cell>
          <cell r="N11">
            <v>2.4512645904369066</v>
          </cell>
          <cell r="O11">
            <v>2.3841337</v>
          </cell>
          <cell r="P11">
            <v>2.2820128999999998</v>
          </cell>
          <cell r="Q11">
            <v>3.0344423096583615</v>
          </cell>
          <cell r="R11">
            <v>3.0845932293925737</v>
          </cell>
          <cell r="S11">
            <v>3.1909508999999998</v>
          </cell>
          <cell r="T11">
            <v>3.0917137314904064</v>
          </cell>
          <cell r="V11">
            <v>3.0045171000000002</v>
          </cell>
          <cell r="W11">
            <v>3.0196574781054437</v>
          </cell>
          <cell r="X11">
            <v>3.0535054000000001</v>
          </cell>
          <cell r="Z11">
            <v>3.0026585948047249</v>
          </cell>
          <cell r="AB11">
            <v>2.994292509486812</v>
          </cell>
          <cell r="AC11">
            <v>2.2152109376394411</v>
          </cell>
          <cell r="AD11">
            <v>3.9221252790301713</v>
          </cell>
        </row>
        <row r="12">
          <cell r="A12" t="str">
            <v>CGI001-qtz03-CL-fit-3</v>
          </cell>
          <cell r="J12">
            <v>6.1237808880963298</v>
          </cell>
          <cell r="K12">
            <v>2.3150857</v>
          </cell>
          <cell r="L12">
            <v>2.4154045292026116</v>
          </cell>
          <cell r="M12">
            <v>3.5142561540402486</v>
          </cell>
          <cell r="N12">
            <v>1.1437780969639122</v>
          </cell>
          <cell r="O12">
            <v>1.7687634000000001</v>
          </cell>
          <cell r="P12">
            <v>0.18816801</v>
          </cell>
          <cell r="Q12">
            <v>0.40968044999999997</v>
          </cell>
          <cell r="R12">
            <v>2.2898113733993517</v>
          </cell>
          <cell r="S12">
            <v>3.0726744725882154</v>
          </cell>
          <cell r="T12">
            <v>2.0836447702386462</v>
          </cell>
          <cell r="V12">
            <v>2.5281905724761873</v>
          </cell>
          <cell r="W12">
            <v>2.302277076775392</v>
          </cell>
          <cell r="X12">
            <v>2.2898113733993517</v>
          </cell>
          <cell r="Z12">
            <v>2.2891279661786337</v>
          </cell>
          <cell r="AB12">
            <v>2.4229141712213593</v>
          </cell>
          <cell r="AC12">
            <v>0.20946500703188967</v>
          </cell>
          <cell r="AD12">
            <v>6.9691805355516996</v>
          </cell>
        </row>
        <row r="13">
          <cell r="A13" t="str">
            <v>CGI001-qtz03-CL-fit-4-offset</v>
          </cell>
          <cell r="J13">
            <v>0.26063368061439379</v>
          </cell>
          <cell r="K13">
            <v>9.0046113999999997E-2</v>
          </cell>
          <cell r="L13">
            <v>0.73673418236669042</v>
          </cell>
          <cell r="M13">
            <v>0.51733794649219045</v>
          </cell>
          <cell r="N13">
            <v>0.25008432176392942</v>
          </cell>
          <cell r="O13">
            <v>0.23674158071106285</v>
          </cell>
          <cell r="P13">
            <v>0.88595347788314294</v>
          </cell>
          <cell r="Q13">
            <v>0.25537069968825987</v>
          </cell>
          <cell r="R13">
            <v>0.2230837955299344</v>
          </cell>
          <cell r="S13">
            <v>0.72822122088625052</v>
          </cell>
          <cell r="T13">
            <v>2.4019148445106851E-2</v>
          </cell>
          <cell r="V13">
            <v>0.26136826700237192</v>
          </cell>
          <cell r="W13">
            <v>0.38256601530736012</v>
          </cell>
          <cell r="X13">
            <v>0.25537069968825987</v>
          </cell>
          <cell r="Z13">
            <v>0.2533974699337882</v>
          </cell>
          <cell r="AB13">
            <v>0.32522525198609342</v>
          </cell>
          <cell r="AC13">
            <v>7.2056237354925161E-6</v>
          </cell>
          <cell r="AD13">
            <v>0.91306907484015853</v>
          </cell>
        </row>
        <row r="14">
          <cell r="A14" t="str">
            <v>CGI001-qtz04-CL-fit-1-offset</v>
          </cell>
          <cell r="J14">
            <v>4.8374293287368246</v>
          </cell>
          <cell r="K14">
            <v>4.1714999880506518</v>
          </cell>
          <cell r="L14">
            <v>7.7562020630472439</v>
          </cell>
          <cell r="M14">
            <v>1.7542071811880398</v>
          </cell>
          <cell r="N14">
            <v>5.4544726650432942</v>
          </cell>
          <cell r="O14">
            <v>3.2004289999999998E-2</v>
          </cell>
          <cell r="P14">
            <v>4.3072659610746715</v>
          </cell>
          <cell r="Q14">
            <v>6.8617612844174252</v>
          </cell>
          <cell r="R14">
            <v>2.4972000434238226</v>
          </cell>
          <cell r="S14">
            <v>3.2431836640266742</v>
          </cell>
          <cell r="T14">
            <v>4.012668272339452</v>
          </cell>
          <cell r="V14">
            <v>4.363170485968956</v>
          </cell>
          <cell r="W14">
            <v>4.0843540673952825</v>
          </cell>
          <cell r="X14">
            <v>4.1714999880506518</v>
          </cell>
          <cell r="Z14">
            <v>3.8299199842692828</v>
          </cell>
          <cell r="AB14">
            <v>4.0835524929663967</v>
          </cell>
          <cell r="AC14">
            <v>0.20218756114814862</v>
          </cell>
          <cell r="AD14">
            <v>11.833164959916704</v>
          </cell>
        </row>
        <row r="15">
          <cell r="A15" t="str">
            <v>CGI001-qtz04-CL-fit-2-offset</v>
          </cell>
          <cell r="J15">
            <v>4.1820404166774452</v>
          </cell>
          <cell r="K15">
            <v>5.3030490288131729</v>
          </cell>
          <cell r="L15">
            <v>3.3633704548601306</v>
          </cell>
          <cell r="M15">
            <v>4.1599949418457287</v>
          </cell>
          <cell r="N15">
            <v>3.5700059589084514</v>
          </cell>
          <cell r="O15">
            <v>3.7744575289187785</v>
          </cell>
          <cell r="P15">
            <v>2.5386180391309749</v>
          </cell>
          <cell r="Q15">
            <v>3.8795835157645078</v>
          </cell>
          <cell r="R15">
            <v>3.7839841964740937</v>
          </cell>
          <cell r="S15">
            <v>4.8009476549427124</v>
          </cell>
          <cell r="T15">
            <v>4.045162701979959</v>
          </cell>
          <cell r="V15">
            <v>3.9339173072808986</v>
          </cell>
          <cell r="W15">
            <v>3.9455649489378142</v>
          </cell>
          <cell r="X15">
            <v>3.8795835157645078</v>
          </cell>
          <cell r="Z15">
            <v>3.9381366999999998</v>
          </cell>
          <cell r="AB15">
            <v>3.9780423236067288</v>
          </cell>
          <cell r="AC15">
            <v>2.5058788306360182</v>
          </cell>
          <cell r="AD15">
            <v>5.369291491108104</v>
          </cell>
        </row>
        <row r="16">
          <cell r="A16" t="str">
            <v>CGI001-qtz04-CL-fit-3-offset</v>
          </cell>
          <cell r="J16">
            <v>3.9655491224313288</v>
          </cell>
          <cell r="K16">
            <v>4.5020087032346483</v>
          </cell>
          <cell r="L16">
            <v>4.5733501731542487</v>
          </cell>
          <cell r="M16">
            <v>5.105974200810742</v>
          </cell>
          <cell r="N16">
            <v>4.8107497815444793</v>
          </cell>
          <cell r="O16">
            <v>3.5669327463643898</v>
          </cell>
          <cell r="P16">
            <v>3.7156625239247303</v>
          </cell>
          <cell r="Q16">
            <v>3.9204529667624</v>
          </cell>
          <cell r="R16">
            <v>4.2353045095737185</v>
          </cell>
          <cell r="S16">
            <v>3.7167451130194724</v>
          </cell>
          <cell r="T16">
            <v>3.7740819744670264</v>
          </cell>
          <cell r="V16">
            <v>4.1785844917406703</v>
          </cell>
          <cell r="W16">
            <v>4.1715283468442896</v>
          </cell>
          <cell r="X16">
            <v>3.9655491224313288</v>
          </cell>
          <cell r="Z16">
            <v>4.1556442250407981</v>
          </cell>
          <cell r="AB16">
            <v>4.1626123441096272</v>
          </cell>
          <cell r="AC16">
            <v>3.3739271302298626</v>
          </cell>
          <cell r="AD16">
            <v>4.8779016943434881</v>
          </cell>
        </row>
        <row r="17">
          <cell r="A17" t="str">
            <v>CGI001-qtz04-CL-fit-4-offset</v>
          </cell>
          <cell r="J17">
            <v>0.30796858995413984</v>
          </cell>
          <cell r="K17">
            <v>0.73350045088816807</v>
          </cell>
          <cell r="L17">
            <v>0.3095349365618083</v>
          </cell>
          <cell r="M17">
            <v>0.30238660557585489</v>
          </cell>
          <cell r="N17">
            <v>0.11948224987629763</v>
          </cell>
          <cell r="O17">
            <v>0.18069973256409821</v>
          </cell>
          <cell r="P17">
            <v>0.25087491257109384</v>
          </cell>
          <cell r="Q17">
            <v>0.62618868732708011</v>
          </cell>
          <cell r="R17">
            <v>0.18175715102610074</v>
          </cell>
          <cell r="S17">
            <v>5.2739451508497757E-2</v>
          </cell>
          <cell r="T17">
            <v>8.5723542E-2</v>
          </cell>
          <cell r="V17">
            <v>0.31515657138498115</v>
          </cell>
          <cell r="W17">
            <v>0.28644148271392172</v>
          </cell>
          <cell r="X17">
            <v>0.25087491257109384</v>
          </cell>
          <cell r="Z17">
            <v>0.27820670109429158</v>
          </cell>
          <cell r="AB17">
            <v>0.2945769725450374</v>
          </cell>
          <cell r="AC17">
            <v>2.5839306442726761E-2</v>
          </cell>
          <cell r="AD17">
            <v>0.88964871074860152</v>
          </cell>
        </row>
        <row r="18">
          <cell r="A18" t="str">
            <v>CGI001-qtz05-CL-fit-1-offset</v>
          </cell>
          <cell r="J18">
            <v>14.399423096491546</v>
          </cell>
          <cell r="K18">
            <v>11.170381820780406</v>
          </cell>
          <cell r="L18">
            <v>10.648741000268192</v>
          </cell>
          <cell r="M18">
            <v>10.027664451119694</v>
          </cell>
          <cell r="N18">
            <v>3.4465235481198828</v>
          </cell>
          <cell r="O18">
            <v>13.835849989811967</v>
          </cell>
          <cell r="P18">
            <v>8.3434127450036843</v>
          </cell>
          <cell r="Q18">
            <v>13.22751542712637</v>
          </cell>
          <cell r="R18">
            <v>15.955421778633047</v>
          </cell>
          <cell r="S18">
            <v>18.680063737423094</v>
          </cell>
          <cell r="T18">
            <v>16.944261890854868</v>
          </cell>
          <cell r="V18">
            <v>12.292770325456891</v>
          </cell>
          <cell r="W18">
            <v>12.425387225966615</v>
          </cell>
          <cell r="X18">
            <v>13.22751542712637</v>
          </cell>
          <cell r="Z18">
            <v>12.264703111967446</v>
          </cell>
          <cell r="AB18">
            <v>12.543983141398828</v>
          </cell>
          <cell r="AC18">
            <v>4.8025447163006678</v>
          </cell>
          <cell r="AD18">
            <v>19.94246840937377</v>
          </cell>
        </row>
        <row r="19">
          <cell r="A19" t="str">
            <v>CGI001-qtz05-CL-fit-2-offset</v>
          </cell>
          <cell r="J19">
            <v>4.4848754680554404</v>
          </cell>
          <cell r="K19">
            <v>6.286948151715845</v>
          </cell>
          <cell r="L19">
            <v>4.4818187798328033</v>
          </cell>
          <cell r="M19">
            <v>3.9364241848388404</v>
          </cell>
          <cell r="N19">
            <v>4.1694749344178845</v>
          </cell>
          <cell r="O19">
            <v>6.6663190211606764</v>
          </cell>
          <cell r="P19">
            <v>4.8718300350789381</v>
          </cell>
          <cell r="Q19">
            <v>4.5817350728609654</v>
          </cell>
          <cell r="R19">
            <v>4.4990346275926401</v>
          </cell>
          <cell r="S19">
            <v>4.8606945750659856</v>
          </cell>
          <cell r="T19">
            <v>4.6111220452863284</v>
          </cell>
          <cell r="V19">
            <v>4.7863152552506856</v>
          </cell>
          <cell r="W19">
            <v>4.8591160814460315</v>
          </cell>
          <cell r="X19">
            <v>4.5817350728609654</v>
          </cell>
          <cell r="Z19">
            <v>4.6678806671082906</v>
          </cell>
          <cell r="AB19">
            <v>4.7488536583659888</v>
          </cell>
          <cell r="AC19">
            <v>3.2234525564223979</v>
          </cell>
          <cell r="AD19">
            <v>6.5415888826141941</v>
          </cell>
        </row>
        <row r="20">
          <cell r="A20" t="str">
            <v>CGI001-qtz05-CL-fit-3-offset</v>
          </cell>
          <cell r="J20">
            <v>2.2536273140252812</v>
          </cell>
          <cell r="K20">
            <v>2.8208216982363346</v>
          </cell>
          <cell r="L20">
            <v>3.6828930784714666</v>
          </cell>
          <cell r="M20">
            <v>2.3413671534546268</v>
          </cell>
          <cell r="N20">
            <v>3.7727058562132672</v>
          </cell>
          <cell r="O20">
            <v>3.9409188465015617</v>
          </cell>
          <cell r="P20">
            <v>5.1339924926690541</v>
          </cell>
          <cell r="Q20">
            <v>3.4480032312909756</v>
          </cell>
          <cell r="R20">
            <v>4.9152721948346496</v>
          </cell>
          <cell r="S20">
            <v>3.4012038015135126</v>
          </cell>
          <cell r="T20">
            <v>2.0918218281520722</v>
          </cell>
          <cell r="V20">
            <v>3.3312602701476002</v>
          </cell>
          <cell r="W20">
            <v>3.4366024995784361</v>
          </cell>
          <cell r="X20">
            <v>3.4480032312909756</v>
          </cell>
          <cell r="Z20">
            <v>3.055640094339394</v>
          </cell>
          <cell r="AB20">
            <v>3.0216962920386039</v>
          </cell>
          <cell r="AC20">
            <v>0.37162649866974889</v>
          </cell>
          <cell r="AD20">
            <v>6.0445200374505808</v>
          </cell>
        </row>
        <row r="21">
          <cell r="A21" t="str">
            <v>CGI001-qtz05-CL-fit-4-offset</v>
          </cell>
          <cell r="J21">
            <v>6.3245719227889192E-3</v>
          </cell>
          <cell r="K21">
            <v>6.1370530258591904E-2</v>
          </cell>
          <cell r="L21">
            <v>0.20566638732454404</v>
          </cell>
          <cell r="M21">
            <v>0.51481292498086129</v>
          </cell>
          <cell r="N21">
            <v>4.3988023000000001E-2</v>
          </cell>
          <cell r="O21">
            <v>0.49047494186255497</v>
          </cell>
          <cell r="P21">
            <v>0.24170244337015773</v>
          </cell>
          <cell r="Q21">
            <v>6.6365426412417286E-3</v>
          </cell>
          <cell r="R21">
            <v>0.22402350628124854</v>
          </cell>
          <cell r="S21">
            <v>2.3525396000000001E-2</v>
          </cell>
          <cell r="T21">
            <v>0.21600812418267418</v>
          </cell>
          <cell r="V21">
            <v>0.20097086226645267</v>
          </cell>
          <cell r="W21">
            <v>0.1849575810749694</v>
          </cell>
          <cell r="X21">
            <v>0.20566638732454404</v>
          </cell>
          <cell r="Z21">
            <v>0.2196011276127619</v>
          </cell>
          <cell r="AB21">
            <v>0.26343569676782469</v>
          </cell>
          <cell r="AC21">
            <v>1.4460583046353663E-2</v>
          </cell>
          <cell r="AD21">
            <v>0.70183156593280371</v>
          </cell>
        </row>
        <row r="22">
          <cell r="A22" t="str">
            <v>CGI001-qtz06-CL-fit-1-offset</v>
          </cell>
          <cell r="J22">
            <v>13.07373168576818</v>
          </cell>
          <cell r="K22">
            <v>11.21828849062778</v>
          </cell>
          <cell r="L22">
            <v>12.069263842104327</v>
          </cell>
          <cell r="M22">
            <v>12.559537366846937</v>
          </cell>
          <cell r="N22">
            <v>11.528313263912933</v>
          </cell>
          <cell r="O22">
            <v>12.329537132903853</v>
          </cell>
          <cell r="P22">
            <v>13.219785748804782</v>
          </cell>
          <cell r="Q22">
            <v>10.980253458947356</v>
          </cell>
          <cell r="R22">
            <v>12.22437408377678</v>
          </cell>
          <cell r="S22">
            <v>11.3166646904881</v>
          </cell>
          <cell r="T22">
            <v>11.008481755162595</v>
          </cell>
          <cell r="V22">
            <v>11.923159402653114</v>
          </cell>
          <cell r="W22">
            <v>11.957111956303965</v>
          </cell>
          <cell r="X22">
            <v>12.069263842104327</v>
          </cell>
          <cell r="Z22">
            <v>11.836290448747427</v>
          </cell>
          <cell r="AB22">
            <v>11.919315291396135</v>
          </cell>
          <cell r="AC22">
            <v>10.407152206833748</v>
          </cell>
          <cell r="AD22">
            <v>13.584702284033646</v>
          </cell>
        </row>
        <row r="23">
          <cell r="A23" t="str">
            <v>CGI001-qtz06-CL-fit-2-offset</v>
          </cell>
          <cell r="J23">
            <v>3.9835218359661662</v>
          </cell>
          <cell r="K23">
            <v>2.9637007357937866</v>
          </cell>
          <cell r="L23">
            <v>2.3247657421559915</v>
          </cell>
          <cell r="M23">
            <v>1.6955778881024248</v>
          </cell>
          <cell r="N23">
            <v>3.8802451766480544</v>
          </cell>
          <cell r="O23">
            <v>3.0119272241801465</v>
          </cell>
          <cell r="P23">
            <v>3.4952630835510186</v>
          </cell>
          <cell r="Q23">
            <v>3.433489880333441</v>
          </cell>
          <cell r="R23">
            <v>2.1683936809753832</v>
          </cell>
          <cell r="S23">
            <v>3.211164100264706</v>
          </cell>
          <cell r="T23">
            <v>2.2524545218242387</v>
          </cell>
          <cell r="V23">
            <v>3.1431329567494286</v>
          </cell>
          <cell r="W23">
            <v>2.9473185336177603</v>
          </cell>
          <cell r="X23">
            <v>3.0119272241801465</v>
          </cell>
          <cell r="Z23">
            <v>2.9005893745090532</v>
          </cell>
          <cell r="AB23">
            <v>2.7905927902129544</v>
          </cell>
          <cell r="AC23">
            <v>0.34043309896359014</v>
          </cell>
          <cell r="AD23">
            <v>5.0623768659828787</v>
          </cell>
        </row>
        <row r="24">
          <cell r="A24" t="str">
            <v>CGI001-qtz06-CL-fit-3-offset</v>
          </cell>
          <cell r="J24">
            <v>2.1235795222185039</v>
          </cell>
          <cell r="K24">
            <v>2.2181926657819568</v>
          </cell>
          <cell r="L24">
            <v>3.7175932888119365</v>
          </cell>
          <cell r="M24">
            <v>2.2469858176472819</v>
          </cell>
          <cell r="N24">
            <v>3.0976902981254217</v>
          </cell>
          <cell r="O24">
            <v>2.0072009008022857</v>
          </cell>
          <cell r="P24">
            <v>3.0747272998026438</v>
          </cell>
          <cell r="Q24">
            <v>2.8964488955947849</v>
          </cell>
          <cell r="R24">
            <v>3.3821229774943147</v>
          </cell>
          <cell r="S24">
            <v>1.7129422568244572</v>
          </cell>
          <cell r="T24">
            <v>2.3663269573760868</v>
          </cell>
          <cell r="V24">
            <v>2.607438356701878</v>
          </cell>
          <cell r="W24">
            <v>2.6221646254981521</v>
          </cell>
          <cell r="X24">
            <v>2.3663269573760868</v>
          </cell>
          <cell r="Z24">
            <v>2.5385734325253519</v>
          </cell>
          <cell r="AB24">
            <v>2.5589014871300062</v>
          </cell>
          <cell r="AC24">
            <v>1.4743071392367444</v>
          </cell>
          <cell r="AD24">
            <v>3.8121287661485055</v>
          </cell>
        </row>
        <row r="25">
          <cell r="A25" t="str">
            <v>CGI001-qtz06-CL-fit-4-offset</v>
          </cell>
          <cell r="J25">
            <v>1.785073652474189</v>
          </cell>
          <cell r="K25">
            <v>2.2781183096456585</v>
          </cell>
          <cell r="L25">
            <v>2.2098694305620379</v>
          </cell>
          <cell r="M25">
            <v>2.1349559964684941</v>
          </cell>
          <cell r="N25">
            <v>1.9907137652096576</v>
          </cell>
          <cell r="O25">
            <v>1.9544814310057856</v>
          </cell>
          <cell r="P25">
            <v>2.0259071961775672</v>
          </cell>
          <cell r="Q25">
            <v>1.9142962283664497</v>
          </cell>
          <cell r="R25">
            <v>2.22134949077777</v>
          </cell>
          <cell r="S25">
            <v>1.9906995600112454</v>
          </cell>
          <cell r="T25">
            <v>2.1227941985543648</v>
          </cell>
          <cell r="V25">
            <v>2.081033791105515</v>
          </cell>
          <cell r="W25">
            <v>2.0571144781139292</v>
          </cell>
          <cell r="X25">
            <v>2.0259071961775672</v>
          </cell>
          <cell r="Z25">
            <v>2.0684285344396818</v>
          </cell>
          <cell r="AB25">
            <v>2.0535018010559498</v>
          </cell>
          <cell r="AC25">
            <v>1.6201294568844804</v>
          </cell>
          <cell r="AD25">
            <v>2.5196730178903302</v>
          </cell>
        </row>
        <row r="26">
          <cell r="A26" t="str">
            <v>CGI001-qtz07-CL-fit-1</v>
          </cell>
          <cell r="J26">
            <v>11.852371385067631</v>
          </cell>
          <cell r="K26">
            <v>9.8534287965972549</v>
          </cell>
          <cell r="L26">
            <v>12.492650935054252</v>
          </cell>
          <cell r="M26">
            <v>12.079108076228824</v>
          </cell>
          <cell r="N26">
            <v>11.695559241083588</v>
          </cell>
          <cell r="O26">
            <v>11.979523074122355</v>
          </cell>
          <cell r="P26">
            <v>12.654227223915587</v>
          </cell>
          <cell r="Q26">
            <v>12.904934605459619</v>
          </cell>
          <cell r="R26">
            <v>12.745621840792861</v>
          </cell>
          <cell r="S26">
            <v>13.491984718147043</v>
          </cell>
          <cell r="T26">
            <v>9.1272245526007563</v>
          </cell>
          <cell r="V26">
            <v>11.876566662139174</v>
          </cell>
          <cell r="W26">
            <v>11.897875859006342</v>
          </cell>
          <cell r="X26">
            <v>12.079108076228824</v>
          </cell>
          <cell r="Z26">
            <v>11.933411335483891</v>
          </cell>
          <cell r="AB26">
            <v>12.051426444854592</v>
          </cell>
          <cell r="AC26">
            <v>9.8761384159522745</v>
          </cell>
          <cell r="AD26">
            <v>14.743407844022721</v>
          </cell>
        </row>
        <row r="27">
          <cell r="A27" t="str">
            <v>CGI001-qtz07-CL-fit-2-offset</v>
          </cell>
          <cell r="J27">
            <v>3.4979320728754959</v>
          </cell>
          <cell r="K27">
            <v>3.778869032545487</v>
          </cell>
          <cell r="L27">
            <v>3.9712449347415526</v>
          </cell>
          <cell r="M27">
            <v>2.8430846602204443</v>
          </cell>
          <cell r="N27">
            <v>3.3200302342570001</v>
          </cell>
          <cell r="O27">
            <v>3.5269540443394707</v>
          </cell>
          <cell r="P27">
            <v>3.6296685844711134</v>
          </cell>
          <cell r="Q27">
            <v>2.507202705958131</v>
          </cell>
          <cell r="R27">
            <v>2.4670469010743634</v>
          </cell>
          <cell r="S27">
            <v>2.9421285107336423</v>
          </cell>
          <cell r="T27">
            <v>2.8876194928966297</v>
          </cell>
          <cell r="V27">
            <v>3.2529771069003162</v>
          </cell>
          <cell r="W27">
            <v>3.2156164703739396</v>
          </cell>
          <cell r="X27">
            <v>3.3200302342570001</v>
          </cell>
          <cell r="Z27">
            <v>3.3370105206597276</v>
          </cell>
          <cell r="AB27">
            <v>3.3369628570215104</v>
          </cell>
          <cell r="AC27">
            <v>2.2395247155135132</v>
          </cell>
          <cell r="AD27">
            <v>4.3701121558728806</v>
          </cell>
        </row>
        <row r="28">
          <cell r="A28" t="str">
            <v>CGI001-qtz07-CL-fit-3-offset</v>
          </cell>
          <cell r="J28">
            <v>2.6018521178823333</v>
          </cell>
          <cell r="K28">
            <v>2.2821034643444515</v>
          </cell>
          <cell r="L28">
            <v>1.8356119941305207</v>
          </cell>
          <cell r="M28">
            <v>2.140850414776752</v>
          </cell>
          <cell r="N28">
            <v>2.5051154592399523</v>
          </cell>
          <cell r="O28">
            <v>2.1457033466414202</v>
          </cell>
          <cell r="P28">
            <v>2.0038518379775727</v>
          </cell>
          <cell r="Q28">
            <v>1.8492382068122417</v>
          </cell>
          <cell r="R28">
            <v>2.2000724001814436</v>
          </cell>
          <cell r="S28">
            <v>2.6676055424829186</v>
          </cell>
          <cell r="T28">
            <v>2.2786729967796608</v>
          </cell>
          <cell r="V28">
            <v>2.2367341765230666</v>
          </cell>
          <cell r="W28">
            <v>2.2282434346590243</v>
          </cell>
          <cell r="X28">
            <v>2.2000724001814436</v>
          </cell>
          <cell r="Z28">
            <v>2.2498788983472764</v>
          </cell>
          <cell r="AB28">
            <v>2.2192016441642965</v>
          </cell>
          <cell r="AC28">
            <v>1.4144140242568344</v>
          </cell>
          <cell r="AD28">
            <v>2.9347209982357754</v>
          </cell>
        </row>
        <row r="29">
          <cell r="A29" t="str">
            <v>CGI001-qtz08-CL-fit-1-offset</v>
          </cell>
          <cell r="J29">
            <v>14.515845952496237</v>
          </cell>
          <cell r="K29">
            <v>13.904481847528364</v>
          </cell>
          <cell r="L29">
            <v>16.635249221951149</v>
          </cell>
          <cell r="M29">
            <v>17.255575424223924</v>
          </cell>
          <cell r="N29">
            <v>12.746749429787068</v>
          </cell>
          <cell r="O29">
            <v>14.483339026393166</v>
          </cell>
          <cell r="P29">
            <v>14.443135761284685</v>
          </cell>
          <cell r="Q29">
            <v>14.771590712488001</v>
          </cell>
          <cell r="R29">
            <v>15.525152563806866</v>
          </cell>
          <cell r="S29">
            <v>13.251784680596403</v>
          </cell>
          <cell r="T29">
            <v>12.409997129268861</v>
          </cell>
          <cell r="V29">
            <v>14.460299123130092</v>
          </cell>
          <cell r="W29">
            <v>14.540263795438614</v>
          </cell>
          <cell r="X29">
            <v>14.483339026393166</v>
          </cell>
          <cell r="Z29">
            <v>14.471226859493406</v>
          </cell>
          <cell r="AB29">
            <v>14.552472419481216</v>
          </cell>
          <cell r="AC29">
            <v>11.145642324000677</v>
          </cell>
          <cell r="AD29">
            <v>17.80926041221219</v>
          </cell>
        </row>
        <row r="30">
          <cell r="A30" t="str">
            <v>CGI001-qtz08-CL-fit-2-offset</v>
          </cell>
          <cell r="J30">
            <v>4.337619122212522</v>
          </cell>
          <cell r="K30">
            <v>5.0604677139539778</v>
          </cell>
          <cell r="L30">
            <v>4.4764524088196778</v>
          </cell>
          <cell r="M30">
            <v>4.6241426639742551</v>
          </cell>
          <cell r="N30">
            <v>3.8569315802474704</v>
          </cell>
          <cell r="O30">
            <v>3.6140634579202549</v>
          </cell>
          <cell r="P30">
            <v>5.5772348626054988</v>
          </cell>
          <cell r="Q30">
            <v>7.2544625539510763</v>
          </cell>
          <cell r="R30">
            <v>4.4807595537307883</v>
          </cell>
          <cell r="S30">
            <v>5.9809367704774026</v>
          </cell>
          <cell r="T30">
            <v>5.4663278171146326</v>
          </cell>
          <cell r="V30">
            <v>5.1910197578179265</v>
          </cell>
          <cell r="W30">
            <v>4.975399864091596</v>
          </cell>
          <cell r="X30">
            <v>4.6241426639742551</v>
          </cell>
          <cell r="Z30">
            <v>5.1115888854728802</v>
          </cell>
          <cell r="AB30">
            <v>5.0569483602055829</v>
          </cell>
          <cell r="AC30">
            <v>3.0310337072256375</v>
          </cell>
          <cell r="AD30">
            <v>6.9863570006988258</v>
          </cell>
        </row>
        <row r="31">
          <cell r="A31" t="str">
            <v>CGI001-qtz08-CL-fit-3</v>
          </cell>
          <cell r="J31">
            <v>4.3218605221279587</v>
          </cell>
          <cell r="K31">
            <v>5.8757315040188498</v>
          </cell>
          <cell r="L31">
            <v>5.2402726380481006</v>
          </cell>
          <cell r="M31">
            <v>3.7131791616862384</v>
          </cell>
          <cell r="N31">
            <v>5.3070458154028461</v>
          </cell>
          <cell r="O31">
            <v>1.9353620295966609</v>
          </cell>
          <cell r="P31">
            <v>4.0333958231396325</v>
          </cell>
          <cell r="Q31">
            <v>0</v>
          </cell>
          <cell r="R31">
            <v>1.8651181058376112</v>
          </cell>
          <cell r="S31">
            <v>2.5643270999999999</v>
          </cell>
          <cell r="T31">
            <v>2.1096812371247102</v>
          </cell>
          <cell r="V31">
            <v>4.6076394000000001</v>
          </cell>
          <cell r="W31">
            <v>3.6965973936982608</v>
          </cell>
          <cell r="X31">
            <v>3.8732874924129357</v>
          </cell>
          <cell r="Z31">
            <v>3.4334468467144807</v>
          </cell>
          <cell r="AB31">
            <v>3.9988238053986502</v>
          </cell>
          <cell r="AC31">
            <v>9.1845648254404805E-2</v>
          </cell>
          <cell r="AD31">
            <v>13.400782828780631</v>
          </cell>
        </row>
        <row r="32">
          <cell r="A32" t="str">
            <v>CGI001-qtz08-CL-fit-4-offset</v>
          </cell>
          <cell r="J32">
            <v>1.8546459167029503</v>
          </cell>
          <cell r="K32">
            <v>1.245439118875225</v>
          </cell>
          <cell r="L32">
            <v>1.8429407728666918</v>
          </cell>
          <cell r="M32">
            <v>1.1237550118996606</v>
          </cell>
          <cell r="N32">
            <v>1.1677628995011979</v>
          </cell>
          <cell r="O32">
            <v>1.7926340266345664</v>
          </cell>
          <cell r="P32">
            <v>1.1153164528121309</v>
          </cell>
          <cell r="Q32">
            <v>1.7331741449415512</v>
          </cell>
          <cell r="R32">
            <v>0.91645746131693262</v>
          </cell>
          <cell r="S32">
            <v>1.140211774788479</v>
          </cell>
          <cell r="T32">
            <v>0.9395567453456275</v>
          </cell>
          <cell r="V32">
            <v>1.6501550565454561</v>
          </cell>
          <cell r="W32">
            <v>1.3519903932440924</v>
          </cell>
          <cell r="X32">
            <v>1.1677628995011979</v>
          </cell>
          <cell r="Z32">
            <v>1.6104039479412777</v>
          </cell>
          <cell r="AB32">
            <v>1.51198262727628</v>
          </cell>
          <cell r="AC32">
            <v>0.28430695314518739</v>
          </cell>
          <cell r="AD32">
            <v>2.6237215471592261</v>
          </cell>
        </row>
        <row r="33">
          <cell r="A33" t="str">
            <v>CGI001-qtz09-CL-fit-1-offset</v>
          </cell>
          <cell r="J33">
            <v>5.2192047967036554</v>
          </cell>
          <cell r="K33">
            <v>5.0226266661939896</v>
          </cell>
          <cell r="L33">
            <v>4.5923506353069756</v>
          </cell>
          <cell r="M33">
            <v>6.2756161330821962</v>
          </cell>
          <cell r="N33">
            <v>4.5778089734352401</v>
          </cell>
          <cell r="O33">
            <v>7.1053747815596457</v>
          </cell>
          <cell r="P33">
            <v>4.2561288295458652</v>
          </cell>
          <cell r="Q33">
            <v>4.9605960933474931</v>
          </cell>
          <cell r="R33">
            <v>6.3778964556345565</v>
          </cell>
          <cell r="S33">
            <v>4.1279563899910423</v>
          </cell>
          <cell r="T33">
            <v>5.0832952441176262</v>
          </cell>
          <cell r="V33">
            <v>5.2293040114202034</v>
          </cell>
          <cell r="W33">
            <v>5.2362595453562077</v>
          </cell>
          <cell r="X33">
            <v>5.0226266661939896</v>
          </cell>
          <cell r="Z33">
            <v>5.3293457198789858</v>
          </cell>
          <cell r="AB33">
            <v>5.2790995157688094</v>
          </cell>
          <cell r="AC33">
            <v>3.5973675845397661</v>
          </cell>
          <cell r="AD33">
            <v>7.1501838728193094</v>
          </cell>
        </row>
        <row r="34">
          <cell r="A34" t="str">
            <v>CGI001-qtz09-CL-fit-2-offset</v>
          </cell>
          <cell r="J34">
            <v>3.0831760820047656</v>
          </cell>
          <cell r="K34">
            <v>1.1030152366509178</v>
          </cell>
          <cell r="L34">
            <v>2.9228098925852275</v>
          </cell>
          <cell r="M34">
            <v>2.9055070881122895</v>
          </cell>
          <cell r="N34">
            <v>2.3611414479413462</v>
          </cell>
          <cell r="O34">
            <v>1.5538535651747385</v>
          </cell>
          <cell r="P34">
            <v>3.7926017754117769</v>
          </cell>
          <cell r="Q34">
            <v>2.3517398571030665</v>
          </cell>
          <cell r="R34">
            <v>0.90834635774124595</v>
          </cell>
          <cell r="S34">
            <v>1.3560822632321685</v>
          </cell>
          <cell r="T34">
            <v>3.5129409782036261</v>
          </cell>
          <cell r="V34">
            <v>2.5802964303200748</v>
          </cell>
          <cell r="W34">
            <v>2.3501104131055608</v>
          </cell>
          <cell r="X34">
            <v>2.3611414479413462</v>
          </cell>
          <cell r="Z34">
            <v>2.3871811835278316</v>
          </cell>
          <cell r="AB34">
            <v>2.3034762910664965</v>
          </cell>
          <cell r="AC34">
            <v>0.16200352887279673</v>
          </cell>
          <cell r="AD34">
            <v>4.8335134026453659</v>
          </cell>
        </row>
        <row r="35">
          <cell r="A35" t="str">
            <v>CGI001-qtz09-CL-fit-3-offset</v>
          </cell>
          <cell r="J35">
            <v>2.5861782752197766</v>
          </cell>
          <cell r="K35">
            <v>3.3646050592652927</v>
          </cell>
          <cell r="L35">
            <v>1.6033332664242514</v>
          </cell>
          <cell r="M35">
            <v>2.1953900270511015</v>
          </cell>
          <cell r="N35">
            <v>2.2970953471948543</v>
          </cell>
          <cell r="O35">
            <v>1.3991384442760728</v>
          </cell>
          <cell r="P35">
            <v>1.6267603487987543</v>
          </cell>
          <cell r="Q35">
            <v>1.8669246360005938</v>
          </cell>
          <cell r="R35">
            <v>2.4353432375768485</v>
          </cell>
          <cell r="S35">
            <v>1.6901617008596903</v>
          </cell>
          <cell r="T35">
            <v>0.21767924211221515</v>
          </cell>
          <cell r="V35">
            <v>1.6951646849207351</v>
          </cell>
          <cell r="W35">
            <v>1.9347826895254046</v>
          </cell>
          <cell r="X35">
            <v>1.8669246360005938</v>
          </cell>
          <cell r="Z35">
            <v>1.7801174819951153</v>
          </cell>
          <cell r="AB35">
            <v>2.0055034911307925</v>
          </cell>
          <cell r="AC35">
            <v>0.23954285272573889</v>
          </cell>
          <cell r="AD35">
            <v>5.3909595772445362</v>
          </cell>
        </row>
        <row r="36">
          <cell r="A36" t="str">
            <v>CGI001-qtz10-CL-fit-1-offset</v>
          </cell>
          <cell r="J36">
            <v>4.8592097991621275</v>
          </cell>
          <cell r="K36">
            <v>4.5500719586982212</v>
          </cell>
          <cell r="L36">
            <v>3.9456164430164562</v>
          </cell>
          <cell r="M36">
            <v>4.7387863018363179</v>
          </cell>
          <cell r="N36">
            <v>3.5156583025373163</v>
          </cell>
          <cell r="O36">
            <v>4.7901989880401876</v>
          </cell>
          <cell r="P36">
            <v>4.3001878881766373</v>
          </cell>
          <cell r="Q36">
            <v>4.6690591929658121</v>
          </cell>
          <cell r="R36">
            <v>5.7145588789302559</v>
          </cell>
          <cell r="S36">
            <v>5.555213332480383</v>
          </cell>
          <cell r="T36">
            <v>4.8257861319813333</v>
          </cell>
          <cell r="V36">
            <v>4.7127980390983959</v>
          </cell>
          <cell r="W36">
            <v>4.6785770198022769</v>
          </cell>
          <cell r="X36">
            <v>4.7387863018363179</v>
          </cell>
          <cell r="Z36">
            <v>4.6727477234500405</v>
          </cell>
          <cell r="AB36">
            <v>4.6796282842100752</v>
          </cell>
          <cell r="AC36">
            <v>3.3347975844372222</v>
          </cell>
          <cell r="AD36">
            <v>6.0221762006289863</v>
          </cell>
        </row>
        <row r="37">
          <cell r="A37" t="str">
            <v>CGI001-qtz10-CL-fit-2</v>
          </cell>
          <cell r="J37">
            <v>3.2925249999999999</v>
          </cell>
          <cell r="K37">
            <v>2.3078213999999999</v>
          </cell>
          <cell r="L37">
            <v>3.7490562595950179</v>
          </cell>
          <cell r="M37">
            <v>2.4931247000000001</v>
          </cell>
          <cell r="N37">
            <v>2.4983109873565925</v>
          </cell>
          <cell r="O37">
            <v>2.895546208685472</v>
          </cell>
          <cell r="P37">
            <v>2.7432482999999999</v>
          </cell>
          <cell r="Q37">
            <v>3.2120294</v>
          </cell>
          <cell r="R37">
            <v>2.8255587867677923</v>
          </cell>
          <cell r="S37">
            <v>2.1549514467538491</v>
          </cell>
          <cell r="T37">
            <v>2.1438223795924953</v>
          </cell>
          <cell r="V37">
            <v>2.6826283000000002</v>
          </cell>
          <cell r="W37">
            <v>2.755999533522838</v>
          </cell>
          <cell r="X37">
            <v>2.7432482999999999</v>
          </cell>
          <cell r="Z37">
            <v>2.6796964057505659</v>
          </cell>
          <cell r="AB37">
            <v>2.6945760521217337</v>
          </cell>
          <cell r="AC37">
            <v>1.9463997249433505</v>
          </cell>
          <cell r="AD37">
            <v>3.5448151198754196</v>
          </cell>
        </row>
        <row r="38">
          <cell r="A38" t="str">
            <v>CGI001-qtz10-CL-fit-3-offset</v>
          </cell>
          <cell r="J38">
            <v>14.229429932070721</v>
          </cell>
          <cell r="K38">
            <v>15.643046773533952</v>
          </cell>
          <cell r="L38">
            <v>15.626546616300308</v>
          </cell>
          <cell r="M38">
            <v>14.576742533273931</v>
          </cell>
          <cell r="N38">
            <v>13.801875816853345</v>
          </cell>
          <cell r="O38">
            <v>13.891187392692894</v>
          </cell>
          <cell r="P38">
            <v>12.806274760188458</v>
          </cell>
          <cell r="Q38">
            <v>14.28710857120697</v>
          </cell>
          <cell r="R38">
            <v>13.511790258921813</v>
          </cell>
          <cell r="S38">
            <v>12.778947464779177</v>
          </cell>
          <cell r="T38">
            <v>10.78569676285357</v>
          </cell>
          <cell r="V38">
            <v>13.775396563136141</v>
          </cell>
          <cell r="W38">
            <v>13.812604262061377</v>
          </cell>
          <cell r="X38">
            <v>13.891187392692894</v>
          </cell>
          <cell r="Z38">
            <v>13.660204596904778</v>
          </cell>
          <cell r="AB38">
            <v>13.793216460032752</v>
          </cell>
          <cell r="AC38">
            <v>11.482350692214027</v>
          </cell>
          <cell r="AD38">
            <v>16.20080822708314</v>
          </cell>
        </row>
        <row r="39">
          <cell r="A39" t="str">
            <v>CGI001-qtz10-CL-fit-4</v>
          </cell>
          <cell r="J39">
            <v>2.0555292999999999</v>
          </cell>
          <cell r="K39">
            <v>2.1742366</v>
          </cell>
          <cell r="L39">
            <v>2.3038929000000001</v>
          </cell>
          <cell r="M39">
            <v>1.8946083</v>
          </cell>
          <cell r="N39">
            <v>1.5298468000000001</v>
          </cell>
          <cell r="O39">
            <v>1.8335731757311695</v>
          </cell>
          <cell r="P39">
            <v>2.3059666000000001</v>
          </cell>
          <cell r="Q39">
            <v>2.2219026323222986</v>
          </cell>
          <cell r="R39">
            <v>2.1222373999999999</v>
          </cell>
          <cell r="S39">
            <v>1.9196302999999999</v>
          </cell>
          <cell r="T39">
            <v>1.3700498000000001</v>
          </cell>
          <cell r="V39">
            <v>1.9860187</v>
          </cell>
          <cell r="W39">
            <v>1.9755885280048608</v>
          </cell>
          <cell r="X39">
            <v>2.0555292999999999</v>
          </cell>
          <cell r="Z39">
            <v>1.970595426546681</v>
          </cell>
          <cell r="AB39">
            <v>1.9709831584514705</v>
          </cell>
          <cell r="AC39">
            <v>1.2801038751989482</v>
          </cell>
          <cell r="AD39">
            <v>2.7154135655670566</v>
          </cell>
        </row>
        <row r="40">
          <cell r="A40" t="str">
            <v>CGI001-qtz10-CL-fit-5-offset</v>
          </cell>
          <cell r="J40">
            <v>0.95606077690890501</v>
          </cell>
          <cell r="K40">
            <v>1.2092336729178079</v>
          </cell>
          <cell r="L40">
            <v>1.0707394009198545</v>
          </cell>
          <cell r="M40">
            <v>1.184686654347944</v>
          </cell>
          <cell r="N40">
            <v>0.99724951766067638</v>
          </cell>
          <cell r="O40">
            <v>1.0338763845268559</v>
          </cell>
          <cell r="P40">
            <v>0.65774831361206121</v>
          </cell>
          <cell r="Q40">
            <v>0.73819522129025772</v>
          </cell>
          <cell r="R40">
            <v>0.81749955142928121</v>
          </cell>
          <cell r="S40">
            <v>0.88857219571202029</v>
          </cell>
          <cell r="T40">
            <v>1.1203963031503068</v>
          </cell>
          <cell r="V40">
            <v>1.11839694622699</v>
          </cell>
          <cell r="W40">
            <v>0.97038709022508829</v>
          </cell>
          <cell r="X40">
            <v>0.99724951766067638</v>
          </cell>
          <cell r="Z40">
            <v>0.93164186704089469</v>
          </cell>
          <cell r="AB40">
            <v>0.89294554126834524</v>
          </cell>
          <cell r="AC40">
            <v>0.1908058553170815</v>
          </cell>
          <cell r="AD40">
            <v>1.6409043075744483</v>
          </cell>
        </row>
        <row r="41">
          <cell r="A41" t="str">
            <v>CGI001-qtz11-CL-fit-1</v>
          </cell>
          <cell r="J41">
            <v>10.603210659348006</v>
          </cell>
          <cell r="K41">
            <v>8.9054177246028896</v>
          </cell>
          <cell r="L41">
            <v>10.448203109221726</v>
          </cell>
          <cell r="M41">
            <v>9.6911831799712083</v>
          </cell>
          <cell r="N41">
            <v>13.284500914848444</v>
          </cell>
          <cell r="O41">
            <v>10.457766536405488</v>
          </cell>
          <cell r="P41">
            <v>11.466900931029866</v>
          </cell>
          <cell r="Q41">
            <v>10.662639426261652</v>
          </cell>
          <cell r="R41">
            <v>8.8778375851063167</v>
          </cell>
          <cell r="S41">
            <v>11.114587242464298</v>
          </cell>
          <cell r="T41">
            <v>9.7172072229311155</v>
          </cell>
          <cell r="V41">
            <v>10.361616573210615</v>
          </cell>
          <cell r="W41">
            <v>10.475404957471909</v>
          </cell>
          <cell r="X41">
            <v>10.457766536405488</v>
          </cell>
          <cell r="Z41">
            <v>10.401529330355453</v>
          </cell>
          <cell r="AB41">
            <v>10.560007867087371</v>
          </cell>
          <cell r="AC41">
            <v>6.3802523594177893</v>
          </cell>
          <cell r="AD41">
            <v>16.271007881743429</v>
          </cell>
        </row>
        <row r="42">
          <cell r="A42" t="str">
            <v>CGI001-qtz11-CL-fit-2-offset</v>
          </cell>
          <cell r="J42">
            <v>1.1410202666652804</v>
          </cell>
          <cell r="K42">
            <v>1.3272962085477757</v>
          </cell>
          <cell r="L42">
            <v>0.75745717586155126</v>
          </cell>
          <cell r="M42">
            <v>1.6597575821732884</v>
          </cell>
          <cell r="N42">
            <v>1.2520904823049013</v>
          </cell>
          <cell r="O42">
            <v>1.2372011778759229</v>
          </cell>
          <cell r="P42">
            <v>1.2672713259055159</v>
          </cell>
          <cell r="Q42">
            <v>1.6991650123993298</v>
          </cell>
          <cell r="R42">
            <v>0.88722631737373181</v>
          </cell>
          <cell r="S42">
            <v>1.4509613419280167</v>
          </cell>
          <cell r="T42">
            <v>2.2033625869582587</v>
          </cell>
          <cell r="V42">
            <v>1.4627984704958057</v>
          </cell>
          <cell r="W42">
            <v>1.3529826798175975</v>
          </cell>
          <cell r="X42">
            <v>1.2672713259055159</v>
          </cell>
          <cell r="Z42">
            <v>1.3708278841050201</v>
          </cell>
          <cell r="AB42">
            <v>1.2980606890677473</v>
          </cell>
          <cell r="AC42">
            <v>0.24186969894279306</v>
          </cell>
          <cell r="AD42">
            <v>2.2613854</v>
          </cell>
        </row>
        <row r="43">
          <cell r="A43" t="str">
            <v>CGI001-qtz12-CL-fit-1</v>
          </cell>
          <cell r="J43">
            <v>6.4114427354796666</v>
          </cell>
          <cell r="K43">
            <v>2.6823614971270677</v>
          </cell>
          <cell r="L43">
            <v>7.0824088807557422</v>
          </cell>
          <cell r="M43">
            <v>5.0954923702212565</v>
          </cell>
          <cell r="N43">
            <v>5.4815188563813821</v>
          </cell>
          <cell r="O43">
            <v>3.0681791396366269</v>
          </cell>
          <cell r="P43">
            <v>4.531302374891971</v>
          </cell>
          <cell r="Q43">
            <v>7.5838851465657582</v>
          </cell>
          <cell r="R43">
            <v>8.9813035591283494</v>
          </cell>
          <cell r="S43">
            <v>1.2848487103116319</v>
          </cell>
          <cell r="T43">
            <v>2.9594326331292371</v>
          </cell>
          <cell r="V43">
            <v>6.3460346999999997</v>
          </cell>
          <cell r="W43">
            <v>5.0147432639662437</v>
          </cell>
          <cell r="X43">
            <v>5.0954923702212565</v>
          </cell>
          <cell r="Z43">
            <v>6.1174680765472385</v>
          </cell>
          <cell r="AB43">
            <v>6.6051886807309153</v>
          </cell>
          <cell r="AC43">
            <v>0.57616845229600189</v>
          </cell>
          <cell r="AD43">
            <v>15.48838860354924</v>
          </cell>
        </row>
        <row r="44">
          <cell r="A44" t="str">
            <v>CGI001-qtz12-CL-fit-2-offset</v>
          </cell>
          <cell r="J44">
            <v>8.7077823412737541</v>
          </cell>
          <cell r="K44">
            <v>8.1476380279742724</v>
          </cell>
          <cell r="L44">
            <v>6.5553949316204596</v>
          </cell>
          <cell r="M44">
            <v>5.8282763354919327</v>
          </cell>
          <cell r="N44">
            <v>7.1744560302212737</v>
          </cell>
          <cell r="O44">
            <v>7.815258875300942</v>
          </cell>
          <cell r="P44">
            <v>6.8227203087167121</v>
          </cell>
          <cell r="Q44">
            <v>7.1474034133275834</v>
          </cell>
          <cell r="R44">
            <v>7.1344530046791954</v>
          </cell>
          <cell r="S44">
            <v>9.080351112101134</v>
          </cell>
          <cell r="T44">
            <v>7.2204794819314264</v>
          </cell>
          <cell r="V44">
            <v>7.5425290000248824</v>
          </cell>
          <cell r="W44">
            <v>7.4212921693307896</v>
          </cell>
          <cell r="X44">
            <v>7.1744560302212737</v>
          </cell>
          <cell r="Z44">
            <v>7.3983218661221208</v>
          </cell>
          <cell r="AB44">
            <v>7.4289847622504031</v>
          </cell>
          <cell r="AC44">
            <v>5.253673450294329</v>
          </cell>
          <cell r="AD44">
            <v>9.6965652672389826</v>
          </cell>
        </row>
        <row r="45">
          <cell r="A45" t="str">
            <v>CGI001-qtz12-CL-fit-3-offset</v>
          </cell>
          <cell r="J45">
            <v>0.91860092111103153</v>
          </cell>
          <cell r="K45">
            <v>0.13487858126966257</v>
          </cell>
          <cell r="L45">
            <v>4.8523097000000001E-2</v>
          </cell>
          <cell r="M45">
            <v>1.7093659937963301</v>
          </cell>
          <cell r="N45">
            <v>2.0100899655576576</v>
          </cell>
          <cell r="O45">
            <v>2.6771568708742546</v>
          </cell>
          <cell r="P45">
            <v>2.0088106827915979</v>
          </cell>
          <cell r="Q45">
            <v>2.8600046852286631</v>
          </cell>
          <cell r="R45">
            <v>3.0965990320681862</v>
          </cell>
          <cell r="S45">
            <v>4.1236370829176598</v>
          </cell>
          <cell r="T45">
            <v>4.3825036075600661</v>
          </cell>
          <cell r="V45">
            <v>1.0644145766493598</v>
          </cell>
          <cell r="W45">
            <v>2.17910641092501</v>
          </cell>
          <cell r="X45">
            <v>2.0100899655576576</v>
          </cell>
          <cell r="Z45">
            <v>0.9814702357063223</v>
          </cell>
          <cell r="AB45">
            <v>1.3481290623253281</v>
          </cell>
          <cell r="AC45">
            <v>5.2529168298873831E-6</v>
          </cell>
          <cell r="AD45">
            <v>3.7011387788721191</v>
          </cell>
        </row>
        <row r="46">
          <cell r="A46" t="str">
            <v>CGI001-qtz12-CL-fit-4-offset</v>
          </cell>
          <cell r="J46">
            <v>0.35533209543987776</v>
          </cell>
          <cell r="K46">
            <v>0.91238787970197333</v>
          </cell>
          <cell r="L46">
            <v>1.4881488963289984</v>
          </cell>
          <cell r="M46">
            <v>1.339699323689904</v>
          </cell>
          <cell r="N46">
            <v>0.76914415884586873</v>
          </cell>
          <cell r="O46">
            <v>0.67000991620942063</v>
          </cell>
          <cell r="P46">
            <v>1.186832238284284</v>
          </cell>
          <cell r="Q46">
            <v>0.26506007278613031</v>
          </cell>
          <cell r="R46">
            <v>0.63116784985391006</v>
          </cell>
          <cell r="S46">
            <v>0.24047786449836911</v>
          </cell>
          <cell r="T46">
            <v>0.3036822730058763</v>
          </cell>
          <cell r="V46">
            <v>1.0404629267993928</v>
          </cell>
          <cell r="W46">
            <v>0.74199477896769206</v>
          </cell>
          <cell r="X46">
            <v>0.67000991620942063</v>
          </cell>
          <cell r="Z46">
            <v>0.84981351630536461</v>
          </cell>
          <cell r="AB46">
            <v>0.80815244777903505</v>
          </cell>
          <cell r="AC46">
            <v>3.3433051777091016E-4</v>
          </cell>
          <cell r="AD46">
            <v>1.7126473187786662</v>
          </cell>
        </row>
        <row r="47">
          <cell r="A47" t="str">
            <v>CGI005-qtz01-CL-fit-1-offset</v>
          </cell>
          <cell r="J47">
            <v>7.0936431873854726</v>
          </cell>
          <cell r="K47">
            <v>8.8535479969842363</v>
          </cell>
          <cell r="L47">
            <v>7.6757504751240528</v>
          </cell>
          <cell r="M47">
            <v>7.0614409168336296</v>
          </cell>
          <cell r="N47">
            <v>3.3122226285270915</v>
          </cell>
          <cell r="O47">
            <v>4.728043131980864</v>
          </cell>
          <cell r="P47">
            <v>6.7934220758332469</v>
          </cell>
          <cell r="Q47">
            <v>8.4757278499837092</v>
          </cell>
          <cell r="R47">
            <v>10.622704733808302</v>
          </cell>
          <cell r="S47">
            <v>7.9066044321490727</v>
          </cell>
          <cell r="T47">
            <v>7.9520747445582183</v>
          </cell>
          <cell r="V47">
            <v>7.2642370263777556</v>
          </cell>
          <cell r="W47">
            <v>7.3159256521061726</v>
          </cell>
          <cell r="X47">
            <v>7.6757504751240528</v>
          </cell>
          <cell r="Z47">
            <v>6.671680347328854</v>
          </cell>
          <cell r="AB47">
            <v>6.9442207230295017</v>
          </cell>
          <cell r="AC47">
            <v>1.2544573398284877</v>
          </cell>
          <cell r="AD47">
            <v>13.000721276847768</v>
          </cell>
        </row>
        <row r="48">
          <cell r="A48" t="str">
            <v>CGI005-qtz01-CL-fit-2</v>
          </cell>
          <cell r="J48">
            <v>8.5315799000000005</v>
          </cell>
          <cell r="K48">
            <v>9.250145099567451</v>
          </cell>
          <cell r="L48">
            <v>8.7240266000000002</v>
          </cell>
          <cell r="M48">
            <v>6.092610902993183</v>
          </cell>
          <cell r="N48">
            <v>6.6910252488392628</v>
          </cell>
          <cell r="O48">
            <v>9.4273075169070299</v>
          </cell>
          <cell r="P48">
            <v>8.1045540999999997</v>
          </cell>
          <cell r="Q48">
            <v>10.073615999999999</v>
          </cell>
          <cell r="R48">
            <v>10.503377111660575</v>
          </cell>
          <cell r="S48">
            <v>8.9796147000000008</v>
          </cell>
          <cell r="T48">
            <v>10.319436706692018</v>
          </cell>
          <cell r="V48">
            <v>8.6694805000000006</v>
          </cell>
          <cell r="W48">
            <v>8.7906630806054107</v>
          </cell>
          <cell r="X48">
            <v>8.9796147000000008</v>
          </cell>
          <cell r="Z48">
            <v>8.257235997508511</v>
          </cell>
          <cell r="AB48">
            <v>8.3714450213165836</v>
          </cell>
          <cell r="AC48">
            <v>5.8157284702558325</v>
          </cell>
          <cell r="AD48">
            <v>11.897950940107052</v>
          </cell>
        </row>
        <row r="49">
          <cell r="A49" t="str">
            <v>CGI005-qtz01-CL-fit-3-offset</v>
          </cell>
          <cell r="J49">
            <v>7.2316169373022969</v>
          </cell>
          <cell r="K49">
            <v>6.5821618831660134</v>
          </cell>
          <cell r="L49">
            <v>5.5529674901919783</v>
          </cell>
          <cell r="M49">
            <v>6.9310804776052821</v>
          </cell>
          <cell r="N49">
            <v>3.164968730384353</v>
          </cell>
          <cell r="O49">
            <v>6.0817121475337279</v>
          </cell>
          <cell r="P49">
            <v>6.4797281747420623</v>
          </cell>
          <cell r="Q49">
            <v>6.5924459000000004</v>
          </cell>
          <cell r="R49">
            <v>6.3936826</v>
          </cell>
          <cell r="S49">
            <v>7.1318826376004347</v>
          </cell>
          <cell r="T49">
            <v>5.7130582063394506</v>
          </cell>
          <cell r="V49">
            <v>6.3032815723332307</v>
          </cell>
          <cell r="W49">
            <v>6.1686641077150544</v>
          </cell>
          <cell r="X49">
            <v>6.4797281747420623</v>
          </cell>
          <cell r="Z49">
            <v>6.2763566852869346</v>
          </cell>
          <cell r="AB49">
            <v>6.240289925384328</v>
          </cell>
          <cell r="AC49">
            <v>4.3499124598730248</v>
          </cell>
          <cell r="AD49">
            <v>8.022997043849637</v>
          </cell>
        </row>
        <row r="50">
          <cell r="A50" t="str">
            <v>CGI005-qtz01-CL-fit-4-offset</v>
          </cell>
          <cell r="J50">
            <v>1.4849590891891309</v>
          </cell>
          <cell r="K50">
            <v>1.4669097799456861</v>
          </cell>
          <cell r="L50">
            <v>1.8174598889414684</v>
          </cell>
          <cell r="M50">
            <v>1.8376206062029843</v>
          </cell>
          <cell r="N50">
            <v>2.2454796410424431</v>
          </cell>
          <cell r="O50">
            <v>1.7867274407038376</v>
          </cell>
          <cell r="P50">
            <v>1.9829374024958974</v>
          </cell>
          <cell r="Q50">
            <v>1.8348711717194932</v>
          </cell>
          <cell r="R50">
            <v>1.9739386640746215</v>
          </cell>
          <cell r="S50">
            <v>2.0960127685000227</v>
          </cell>
          <cell r="T50">
            <v>1.8228022859683468</v>
          </cell>
          <cell r="V50">
            <v>1.865895549070792</v>
          </cell>
          <cell r="W50">
            <v>1.8499744307985393</v>
          </cell>
          <cell r="X50">
            <v>1.8348711717194932</v>
          </cell>
          <cell r="Z50">
            <v>1.8673559644731568</v>
          </cell>
          <cell r="AB50">
            <v>1.8361429386541201</v>
          </cell>
          <cell r="AC50">
            <v>0.91759130697360436</v>
          </cell>
          <cell r="AD50">
            <v>2.5093152999999999</v>
          </cell>
        </row>
        <row r="51">
          <cell r="A51" t="str">
            <v>CGI005-qtz01-CL-fit-5-offset</v>
          </cell>
          <cell r="J51">
            <v>4.3757463631739357</v>
          </cell>
          <cell r="K51">
            <v>3.0878115629132283</v>
          </cell>
          <cell r="L51">
            <v>3.5183614682020745</v>
          </cell>
          <cell r="M51">
            <v>3.6830602015026432</v>
          </cell>
          <cell r="N51">
            <v>3.4899847103616626</v>
          </cell>
          <cell r="O51">
            <v>4.0235769003749899</v>
          </cell>
          <cell r="P51">
            <v>4.1425696846613018</v>
          </cell>
          <cell r="Q51">
            <v>3.295363990081885</v>
          </cell>
          <cell r="R51">
            <v>4.6287821254919166</v>
          </cell>
          <cell r="S51">
            <v>4.0807257500540555</v>
          </cell>
          <cell r="T51">
            <v>6.3963190592069177</v>
          </cell>
          <cell r="V51">
            <v>3.975415397250988</v>
          </cell>
          <cell r="W51">
            <v>4.0656638014567825</v>
          </cell>
          <cell r="X51">
            <v>4.0235769003749899</v>
          </cell>
          <cell r="Z51">
            <v>3.8040482212333284</v>
          </cell>
          <cell r="AB51">
            <v>3.9354321457808554</v>
          </cell>
          <cell r="AC51">
            <v>2.5649840751719371</v>
          </cell>
          <cell r="AD51">
            <v>5.7147635674746038</v>
          </cell>
        </row>
        <row r="52">
          <cell r="A52" t="str">
            <v>CGI005-qtz03-CL-fit-1-offset</v>
          </cell>
          <cell r="J52">
            <v>14.120401777729887</v>
          </cell>
          <cell r="K52">
            <v>11.671119211006465</v>
          </cell>
          <cell r="L52">
            <v>15.766137663800468</v>
          </cell>
          <cell r="M52">
            <v>9.8932600502131933</v>
          </cell>
          <cell r="N52">
            <v>14.286092440041283</v>
          </cell>
          <cell r="O52">
            <v>13.50649473988905</v>
          </cell>
          <cell r="P52">
            <v>15.798162456964237</v>
          </cell>
          <cell r="Q52">
            <v>8.679080949214514</v>
          </cell>
          <cell r="R52">
            <v>10.199862712478234</v>
          </cell>
          <cell r="S52">
            <v>9.5861273169954906</v>
          </cell>
          <cell r="T52">
            <v>12.527289899842206</v>
          </cell>
          <cell r="V52">
            <v>12.303820928810447</v>
          </cell>
          <cell r="W52">
            <v>12.366729928925002</v>
          </cell>
          <cell r="X52">
            <v>12.527289899842206</v>
          </cell>
          <cell r="Z52">
            <v>12.201878064217329</v>
          </cell>
          <cell r="AB52">
            <v>12.449523597520924</v>
          </cell>
          <cell r="AC52">
            <v>8.4289457391886184</v>
          </cell>
          <cell r="AD52">
            <v>17.425516303177403</v>
          </cell>
        </row>
        <row r="53">
          <cell r="A53" t="str">
            <v>CGI005-qtz03-CL-fit-2-offset</v>
          </cell>
          <cell r="J53">
            <v>9.0466573749136625</v>
          </cell>
          <cell r="K53">
            <v>8.1306811953720874</v>
          </cell>
          <cell r="L53">
            <v>8.4081529516387228</v>
          </cell>
          <cell r="M53">
            <v>8.6297970289363395</v>
          </cell>
          <cell r="N53">
            <v>7.5970956378554746</v>
          </cell>
          <cell r="O53">
            <v>9.1170094594228281</v>
          </cell>
          <cell r="P53">
            <v>8.1680944945620961</v>
          </cell>
          <cell r="Q53">
            <v>7.9786743410533987</v>
          </cell>
          <cell r="R53">
            <v>8.3067015527609733</v>
          </cell>
          <cell r="S53">
            <v>7.4248981840984518</v>
          </cell>
          <cell r="T53">
            <v>8.1926947207932539</v>
          </cell>
          <cell r="V53">
            <v>8.3081917734500248</v>
          </cell>
          <cell r="W53">
            <v>8.2727688128552082</v>
          </cell>
          <cell r="X53">
            <v>8.1926947207932539</v>
          </cell>
          <cell r="Z53">
            <v>8.2895033347234026</v>
          </cell>
          <cell r="AB53">
            <v>8.2934097738504828</v>
          </cell>
          <cell r="AC53">
            <v>7.2360853500310451</v>
          </cell>
          <cell r="AD53">
            <v>9.4459193931452177</v>
          </cell>
        </row>
        <row r="54">
          <cell r="A54" t="str">
            <v>CGI005-qtz03-CL-fit-3</v>
          </cell>
          <cell r="J54">
            <v>10.067632</v>
          </cell>
          <cell r="K54">
            <v>8.9236512000000001</v>
          </cell>
          <cell r="L54">
            <v>8.1862220000000008</v>
          </cell>
          <cell r="M54">
            <v>8.3108631000000006</v>
          </cell>
          <cell r="N54">
            <v>9.7571480000000008</v>
          </cell>
          <cell r="O54">
            <v>8.8165732000000006</v>
          </cell>
          <cell r="P54">
            <v>10.077999</v>
          </cell>
          <cell r="Q54">
            <v>9.0594090999999999</v>
          </cell>
          <cell r="R54">
            <v>8.1091329000000005</v>
          </cell>
          <cell r="S54">
            <v>9.0401038000000007</v>
          </cell>
          <cell r="T54">
            <v>9.2496617000000008</v>
          </cell>
          <cell r="V54">
            <v>9.0610430999999991</v>
          </cell>
          <cell r="W54">
            <v>9.0543996363636374</v>
          </cell>
          <cell r="X54">
            <v>9.0401038000000007</v>
          </cell>
          <cell r="Z54">
            <v>9.0346508000087695</v>
          </cell>
          <cell r="AB54">
            <v>9.0965585489218768</v>
          </cell>
          <cell r="AC54">
            <v>7.417196090702463</v>
          </cell>
          <cell r="AD54">
            <v>10.991271506134979</v>
          </cell>
        </row>
        <row r="55">
          <cell r="A55" t="str">
            <v>CGI005-qtz03-CL-fit-4-offset</v>
          </cell>
          <cell r="J55">
            <v>7.409311660891662</v>
          </cell>
          <cell r="K55">
            <v>8.1703855452586094</v>
          </cell>
          <cell r="L55">
            <v>6.9738085020307539</v>
          </cell>
          <cell r="M55">
            <v>7.9452041189548339</v>
          </cell>
          <cell r="N55">
            <v>6.7102032347798373</v>
          </cell>
          <cell r="O55">
            <v>8.4615204731663898</v>
          </cell>
          <cell r="P55">
            <v>6.8851413904492649</v>
          </cell>
          <cell r="Q55">
            <v>8.8805018969202827</v>
          </cell>
          <cell r="R55">
            <v>8.1662351034468852</v>
          </cell>
          <cell r="S55">
            <v>7.3950329524777514</v>
          </cell>
          <cell r="T55">
            <v>7.0888848729525442</v>
          </cell>
          <cell r="V55">
            <v>7.6964773589094362</v>
          </cell>
          <cell r="W55">
            <v>7.6442027046662551</v>
          </cell>
          <cell r="X55">
            <v>7.409311660891662</v>
          </cell>
          <cell r="Z55">
            <v>7.5977515750882825</v>
          </cell>
          <cell r="AB55">
            <v>7.6162253323209121</v>
          </cell>
          <cell r="AC55">
            <v>6.181331696180699</v>
          </cell>
          <cell r="AD55">
            <v>9.2625917304714687</v>
          </cell>
        </row>
        <row r="56">
          <cell r="A56" t="str">
            <v>CGI005-qtz03-CL-fit-5-offset</v>
          </cell>
          <cell r="J56">
            <v>2.211239894648072</v>
          </cell>
          <cell r="K56">
            <v>1.5392201250174271</v>
          </cell>
          <cell r="L56">
            <v>1.5060122210989539</v>
          </cell>
          <cell r="M56">
            <v>1.8036465780709807</v>
          </cell>
          <cell r="N56">
            <v>1.7022157080065363</v>
          </cell>
          <cell r="O56">
            <v>2.3015926521866037</v>
          </cell>
          <cell r="P56">
            <v>1.8438274210347116</v>
          </cell>
          <cell r="Q56">
            <v>2.0280621912906929</v>
          </cell>
          <cell r="R56">
            <v>2.6647297261944147</v>
          </cell>
          <cell r="S56">
            <v>1.9166392833418264</v>
          </cell>
          <cell r="T56">
            <v>1.7733177086039553</v>
          </cell>
          <cell r="V56">
            <v>1.9751875322619372</v>
          </cell>
          <cell r="W56">
            <v>1.9355003190449251</v>
          </cell>
          <cell r="X56">
            <v>1.8438274210347116</v>
          </cell>
          <cell r="Z56">
            <v>1.8603166547838812</v>
          </cell>
          <cell r="AB56">
            <v>1.8900864541100242</v>
          </cell>
          <cell r="AC56">
            <v>1.0399139770433234</v>
          </cell>
          <cell r="AD56">
            <v>2.814094662627793</v>
          </cell>
        </row>
        <row r="57">
          <cell r="A57" t="str">
            <v>CGI005-qtz03-CL-fit-6-offset</v>
          </cell>
          <cell r="J57">
            <v>1.7907312232743882</v>
          </cell>
          <cell r="K57">
            <v>1.5313826902986345</v>
          </cell>
          <cell r="L57">
            <v>1.7419380917595519</v>
          </cell>
          <cell r="M57">
            <v>0.56926383653245594</v>
          </cell>
          <cell r="N57">
            <v>1.0195075683732526</v>
          </cell>
          <cell r="O57">
            <v>1.2480365448042161</v>
          </cell>
          <cell r="P57">
            <v>0.33474276607369813</v>
          </cell>
          <cell r="Q57">
            <v>1.8252224399480349E-2</v>
          </cell>
          <cell r="R57">
            <v>1.2281812808995034E-2</v>
          </cell>
          <cell r="S57">
            <v>0.78531253148756763</v>
          </cell>
          <cell r="T57">
            <v>1.3246769583932603</v>
          </cell>
          <cell r="V57">
            <v>1.213896798224962</v>
          </cell>
          <cell r="W57">
            <v>0.9432842043823183</v>
          </cell>
          <cell r="X57">
            <v>1.0195075683732526</v>
          </cell>
          <cell r="Z57">
            <v>1.1427004088319568</v>
          </cell>
          <cell r="AB57">
            <v>1.0819927754890397</v>
          </cell>
          <cell r="AC57">
            <v>0.14543531734102777</v>
          </cell>
          <cell r="AD57">
            <v>2.0742114788435573</v>
          </cell>
        </row>
        <row r="58">
          <cell r="A58" t="str">
            <v>CGI005-qtz04-CL-fit-1-offset</v>
          </cell>
          <cell r="J58">
            <v>4.3973545607980853</v>
          </cell>
          <cell r="K58">
            <v>4.10044208673248</v>
          </cell>
          <cell r="L58">
            <v>4.0667380881570212</v>
          </cell>
          <cell r="M58">
            <v>4.0403135717583405</v>
          </cell>
          <cell r="N58">
            <v>3.5868275790508686</v>
          </cell>
          <cell r="O58">
            <v>4.2666228749148525</v>
          </cell>
          <cell r="P58">
            <v>4.1419644406923339</v>
          </cell>
          <cell r="Q58">
            <v>4.8586874042169086</v>
          </cell>
          <cell r="R58">
            <v>5.3738268302565135</v>
          </cell>
          <cell r="S58">
            <v>4.7720934200848699</v>
          </cell>
          <cell r="T58">
            <v>5.1123397328191036</v>
          </cell>
          <cell r="V58">
            <v>4.3826838850560037</v>
          </cell>
          <cell r="W58">
            <v>4.4288373263164891</v>
          </cell>
          <cell r="X58">
            <v>4.2666228749148525</v>
          </cell>
          <cell r="Z58">
            <v>4.3099278885806163</v>
          </cell>
          <cell r="AB58">
            <v>4.3198474928032562</v>
          </cell>
          <cell r="AC58">
            <v>3.3370680195028406</v>
          </cell>
          <cell r="AD58">
            <v>5.3225068132145417</v>
          </cell>
        </row>
        <row r="59">
          <cell r="A59" t="str">
            <v>CGI005-qtz04-CL-fit-2-offset</v>
          </cell>
          <cell r="J59">
            <v>5.5304357030133806</v>
          </cell>
          <cell r="K59">
            <v>6.1126782320485056</v>
          </cell>
          <cell r="L59">
            <v>6.6501798848600382</v>
          </cell>
          <cell r="M59">
            <v>6.4151197338110526</v>
          </cell>
          <cell r="N59">
            <v>5.1876433552822245</v>
          </cell>
          <cell r="O59">
            <v>5.6603988233983973</v>
          </cell>
          <cell r="P59">
            <v>4.8999496764476289</v>
          </cell>
          <cell r="Q59">
            <v>5.1952242566080642</v>
          </cell>
          <cell r="R59">
            <v>4.8486993272820404</v>
          </cell>
          <cell r="S59">
            <v>5.3161090975244907</v>
          </cell>
          <cell r="T59">
            <v>5.8803056759792991</v>
          </cell>
          <cell r="V59">
            <v>5.6046840278134589</v>
          </cell>
          <cell r="W59">
            <v>5.6087948878413743</v>
          </cell>
          <cell r="X59">
            <v>5.5304357030133806</v>
          </cell>
          <cell r="Z59">
            <v>5.6222459338658002</v>
          </cell>
          <cell r="AB59">
            <v>5.6258877041098811</v>
          </cell>
          <cell r="AC59">
            <v>4.8164356169965608</v>
          </cell>
          <cell r="AD59">
            <v>6.6101532994330894</v>
          </cell>
        </row>
        <row r="60">
          <cell r="A60" t="str">
            <v>CGI005-qtz04-CL-fit-3</v>
          </cell>
          <cell r="J60">
            <v>1.8454731</v>
          </cell>
          <cell r="K60">
            <v>2.2682025000000001</v>
          </cell>
          <cell r="L60">
            <v>2.7653796455541055</v>
          </cell>
          <cell r="M60">
            <v>2.6932076</v>
          </cell>
          <cell r="N60">
            <v>2.1585345999999999</v>
          </cell>
          <cell r="O60">
            <v>2.3753496600299719</v>
          </cell>
          <cell r="P60">
            <v>2.2533699622423851</v>
          </cell>
          <cell r="Q60">
            <v>2.4985743062617178</v>
          </cell>
          <cell r="R60">
            <v>2.1143077410225803</v>
          </cell>
          <cell r="S60">
            <v>1.9935750000000001</v>
          </cell>
          <cell r="T60">
            <v>2.5501209999999999</v>
          </cell>
          <cell r="V60">
            <v>2.3157776999999999</v>
          </cell>
          <cell r="W60">
            <v>2.3196450104646149</v>
          </cell>
          <cell r="X60">
            <v>2.2682025000000001</v>
          </cell>
          <cell r="Z60">
            <v>2.3146914842479105</v>
          </cell>
          <cell r="AB60">
            <v>2.3448916426488768</v>
          </cell>
          <cell r="AC60">
            <v>1.4831235405355645</v>
          </cell>
          <cell r="AD60">
            <v>3.2258696595662903</v>
          </cell>
        </row>
        <row r="61">
          <cell r="A61" t="str">
            <v>CGI005-qtz04-CL-fit-4-offset</v>
          </cell>
          <cell r="J61">
            <v>2.3841249130007034</v>
          </cell>
          <cell r="K61">
            <v>2.8684952302158875</v>
          </cell>
          <cell r="L61">
            <v>3.5409269770474849</v>
          </cell>
          <cell r="M61">
            <v>3.9528781420085193</v>
          </cell>
          <cell r="N61">
            <v>3.1559521617481079</v>
          </cell>
          <cell r="O61">
            <v>2.3409163205633172</v>
          </cell>
          <cell r="P61">
            <v>3.3690270799703788</v>
          </cell>
          <cell r="Q61">
            <v>3.0669076625386169</v>
          </cell>
          <cell r="R61">
            <v>2.9217060443873821</v>
          </cell>
          <cell r="S61">
            <v>2.2288399769132687</v>
          </cell>
          <cell r="T61">
            <v>2.625246242105884</v>
          </cell>
          <cell r="V61">
            <v>2.9552440204062251</v>
          </cell>
          <cell r="W61">
            <v>2.9504564318635955</v>
          </cell>
          <cell r="X61">
            <v>2.9217060443873821</v>
          </cell>
          <cell r="Z61">
            <v>2.8693153164067939</v>
          </cell>
          <cell r="AB61">
            <v>2.91975628511458</v>
          </cell>
          <cell r="AC61">
            <v>1.723217636179178</v>
          </cell>
          <cell r="AD61">
            <v>4.6946301520223299</v>
          </cell>
        </row>
        <row r="62">
          <cell r="A62" t="str">
            <v>CGI005-qtz04-CL-fit-5-offset</v>
          </cell>
          <cell r="J62">
            <v>1.9172667159969781</v>
          </cell>
          <cell r="K62">
            <v>2.3764770957249337</v>
          </cell>
          <cell r="L62">
            <v>2.101705470060403</v>
          </cell>
          <cell r="M62">
            <v>2.3116607643535958</v>
          </cell>
          <cell r="N62">
            <v>2.6302149427296611</v>
          </cell>
          <cell r="O62">
            <v>2.0667590698819329</v>
          </cell>
          <cell r="P62">
            <v>2.2747964989267122</v>
          </cell>
          <cell r="Q62">
            <v>2.407369393780844</v>
          </cell>
          <cell r="R62">
            <v>2.7635707293373963</v>
          </cell>
          <cell r="S62">
            <v>2.046941992239641</v>
          </cell>
          <cell r="T62">
            <v>2.7240088658208075</v>
          </cell>
          <cell r="V62">
            <v>2.3842406655915598</v>
          </cell>
          <cell r="W62">
            <v>2.3291610489866277</v>
          </cell>
          <cell r="X62">
            <v>2.3116607643535958</v>
          </cell>
          <cell r="Z62">
            <v>2.3689571046467868</v>
          </cell>
          <cell r="AB62">
            <v>2.4050415218785677</v>
          </cell>
          <cell r="AC62">
            <v>1.6014086521251787</v>
          </cell>
          <cell r="AD62">
            <v>3.3539120998891301</v>
          </cell>
        </row>
        <row r="63">
          <cell r="A63" t="str">
            <v>CGI005-qtz05-CL-fit-1-offset</v>
          </cell>
          <cell r="J63">
            <v>3.8119258983445432</v>
          </cell>
          <cell r="K63">
            <v>0.20579569407349885</v>
          </cell>
          <cell r="L63">
            <v>5.2926029036833553</v>
          </cell>
          <cell r="M63">
            <v>0.29486357929479917</v>
          </cell>
          <cell r="N63">
            <v>6.2501533640740714</v>
          </cell>
          <cell r="O63">
            <v>0.71623175534185413</v>
          </cell>
          <cell r="P63">
            <v>2.3307684330087852</v>
          </cell>
          <cell r="Q63">
            <v>3.1640962199011717</v>
          </cell>
          <cell r="R63">
            <v>8.4381442407468121</v>
          </cell>
          <cell r="S63">
            <v>3.9481290235737596</v>
          </cell>
          <cell r="T63">
            <v>4.622732108950274E-2</v>
          </cell>
          <cell r="V63">
            <v>3.7140878140209939</v>
          </cell>
          <cell r="W63">
            <v>3.1362671302847414</v>
          </cell>
          <cell r="X63">
            <v>3.1640962199011717</v>
          </cell>
          <cell r="Z63">
            <v>3.3125907845590907</v>
          </cell>
          <cell r="AB63">
            <v>3.3418171836607629</v>
          </cell>
          <cell r="AC63">
            <v>8.582149097848949E-6</v>
          </cell>
          <cell r="AD63">
            <v>6.9005278639792857</v>
          </cell>
        </row>
        <row r="64">
          <cell r="A64" t="str">
            <v>CGI005-qtz05-CL-fit-2-offset</v>
          </cell>
          <cell r="J64">
            <v>7.1838711505627897</v>
          </cell>
          <cell r="K64">
            <v>5.2955292945160757</v>
          </cell>
          <cell r="L64">
            <v>5.072704775070096</v>
          </cell>
          <cell r="M64">
            <v>8.4067756833400296</v>
          </cell>
          <cell r="N64">
            <v>6.9608206995504531</v>
          </cell>
          <cell r="O64">
            <v>5.3796467852111096</v>
          </cell>
          <cell r="P64">
            <v>6.5994063181923588</v>
          </cell>
          <cell r="Q64">
            <v>5.3254817131620102</v>
          </cell>
          <cell r="R64">
            <v>7.5183621196341148</v>
          </cell>
          <cell r="S64">
            <v>11.339590939987175</v>
          </cell>
          <cell r="T64">
            <v>8.6253163148846159</v>
          </cell>
          <cell r="V64">
            <v>6.7028365774836542</v>
          </cell>
          <cell r="W64">
            <v>7.064318708555529</v>
          </cell>
          <cell r="X64">
            <v>6.9608206995504531</v>
          </cell>
          <cell r="Z64">
            <v>6.9354380923049934</v>
          </cell>
          <cell r="AB64">
            <v>7.1986169517361125</v>
          </cell>
          <cell r="AC64">
            <v>1.590965202499196</v>
          </cell>
          <cell r="AD64">
            <v>15.252613780789176</v>
          </cell>
        </row>
        <row r="65">
          <cell r="A65" t="str">
            <v>CGI005-qtz05-CL-fit-3-offset</v>
          </cell>
          <cell r="J65">
            <v>4.6610609056406851</v>
          </cell>
          <cell r="K65">
            <v>0.47834004877085484</v>
          </cell>
          <cell r="L65">
            <v>6.4251578179189721</v>
          </cell>
          <cell r="M65">
            <v>5.0572167931541374</v>
          </cell>
          <cell r="N65">
            <v>6.7353633606615428</v>
          </cell>
          <cell r="O65">
            <v>6.8361766508383273</v>
          </cell>
          <cell r="P65">
            <v>4.8001510912922702</v>
          </cell>
          <cell r="Q65">
            <v>0</v>
          </cell>
          <cell r="R65">
            <v>8.7439347603038406</v>
          </cell>
          <cell r="S65">
            <v>6.6267555097401605</v>
          </cell>
          <cell r="T65">
            <v>6.0981921386933449</v>
          </cell>
          <cell r="V65">
            <v>6.3295617161364381</v>
          </cell>
          <cell r="W65">
            <v>5.6462349077014133</v>
          </cell>
          <cell r="X65">
            <v>6.2616749783061589</v>
          </cell>
          <cell r="Z65">
            <v>6.1802199031713645</v>
          </cell>
          <cell r="AB65">
            <v>6.3757434758307285</v>
          </cell>
          <cell r="AC65">
            <v>3.1424391421367268</v>
          </cell>
          <cell r="AD65">
            <v>11.878382520479851</v>
          </cell>
        </row>
        <row r="66">
          <cell r="A66" t="str">
            <v>CGI005-qtz06-CL-fit-1-offset</v>
          </cell>
          <cell r="J66">
            <v>11.430051896870557</v>
          </cell>
          <cell r="K66">
            <v>10.069067631478447</v>
          </cell>
          <cell r="L66">
            <v>13.105897212325306</v>
          </cell>
          <cell r="M66">
            <v>11.400690713767567</v>
          </cell>
          <cell r="N66">
            <v>10.150448141393849</v>
          </cell>
          <cell r="O66">
            <v>10.384782897381042</v>
          </cell>
          <cell r="P66">
            <v>12.365654670001705</v>
          </cell>
          <cell r="Q66">
            <v>12.242382160886221</v>
          </cell>
          <cell r="R66">
            <v>9.5247422896441591</v>
          </cell>
          <cell r="S66">
            <v>13.019594610833604</v>
          </cell>
          <cell r="T66">
            <v>10.456858059656824</v>
          </cell>
          <cell r="V66">
            <v>11.267587631253685</v>
          </cell>
          <cell r="W66">
            <v>11.286379116749027</v>
          </cell>
          <cell r="X66">
            <v>11.400690713767567</v>
          </cell>
          <cell r="Z66">
            <v>11.304621632998785</v>
          </cell>
          <cell r="AB66">
            <v>11.335650851994364</v>
          </cell>
          <cell r="AC66">
            <v>9.4612256494098084</v>
          </cell>
          <cell r="AD66">
            <v>13.291553296880595</v>
          </cell>
        </row>
        <row r="67">
          <cell r="A67" t="str">
            <v>CGI005-qtz06-CL-fit-2-offset</v>
          </cell>
          <cell r="J67">
            <v>6.2608812339629702</v>
          </cell>
          <cell r="K67">
            <v>6.1649256388494296</v>
          </cell>
          <cell r="L67">
            <v>6.6485699974551542</v>
          </cell>
          <cell r="M67">
            <v>6.0630141659172434</v>
          </cell>
          <cell r="N67">
            <v>5.7913049972487771</v>
          </cell>
          <cell r="O67">
            <v>6.1050364186175949</v>
          </cell>
          <cell r="P67">
            <v>5.8529475516477563</v>
          </cell>
          <cell r="Q67">
            <v>5.6860206803063518</v>
          </cell>
          <cell r="R67">
            <v>6.4693055948322984</v>
          </cell>
          <cell r="S67">
            <v>6.9409755003347184</v>
          </cell>
          <cell r="T67">
            <v>6.1569090715754395</v>
          </cell>
          <cell r="V67">
            <v>6.2167599019822237</v>
          </cell>
          <cell r="W67">
            <v>6.1945355318861575</v>
          </cell>
          <cell r="X67">
            <v>6.1569090715754395</v>
          </cell>
          <cell r="Z67">
            <v>6.1661114000000001</v>
          </cell>
          <cell r="AB67">
            <v>6.1760029910826573</v>
          </cell>
          <cell r="AC67">
            <v>5.1195883115218654</v>
          </cell>
          <cell r="AD67">
            <v>7.2533535950621975</v>
          </cell>
        </row>
        <row r="68">
          <cell r="A68" t="str">
            <v>CGI005-qtz06-CL-fit-3-offset</v>
          </cell>
          <cell r="J68">
            <v>4.4690347933707883</v>
          </cell>
          <cell r="K68">
            <v>4.9241584184161589</v>
          </cell>
          <cell r="L68">
            <v>5.6589417697698892</v>
          </cell>
          <cell r="M68">
            <v>4.8400693307864096</v>
          </cell>
          <cell r="N68">
            <v>5.7663407724204037</v>
          </cell>
          <cell r="O68">
            <v>6.5249210433703251</v>
          </cell>
          <cell r="P68">
            <v>5.2638918659731955</v>
          </cell>
          <cell r="Q68">
            <v>3.8110835347640282</v>
          </cell>
          <cell r="R68">
            <v>4.9150548349323042</v>
          </cell>
          <cell r="S68">
            <v>3.3847399037328585</v>
          </cell>
          <cell r="T68">
            <v>5.3611648342743869</v>
          </cell>
          <cell r="V68">
            <v>4.9858735966780214</v>
          </cell>
          <cell r="W68">
            <v>4.9926728274373406</v>
          </cell>
          <cell r="X68">
            <v>4.9241584184161589</v>
          </cell>
          <cell r="Z68">
            <v>5.106684908908826</v>
          </cell>
          <cell r="AB68">
            <v>5.1616009961071017</v>
          </cell>
          <cell r="AC68">
            <v>3.4461265763738207</v>
          </cell>
          <cell r="AD68">
            <v>7.3725261567117668</v>
          </cell>
        </row>
        <row r="69">
          <cell r="A69" t="str">
            <v>CGI005-qtz06-CL-fit-4</v>
          </cell>
          <cell r="J69">
            <v>1.0621558332146281</v>
          </cell>
          <cell r="K69">
            <v>1.9214245820266125</v>
          </cell>
          <cell r="L69">
            <v>1.1317275</v>
          </cell>
          <cell r="M69">
            <v>0.88703673000000005</v>
          </cell>
          <cell r="N69">
            <v>1.1664354508540751</v>
          </cell>
          <cell r="O69">
            <v>1.4807662529089918</v>
          </cell>
          <cell r="P69">
            <v>0.17261204999999999</v>
          </cell>
          <cell r="Q69">
            <v>1.1736169642992629</v>
          </cell>
          <cell r="R69">
            <v>1.5532581000000001</v>
          </cell>
          <cell r="S69">
            <v>1.4510981999999999</v>
          </cell>
          <cell r="T69">
            <v>1.4547643394239882</v>
          </cell>
          <cell r="V69">
            <v>1.3976061</v>
          </cell>
          <cell r="W69">
            <v>1.2231723638843237</v>
          </cell>
          <cell r="X69">
            <v>1.1736169642992629</v>
          </cell>
          <cell r="Z69">
            <v>1.3410004617402085</v>
          </cell>
          <cell r="AB69">
            <v>1.3417990659745969</v>
          </cell>
          <cell r="AC69">
            <v>0.24864072106409199</v>
          </cell>
          <cell r="AD69">
            <v>2.473984714133469</v>
          </cell>
        </row>
        <row r="70">
          <cell r="A70" t="str">
            <v>CGI005-qtz07-CL-fit-1-offset</v>
          </cell>
          <cell r="J70">
            <v>5.1745944548852556</v>
          </cell>
          <cell r="K70">
            <v>5.0167142512239007</v>
          </cell>
          <cell r="L70">
            <v>6.0128501353939114</v>
          </cell>
          <cell r="M70">
            <v>6.5074229366800296</v>
          </cell>
          <cell r="N70">
            <v>6.5779838261109829</v>
          </cell>
          <cell r="O70">
            <v>6.0841182122337942</v>
          </cell>
          <cell r="P70">
            <v>5.4784053494982121</v>
          </cell>
          <cell r="Q70">
            <v>4.5746108994698238</v>
          </cell>
          <cell r="R70">
            <v>5.1214438441533545</v>
          </cell>
          <cell r="S70">
            <v>4.096439037500299</v>
          </cell>
          <cell r="T70">
            <v>4.9031078019484493</v>
          </cell>
          <cell r="V70">
            <v>5.4363592917555783</v>
          </cell>
          <cell r="W70">
            <v>5.4134264317361831</v>
          </cell>
          <cell r="X70">
            <v>5.1745944548852556</v>
          </cell>
          <cell r="Z70">
            <v>5.3603784871503866</v>
          </cell>
          <cell r="AB70">
            <v>5.371387534530478</v>
          </cell>
          <cell r="AC70">
            <v>4.5445546744933942</v>
          </cell>
          <cell r="AD70">
            <v>6.322774059050098</v>
          </cell>
        </row>
        <row r="71">
          <cell r="A71" t="str">
            <v>CGI005-qtz07-CL-fit-2-offset</v>
          </cell>
          <cell r="J71">
            <v>1.039750666994675</v>
          </cell>
          <cell r="K71">
            <v>1.1676163648825628</v>
          </cell>
          <cell r="L71">
            <v>1.8342213658580937</v>
          </cell>
          <cell r="M71">
            <v>1.8244516525644374</v>
          </cell>
          <cell r="N71">
            <v>1.6290288638669297</v>
          </cell>
          <cell r="O71">
            <v>1.3865722394323001</v>
          </cell>
          <cell r="P71">
            <v>1.4685767902936959</v>
          </cell>
          <cell r="Q71">
            <v>1.6040951134940848</v>
          </cell>
          <cell r="R71">
            <v>1.7270873394007655</v>
          </cell>
          <cell r="S71">
            <v>1.4075675444221456</v>
          </cell>
          <cell r="T71">
            <v>1.5936986450981203</v>
          </cell>
          <cell r="V71">
            <v>1.5385023109124998</v>
          </cell>
          <cell r="W71">
            <v>1.51660605330071</v>
          </cell>
          <cell r="X71">
            <v>1.5936986450981203</v>
          </cell>
          <cell r="Z71">
            <v>1.5276402187324372</v>
          </cell>
          <cell r="AB71">
            <v>1.485535348721537</v>
          </cell>
          <cell r="AC71">
            <v>0.58156571125041556</v>
          </cell>
          <cell r="AD71">
            <v>2.131191650118208</v>
          </cell>
        </row>
        <row r="72">
          <cell r="A72" t="str">
            <v>CGI005-qtz07-CL-fit-3-offset</v>
          </cell>
          <cell r="J72">
            <v>1.6919008152130963</v>
          </cell>
          <cell r="K72">
            <v>0.60869727918440075</v>
          </cell>
          <cell r="L72">
            <v>2.4137482589043624</v>
          </cell>
          <cell r="M72">
            <v>1.9731789791261984</v>
          </cell>
          <cell r="N72">
            <v>0.81743284621663437</v>
          </cell>
          <cell r="O72">
            <v>0.88829677817673991</v>
          </cell>
          <cell r="P72">
            <v>1.0336212613671156</v>
          </cell>
          <cell r="Q72">
            <v>3.4901230922407938</v>
          </cell>
          <cell r="R72">
            <v>2.5344927055394093</v>
          </cell>
          <cell r="S72">
            <v>1.6856089460141435</v>
          </cell>
          <cell r="T72">
            <v>2.4496515069588254</v>
          </cell>
          <cell r="V72">
            <v>1.9511576664101258</v>
          </cell>
          <cell r="W72">
            <v>1.7806138608128839</v>
          </cell>
          <cell r="X72">
            <v>1.6919008152130963</v>
          </cell>
          <cell r="Z72">
            <v>1.8349084104606246</v>
          </cell>
          <cell r="AB72">
            <v>1.7719449701883432</v>
          </cell>
          <cell r="AC72">
            <v>0.25135240180378748</v>
          </cell>
          <cell r="AD72">
            <v>3.1372358416028723</v>
          </cell>
        </row>
        <row r="73">
          <cell r="A73" t="str">
            <v>CGI005-qtz07-CL-fit-4-offset</v>
          </cell>
          <cell r="J73">
            <v>1.4519154425517358</v>
          </cell>
          <cell r="K73">
            <v>3.3187266117052183</v>
          </cell>
          <cell r="L73">
            <v>1.6912196979817071</v>
          </cell>
          <cell r="M73">
            <v>4.6011454436186687</v>
          </cell>
          <cell r="N73">
            <v>4.0092483070684528</v>
          </cell>
          <cell r="O73">
            <v>4.0021608325354086</v>
          </cell>
          <cell r="P73">
            <v>3.7581530319094663</v>
          </cell>
          <cell r="Q73">
            <v>7.2349843668065645</v>
          </cell>
          <cell r="R73">
            <v>4.5229222514243439</v>
          </cell>
          <cell r="S73">
            <v>1.9543152047672858</v>
          </cell>
          <cell r="T73">
            <v>1.5657645755084448</v>
          </cell>
          <cell r="V73">
            <v>3.3268436726132427</v>
          </cell>
          <cell r="W73">
            <v>3.4645959787161185</v>
          </cell>
          <cell r="X73">
            <v>3.7581530319094663</v>
          </cell>
          <cell r="Z73">
            <v>3.2099770243553669</v>
          </cell>
          <cell r="AB73">
            <v>3.4216713618709829</v>
          </cell>
          <cell r="AC73">
            <v>0.68815228302375253</v>
          </cell>
          <cell r="AD73">
            <v>6.6150637062745208</v>
          </cell>
        </row>
        <row r="74">
          <cell r="A74" t="str">
            <v>CGI005-qtz08-CL-fit-1-offset</v>
          </cell>
          <cell r="J74">
            <v>2.9696726283104056</v>
          </cell>
          <cell r="K74">
            <v>3.4239837871105259</v>
          </cell>
          <cell r="L74">
            <v>4.1751860623750581</v>
          </cell>
          <cell r="M74">
            <v>3.0727639361606696</v>
          </cell>
          <cell r="N74">
            <v>5.4370790049156099</v>
          </cell>
          <cell r="O74">
            <v>3.2539908055859903</v>
          </cell>
          <cell r="P74">
            <v>4.538937302439936</v>
          </cell>
          <cell r="Q74">
            <v>3.8376414398740919</v>
          </cell>
          <cell r="R74">
            <v>4.7375270681627866</v>
          </cell>
          <cell r="S74">
            <v>4.0059681857756839</v>
          </cell>
          <cell r="T74">
            <v>3.8612383889160737</v>
          </cell>
          <cell r="V74">
            <v>3.8891662792404009</v>
          </cell>
          <cell r="W74">
            <v>3.9376353281478931</v>
          </cell>
          <cell r="X74">
            <v>3.8612383889160737</v>
          </cell>
          <cell r="Z74">
            <v>3.7988138474953006</v>
          </cell>
          <cell r="AB74">
            <v>3.7801523523910912</v>
          </cell>
          <cell r="AC74">
            <v>1.7154115414680777</v>
          </cell>
          <cell r="AD74">
            <v>5.8511337465515387</v>
          </cell>
        </row>
        <row r="75">
          <cell r="A75" t="str">
            <v>CGI005-qtz08-CL-fit-2-offset</v>
          </cell>
          <cell r="J75">
            <v>2.8961398597461034</v>
          </cell>
          <cell r="K75">
            <v>2.6084048660496566</v>
          </cell>
          <cell r="L75">
            <v>2.2633032926459347</v>
          </cell>
          <cell r="M75">
            <v>2.9914512023680082</v>
          </cell>
          <cell r="N75">
            <v>2.3596796807336142</v>
          </cell>
          <cell r="O75">
            <v>2.3293724832465275</v>
          </cell>
          <cell r="P75">
            <v>2.1042127830404254</v>
          </cell>
          <cell r="Q75">
            <v>3.0083491170394177</v>
          </cell>
          <cell r="R75">
            <v>3.2044345847468767</v>
          </cell>
          <cell r="S75">
            <v>2.9987528109927108</v>
          </cell>
          <cell r="T75">
            <v>2.6866235840732178</v>
          </cell>
          <cell r="V75">
            <v>2.7000573512205719</v>
          </cell>
          <cell r="W75">
            <v>2.6773385695165901</v>
          </cell>
          <cell r="X75">
            <v>2.6866235840732178</v>
          </cell>
          <cell r="Z75">
            <v>2.7007381507515653</v>
          </cell>
          <cell r="AB75">
            <v>2.7304012860044429</v>
          </cell>
          <cell r="AC75">
            <v>1.8750180432254335</v>
          </cell>
          <cell r="AD75">
            <v>3.7601936202127186</v>
          </cell>
        </row>
        <row r="76">
          <cell r="A76" t="str">
            <v>CGI005-qtz08-CL-fit-3</v>
          </cell>
          <cell r="J76">
            <v>2.2591837322152482</v>
          </cell>
          <cell r="K76">
            <v>1.5695676060168264</v>
          </cell>
          <cell r="L76">
            <v>0.26522568000000002</v>
          </cell>
          <cell r="M76">
            <v>1.827647188267445</v>
          </cell>
          <cell r="N76">
            <v>1.7260180545238155</v>
          </cell>
          <cell r="O76">
            <v>2.1853118999999999</v>
          </cell>
          <cell r="P76">
            <v>1.142492E-2</v>
          </cell>
          <cell r="Q76">
            <v>0.85505379999999997</v>
          </cell>
          <cell r="R76">
            <v>1.1036336968254854</v>
          </cell>
          <cell r="S76">
            <v>1.0749934214299839</v>
          </cell>
          <cell r="T76">
            <v>2.2665989157491038</v>
          </cell>
          <cell r="V76">
            <v>1.7162628406851483</v>
          </cell>
          <cell r="W76">
            <v>1.3767871740934461</v>
          </cell>
          <cell r="X76">
            <v>1.5695676060168264</v>
          </cell>
          <cell r="Z76">
            <v>1.6361783644342409</v>
          </cell>
          <cell r="AB76">
            <v>1.5851791160902136</v>
          </cell>
          <cell r="AC76">
            <v>4.2038238745267728E-3</v>
          </cell>
          <cell r="AD76">
            <v>2.9526847663118825</v>
          </cell>
        </row>
        <row r="77">
          <cell r="A77" t="str">
            <v>CGI005-qtz08-CL-fit-4-offset</v>
          </cell>
          <cell r="J77">
            <v>1.925661170832907</v>
          </cell>
          <cell r="K77">
            <v>2.5549788847054189</v>
          </cell>
          <cell r="L77">
            <v>2.0635553575289372</v>
          </cell>
          <cell r="M77">
            <v>1.3028902596348773</v>
          </cell>
          <cell r="N77">
            <v>1.961773852335071</v>
          </cell>
          <cell r="O77">
            <v>2.2741025847340408</v>
          </cell>
          <cell r="P77">
            <v>3.259512275950442</v>
          </cell>
          <cell r="Q77">
            <v>2.2553771135678766</v>
          </cell>
          <cell r="R77">
            <v>0.80950646989900099</v>
          </cell>
          <cell r="S77">
            <v>2.1229259412616841</v>
          </cell>
          <cell r="T77">
            <v>1.6369692852867246</v>
          </cell>
          <cell r="V77">
            <v>2.247885700905687</v>
          </cell>
          <cell r="W77">
            <v>2.0152048359760895</v>
          </cell>
          <cell r="X77">
            <v>2.0635553575289372</v>
          </cell>
          <cell r="Z77">
            <v>2.1357491787499927</v>
          </cell>
          <cell r="AB77">
            <v>2.1733556828453966</v>
          </cell>
          <cell r="AC77">
            <v>0.27376208756137893</v>
          </cell>
          <cell r="AD77">
            <v>4.4041261396923641</v>
          </cell>
        </row>
        <row r="78">
          <cell r="A78" t="str">
            <v>CGI005-qtz08-CL-fit-5-offset</v>
          </cell>
          <cell r="J78">
            <v>1.1301442923236464</v>
          </cell>
          <cell r="K78">
            <v>0.21146343823798039</v>
          </cell>
          <cell r="L78">
            <v>0.1147260191786096</v>
          </cell>
          <cell r="M78">
            <v>1.2646678462742846</v>
          </cell>
          <cell r="N78">
            <v>0.85260150386323197</v>
          </cell>
          <cell r="O78">
            <v>0.70253503169560549</v>
          </cell>
          <cell r="P78">
            <v>1.1264373135574213</v>
          </cell>
          <cell r="Q78">
            <v>0.24687561288831861</v>
          </cell>
          <cell r="R78">
            <v>2.1374083192558166</v>
          </cell>
          <cell r="S78">
            <v>1.1676509118380827</v>
          </cell>
          <cell r="T78">
            <v>1.2769442037145418</v>
          </cell>
          <cell r="V78">
            <v>1.2336068328438141</v>
          </cell>
          <cell r="W78">
            <v>0.9301322266206854</v>
          </cell>
          <cell r="X78">
            <v>1.1264373135574213</v>
          </cell>
          <cell r="Z78">
            <v>1.0788553785901756</v>
          </cell>
          <cell r="AB78">
            <v>1.0840220151285451</v>
          </cell>
          <cell r="AC78">
            <v>0.15030480596423279</v>
          </cell>
          <cell r="AD78">
            <v>2.7184964078092948</v>
          </cell>
        </row>
        <row r="79">
          <cell r="A79" t="str">
            <v>CGI005-qtz08-CL-fit-6-offset</v>
          </cell>
          <cell r="J79">
            <v>0.669148241480919</v>
          </cell>
          <cell r="K79">
            <v>1.2593947945653876</v>
          </cell>
          <cell r="L79">
            <v>0.7800171053345708</v>
          </cell>
          <cell r="M79">
            <v>0.99496761822473168</v>
          </cell>
          <cell r="N79">
            <v>0.99126021470104109</v>
          </cell>
          <cell r="O79">
            <v>1.01012688978882</v>
          </cell>
          <cell r="P79">
            <v>0.70082501557120724</v>
          </cell>
          <cell r="Q79">
            <v>1.4641364521953157</v>
          </cell>
          <cell r="R79">
            <v>1.1158353878551663</v>
          </cell>
          <cell r="S79">
            <v>1.0809356597226043</v>
          </cell>
          <cell r="T79">
            <v>0.75630380843969036</v>
          </cell>
          <cell r="V79">
            <v>1.0703804080672457</v>
          </cell>
          <cell r="W79">
            <v>0.98390465344358669</v>
          </cell>
          <cell r="X79">
            <v>0.99496761822473168</v>
          </cell>
          <cell r="Z79">
            <v>0.93114049129382503</v>
          </cell>
          <cell r="AB79">
            <v>0.92931248787811416</v>
          </cell>
          <cell r="AC79">
            <v>0.10422730813997816</v>
          </cell>
          <cell r="AD79">
            <v>1.7452612610661573</v>
          </cell>
        </row>
        <row r="80">
          <cell r="A80" t="str">
            <v>CGI005-qtz09-CL-fit-1-offset</v>
          </cell>
          <cell r="J80">
            <v>0</v>
          </cell>
          <cell r="K80">
            <v>1.6464638412922288</v>
          </cell>
          <cell r="L80">
            <v>6.0389263504033348</v>
          </cell>
          <cell r="M80">
            <v>3.1333702685411238</v>
          </cell>
          <cell r="N80">
            <v>0.15199628188221168</v>
          </cell>
          <cell r="O80">
            <v>1.0410210886654456</v>
          </cell>
          <cell r="P80">
            <v>0.38032938141958988</v>
          </cell>
          <cell r="Q80">
            <v>5.453061429698967</v>
          </cell>
          <cell r="R80">
            <v>3.375041106758903</v>
          </cell>
          <cell r="S80">
            <v>2.1698617596008805</v>
          </cell>
          <cell r="T80">
            <v>0.41180958103212101</v>
          </cell>
          <cell r="V80">
            <v>3.1442816711845403</v>
          </cell>
          <cell r="W80">
            <v>2.3801881089294805</v>
          </cell>
          <cell r="X80">
            <v>1.9081628004465547</v>
          </cell>
          <cell r="Z80">
            <v>3.3433628177742318</v>
          </cell>
          <cell r="AB80">
            <v>10.672473146697257</v>
          </cell>
          <cell r="AC80">
            <v>3.7420361906433386E-2</v>
          </cell>
          <cell r="AD80">
            <v>64.205046196246641</v>
          </cell>
        </row>
        <row r="81">
          <cell r="A81" t="str">
            <v>CGI005-qtz09-CL-fit-2-offset</v>
          </cell>
          <cell r="J81">
            <v>3.8919191722239659</v>
          </cell>
          <cell r="K81">
            <v>3.7503417946406579</v>
          </cell>
          <cell r="L81">
            <v>4.8859778959550315</v>
          </cell>
          <cell r="M81">
            <v>5.486719733749152</v>
          </cell>
          <cell r="N81">
            <v>4.2199817432715134</v>
          </cell>
          <cell r="O81">
            <v>5.1004440775254105</v>
          </cell>
          <cell r="P81">
            <v>2.9537829963454936</v>
          </cell>
          <cell r="Q81">
            <v>5.1431158902356353</v>
          </cell>
          <cell r="R81">
            <v>5.1797594212220464</v>
          </cell>
          <cell r="S81">
            <v>7.5439297975958288</v>
          </cell>
          <cell r="T81">
            <v>6.0971475591441529</v>
          </cell>
          <cell r="V81">
            <v>4.9733792657210563</v>
          </cell>
          <cell r="W81">
            <v>4.9321018256280809</v>
          </cell>
          <cell r="X81">
            <v>5.1004440775254105</v>
          </cell>
          <cell r="Z81">
            <v>4.8669285044446005</v>
          </cell>
          <cell r="AB81">
            <v>4.8523748104729467</v>
          </cell>
          <cell r="AC81">
            <v>2.7005035060469007</v>
          </cell>
          <cell r="AD81">
            <v>6.816772968668543</v>
          </cell>
        </row>
        <row r="82">
          <cell r="A82" t="str">
            <v>CGI005-qtz09-CL-fit-3-offset</v>
          </cell>
          <cell r="J82">
            <v>4.3310040521870237</v>
          </cell>
          <cell r="K82">
            <v>3.0629432475060239</v>
          </cell>
          <cell r="L82">
            <v>3.7949397224756991</v>
          </cell>
          <cell r="M82">
            <v>3.8765762453232879</v>
          </cell>
          <cell r="N82">
            <v>4.5224618623279298</v>
          </cell>
          <cell r="O82">
            <v>4.0589471765714196</v>
          </cell>
          <cell r="P82">
            <v>4.6752489144978551</v>
          </cell>
          <cell r="Q82">
            <v>4.8402703669851226</v>
          </cell>
          <cell r="R82">
            <v>4.8978158796326765</v>
          </cell>
          <cell r="S82">
            <v>4.4622950244946331</v>
          </cell>
          <cell r="T82">
            <v>7.17493021845993</v>
          </cell>
          <cell r="V82">
            <v>4.3795767118223941</v>
          </cell>
          <cell r="W82">
            <v>4.5179484282237814</v>
          </cell>
          <cell r="X82">
            <v>4.4622950244946331</v>
          </cell>
          <cell r="Z82">
            <v>4.399269340029857</v>
          </cell>
          <cell r="AB82">
            <v>4.4407549761102736</v>
          </cell>
          <cell r="AC82">
            <v>2.3152105259233835</v>
          </cell>
          <cell r="AD82">
            <v>6.7919889526346715</v>
          </cell>
        </row>
        <row r="83">
          <cell r="A83" t="str">
            <v>CGI005-qtz09-CL-fit-4-offset</v>
          </cell>
          <cell r="J83">
            <v>2.5274984103098577</v>
          </cell>
          <cell r="K83">
            <v>2.7305258636247758</v>
          </cell>
          <cell r="L83">
            <v>2.137452157828724</v>
          </cell>
          <cell r="M83">
            <v>3.3047597010953331</v>
          </cell>
          <cell r="N83">
            <v>3.5997255790211713</v>
          </cell>
          <cell r="O83">
            <v>3.1122016449150371</v>
          </cell>
          <cell r="P83">
            <v>3.2364883191998937</v>
          </cell>
          <cell r="Q83">
            <v>2.9666233192852083</v>
          </cell>
          <cell r="R83">
            <v>3.0042992617344657</v>
          </cell>
          <cell r="S83">
            <v>2.7929356700503685</v>
          </cell>
          <cell r="T83">
            <v>2.3500306633799357</v>
          </cell>
          <cell r="V83">
            <v>2.9964866458058337</v>
          </cell>
          <cell r="W83">
            <v>2.8875036900404338</v>
          </cell>
          <cell r="X83">
            <v>2.9666233192852083</v>
          </cell>
          <cell r="Z83">
            <v>2.8809356738366061</v>
          </cell>
          <cell r="AB83">
            <v>2.8201330933515196</v>
          </cell>
          <cell r="AC83">
            <v>1.5418824059423588</v>
          </cell>
          <cell r="AD83">
            <v>3.9362205411706914</v>
          </cell>
        </row>
        <row r="84">
          <cell r="A84" t="str">
            <v>CGI005-qtz09-CL-fit-5-offset</v>
          </cell>
          <cell r="J84">
            <v>2.2646455422156029</v>
          </cell>
          <cell r="K84">
            <v>2.1507906352024442</v>
          </cell>
          <cell r="L84">
            <v>3.0133107546293334</v>
          </cell>
          <cell r="M84">
            <v>2.3725102697651943</v>
          </cell>
          <cell r="N84">
            <v>2.404826085541083</v>
          </cell>
          <cell r="O84">
            <v>2.0528188943693535</v>
          </cell>
          <cell r="P84">
            <v>1.4321768460289608</v>
          </cell>
          <cell r="Q84">
            <v>1.7182446472203654</v>
          </cell>
          <cell r="R84">
            <v>2.0513023986368228</v>
          </cell>
          <cell r="S84">
            <v>1.9640673345287947</v>
          </cell>
          <cell r="T84">
            <v>2.0341491390518716</v>
          </cell>
          <cell r="V84">
            <v>2.2178294160642982</v>
          </cell>
          <cell r="W84">
            <v>2.1326220497445303</v>
          </cell>
          <cell r="X84">
            <v>2.0528188943693535</v>
          </cell>
          <cell r="Z84">
            <v>2.210868888761393</v>
          </cell>
          <cell r="AB84">
            <v>2.1713900864768383</v>
          </cell>
          <cell r="AC84">
            <v>0.69725386002994982</v>
          </cell>
          <cell r="AD84">
            <v>3.2919048729891447</v>
          </cell>
        </row>
        <row r="85">
          <cell r="A85" t="str">
            <v>CGI005-qtz10-CL-fit-1</v>
          </cell>
          <cell r="J85">
            <v>12.47338793190651</v>
          </cell>
          <cell r="K85">
            <v>14.472066273161321</v>
          </cell>
          <cell r="L85">
            <v>13.796094</v>
          </cell>
          <cell r="M85">
            <v>14.608487</v>
          </cell>
          <cell r="N85">
            <v>13.714370000000001</v>
          </cell>
          <cell r="O85">
            <v>13.40271885051866</v>
          </cell>
          <cell r="P85">
            <v>13.718902006971099</v>
          </cell>
          <cell r="Q85">
            <v>13.601547</v>
          </cell>
          <cell r="R85">
            <v>13.543787</v>
          </cell>
          <cell r="S85">
            <v>13.694094</v>
          </cell>
          <cell r="T85">
            <v>14.092610000000001</v>
          </cell>
          <cell r="V85">
            <v>13.736767</v>
          </cell>
          <cell r="W85">
            <v>13.738005823868871</v>
          </cell>
          <cell r="X85">
            <v>13.714370000000001</v>
          </cell>
          <cell r="Z85">
            <v>13.703846425589624</v>
          </cell>
          <cell r="AB85">
            <v>13.684981064007497</v>
          </cell>
          <cell r="AC85">
            <v>12.627116894775181</v>
          </cell>
          <cell r="AD85">
            <v>14.941658023822196</v>
          </cell>
        </row>
        <row r="86">
          <cell r="A86" t="str">
            <v>CGI005-qtz10-CL-fit-2</v>
          </cell>
          <cell r="J86">
            <v>6.0004036999999997</v>
          </cell>
          <cell r="K86">
            <v>5.5819348</v>
          </cell>
          <cell r="L86">
            <v>5.8067770999999997</v>
          </cell>
          <cell r="M86">
            <v>5.8986070000000002</v>
          </cell>
          <cell r="N86">
            <v>7.0252485</v>
          </cell>
          <cell r="O86">
            <v>6.1219295999999996</v>
          </cell>
          <cell r="P86">
            <v>6.2452201000000001</v>
          </cell>
          <cell r="Q86">
            <v>6.1512061999999998</v>
          </cell>
          <cell r="R86">
            <v>5.7427843000000003</v>
          </cell>
          <cell r="S86">
            <v>6.4352210000000003</v>
          </cell>
          <cell r="T86">
            <v>7.0188810000000004</v>
          </cell>
          <cell r="V86">
            <v>6.1883131999999996</v>
          </cell>
          <cell r="W86">
            <v>6.1843830272727249</v>
          </cell>
          <cell r="X86">
            <v>6.1219295999999996</v>
          </cell>
          <cell r="Z86">
            <v>6.1917908002819448</v>
          </cell>
          <cell r="AB86">
            <v>6.2264696131099404</v>
          </cell>
          <cell r="AC86">
            <v>5.480264350755859</v>
          </cell>
          <cell r="AD86">
            <v>7.1893156402397684</v>
          </cell>
        </row>
        <row r="87">
          <cell r="A87" t="str">
            <v>CGI005-qtz10-CL-fit-3-offset</v>
          </cell>
          <cell r="J87">
            <v>7.7670544129980454</v>
          </cell>
          <cell r="K87">
            <v>8.2268291793359047</v>
          </cell>
          <cell r="L87">
            <v>8.6714106823296486</v>
          </cell>
          <cell r="M87">
            <v>8.6451932445251423</v>
          </cell>
          <cell r="N87">
            <v>7.6276775835222539</v>
          </cell>
          <cell r="O87">
            <v>5.7626991098957872</v>
          </cell>
          <cell r="P87">
            <v>6.9743947858459894</v>
          </cell>
          <cell r="Q87">
            <v>4.9534828094225265</v>
          </cell>
          <cell r="R87">
            <v>4.0246894741349033</v>
          </cell>
          <cell r="S87">
            <v>6.9570487612017358</v>
          </cell>
          <cell r="T87">
            <v>5.941990703041605</v>
          </cell>
          <cell r="V87">
            <v>7.0915250853509395</v>
          </cell>
          <cell r="W87">
            <v>6.8684064314775952</v>
          </cell>
          <cell r="X87">
            <v>6.9743947858459894</v>
          </cell>
          <cell r="Z87">
            <v>7.0747442190361092</v>
          </cell>
          <cell r="AB87">
            <v>7.1112052744609091</v>
          </cell>
          <cell r="AC87">
            <v>4.7567470548615054</v>
          </cell>
          <cell r="AD87">
            <v>9.6352702809602206</v>
          </cell>
        </row>
        <row r="88">
          <cell r="A88" t="str">
            <v>CGI005-qtz10-CL-fit-4-offset</v>
          </cell>
          <cell r="J88">
            <v>3.2362387983384</v>
          </cell>
          <cell r="K88">
            <v>3.484106925715901</v>
          </cell>
          <cell r="L88">
            <v>3.2848540243624824</v>
          </cell>
          <cell r="M88">
            <v>2.9363889295659797</v>
          </cell>
          <cell r="N88">
            <v>3.9655331239560763</v>
          </cell>
          <cell r="O88">
            <v>4.1584980630220834</v>
          </cell>
          <cell r="P88">
            <v>3.3869435266272769</v>
          </cell>
          <cell r="Q88">
            <v>3.4760829106669453</v>
          </cell>
          <cell r="R88">
            <v>3.4146533028551111</v>
          </cell>
          <cell r="S88">
            <v>4.083359458671679</v>
          </cell>
          <cell r="T88">
            <v>3.6101598349911099</v>
          </cell>
          <cell r="V88">
            <v>3.5858745699232855</v>
          </cell>
          <cell r="W88">
            <v>3.5488017180702771</v>
          </cell>
          <cell r="X88">
            <v>3.4760829106669453</v>
          </cell>
          <cell r="Z88">
            <v>3.554034264686647</v>
          </cell>
          <cell r="AB88">
            <v>3.5668128927656522</v>
          </cell>
          <cell r="AC88">
            <v>2.775530916987794</v>
          </cell>
          <cell r="AD88">
            <v>4.3111383957608691</v>
          </cell>
        </row>
        <row r="89">
          <cell r="A89" t="str">
            <v>CGI005-qtz10-CL-fit-5-offset</v>
          </cell>
          <cell r="J89">
            <v>2.5804830628783377</v>
          </cell>
          <cell r="K89">
            <v>2.5440724397913774</v>
          </cell>
          <cell r="L89">
            <v>1.1419101332956085</v>
          </cell>
          <cell r="M89">
            <v>2.3903793510009517</v>
          </cell>
          <cell r="N89">
            <v>2.5917598056238433</v>
          </cell>
          <cell r="O89">
            <v>3.3084668642116108</v>
          </cell>
          <cell r="P89">
            <v>3.247272715272457</v>
          </cell>
          <cell r="Q89">
            <v>2.5623235559811017</v>
          </cell>
          <cell r="R89">
            <v>2.4169409486573543</v>
          </cell>
          <cell r="S89">
            <v>3.3995013337258606</v>
          </cell>
          <cell r="T89">
            <v>2.8022036481374544</v>
          </cell>
          <cell r="V89">
            <v>2.755111750451873</v>
          </cell>
          <cell r="W89">
            <v>2.6350285325978144</v>
          </cell>
          <cell r="X89">
            <v>2.5804830628783377</v>
          </cell>
          <cell r="Z89">
            <v>2.6718610909219254</v>
          </cell>
          <cell r="AB89">
            <v>2.6763407453240844</v>
          </cell>
          <cell r="AC89">
            <v>1.1008479186259879</v>
          </cell>
          <cell r="AD89">
            <v>4.5869775078282045</v>
          </cell>
        </row>
        <row r="90">
          <cell r="A90" t="str">
            <v>CGI005-qtz10-CL-fit-6-offset</v>
          </cell>
          <cell r="J90">
            <v>0.87461341656410008</v>
          </cell>
          <cell r="K90">
            <v>0.23310353614024326</v>
          </cell>
          <cell r="L90">
            <v>1.9191056797564563</v>
          </cell>
          <cell r="M90">
            <v>3.4733160403687319E-2</v>
          </cell>
          <cell r="N90">
            <v>2.5429464058775877</v>
          </cell>
          <cell r="O90">
            <v>0.77236147921224063</v>
          </cell>
          <cell r="P90">
            <v>2.4616418095862054</v>
          </cell>
          <cell r="Q90">
            <v>2.0913379930978979</v>
          </cell>
          <cell r="R90">
            <v>0.94168610468389791</v>
          </cell>
          <cell r="S90">
            <v>2.9865439135783363</v>
          </cell>
          <cell r="T90">
            <v>3.2195887944532342</v>
          </cell>
          <cell r="V90">
            <v>1.9048287757799165</v>
          </cell>
          <cell r="W90">
            <v>1.6434238448503533</v>
          </cell>
          <cell r="X90">
            <v>1.9191056797564563</v>
          </cell>
          <cell r="Z90">
            <v>1.6247512436520521</v>
          </cell>
          <cell r="AB90">
            <v>1.6814966510667804</v>
          </cell>
          <cell r="AC90">
            <v>9.0862826341043201E-2</v>
          </cell>
          <cell r="AD90">
            <v>4.1017940508078929</v>
          </cell>
        </row>
        <row r="91">
          <cell r="A91" t="str">
            <v>CGI005-qtz11-CL-fit-1-offset</v>
          </cell>
          <cell r="J91">
            <v>5.0492523208008331</v>
          </cell>
          <cell r="K91">
            <v>5.3841760340714675</v>
          </cell>
          <cell r="L91">
            <v>5.5650251664892956</v>
          </cell>
          <cell r="M91">
            <v>5.464335436241524</v>
          </cell>
          <cell r="N91">
            <v>4.6576180234348366</v>
          </cell>
          <cell r="O91">
            <v>5.2375810935355975</v>
          </cell>
          <cell r="P91">
            <v>4.7312518372953685</v>
          </cell>
          <cell r="Q91">
            <v>5.0629883950509873</v>
          </cell>
          <cell r="R91">
            <v>4.9648061540797839</v>
          </cell>
          <cell r="S91">
            <v>4.7322999041852327</v>
          </cell>
          <cell r="T91">
            <v>4.6707203109193065</v>
          </cell>
          <cell r="V91">
            <v>5.0458112853947217</v>
          </cell>
          <cell r="W91">
            <v>5.0472776978276572</v>
          </cell>
          <cell r="X91">
            <v>5.0492523208008331</v>
          </cell>
          <cell r="Z91">
            <v>5.0234182712947257</v>
          </cell>
          <cell r="AB91">
            <v>4.9998043038855062</v>
          </cell>
          <cell r="AC91">
            <v>4.3834052750929349</v>
          </cell>
          <cell r="AD91">
            <v>5.7009525951159858</v>
          </cell>
        </row>
        <row r="92">
          <cell r="A92" t="str">
            <v>CGI005-qtz11-CL-fit-2-offset</v>
          </cell>
          <cell r="J92">
            <v>3.6074408644058806</v>
          </cell>
          <cell r="K92">
            <v>5.1844818686132639</v>
          </cell>
          <cell r="L92">
            <v>5.4661001017543276</v>
          </cell>
          <cell r="M92">
            <v>3.0150417339280464</v>
          </cell>
          <cell r="N92">
            <v>4.4581353726731567</v>
          </cell>
          <cell r="O92">
            <v>4.6238813885094068</v>
          </cell>
          <cell r="P92">
            <v>4.4140925355619185</v>
          </cell>
          <cell r="Q92">
            <v>5.4427521293534094</v>
          </cell>
          <cell r="R92">
            <v>6.4801044710759808</v>
          </cell>
          <cell r="S92">
            <v>5.5693399894750577</v>
          </cell>
          <cell r="T92">
            <v>5.2778928135094647</v>
          </cell>
          <cell r="V92">
            <v>4.8608216265641104</v>
          </cell>
          <cell r="W92">
            <v>4.8672057517145371</v>
          </cell>
          <cell r="X92">
            <v>5.1844818686132639</v>
          </cell>
          <cell r="Z92">
            <v>4.8420932720534244</v>
          </cell>
          <cell r="AB92">
            <v>4.8574782904987197</v>
          </cell>
          <cell r="AC92">
            <v>3.2736918610384338</v>
          </cell>
          <cell r="AD92">
            <v>6.5827018719484593</v>
          </cell>
        </row>
        <row r="93">
          <cell r="A93" t="str">
            <v>CGI005-qtz11-CL-fit-3</v>
          </cell>
          <cell r="J93">
            <v>1.6857121550533263</v>
          </cell>
          <cell r="K93">
            <v>1.7023604673376609</v>
          </cell>
          <cell r="L93">
            <v>1.8321283369750061</v>
          </cell>
          <cell r="M93">
            <v>1.2799953028452606</v>
          </cell>
          <cell r="N93">
            <v>1.512112380895186</v>
          </cell>
          <cell r="O93">
            <v>1.7733424358807275</v>
          </cell>
          <cell r="P93">
            <v>1.7861926546876055</v>
          </cell>
          <cell r="Q93">
            <v>1.7985441297843563</v>
          </cell>
          <cell r="R93">
            <v>2.0028967868246692</v>
          </cell>
          <cell r="S93">
            <v>1.5308934535266723</v>
          </cell>
          <cell r="T93">
            <v>1.8248196371094061</v>
          </cell>
          <cell r="V93">
            <v>1.7039137635528432</v>
          </cell>
          <cell r="W93">
            <v>1.7026361582654432</v>
          </cell>
          <cell r="X93">
            <v>1.7733424358807275</v>
          </cell>
          <cell r="Z93">
            <v>1.6819897209192396</v>
          </cell>
          <cell r="AB93">
            <v>1.6865865422050437</v>
          </cell>
          <cell r="AC93">
            <v>1.3455402857087624</v>
          </cell>
          <cell r="AD93">
            <v>2.0566908076766253</v>
          </cell>
        </row>
        <row r="94">
          <cell r="A94" t="str">
            <v>CGI005-qtz11-CL-fit-4-offset</v>
          </cell>
          <cell r="J94">
            <v>1.5283562483462814</v>
          </cell>
          <cell r="K94">
            <v>0.7201980389837439</v>
          </cell>
          <cell r="L94">
            <v>1.395801368976697</v>
          </cell>
          <cell r="M94">
            <v>0.14887863000000001</v>
          </cell>
          <cell r="N94">
            <v>1.2209307520358748</v>
          </cell>
          <cell r="O94">
            <v>1.2260367789782789</v>
          </cell>
          <cell r="P94">
            <v>0.85501418434455856</v>
          </cell>
          <cell r="Q94">
            <v>1.1173713361814788</v>
          </cell>
          <cell r="R94">
            <v>1.0155171212566749</v>
          </cell>
          <cell r="S94">
            <v>1.2235983758523077</v>
          </cell>
          <cell r="T94">
            <v>0.97849390594945396</v>
          </cell>
          <cell r="V94">
            <v>1.2080115453037237</v>
          </cell>
          <cell r="W94">
            <v>1.0391087946277593</v>
          </cell>
          <cell r="X94">
            <v>1.1173713361814788</v>
          </cell>
          <cell r="Z94">
            <v>1.1500015003480031</v>
          </cell>
          <cell r="AB94">
            <v>1.1196000963185988</v>
          </cell>
          <cell r="AC94">
            <v>0.18727433434443497</v>
          </cell>
          <cell r="AD94">
            <v>2.2143932105740762</v>
          </cell>
        </row>
        <row r="95">
          <cell r="A95" t="str">
            <v>CGI005-qtz12-CL-fit-1-offset</v>
          </cell>
          <cell r="J95">
            <v>4.769187927921366</v>
          </cell>
          <cell r="K95">
            <v>5.8559825501847254</v>
          </cell>
          <cell r="L95">
            <v>2.1474271106010461</v>
          </cell>
          <cell r="M95">
            <v>3.2068892566581364</v>
          </cell>
          <cell r="N95">
            <v>4.4419621172402648</v>
          </cell>
          <cell r="O95">
            <v>4.0984885986656199</v>
          </cell>
          <cell r="P95">
            <v>1.9266038596097859</v>
          </cell>
          <cell r="Q95">
            <v>1.7135406996081324</v>
          </cell>
          <cell r="R95">
            <v>4.0572804212598399</v>
          </cell>
          <cell r="S95">
            <v>3.2245113184960998</v>
          </cell>
          <cell r="T95">
            <v>3.5464880274856858</v>
          </cell>
          <cell r="V95">
            <v>3.7847850279341646</v>
          </cell>
          <cell r="W95">
            <v>3.544396535248246</v>
          </cell>
          <cell r="X95">
            <v>3.5464880274856858</v>
          </cell>
          <cell r="Z95">
            <v>3.8066850472523006</v>
          </cell>
          <cell r="AB95">
            <v>3.8156690115961371</v>
          </cell>
          <cell r="AC95">
            <v>1.2672613789448732</v>
          </cell>
          <cell r="AD95">
            <v>6.379051053122784</v>
          </cell>
        </row>
        <row r="96">
          <cell r="A96" t="str">
            <v>CGI005-qtz12-CL-fit-2-offset</v>
          </cell>
          <cell r="J96">
            <v>4.1754876365339477</v>
          </cell>
          <cell r="K96">
            <v>3.8170403159213535</v>
          </cell>
          <cell r="L96">
            <v>5.6169679045583507</v>
          </cell>
          <cell r="M96">
            <v>8.0843564263170933</v>
          </cell>
          <cell r="N96">
            <v>4.3130823475748086</v>
          </cell>
          <cell r="O96">
            <v>6.0538861861884126</v>
          </cell>
          <cell r="P96">
            <v>3.7770211972187973</v>
          </cell>
          <cell r="Q96">
            <v>4.0736008173950768</v>
          </cell>
          <cell r="R96">
            <v>4.8106415253587267</v>
          </cell>
          <cell r="S96">
            <v>3.9911988685269124</v>
          </cell>
          <cell r="T96">
            <v>4.3402032538888262</v>
          </cell>
          <cell r="V96">
            <v>4.6590014219956659</v>
          </cell>
          <cell r="W96">
            <v>4.8230442254074823</v>
          </cell>
          <cell r="X96">
            <v>4.3130823475748086</v>
          </cell>
          <cell r="Z96">
            <v>4.574419718119076</v>
          </cell>
          <cell r="AB96">
            <v>4.7711458005617633</v>
          </cell>
          <cell r="AC96">
            <v>2.9341093291319043</v>
          </cell>
          <cell r="AD96">
            <v>8.2265853447161597</v>
          </cell>
        </row>
        <row r="97">
          <cell r="A97" t="str">
            <v>CGI005-qtz12-CL-fit-3</v>
          </cell>
          <cell r="J97">
            <v>4.5136440211750601</v>
          </cell>
          <cell r="K97">
            <v>3.8004025827479708</v>
          </cell>
          <cell r="L97">
            <v>4.8449519953821545</v>
          </cell>
          <cell r="M97">
            <v>4.7519381999999997</v>
          </cell>
          <cell r="N97">
            <v>5.5992538999999999</v>
          </cell>
          <cell r="O97">
            <v>2.720172069243485</v>
          </cell>
          <cell r="P97">
            <v>2.6964227759535309</v>
          </cell>
          <cell r="Q97">
            <v>2.3258285100398957</v>
          </cell>
          <cell r="R97">
            <v>2.8647124978881671</v>
          </cell>
          <cell r="S97">
            <v>5.5150269999999999</v>
          </cell>
          <cell r="T97">
            <v>4.6479894936493089</v>
          </cell>
          <cell r="V97">
            <v>4.2340632478536815</v>
          </cell>
          <cell r="W97">
            <v>4.0254857314617789</v>
          </cell>
          <cell r="X97">
            <v>4.5136440211750601</v>
          </cell>
          <cell r="Z97">
            <v>4.1737781116629051</v>
          </cell>
          <cell r="AB97">
            <v>4.3388632154873372</v>
          </cell>
          <cell r="AC97">
            <v>1.7376042163626226</v>
          </cell>
          <cell r="AD97">
            <v>7.4236752506555952</v>
          </cell>
        </row>
        <row r="98">
          <cell r="A98" t="str">
            <v>CGI005-qtz12-CL-fit-4-offset</v>
          </cell>
          <cell r="J98">
            <v>1.2292635847243953</v>
          </cell>
          <cell r="K98">
            <v>1.2401409217686368</v>
          </cell>
          <cell r="L98">
            <v>1.3925207564870057</v>
          </cell>
          <cell r="M98">
            <v>1.3560721483428884</v>
          </cell>
          <cell r="N98">
            <v>1.5820980773969937</v>
          </cell>
          <cell r="O98">
            <v>1.5640911659493599</v>
          </cell>
          <cell r="P98">
            <v>1.3364427156940955</v>
          </cell>
          <cell r="Q98">
            <v>1.1115426177920988</v>
          </cell>
          <cell r="R98">
            <v>1.2916962062876347</v>
          </cell>
          <cell r="S98">
            <v>1.4773762628009488</v>
          </cell>
          <cell r="T98">
            <v>1.5716029005341079</v>
          </cell>
          <cell r="V98">
            <v>1.4924866203316833</v>
          </cell>
          <cell r="W98">
            <v>1.3775315779798332</v>
          </cell>
          <cell r="X98">
            <v>1.3560721483428884</v>
          </cell>
          <cell r="Z98">
            <v>1.4472817616167384</v>
          </cell>
          <cell r="AB98">
            <v>1.428254520244594</v>
          </cell>
          <cell r="AC98">
            <v>0.36399227833944603</v>
          </cell>
          <cell r="AD98">
            <v>2.053828448130449</v>
          </cell>
        </row>
        <row r="99">
          <cell r="A99" t="str">
            <v>CGI008-qtz01-CL-fit-1-offset</v>
          </cell>
          <cell r="J99">
            <v>3.1403111905476946</v>
          </cell>
          <cell r="K99">
            <v>3.0734834453648112</v>
          </cell>
          <cell r="L99">
            <v>1.6002562967471485</v>
          </cell>
          <cell r="M99">
            <v>1.5603178289848934</v>
          </cell>
          <cell r="N99">
            <v>2.5284557859365604</v>
          </cell>
          <cell r="O99">
            <v>2.4898964758185618</v>
          </cell>
          <cell r="P99">
            <v>4.9017768899000735</v>
          </cell>
          <cell r="Q99">
            <v>4.9918750949035173</v>
          </cell>
          <cell r="R99">
            <v>5.9604263982990435</v>
          </cell>
          <cell r="S99">
            <v>4.1464115070171168</v>
          </cell>
          <cell r="T99">
            <v>3.3497230791901864</v>
          </cell>
          <cell r="V99">
            <v>3.3445289691775515</v>
          </cell>
          <cell r="W99">
            <v>3.4311758175190552</v>
          </cell>
          <cell r="X99">
            <v>3.1403111905476946</v>
          </cell>
          <cell r="Z99">
            <v>3.2826428586536722</v>
          </cell>
          <cell r="AB99">
            <v>3.4428280191645473</v>
          </cell>
          <cell r="AC99">
            <v>1.614602205555145</v>
          </cell>
          <cell r="AD99">
            <v>6.3299165656945799</v>
          </cell>
        </row>
        <row r="100">
          <cell r="A100" t="str">
            <v>CGI008-qtz01-CL-fit-2-offset</v>
          </cell>
          <cell r="J100">
            <v>3.9306608624400607</v>
          </cell>
          <cell r="K100">
            <v>1.9595622621815871</v>
          </cell>
          <cell r="L100">
            <v>6.4785387628451518</v>
          </cell>
          <cell r="M100">
            <v>3.111196432368744</v>
          </cell>
          <cell r="N100">
            <v>0.88828751666608907</v>
          </cell>
          <cell r="O100">
            <v>9.1728858223534804</v>
          </cell>
          <cell r="P100">
            <v>3.4839514020376212</v>
          </cell>
          <cell r="Q100">
            <v>6.031443076933539</v>
          </cell>
          <cell r="R100">
            <v>6.3236178167621606</v>
          </cell>
          <cell r="S100">
            <v>6.1704925352962823</v>
          </cell>
          <cell r="T100">
            <v>3.9855331254755635</v>
          </cell>
          <cell r="V100">
            <v>4.4262782393188687</v>
          </cell>
          <cell r="W100">
            <v>4.6851063286691161</v>
          </cell>
          <cell r="X100">
            <v>3.9855331254755635</v>
          </cell>
          <cell r="Z100">
            <v>4.4828954756357344</v>
          </cell>
          <cell r="AB100">
            <v>4.3731380206651389</v>
          </cell>
          <cell r="AC100">
            <v>0.21117129762535022</v>
          </cell>
          <cell r="AD100">
            <v>9.4645764826269794</v>
          </cell>
        </row>
        <row r="101">
          <cell r="A101" t="str">
            <v>CGI008-qtz01-CL-fit-3-offset</v>
          </cell>
          <cell r="J101">
            <v>3.9368414750799783</v>
          </cell>
          <cell r="K101">
            <v>5.6825359482466808</v>
          </cell>
          <cell r="L101">
            <v>3.8475131540535408</v>
          </cell>
          <cell r="M101">
            <v>4.6218083146274651</v>
          </cell>
          <cell r="N101">
            <v>4.7574024767907206</v>
          </cell>
          <cell r="O101">
            <v>4.208724245792471</v>
          </cell>
          <cell r="P101">
            <v>8.4018584678262069</v>
          </cell>
          <cell r="Q101">
            <v>5.9592668337504735</v>
          </cell>
          <cell r="R101">
            <v>6.4876876018079512</v>
          </cell>
          <cell r="S101">
            <v>6.8141255839771731</v>
          </cell>
          <cell r="T101">
            <v>4.5320322937939306</v>
          </cell>
          <cell r="V101">
            <v>5.2668345367836578</v>
          </cell>
          <cell r="W101">
            <v>5.386345126886054</v>
          </cell>
          <cell r="X101">
            <v>4.7574024767907206</v>
          </cell>
          <cell r="Z101">
            <v>5.3457528211217955</v>
          </cell>
          <cell r="AB101">
            <v>5.2400603956747194</v>
          </cell>
          <cell r="AC101">
            <v>2.9614183145085562</v>
          </cell>
          <cell r="AD101">
            <v>7.3318407915153321</v>
          </cell>
        </row>
        <row r="102">
          <cell r="A102" t="str">
            <v>CGI008-qtz01-CL-fit-4-offset</v>
          </cell>
          <cell r="J102">
            <v>4.7905480000000004E-3</v>
          </cell>
          <cell r="K102">
            <v>0.40573186635381997</v>
          </cell>
          <cell r="L102">
            <v>0.54687494639395784</v>
          </cell>
          <cell r="M102">
            <v>2.0387587696662952</v>
          </cell>
          <cell r="N102">
            <v>1.7524759085104864</v>
          </cell>
          <cell r="O102">
            <v>2.4161894455734947</v>
          </cell>
          <cell r="P102">
            <v>1.4139653437029414</v>
          </cell>
          <cell r="Q102">
            <v>0.94662308861016675</v>
          </cell>
          <cell r="R102">
            <v>5.0696668389672711E-3</v>
          </cell>
          <cell r="S102">
            <v>2.8803989829470353</v>
          </cell>
          <cell r="T102">
            <v>3.542549782023876</v>
          </cell>
          <cell r="V102">
            <v>2.2984028718832774</v>
          </cell>
          <cell r="W102">
            <v>1.4503116680564583</v>
          </cell>
          <cell r="X102">
            <v>1.4139653437029414</v>
          </cell>
          <cell r="Z102">
            <v>1.9318771412860891</v>
          </cell>
          <cell r="AB102">
            <v>1.8700039968966207</v>
          </cell>
          <cell r="AC102">
            <v>6.6516077271504714E-2</v>
          </cell>
          <cell r="AD102">
            <v>4.0219666006380832</v>
          </cell>
        </row>
        <row r="103">
          <cell r="A103" t="str">
            <v>CGI008-qtz01-CL-fit-5-offset</v>
          </cell>
          <cell r="J103">
            <v>1.3675669432807391</v>
          </cell>
          <cell r="K103">
            <v>1.0546453045729236</v>
          </cell>
          <cell r="L103">
            <v>1.2508269379673926</v>
          </cell>
          <cell r="M103">
            <v>1.0142064632824348</v>
          </cell>
          <cell r="N103">
            <v>0.80805864701890939</v>
          </cell>
          <cell r="O103">
            <v>0.70343949252768534</v>
          </cell>
          <cell r="P103">
            <v>0.94649229796120071</v>
          </cell>
          <cell r="Q103">
            <v>0.93887172443313616</v>
          </cell>
          <cell r="R103">
            <v>0.63935765317361215</v>
          </cell>
          <cell r="S103">
            <v>1.1936895110332764</v>
          </cell>
          <cell r="T103">
            <v>0.92876161424826853</v>
          </cell>
          <cell r="V103">
            <v>1.049216961962127</v>
          </cell>
          <cell r="W103">
            <v>0.98599241722723441</v>
          </cell>
          <cell r="X103">
            <v>0.94649229796120071</v>
          </cell>
          <cell r="Z103">
            <v>1.0351869823952984</v>
          </cell>
          <cell r="AB103">
            <v>1.0428509632687475</v>
          </cell>
          <cell r="AC103">
            <v>0.22624602173047298</v>
          </cell>
          <cell r="AD103">
            <v>1.7123167651233542</v>
          </cell>
        </row>
        <row r="104">
          <cell r="A104" t="str">
            <v>CGI008-qtz02-CL-fit-1-offset</v>
          </cell>
          <cell r="J104">
            <v>8.3893115764866764</v>
          </cell>
          <cell r="K104">
            <v>6.5723724989420704</v>
          </cell>
          <cell r="L104">
            <v>5.8889128624598381</v>
          </cell>
          <cell r="M104">
            <v>9.7099414460684645</v>
          </cell>
          <cell r="N104">
            <v>6.5658184811605631</v>
          </cell>
          <cell r="O104">
            <v>5.6806055236570456</v>
          </cell>
          <cell r="P104">
            <v>0.21885597422307898</v>
          </cell>
          <cell r="Q104">
            <v>0.26838302456143137</v>
          </cell>
          <cell r="R104">
            <v>6.5380091561031959</v>
          </cell>
          <cell r="S104">
            <v>4.9227377230025704</v>
          </cell>
          <cell r="T104">
            <v>3.049827913356816</v>
          </cell>
          <cell r="V104">
            <v>6.8905623973118502</v>
          </cell>
          <cell r="W104">
            <v>5.2549796527292489</v>
          </cell>
          <cell r="X104">
            <v>5.8889128624598381</v>
          </cell>
          <cell r="Z104">
            <v>6.600447</v>
          </cell>
          <cell r="AB104">
            <v>6.8210885961029417</v>
          </cell>
          <cell r="AC104">
            <v>1.6468680452943056</v>
          </cell>
          <cell r="AD104">
            <v>12.172886984581341</v>
          </cell>
        </row>
        <row r="105">
          <cell r="A105" t="str">
            <v>CGI008-qtz02-CL-fit-2-offset</v>
          </cell>
          <cell r="J105">
            <v>10.63835272709121</v>
          </cell>
          <cell r="K105">
            <v>3.7138216439402991</v>
          </cell>
          <cell r="L105">
            <v>7.2200893820247263</v>
          </cell>
          <cell r="M105">
            <v>3.9451891767458598</v>
          </cell>
          <cell r="N105">
            <v>0</v>
          </cell>
          <cell r="O105">
            <v>8.312633805981875</v>
          </cell>
          <cell r="P105">
            <v>0.63843363439141376</v>
          </cell>
          <cell r="Q105">
            <v>0.28198679042793068</v>
          </cell>
          <cell r="R105">
            <v>7.9018818000000005E-2</v>
          </cell>
          <cell r="S105">
            <v>5.9308572193977236</v>
          </cell>
          <cell r="T105">
            <v>0.24399395273235949</v>
          </cell>
          <cell r="V105">
            <v>5.6555568692914742</v>
          </cell>
          <cell r="W105">
            <v>4.1004377150733387</v>
          </cell>
          <cell r="X105">
            <v>3.8295054103430797</v>
          </cell>
          <cell r="Z105">
            <v>4.4482877202693345</v>
          </cell>
          <cell r="AB105">
            <v>4.6217396244590718</v>
          </cell>
          <cell r="AC105">
            <v>0.23220362939372957</v>
          </cell>
          <cell r="AD105">
            <v>10.110936187506521</v>
          </cell>
        </row>
        <row r="106">
          <cell r="A106" t="str">
            <v>CGI008-qtz02-CL-fit-3-offset</v>
          </cell>
          <cell r="J106">
            <v>2.0927451118490294</v>
          </cell>
          <cell r="K106">
            <v>2.1831135582712591</v>
          </cell>
          <cell r="L106">
            <v>2.7806438794057238</v>
          </cell>
          <cell r="M106">
            <v>2.3956905689231882</v>
          </cell>
          <cell r="N106">
            <v>2.3926032842060883</v>
          </cell>
          <cell r="O106">
            <v>1.4648420581258677</v>
          </cell>
          <cell r="P106">
            <v>2.9336781581571794</v>
          </cell>
          <cell r="Q106">
            <v>2.9517600938331987</v>
          </cell>
          <cell r="R106">
            <v>2.2818811198382729</v>
          </cell>
          <cell r="S106">
            <v>1.4111239369355375</v>
          </cell>
          <cell r="T106">
            <v>2.7861095756196002</v>
          </cell>
          <cell r="V106">
            <v>2.2540870324440347</v>
          </cell>
          <cell r="W106">
            <v>2.3340173950149952</v>
          </cell>
          <cell r="X106">
            <v>2.3926032842060883</v>
          </cell>
          <cell r="Z106">
            <v>2.2696452820435304</v>
          </cell>
          <cell r="AB106">
            <v>2.3093639123351024</v>
          </cell>
          <cell r="AC106">
            <v>1.3712535011111382</v>
          </cell>
          <cell r="AD106">
            <v>3.5758034119821933</v>
          </cell>
        </row>
        <row r="107">
          <cell r="A107" t="str">
            <v>CGI008-qtz02-CL-fit-4-offset</v>
          </cell>
          <cell r="J107">
            <v>0.22831768929800286</v>
          </cell>
          <cell r="K107">
            <v>0.15908064428859309</v>
          </cell>
          <cell r="L107">
            <v>0.26441329157474108</v>
          </cell>
          <cell r="M107">
            <v>0.51860378557668318</v>
          </cell>
          <cell r="N107">
            <v>6.2094222071936218E-2</v>
          </cell>
          <cell r="O107">
            <v>2.8880439312273296</v>
          </cell>
          <cell r="P107">
            <v>2.5074698126697932</v>
          </cell>
          <cell r="Q107">
            <v>2.0071248987155221</v>
          </cell>
          <cell r="R107">
            <v>0.27690282949111006</v>
          </cell>
          <cell r="S107">
            <v>8.7858198355566589E-3</v>
          </cell>
          <cell r="T107">
            <v>0.3138985077765522</v>
          </cell>
          <cell r="V107">
            <v>0.34911211631464006</v>
          </cell>
          <cell r="W107">
            <v>0.8395214029568927</v>
          </cell>
          <cell r="X107">
            <v>0.27690282949111006</v>
          </cell>
          <cell r="Z107">
            <v>0.3306908025760773</v>
          </cell>
          <cell r="AB107">
            <v>0.54508673568577126</v>
          </cell>
          <cell r="AC107">
            <v>0.10391707838250701</v>
          </cell>
          <cell r="AD107">
            <v>3.6285191840347504</v>
          </cell>
        </row>
        <row r="108">
          <cell r="A108" t="str">
            <v>CGI008-qtz03-CL-fit-1-offset</v>
          </cell>
          <cell r="J108">
            <v>3.8314853976370329</v>
          </cell>
          <cell r="K108">
            <v>3.6102060476342097</v>
          </cell>
          <cell r="L108">
            <v>4.6308841006363792</v>
          </cell>
          <cell r="M108">
            <v>3.5330184021346693</v>
          </cell>
          <cell r="N108">
            <v>0.21105520956411228</v>
          </cell>
          <cell r="O108">
            <v>5.0418762104600283</v>
          </cell>
          <cell r="P108">
            <v>3.6527685437613293</v>
          </cell>
          <cell r="Q108">
            <v>2.884129186475402</v>
          </cell>
          <cell r="R108">
            <v>4.6113156186707229</v>
          </cell>
          <cell r="S108">
            <v>4.0612451058449643</v>
          </cell>
          <cell r="T108">
            <v>2.8501257195051091</v>
          </cell>
          <cell r="V108">
            <v>3.7919763328187277</v>
          </cell>
          <cell r="W108">
            <v>3.5380099583930869</v>
          </cell>
          <cell r="X108">
            <v>3.6527685437613293</v>
          </cell>
          <cell r="Z108">
            <v>3.6791708375095862</v>
          </cell>
          <cell r="AB108">
            <v>3.658014159220889</v>
          </cell>
          <cell r="AC108">
            <v>0.69276468444306083</v>
          </cell>
          <cell r="AD108">
            <v>6.4421729192599591</v>
          </cell>
        </row>
        <row r="109">
          <cell r="A109" t="str">
            <v>CGI008-qtz03-CL-fit-2-offset</v>
          </cell>
          <cell r="J109">
            <v>2.5214179617786194</v>
          </cell>
          <cell r="K109">
            <v>4.0636718549996758</v>
          </cell>
          <cell r="L109">
            <v>0.14390868332611081</v>
          </cell>
          <cell r="M109">
            <v>8.4345938999999995E-2</v>
          </cell>
          <cell r="N109">
            <v>2.1085647860127046</v>
          </cell>
          <cell r="O109">
            <v>1.2124488647362077</v>
          </cell>
          <cell r="P109">
            <v>1.8838840565856649</v>
          </cell>
          <cell r="Q109">
            <v>0.18398477532123839</v>
          </cell>
          <cell r="R109">
            <v>3.8312576007258183</v>
          </cell>
          <cell r="S109">
            <v>4.0357031624388453</v>
          </cell>
          <cell r="T109">
            <v>1.3045215751396555</v>
          </cell>
          <cell r="V109">
            <v>2.8204334136478488</v>
          </cell>
          <cell r="W109">
            <v>1.9430644781876858</v>
          </cell>
          <cell r="X109">
            <v>1.8838840565856649</v>
          </cell>
          <cell r="Z109">
            <v>2.877214838740926</v>
          </cell>
          <cell r="AB109">
            <v>3.0741857156584675</v>
          </cell>
          <cell r="AC109">
            <v>0.22485533763321339</v>
          </cell>
          <cell r="AD109">
            <v>7.6535409338289213</v>
          </cell>
        </row>
        <row r="110">
          <cell r="A110" t="str">
            <v>CGI008-qtz03-CL-fit-3-offset</v>
          </cell>
          <cell r="J110">
            <v>3.4943063194017037</v>
          </cell>
          <cell r="K110">
            <v>1.3807024910263064</v>
          </cell>
          <cell r="L110">
            <v>0.89704944774808104</v>
          </cell>
          <cell r="M110">
            <v>2.5010114607029212</v>
          </cell>
          <cell r="N110">
            <v>1.8190442508048763</v>
          </cell>
          <cell r="O110">
            <v>1.7939467332502854</v>
          </cell>
          <cell r="P110">
            <v>1.9720412330801635</v>
          </cell>
          <cell r="Q110">
            <v>2.040341690798043</v>
          </cell>
          <cell r="R110">
            <v>2.3998440033644375</v>
          </cell>
          <cell r="S110">
            <v>1.885755869957281</v>
          </cell>
          <cell r="T110">
            <v>2.3875081017900972</v>
          </cell>
          <cell r="V110">
            <v>1.7356913268782488</v>
          </cell>
          <cell r="W110">
            <v>2.0519592365385635</v>
          </cell>
          <cell r="X110">
            <v>1.9720412330801635</v>
          </cell>
          <cell r="Z110">
            <v>1.6838949829922139</v>
          </cell>
          <cell r="AB110">
            <v>1.6870603532529276</v>
          </cell>
          <cell r="AC110">
            <v>0.76430771633953176</v>
          </cell>
          <cell r="AD110">
            <v>2.7329189392292035</v>
          </cell>
        </row>
        <row r="111">
          <cell r="A111" t="str">
            <v>CGI008-qtz03-CL-fit-4-offset</v>
          </cell>
          <cell r="J111">
            <v>5.510330232655695E-3</v>
          </cell>
          <cell r="K111">
            <v>0.7275774391049612</v>
          </cell>
          <cell r="L111">
            <v>2.3123545307665578</v>
          </cell>
          <cell r="M111">
            <v>3.1193869059759725</v>
          </cell>
          <cell r="N111">
            <v>0.63476857752027172</v>
          </cell>
          <cell r="O111">
            <v>0.539118742847008</v>
          </cell>
          <cell r="P111">
            <v>0.65502170244478852</v>
          </cell>
          <cell r="Q111">
            <v>4.7438458000000003E-2</v>
          </cell>
          <cell r="R111">
            <v>0.19068644462129475</v>
          </cell>
          <cell r="S111">
            <v>0.83852427211500158</v>
          </cell>
          <cell r="T111">
            <v>1.2159831764558757</v>
          </cell>
          <cell r="V111">
            <v>0.21192285139679803</v>
          </cell>
          <cell r="W111">
            <v>0.93512459818948979</v>
          </cell>
          <cell r="X111">
            <v>0.65502170244478852</v>
          </cell>
          <cell r="Z111">
            <v>0.20321153521456592</v>
          </cell>
          <cell r="AB111">
            <v>0.54998450454962688</v>
          </cell>
          <cell r="AC111">
            <v>5.0635504749208045E-8</v>
          </cell>
          <cell r="AD111">
            <v>4.9534017305841855</v>
          </cell>
        </row>
        <row r="112">
          <cell r="A112" t="str">
            <v>CGI008-qtz04-CL-fit-1-offset</v>
          </cell>
          <cell r="J112">
            <v>3.3218520677284468E-8</v>
          </cell>
          <cell r="K112">
            <v>0.10129275546865003</v>
          </cell>
          <cell r="L112">
            <v>1.4348255171054889</v>
          </cell>
          <cell r="M112">
            <v>3.4282959578569701</v>
          </cell>
          <cell r="N112">
            <v>4.0219408999999998E-2</v>
          </cell>
          <cell r="O112">
            <v>1.1974469304973292</v>
          </cell>
          <cell r="P112">
            <v>0.24430057547748971</v>
          </cell>
          <cell r="Q112">
            <v>2.5768296458734827E-2</v>
          </cell>
          <cell r="R112">
            <v>1.0764300058423546</v>
          </cell>
          <cell r="S112">
            <v>1.6484615037531327</v>
          </cell>
          <cell r="T112">
            <v>2.3138966870301871</v>
          </cell>
          <cell r="V112">
            <v>1.1496420015226658</v>
          </cell>
          <cell r="W112">
            <v>1.0464488792462598</v>
          </cell>
          <cell r="X112">
            <v>1.0764300058423546</v>
          </cell>
          <cell r="Z112">
            <v>0.48863408165563682</v>
          </cell>
          <cell r="AB112">
            <v>0.89257207753140255</v>
          </cell>
          <cell r="AC112">
            <v>8.4541584783669976E-8</v>
          </cell>
          <cell r="AD112">
            <v>3.1980411388265728</v>
          </cell>
        </row>
        <row r="113">
          <cell r="A113" t="str">
            <v>CGI008-qtz04-CL-fit-2-offset</v>
          </cell>
          <cell r="J113">
            <v>4.1485077431795867</v>
          </cell>
          <cell r="K113">
            <v>9.0716125613106815</v>
          </cell>
          <cell r="L113">
            <v>1.7140594125476527</v>
          </cell>
          <cell r="M113">
            <v>8.0262722535143531</v>
          </cell>
          <cell r="N113">
            <v>4.396948130232043</v>
          </cell>
          <cell r="O113">
            <v>6.0145737585897674</v>
          </cell>
          <cell r="P113">
            <v>2.5604198858698446</v>
          </cell>
          <cell r="Q113">
            <v>7.9234337592445963</v>
          </cell>
          <cell r="R113">
            <v>1.7755645362891568</v>
          </cell>
          <cell r="S113">
            <v>7.1195058897135901</v>
          </cell>
          <cell r="T113">
            <v>4.7598817777068776</v>
          </cell>
          <cell r="V113">
            <v>4.813900435281135</v>
          </cell>
          <cell r="W113">
            <v>5.228252700745287</v>
          </cell>
          <cell r="X113">
            <v>4.7598817777068776</v>
          </cell>
          <cell r="Z113">
            <v>4.7013842551891774</v>
          </cell>
          <cell r="AB113">
            <v>4.716330228825302</v>
          </cell>
          <cell r="AC113">
            <v>1.3700481012706598</v>
          </cell>
          <cell r="AD113">
            <v>8.0467276152877503</v>
          </cell>
        </row>
        <row r="114">
          <cell r="A114" t="str">
            <v>CGI008-qtz04-CL-fit-3-offset</v>
          </cell>
          <cell r="J114">
            <v>7.6682412792521628</v>
          </cell>
          <cell r="K114">
            <v>6.1841686634794488</v>
          </cell>
          <cell r="L114">
            <v>6.0318335754975685</v>
          </cell>
          <cell r="M114">
            <v>3.2032861932375241</v>
          </cell>
          <cell r="N114">
            <v>3.7363431008412444</v>
          </cell>
          <cell r="O114">
            <v>7.2587649694449539</v>
          </cell>
          <cell r="P114">
            <v>5.4382467562640437</v>
          </cell>
          <cell r="Q114">
            <v>5.9022337526209476</v>
          </cell>
          <cell r="R114">
            <v>5.7053386778981965</v>
          </cell>
          <cell r="S114">
            <v>2.3567463932418007</v>
          </cell>
          <cell r="T114">
            <v>1.8236408477379087</v>
          </cell>
          <cell r="V114">
            <v>5.0983536520586243</v>
          </cell>
          <cell r="W114">
            <v>5.0280767463196172</v>
          </cell>
          <cell r="X114">
            <v>5.7053386778981965</v>
          </cell>
          <cell r="Z114">
            <v>5.2982410736136529</v>
          </cell>
          <cell r="AB114">
            <v>5.3056690020230599</v>
          </cell>
          <cell r="AC114">
            <v>1.6915936079986826</v>
          </cell>
          <cell r="AD114">
            <v>8.7001095368120769</v>
          </cell>
        </row>
        <row r="115">
          <cell r="A115" t="str">
            <v>CGI008-qtz05-CL-fit-1-offset</v>
          </cell>
          <cell r="J115">
            <v>3.605215869615285</v>
          </cell>
          <cell r="K115">
            <v>3.5331025266667053</v>
          </cell>
          <cell r="L115">
            <v>3.9435633164361676</v>
          </cell>
          <cell r="M115">
            <v>2.5211513632040186</v>
          </cell>
          <cell r="N115">
            <v>4.3651560330016421</v>
          </cell>
          <cell r="O115">
            <v>3.756459014544566</v>
          </cell>
          <cell r="P115">
            <v>2.7783212017501451</v>
          </cell>
          <cell r="Q115">
            <v>2.8328374354247359</v>
          </cell>
          <cell r="R115">
            <v>1.1534412102982232</v>
          </cell>
          <cell r="S115">
            <v>2.6291424632903286</v>
          </cell>
          <cell r="T115">
            <v>2.6502578091087794</v>
          </cell>
          <cell r="V115">
            <v>3.0505618960648837</v>
          </cell>
          <cell r="W115">
            <v>3.0698771130309628</v>
          </cell>
          <cell r="X115">
            <v>2.8328374354247359</v>
          </cell>
          <cell r="Z115">
            <v>2.9433472395598144</v>
          </cell>
          <cell r="AB115">
            <v>2.9188570996566336</v>
          </cell>
          <cell r="AC115">
            <v>1.1688683888114082</v>
          </cell>
          <cell r="AD115">
            <v>4.3133133338811485</v>
          </cell>
        </row>
        <row r="116">
          <cell r="A116" t="str">
            <v>CGI008-qtz05-CL-fit-2-offset</v>
          </cell>
          <cell r="J116">
            <v>4.4103127892757525</v>
          </cell>
          <cell r="K116">
            <v>2.6994703154571305</v>
          </cell>
          <cell r="L116">
            <v>3.0335690719167796</v>
          </cell>
          <cell r="M116">
            <v>1.0780548823944911</v>
          </cell>
          <cell r="N116">
            <v>3.0978610282120536</v>
          </cell>
          <cell r="O116">
            <v>3.7542585851726855</v>
          </cell>
          <cell r="P116">
            <v>4.8663553661453589</v>
          </cell>
          <cell r="Q116">
            <v>2.868106624618461</v>
          </cell>
          <cell r="R116">
            <v>0.27467805730672112</v>
          </cell>
          <cell r="S116">
            <v>2.5435829116601782</v>
          </cell>
          <cell r="T116">
            <v>2.0319650966673248</v>
          </cell>
          <cell r="V116">
            <v>2.8657956625750627</v>
          </cell>
          <cell r="W116">
            <v>2.7871104298933576</v>
          </cell>
          <cell r="X116">
            <v>2.868106624618461</v>
          </cell>
          <cell r="Z116">
            <v>2.7905339957423356</v>
          </cell>
          <cell r="AB116">
            <v>2.9128303884117712</v>
          </cell>
          <cell r="AC116">
            <v>0.65460605009756145</v>
          </cell>
          <cell r="AD116">
            <v>6.4173726603332897</v>
          </cell>
        </row>
        <row r="117">
          <cell r="A117" t="str">
            <v>CGI008-qtz05-CL-fit-3-offset</v>
          </cell>
          <cell r="J117">
            <v>3.8415849146661909</v>
          </cell>
          <cell r="K117">
            <v>3.0313479744654814</v>
          </cell>
          <cell r="L117">
            <v>2.6524828601215682</v>
          </cell>
          <cell r="M117">
            <v>1.4204829225030258</v>
          </cell>
          <cell r="N117">
            <v>0.99745274256647232</v>
          </cell>
          <cell r="O117">
            <v>2.7122419798906812</v>
          </cell>
          <cell r="P117">
            <v>2.235309504329813</v>
          </cell>
          <cell r="Q117">
            <v>2.1844699227891677</v>
          </cell>
          <cell r="R117">
            <v>4.0638556137466813</v>
          </cell>
          <cell r="S117">
            <v>2.5959198225807461</v>
          </cell>
          <cell r="T117">
            <v>1.274661451652497</v>
          </cell>
          <cell r="V117">
            <v>2.542705786579972</v>
          </cell>
          <cell r="W117">
            <v>2.4554372463011207</v>
          </cell>
          <cell r="X117">
            <v>2.5959198225807461</v>
          </cell>
          <cell r="Z117">
            <v>2.6188955521558182</v>
          </cell>
          <cell r="AB117">
            <v>2.6220152527587133</v>
          </cell>
          <cell r="AC117">
            <v>0.7333974724230895</v>
          </cell>
          <cell r="AD117">
            <v>4.522641821890244</v>
          </cell>
        </row>
        <row r="118">
          <cell r="A118" t="str">
            <v>CGI008-qtz05-CL-fit-4-offset</v>
          </cell>
          <cell r="J118">
            <v>2.0028951983361138</v>
          </cell>
          <cell r="K118">
            <v>1.6274998217251411</v>
          </cell>
          <cell r="L118">
            <v>1.6299131683199242</v>
          </cell>
          <cell r="M118">
            <v>1.6920122326172624</v>
          </cell>
          <cell r="N118">
            <v>1.2500647451504783</v>
          </cell>
          <cell r="O118">
            <v>1.6656083169885842</v>
          </cell>
          <cell r="P118">
            <v>1.7067159966572407</v>
          </cell>
          <cell r="Q118">
            <v>2.1393284204043281</v>
          </cell>
          <cell r="R118">
            <v>2.4445426562376724</v>
          </cell>
          <cell r="S118">
            <v>2.4225906403517787</v>
          </cell>
          <cell r="T118">
            <v>1.6168701025963452</v>
          </cell>
          <cell r="V118">
            <v>1.8482046905999368</v>
          </cell>
          <cell r="W118">
            <v>1.8361855726713516</v>
          </cell>
          <cell r="X118">
            <v>1.6920122326172624</v>
          </cell>
          <cell r="Z118">
            <v>1.8673629676823651</v>
          </cell>
          <cell r="AB118">
            <v>1.8322726221100976</v>
          </cell>
          <cell r="AC118">
            <v>0.71317233637370048</v>
          </cell>
          <cell r="AD118">
            <v>2.6829791352329684</v>
          </cell>
        </row>
        <row r="119">
          <cell r="A119" t="str">
            <v>CGI008-qtz06-CL-fit-1-offset</v>
          </cell>
          <cell r="J119">
            <v>7.1754227242292723</v>
          </cell>
          <cell r="K119">
            <v>9.6274554824577212</v>
          </cell>
          <cell r="L119">
            <v>12.268338450676186</v>
          </cell>
          <cell r="M119">
            <v>12.418591850297869</v>
          </cell>
          <cell r="N119">
            <v>9.9080962598057774</v>
          </cell>
          <cell r="O119">
            <v>11.433068357558584</v>
          </cell>
          <cell r="P119">
            <v>12.105460878004687</v>
          </cell>
          <cell r="Q119">
            <v>7.8080884096452348</v>
          </cell>
          <cell r="R119">
            <v>11.658657720330135</v>
          </cell>
          <cell r="S119">
            <v>10.410762056479438</v>
          </cell>
          <cell r="T119">
            <v>6.5535123962702464</v>
          </cell>
          <cell r="V119">
            <v>10.206797811510189</v>
          </cell>
          <cell r="W119">
            <v>10.124314053250471</v>
          </cell>
          <cell r="X119">
            <v>10.410762056479438</v>
          </cell>
          <cell r="Z119">
            <v>9.7960229771930756</v>
          </cell>
          <cell r="AB119">
            <v>10.083021032035257</v>
          </cell>
          <cell r="AC119">
            <v>6.3839884761224361</v>
          </cell>
          <cell r="AD119">
            <v>15.076217563646994</v>
          </cell>
        </row>
        <row r="120">
          <cell r="A120" t="str">
            <v>CGI008-qtz06-CL-fit-2-offset</v>
          </cell>
          <cell r="J120">
            <v>7.5408378030817333</v>
          </cell>
          <cell r="K120">
            <v>5.7970619545932012</v>
          </cell>
          <cell r="L120">
            <v>5.7172513949283541</v>
          </cell>
          <cell r="M120">
            <v>5.5014853926575968</v>
          </cell>
          <cell r="N120">
            <v>7.363936632492261</v>
          </cell>
          <cell r="O120">
            <v>6.0456852090702577</v>
          </cell>
          <cell r="P120">
            <v>6.3108884269399104</v>
          </cell>
          <cell r="Q120">
            <v>6.4825051361209054</v>
          </cell>
          <cell r="R120">
            <v>5.4022590044013272</v>
          </cell>
          <cell r="S120">
            <v>4.7839134734317126</v>
          </cell>
          <cell r="T120">
            <v>5.8809082616422037</v>
          </cell>
          <cell r="V120">
            <v>6.0403615842845939</v>
          </cell>
          <cell r="W120">
            <v>6.075157517214496</v>
          </cell>
          <cell r="X120">
            <v>5.8809082616422037</v>
          </cell>
          <cell r="Z120">
            <v>5.9541238922223609</v>
          </cell>
          <cell r="AB120">
            <v>6.0406843416611222</v>
          </cell>
          <cell r="AC120">
            <v>4.4846970713641028</v>
          </cell>
          <cell r="AD120">
            <v>7.6573561250275484</v>
          </cell>
        </row>
        <row r="121">
          <cell r="A121" t="str">
            <v>CGI008-qtz06-CL-fit-3-offset</v>
          </cell>
          <cell r="J121">
            <v>10.198181528802252</v>
          </cell>
          <cell r="K121">
            <v>5.1566729219430618</v>
          </cell>
          <cell r="L121">
            <v>6.2400655234665825</v>
          </cell>
          <cell r="M121">
            <v>6.7438523059479207</v>
          </cell>
          <cell r="N121">
            <v>1.9663020676529568</v>
          </cell>
          <cell r="O121">
            <v>6.4259193717763328</v>
          </cell>
          <cell r="P121">
            <v>6.2362094865418456</v>
          </cell>
          <cell r="Q121">
            <v>5.6781628212252846</v>
          </cell>
          <cell r="R121">
            <v>9.2079958496046519</v>
          </cell>
          <cell r="S121">
            <v>6.6382272117943879</v>
          </cell>
          <cell r="T121">
            <v>4.3109623364963161</v>
          </cell>
          <cell r="V121">
            <v>6.5172436076366687</v>
          </cell>
          <cell r="W121">
            <v>6.2547774022955993</v>
          </cell>
          <cell r="X121">
            <v>6.2400655234665825</v>
          </cell>
          <cell r="Z121">
            <v>6.4207789538292221</v>
          </cell>
          <cell r="AB121">
            <v>7.5700493484655871</v>
          </cell>
          <cell r="AC121">
            <v>2.1305230502494852</v>
          </cell>
          <cell r="AD121">
            <v>17.1106032304147</v>
          </cell>
        </row>
        <row r="122">
          <cell r="A122" t="str">
            <v>CGI008-qtz06-CL-fit-4-offset</v>
          </cell>
          <cell r="J122">
            <v>0.30559838401519457</v>
          </cell>
          <cell r="K122">
            <v>0.27297910652533658</v>
          </cell>
          <cell r="L122">
            <v>3.5419810655787352</v>
          </cell>
          <cell r="M122">
            <v>2.6810339899925011</v>
          </cell>
          <cell r="N122">
            <v>1.8093303214909393</v>
          </cell>
          <cell r="O122">
            <v>4.8619506137472603</v>
          </cell>
          <cell r="P122">
            <v>0.75573931182874532</v>
          </cell>
          <cell r="Q122">
            <v>3.6512023128254776</v>
          </cell>
          <cell r="R122">
            <v>2.9967275666903359</v>
          </cell>
          <cell r="S122">
            <v>5.927148957325282</v>
          </cell>
          <cell r="T122">
            <v>6.2078738340034691</v>
          </cell>
          <cell r="V122">
            <v>3.2180066168605022</v>
          </cell>
          <cell r="W122">
            <v>3.0010514058202982</v>
          </cell>
          <cell r="X122">
            <v>2.9967275666903359</v>
          </cell>
          <cell r="Z122">
            <v>3.0579695285168675</v>
          </cell>
          <cell r="AB122">
            <v>3.0682109134361251</v>
          </cell>
          <cell r="AC122">
            <v>8.0730847566340108E-2</v>
          </cell>
          <cell r="AD122">
            <v>7.6142268360850762</v>
          </cell>
        </row>
        <row r="123">
          <cell r="A123" t="str">
            <v>CGI008-qtz07-CL-fit-1-offset</v>
          </cell>
          <cell r="J123">
            <v>5.1942410724372827</v>
          </cell>
          <cell r="K123">
            <v>5.5835493543346253</v>
          </cell>
          <cell r="L123">
            <v>2.1858882223936886</v>
          </cell>
          <cell r="M123">
            <v>3.5771124739473876</v>
          </cell>
          <cell r="N123">
            <v>4.6446910862198099</v>
          </cell>
          <cell r="O123">
            <v>5.5976659551468178</v>
          </cell>
          <cell r="P123">
            <v>3.7432538793822081</v>
          </cell>
          <cell r="Q123">
            <v>2.0760656078219841</v>
          </cell>
          <cell r="R123">
            <v>4.9537227169347524</v>
          </cell>
          <cell r="S123">
            <v>3.9378485784777841</v>
          </cell>
          <cell r="T123">
            <v>5.5845346651426846</v>
          </cell>
          <cell r="V123">
            <v>4.5778988095118969</v>
          </cell>
          <cell r="W123">
            <v>4.2798703283853659</v>
          </cell>
          <cell r="X123">
            <v>4.6446910862198099</v>
          </cell>
          <cell r="Z123">
            <v>4.3934700548899848</v>
          </cell>
          <cell r="AB123">
            <v>4.0773384123801319</v>
          </cell>
          <cell r="AC123">
            <v>0.12140034157154729</v>
          </cell>
          <cell r="AD123">
            <v>7.7859044332777483</v>
          </cell>
        </row>
        <row r="124">
          <cell r="A124" t="str">
            <v>CGI008-qtz07-CL-fit-2-offset</v>
          </cell>
          <cell r="J124">
            <v>3.5024880117531021</v>
          </cell>
          <cell r="K124">
            <v>1.6031365388173864</v>
          </cell>
          <cell r="L124">
            <v>1.1746530421996406</v>
          </cell>
          <cell r="M124">
            <v>5.6947702447700159</v>
          </cell>
          <cell r="N124">
            <v>4.1449877250501617</v>
          </cell>
          <cell r="O124">
            <v>2.2777173807643467</v>
          </cell>
          <cell r="P124">
            <v>1.9360823725579628</v>
          </cell>
          <cell r="Q124">
            <v>1.0621223311488726</v>
          </cell>
          <cell r="R124">
            <v>0.69859910375753809</v>
          </cell>
          <cell r="S124">
            <v>3.2201239321715689</v>
          </cell>
          <cell r="T124">
            <v>3.633988666357796</v>
          </cell>
          <cell r="V124">
            <v>3.1015530116376198</v>
          </cell>
          <cell r="W124">
            <v>2.6316972135771266</v>
          </cell>
          <cell r="X124">
            <v>2.2777173807643467</v>
          </cell>
          <cell r="Z124">
            <v>2.9185846213462163</v>
          </cell>
          <cell r="AB124">
            <v>2.7330841455138715</v>
          </cell>
          <cell r="AC124">
            <v>6.6371893771676654E-2</v>
          </cell>
          <cell r="AD124">
            <v>5.8252112160043099</v>
          </cell>
        </row>
        <row r="125">
          <cell r="A125" t="str">
            <v>CGI008-qtz07-CL-fit-3-offset</v>
          </cell>
          <cell r="J125">
            <v>8.0540158438170835</v>
          </cell>
          <cell r="K125">
            <v>6.8714445882665762</v>
          </cell>
          <cell r="L125">
            <v>13.138769082229814</v>
          </cell>
          <cell r="M125">
            <v>10.992774298876482</v>
          </cell>
          <cell r="N125">
            <v>9.2285655772366368</v>
          </cell>
          <cell r="O125">
            <v>6.2915829714689826</v>
          </cell>
          <cell r="P125">
            <v>9.9184707667784195</v>
          </cell>
          <cell r="Q125">
            <v>11.719746960844327</v>
          </cell>
          <cell r="R125">
            <v>4.7745286602054682</v>
          </cell>
          <cell r="S125">
            <v>10.466118011459871</v>
          </cell>
          <cell r="T125">
            <v>7.3170578696690711</v>
          </cell>
          <cell r="V125">
            <v>8.6436721590905439</v>
          </cell>
          <cell r="W125">
            <v>8.9793704209866121</v>
          </cell>
          <cell r="X125">
            <v>9.2285655772366368</v>
          </cell>
          <cell r="Z125">
            <v>8.1578816200421471</v>
          </cell>
          <cell r="AB125">
            <v>8.7722510084828702</v>
          </cell>
          <cell r="AC125">
            <v>2.3398913763425089</v>
          </cell>
          <cell r="AD125">
            <v>18.142588437118288</v>
          </cell>
        </row>
        <row r="126">
          <cell r="A126" t="str">
            <v>CGI008-qtz07-CL-fit-4-offset</v>
          </cell>
          <cell r="J126">
            <v>6.7100765676795824</v>
          </cell>
          <cell r="K126">
            <v>10.438236962020008</v>
          </cell>
          <cell r="L126">
            <v>5.7902276546972349</v>
          </cell>
          <cell r="M126">
            <v>5.1655752633707719</v>
          </cell>
          <cell r="N126">
            <v>5.9429086236820643</v>
          </cell>
          <cell r="O126">
            <v>1.5919982015420997E-3</v>
          </cell>
          <cell r="P126">
            <v>8.8311998628046045</v>
          </cell>
          <cell r="Q126">
            <v>4.5464005042102436</v>
          </cell>
          <cell r="R126">
            <v>0.24332096175879125</v>
          </cell>
          <cell r="S126">
            <v>7.4215921066238169</v>
          </cell>
          <cell r="T126">
            <v>9.4992096034756486</v>
          </cell>
          <cell r="V126">
            <v>6.7680520942936955</v>
          </cell>
          <cell r="W126">
            <v>5.8718491007749378</v>
          </cell>
          <cell r="X126">
            <v>5.9429086236820643</v>
          </cell>
          <cell r="Z126">
            <v>6.4781443923435393</v>
          </cell>
          <cell r="AB126">
            <v>6.8787598244020796</v>
          </cell>
          <cell r="AC126">
            <v>0.62471592551983346</v>
          </cell>
          <cell r="AD126">
            <v>18.405003308884041</v>
          </cell>
        </row>
        <row r="127">
          <cell r="A127" t="str">
            <v>CGI008-qtz07-CL-fit-5-offset</v>
          </cell>
          <cell r="J127">
            <v>7.4362246029997285</v>
          </cell>
          <cell r="K127">
            <v>9.2347466505677165</v>
          </cell>
          <cell r="L127">
            <v>4.0143594526768949</v>
          </cell>
          <cell r="M127">
            <v>5.2696969751243499</v>
          </cell>
          <cell r="N127">
            <v>7.1963765288847794</v>
          </cell>
          <cell r="O127">
            <v>4.5010762850723722</v>
          </cell>
          <cell r="P127">
            <v>7.6354731101501807</v>
          </cell>
          <cell r="Q127">
            <v>10.184939049518936</v>
          </cell>
          <cell r="R127">
            <v>5.3285243279962655</v>
          </cell>
          <cell r="S127">
            <v>4.1840329584122114E-3</v>
          </cell>
          <cell r="T127">
            <v>7.4676982606669542</v>
          </cell>
          <cell r="V127">
            <v>6.5377401476465922</v>
          </cell>
          <cell r="W127">
            <v>6.2066635706015072</v>
          </cell>
          <cell r="X127">
            <v>7.1963765288847794</v>
          </cell>
          <cell r="Z127">
            <v>6.4740256655583304</v>
          </cell>
          <cell r="AB127">
            <v>6.6023577186580029</v>
          </cell>
          <cell r="AC127">
            <v>1.7903010065419767</v>
          </cell>
          <cell r="AD127">
            <v>11.756675558901929</v>
          </cell>
        </row>
        <row r="128">
          <cell r="A128" t="str">
            <v>CGI008-qtz08-CL-fit-2-offset</v>
          </cell>
          <cell r="J128">
            <v>2.6420833105903827</v>
          </cell>
          <cell r="K128">
            <v>3.2442438505949784</v>
          </cell>
          <cell r="L128">
            <v>2.295328695815043</v>
          </cell>
          <cell r="M128">
            <v>1.3900885640897434</v>
          </cell>
          <cell r="N128">
            <v>2.5180324037619339</v>
          </cell>
          <cell r="O128">
            <v>1.7881030066297745</v>
          </cell>
          <cell r="P128">
            <v>1.4914334232385515</v>
          </cell>
          <cell r="Q128">
            <v>1.3853120858832346</v>
          </cell>
          <cell r="R128">
            <v>1.3861699084550045</v>
          </cell>
          <cell r="S128">
            <v>1.0940839182878428</v>
          </cell>
          <cell r="T128">
            <v>1.4915082869649814</v>
          </cell>
          <cell r="V128">
            <v>1.9139018780299613</v>
          </cell>
          <cell r="W128">
            <v>1.8842170413010431</v>
          </cell>
          <cell r="X128">
            <v>1.4915082869649814</v>
          </cell>
          <cell r="Z128">
            <v>1.7832201031720356</v>
          </cell>
          <cell r="AB128">
            <v>1.766308930387412</v>
          </cell>
          <cell r="AC128">
            <v>0.63653807935584539</v>
          </cell>
          <cell r="AD128">
            <v>2.9724391075916694</v>
          </cell>
        </row>
        <row r="129">
          <cell r="A129" t="str">
            <v>CGI008-qtz08-CL-fit-3-offset</v>
          </cell>
          <cell r="J129">
            <v>2.3142563262441791</v>
          </cell>
          <cell r="K129">
            <v>1.7084346799208994</v>
          </cell>
          <cell r="L129">
            <v>2.0165877832524126</v>
          </cell>
          <cell r="M129">
            <v>1.8507695173151919</v>
          </cell>
          <cell r="N129">
            <v>1.5616204881321167</v>
          </cell>
          <cell r="O129">
            <v>1.3117275381715479</v>
          </cell>
          <cell r="P129">
            <v>1.8802130775488353</v>
          </cell>
          <cell r="Q129">
            <v>1.3360027845519504</v>
          </cell>
          <cell r="R129">
            <v>2.7928476266445017</v>
          </cell>
          <cell r="S129">
            <v>1.7088221880790531</v>
          </cell>
          <cell r="T129">
            <v>2.578554163668981</v>
          </cell>
          <cell r="V129">
            <v>1.956544526449945</v>
          </cell>
          <cell r="W129">
            <v>1.9145305612299699</v>
          </cell>
          <cell r="X129">
            <v>1.8507695173151919</v>
          </cell>
          <cell r="Z129">
            <v>1.8542504037087881</v>
          </cell>
          <cell r="AB129">
            <v>1.8646552091672879</v>
          </cell>
          <cell r="AC129">
            <v>0.73426747229855616</v>
          </cell>
          <cell r="AD129">
            <v>3.275208264793779</v>
          </cell>
        </row>
        <row r="130">
          <cell r="A130" t="str">
            <v>CGI008-qtz09-CL-fit-1-offset</v>
          </cell>
          <cell r="J130">
            <v>3.8545632416762765</v>
          </cell>
          <cell r="K130">
            <v>3.3357290755218503</v>
          </cell>
          <cell r="L130">
            <v>3.0645366412006432</v>
          </cell>
          <cell r="M130">
            <v>3.4373991581862788</v>
          </cell>
          <cell r="N130">
            <v>3.4455375073783201</v>
          </cell>
          <cell r="O130">
            <v>3.2565433164888411</v>
          </cell>
          <cell r="P130">
            <v>3.0901456508522029</v>
          </cell>
          <cell r="Q130">
            <v>3.1724276811716199</v>
          </cell>
          <cell r="R130">
            <v>3.3901217376358059</v>
          </cell>
          <cell r="S130">
            <v>3.6261939001147923</v>
          </cell>
          <cell r="T130">
            <v>3.0650199047242577</v>
          </cell>
          <cell r="V130">
            <v>3.3893157525492916</v>
          </cell>
          <cell r="W130">
            <v>3.3398379831773539</v>
          </cell>
          <cell r="X130">
            <v>3.3357290755218503</v>
          </cell>
          <cell r="Z130">
            <v>3.3162452829742897</v>
          </cell>
          <cell r="AB130">
            <v>3.3395866440248381</v>
          </cell>
          <cell r="AC130">
            <v>2.3833308271022515</v>
          </cell>
          <cell r="AD130">
            <v>4.3175795141290401</v>
          </cell>
        </row>
        <row r="131">
          <cell r="A131" t="str">
            <v>CGI008-qtz09-CL-fit-2-offset</v>
          </cell>
          <cell r="J131">
            <v>3.713493437324388</v>
          </cell>
          <cell r="K131">
            <v>2.632619430923322</v>
          </cell>
          <cell r="L131">
            <v>3.3661850542416252</v>
          </cell>
          <cell r="M131">
            <v>3.3094623166841388</v>
          </cell>
          <cell r="N131">
            <v>3.008738674845914</v>
          </cell>
          <cell r="O131">
            <v>3.5238779626839833</v>
          </cell>
          <cell r="P131">
            <v>3.9973997845893581</v>
          </cell>
          <cell r="Q131">
            <v>3.23374541843285</v>
          </cell>
          <cell r="R131">
            <v>3.3777988673902155</v>
          </cell>
          <cell r="S131">
            <v>3.1048004761813308</v>
          </cell>
          <cell r="T131">
            <v>3.1405987146673726</v>
          </cell>
          <cell r="V131">
            <v>3.2990397410558603</v>
          </cell>
          <cell r="W131">
            <v>3.309883648905863</v>
          </cell>
          <cell r="X131">
            <v>3.3094623166841388</v>
          </cell>
          <cell r="Z131">
            <v>3.3152291270585019</v>
          </cell>
          <cell r="AB131">
            <v>3.332865201090915</v>
          </cell>
          <cell r="AC131">
            <v>2.4982195342015441</v>
          </cell>
          <cell r="AD131">
            <v>4.3160161067471625</v>
          </cell>
        </row>
        <row r="132">
          <cell r="A132" t="str">
            <v>CGI008-qtz10-CL-fit-1-offset</v>
          </cell>
          <cell r="J132">
            <v>3.6316556802432678</v>
          </cell>
          <cell r="K132">
            <v>3.9298904393561185</v>
          </cell>
          <cell r="L132">
            <v>3.972700676303671</v>
          </cell>
          <cell r="M132">
            <v>3.9547882370138843</v>
          </cell>
          <cell r="N132">
            <v>3.9038687889538326</v>
          </cell>
          <cell r="O132">
            <v>3.8233723407293114</v>
          </cell>
          <cell r="P132">
            <v>3.931145227523849</v>
          </cell>
          <cell r="Q132">
            <v>3.7531372870173181</v>
          </cell>
          <cell r="R132">
            <v>4.0149157528975294</v>
          </cell>
          <cell r="S132">
            <v>3.847554518879909</v>
          </cell>
          <cell r="T132">
            <v>3.7647246461590202</v>
          </cell>
          <cell r="V132">
            <v>3.8765159489718282</v>
          </cell>
          <cell r="W132">
            <v>3.8661594177343375</v>
          </cell>
          <cell r="X132">
            <v>3.9038687889538326</v>
          </cell>
          <cell r="Z132">
            <v>3.8737049269346664</v>
          </cell>
          <cell r="AB132">
            <v>3.8867830276986011</v>
          </cell>
          <cell r="AC132">
            <v>3.3025904533766686</v>
          </cell>
          <cell r="AD132">
            <v>4.4408921318614283</v>
          </cell>
        </row>
        <row r="133">
          <cell r="A133" t="str">
            <v>CGI008-qtz10-CL-fit-2-offset</v>
          </cell>
          <cell r="J133">
            <v>2.0283553471721678</v>
          </cell>
          <cell r="K133">
            <v>2.6171559003960807</v>
          </cell>
          <cell r="L133">
            <v>3.0263313250340893</v>
          </cell>
          <cell r="M133">
            <v>1.942084770207418</v>
          </cell>
          <cell r="N133">
            <v>3.026345560294216</v>
          </cell>
          <cell r="O133">
            <v>3.0358636105310692</v>
          </cell>
          <cell r="P133">
            <v>2.2744221217970479</v>
          </cell>
          <cell r="Q133">
            <v>2.7810279689455371</v>
          </cell>
          <cell r="R133">
            <v>2.6149977469219823</v>
          </cell>
          <cell r="S133">
            <v>2.7875245854667696</v>
          </cell>
          <cell r="T133">
            <v>2.9396817898667593</v>
          </cell>
          <cell r="V133">
            <v>2.7677427488627235</v>
          </cell>
          <cell r="W133">
            <v>2.6430718842393763</v>
          </cell>
          <cell r="X133">
            <v>2.7810279689455371</v>
          </cell>
          <cell r="Z133">
            <v>2.6380777206721735</v>
          </cell>
          <cell r="AB133">
            <v>2.6650269396468884</v>
          </cell>
          <cell r="AC133">
            <v>1.7569899567153886</v>
          </cell>
          <cell r="AD133">
            <v>3.5446062937327474</v>
          </cell>
        </row>
        <row r="134">
          <cell r="A134" t="str">
            <v>CGI008-qtz10-CL-fit-3-offset</v>
          </cell>
          <cell r="J134">
            <v>2.8210005729845475</v>
          </cell>
          <cell r="K134">
            <v>2.8770889315513219</v>
          </cell>
          <cell r="L134">
            <v>3.6964042729608773</v>
          </cell>
          <cell r="M134">
            <v>1.8563632420337928</v>
          </cell>
          <cell r="N134">
            <v>1.4636491623171564</v>
          </cell>
          <cell r="O134">
            <v>2.246683158680657</v>
          </cell>
          <cell r="P134">
            <v>2.5437012661003719</v>
          </cell>
          <cell r="Q134">
            <v>2.5505600792194003</v>
          </cell>
          <cell r="R134">
            <v>2.8291879393370456</v>
          </cell>
          <cell r="S134">
            <v>1.3547482711159831</v>
          </cell>
          <cell r="T134">
            <v>2.4101109030815411</v>
          </cell>
          <cell r="V134">
            <v>2.4309795829802265</v>
          </cell>
          <cell r="W134">
            <v>2.4226816181256998</v>
          </cell>
          <cell r="X134">
            <v>2.5437012661003719</v>
          </cell>
          <cell r="Z134">
            <v>2.3682684747913236</v>
          </cell>
          <cell r="AB134">
            <v>2.3692669139619924</v>
          </cell>
          <cell r="AC134">
            <v>1.414479428983356</v>
          </cell>
          <cell r="AD134">
            <v>3.5897156764066662</v>
          </cell>
        </row>
        <row r="135">
          <cell r="A135" t="str">
            <v>CGI008-qtz10-CL-fit-4-offset</v>
          </cell>
          <cell r="J135">
            <v>1.8678382194738261</v>
          </cell>
          <cell r="K135">
            <v>0.89453917662537363</v>
          </cell>
          <cell r="L135">
            <v>0.50323172967687868</v>
          </cell>
          <cell r="M135">
            <v>1.3651079958354229</v>
          </cell>
          <cell r="N135">
            <v>0.88762702407351968</v>
          </cell>
          <cell r="O135">
            <v>0.26318536216289412</v>
          </cell>
          <cell r="P135">
            <v>0.66905603930513036</v>
          </cell>
          <cell r="Q135">
            <v>0.81338945578734767</v>
          </cell>
          <cell r="R135">
            <v>0.53861219125562243</v>
          </cell>
          <cell r="S135">
            <v>1.1501083765356968</v>
          </cell>
          <cell r="T135">
            <v>0.53581478021539319</v>
          </cell>
          <cell r="V135">
            <v>0.83160167373961558</v>
          </cell>
          <cell r="W135">
            <v>0.8625918500861004</v>
          </cell>
          <cell r="X135">
            <v>0.81338945578734767</v>
          </cell>
          <cell r="Z135">
            <v>0.84533853002796222</v>
          </cell>
          <cell r="AB135">
            <v>0.94811736518235568</v>
          </cell>
          <cell r="AC135">
            <v>1.6470412426401179E-2</v>
          </cell>
          <cell r="AD135">
            <v>2.1981844664090926</v>
          </cell>
        </row>
        <row r="136">
          <cell r="A136" t="str">
            <v>CGI008-qtz11-CL-fit-1-offset</v>
          </cell>
          <cell r="J136">
            <v>4.6208051232604559</v>
          </cell>
          <cell r="K136">
            <v>2.9574880576460765</v>
          </cell>
          <cell r="L136">
            <v>2.8576519732717962</v>
          </cell>
          <cell r="M136">
            <v>5.3240101891280833</v>
          </cell>
          <cell r="N136">
            <v>6.1077816045953792</v>
          </cell>
          <cell r="O136">
            <v>7.2472050444420741</v>
          </cell>
          <cell r="P136">
            <v>4.5102287291881806</v>
          </cell>
          <cell r="Q136">
            <v>3.7692549406278677</v>
          </cell>
          <cell r="R136">
            <v>5.3752920690811701</v>
          </cell>
          <cell r="S136">
            <v>1.0660791590127332</v>
          </cell>
          <cell r="T136">
            <v>1.2824189623013882</v>
          </cell>
          <cell r="V136">
            <v>4.2381255626919954</v>
          </cell>
          <cell r="W136">
            <v>4.1016559865959268</v>
          </cell>
          <cell r="X136">
            <v>4.5102287291881806</v>
          </cell>
          <cell r="Z136">
            <v>4.0327509237893846</v>
          </cell>
          <cell r="AB136">
            <v>4.2691690009592556</v>
          </cell>
          <cell r="AC136">
            <v>1.1031323501979959</v>
          </cell>
          <cell r="AD136">
            <v>8.3994286731182157</v>
          </cell>
        </row>
        <row r="137">
          <cell r="A137" t="str">
            <v>CGI008-qtz11-CL-fit-2-offset</v>
          </cell>
          <cell r="J137">
            <v>2.368545964605838</v>
          </cell>
          <cell r="K137">
            <v>1.5278288071264119</v>
          </cell>
          <cell r="L137">
            <v>2.910862152334718</v>
          </cell>
          <cell r="M137">
            <v>2.9075521377368534</v>
          </cell>
          <cell r="N137">
            <v>2.8867547620263632</v>
          </cell>
          <cell r="O137">
            <v>5.2526963471458732</v>
          </cell>
          <cell r="P137">
            <v>2.89684368947839</v>
          </cell>
          <cell r="Q137">
            <v>5.7115053999369323</v>
          </cell>
          <cell r="R137">
            <v>6.0027267636921264</v>
          </cell>
          <cell r="S137">
            <v>7.1686552535976684</v>
          </cell>
          <cell r="T137">
            <v>7.7148566327315447</v>
          </cell>
          <cell r="V137">
            <v>4.3076552569759885</v>
          </cell>
          <cell r="W137">
            <v>4.3044389009466109</v>
          </cell>
          <cell r="X137">
            <v>2.910862152334718</v>
          </cell>
          <cell r="Z137">
            <v>4.4956931578790105</v>
          </cell>
          <cell r="AB137">
            <v>4.7403254604146277</v>
          </cell>
          <cell r="AC137">
            <v>1.9009175925897792</v>
          </cell>
          <cell r="AD137">
            <v>9.2712258761644257</v>
          </cell>
        </row>
        <row r="138">
          <cell r="A138" t="str">
            <v>CGI008-qtz11-CL-fit-3-offset</v>
          </cell>
          <cell r="J138">
            <v>0.15491588289418667</v>
          </cell>
          <cell r="K138">
            <v>0.61659687909917138</v>
          </cell>
          <cell r="L138">
            <v>1.1213529486719271</v>
          </cell>
          <cell r="M138">
            <v>0.17969497000000001</v>
          </cell>
          <cell r="N138">
            <v>0.44012978709808503</v>
          </cell>
          <cell r="O138">
            <v>0.19289856999999999</v>
          </cell>
          <cell r="P138">
            <v>1.1263278461576753</v>
          </cell>
          <cell r="Q138">
            <v>1.005053569368844</v>
          </cell>
          <cell r="R138">
            <v>0.60680771612457685</v>
          </cell>
          <cell r="S138">
            <v>0.99061381530060511</v>
          </cell>
          <cell r="T138">
            <v>0.69297049719196113</v>
          </cell>
          <cell r="V138">
            <v>0.90189211891408827</v>
          </cell>
          <cell r="W138">
            <v>0.64794204380973031</v>
          </cell>
          <cell r="X138">
            <v>0.61659687909917138</v>
          </cell>
          <cell r="Z138">
            <v>0.78393843119031748</v>
          </cell>
          <cell r="AB138">
            <v>0.77607472965612478</v>
          </cell>
          <cell r="AC138">
            <v>0.18513588916451099</v>
          </cell>
          <cell r="AD138">
            <v>1.8073815181956578</v>
          </cell>
        </row>
        <row r="139">
          <cell r="A139" t="str">
            <v>CGI008-qtz11-CL-fit-4-offset</v>
          </cell>
          <cell r="J139">
            <v>0.41714752863535037</v>
          </cell>
          <cell r="K139">
            <v>1.0807506641139319</v>
          </cell>
          <cell r="L139">
            <v>0.23007855993566703</v>
          </cell>
          <cell r="M139">
            <v>1.164067398020483</v>
          </cell>
          <cell r="N139">
            <v>0.93709281159552182</v>
          </cell>
          <cell r="O139">
            <v>0.19232396841981941</v>
          </cell>
          <cell r="P139">
            <v>0.20725006985487074</v>
          </cell>
          <cell r="Q139">
            <v>0.26832364586087354</v>
          </cell>
          <cell r="R139">
            <v>0.73401700258087832</v>
          </cell>
          <cell r="S139">
            <v>2.8227842999999999E-2</v>
          </cell>
          <cell r="T139">
            <v>0.24028352713045273</v>
          </cell>
          <cell r="V139">
            <v>0.36771654275934074</v>
          </cell>
          <cell r="W139">
            <v>0.49996027446798624</v>
          </cell>
          <cell r="X139">
            <v>0.26832364586087354</v>
          </cell>
          <cell r="Z139">
            <v>0.39403462589831939</v>
          </cell>
          <cell r="AB139">
            <v>0.56860644648580927</v>
          </cell>
          <cell r="AC139">
            <v>1.0803348217651134E-2</v>
          </cell>
          <cell r="AD139">
            <v>1.7309998604109245</v>
          </cell>
        </row>
        <row r="140">
          <cell r="A140" t="str">
            <v>CGI008-qtz12-CL-fit-1-offset</v>
          </cell>
          <cell r="J140">
            <v>2.5295299231324999</v>
          </cell>
          <cell r="K140">
            <v>3.4260603167012316</v>
          </cell>
          <cell r="L140">
            <v>4.798773559949618</v>
          </cell>
          <cell r="M140">
            <v>5.6038917256508674</v>
          </cell>
          <cell r="N140">
            <v>2.3009867996539657</v>
          </cell>
          <cell r="O140">
            <v>3.1435435165772367</v>
          </cell>
          <cell r="P140">
            <v>4.9800563646405971</v>
          </cell>
          <cell r="Q140">
            <v>7.1960016570350458</v>
          </cell>
          <cell r="R140">
            <v>6.9021456712587277</v>
          </cell>
          <cell r="S140">
            <v>4.2334758546210942</v>
          </cell>
          <cell r="T140">
            <v>2.0555621114198135</v>
          </cell>
          <cell r="V140">
            <v>4.2464910690029871</v>
          </cell>
          <cell r="W140">
            <v>4.288184318240063</v>
          </cell>
          <cell r="X140">
            <v>4.2334758546210942</v>
          </cell>
          <cell r="Z140">
            <v>4.3681561355378165</v>
          </cell>
          <cell r="AB140">
            <v>4.3438753393875524</v>
          </cell>
          <cell r="AC140">
            <v>1.4929259213704364</v>
          </cell>
          <cell r="AD140">
            <v>7.7074171184328906</v>
          </cell>
        </row>
        <row r="141">
          <cell r="A141" t="str">
            <v>CGI008-qtz12-CL-fit-2-offset</v>
          </cell>
          <cell r="J141">
            <v>1.1447946364412716</v>
          </cell>
          <cell r="K141">
            <v>1.0753709446013087</v>
          </cell>
          <cell r="L141">
            <v>0.5439726007342176</v>
          </cell>
          <cell r="M141">
            <v>7.2549898000000002E-2</v>
          </cell>
          <cell r="N141">
            <v>0.80526501672825279</v>
          </cell>
          <cell r="O141">
            <v>0.26832049707767297</v>
          </cell>
          <cell r="P141">
            <v>0.99635005787932263</v>
          </cell>
          <cell r="Q141">
            <v>0.32317649002882243</v>
          </cell>
          <cell r="R141">
            <v>0.25080299647133958</v>
          </cell>
          <cell r="S141">
            <v>0.88726679681496334</v>
          </cell>
          <cell r="T141">
            <v>1.2345138892065159</v>
          </cell>
          <cell r="V141">
            <v>0.26680500055476331</v>
          </cell>
          <cell r="W141">
            <v>0.69112580218033515</v>
          </cell>
          <cell r="X141">
            <v>0.80526501672825279</v>
          </cell>
          <cell r="Z141">
            <v>0.2834166357117493</v>
          </cell>
          <cell r="AB141">
            <v>0.64526370176068881</v>
          </cell>
          <cell r="AC141">
            <v>6.1749468516384853E-2</v>
          </cell>
          <cell r="AD141">
            <v>2.0840771202902801</v>
          </cell>
        </row>
        <row r="142">
          <cell r="A142" t="str">
            <v>CGI008-qtz12-CL-fit-3-offset</v>
          </cell>
          <cell r="J142">
            <v>3.2234803672077912</v>
          </cell>
          <cell r="K142">
            <v>2.402373370696254</v>
          </cell>
          <cell r="L142">
            <v>3.1115564890011278</v>
          </cell>
          <cell r="M142">
            <v>3.1438013167485139</v>
          </cell>
          <cell r="N142">
            <v>3.6148277000151681</v>
          </cell>
          <cell r="O142">
            <v>3.5766760934546786</v>
          </cell>
          <cell r="P142">
            <v>3.4503645745106128</v>
          </cell>
          <cell r="Q142">
            <v>3.6321687009068948</v>
          </cell>
          <cell r="R142">
            <v>3.7919456116282642</v>
          </cell>
          <cell r="S142">
            <v>3.8760470365498456</v>
          </cell>
          <cell r="T142">
            <v>2.8249106692809316</v>
          </cell>
          <cell r="V142">
            <v>3.4191434351786163</v>
          </cell>
          <cell r="W142">
            <v>3.3316501754545529</v>
          </cell>
          <cell r="X142">
            <v>3.4503645745106128</v>
          </cell>
          <cell r="Z142">
            <v>3.3673214643768503</v>
          </cell>
          <cell r="AB142">
            <v>3.352826261203008</v>
          </cell>
          <cell r="AC142">
            <v>2.0416779604268402</v>
          </cell>
          <cell r="AD142">
            <v>4.4507169920044056</v>
          </cell>
        </row>
        <row r="143">
          <cell r="A143" t="str">
            <v>CGI009-qtz01-CL-fit-1-offset</v>
          </cell>
          <cell r="J143">
            <v>42.797820686289171</v>
          </cell>
          <cell r="K143">
            <v>0</v>
          </cell>
          <cell r="L143">
            <v>2.6654544195778858</v>
          </cell>
          <cell r="M143">
            <v>1.9514692594241883</v>
          </cell>
          <cell r="N143">
            <v>2.877302632066753</v>
          </cell>
          <cell r="O143">
            <v>2.450716142657785</v>
          </cell>
          <cell r="P143">
            <v>3.0530554147067739</v>
          </cell>
          <cell r="Q143">
            <v>2.4110406922315195</v>
          </cell>
          <cell r="R143">
            <v>1.8539543576013722</v>
          </cell>
          <cell r="S143">
            <v>2.3164687272853759</v>
          </cell>
          <cell r="T143">
            <v>3.1742185353206329</v>
          </cell>
          <cell r="V143">
            <v>2.7704300804874147</v>
          </cell>
          <cell r="W143">
            <v>6.5551500867161447</v>
          </cell>
          <cell r="X143">
            <v>2.5580852811178354</v>
          </cell>
          <cell r="Z143">
            <v>2.6442068827958636</v>
          </cell>
          <cell r="AB143">
            <v>2.8600811042331578</v>
          </cell>
          <cell r="AC143">
            <v>0.34066558956338022</v>
          </cell>
          <cell r="AD143">
            <v>5.3182123861755359</v>
          </cell>
        </row>
        <row r="144">
          <cell r="A144" t="str">
            <v>CGI009-qtz01-CL-fit-2-offset</v>
          </cell>
          <cell r="J144">
            <v>3.2636070228506893</v>
          </cell>
          <cell r="K144">
            <v>3.8088498683960985</v>
          </cell>
          <cell r="L144">
            <v>3.9082119886543589</v>
          </cell>
          <cell r="M144">
            <v>3.2294311921495642</v>
          </cell>
          <cell r="N144">
            <v>3.5360805683600636</v>
          </cell>
          <cell r="O144">
            <v>3.9073873525635121</v>
          </cell>
          <cell r="P144">
            <v>4.9862250447471093</v>
          </cell>
          <cell r="Q144">
            <v>4.1435058260992248</v>
          </cell>
          <cell r="R144">
            <v>2.9537882757156098</v>
          </cell>
          <cell r="S144">
            <v>3.1589154864769853</v>
          </cell>
          <cell r="T144">
            <v>3.6467623112041814</v>
          </cell>
          <cell r="V144">
            <v>3.6418029222752635</v>
          </cell>
          <cell r="W144">
            <v>3.6857059033834001</v>
          </cell>
          <cell r="X144">
            <v>3.6467623112041814</v>
          </cell>
          <cell r="Z144">
            <v>3.597896600235309</v>
          </cell>
          <cell r="AB144">
            <v>3.6003134129172976</v>
          </cell>
          <cell r="AC144">
            <v>2.4648644491609604</v>
          </cell>
          <cell r="AD144">
            <v>4.7745704473910848</v>
          </cell>
        </row>
        <row r="145">
          <cell r="A145" t="str">
            <v>CGI009-qtz01-CL-fit-3-offset</v>
          </cell>
          <cell r="J145">
            <v>6.4999252285279443</v>
          </cell>
          <cell r="K145">
            <v>5.1456087725178348</v>
          </cell>
          <cell r="L145">
            <v>7.3399814247743063</v>
          </cell>
          <cell r="M145">
            <v>6.4879158626599143</v>
          </cell>
          <cell r="N145">
            <v>6.6574110433558484</v>
          </cell>
          <cell r="O145">
            <v>7.9339648421637143</v>
          </cell>
          <cell r="P145">
            <v>7.430260009267224</v>
          </cell>
          <cell r="Q145">
            <v>9.470554922725281</v>
          </cell>
          <cell r="R145">
            <v>8.5321571221156418</v>
          </cell>
          <cell r="S145">
            <v>9.5980446284081395</v>
          </cell>
          <cell r="T145">
            <v>8.3170009880223823</v>
          </cell>
          <cell r="V145">
            <v>7.2452982886081765</v>
          </cell>
          <cell r="W145">
            <v>7.582984076776202</v>
          </cell>
          <cell r="X145">
            <v>7.430260009267224</v>
          </cell>
          <cell r="Z145">
            <v>7.5355520691396141</v>
          </cell>
          <cell r="AB145">
            <v>8.5735620554926921</v>
          </cell>
          <cell r="AC145">
            <v>4.0297384199719684</v>
          </cell>
          <cell r="AD145">
            <v>13.358292073120408</v>
          </cell>
        </row>
        <row r="146">
          <cell r="A146" t="str">
            <v>CGI009-qtz01-CL-fit-4-offset</v>
          </cell>
          <cell r="J146">
            <v>3.326903468850702</v>
          </cell>
          <cell r="K146">
            <v>2.4837680884315723</v>
          </cell>
          <cell r="L146">
            <v>2.8961776155179493</v>
          </cell>
          <cell r="M146">
            <v>4.186813308192022</v>
          </cell>
          <cell r="N146">
            <v>4.0521881819806183</v>
          </cell>
          <cell r="O146">
            <v>3.4686387233629423</v>
          </cell>
          <cell r="P146">
            <v>3.5140572838022353</v>
          </cell>
          <cell r="Q146">
            <v>2.4673315549841508</v>
          </cell>
          <cell r="R146">
            <v>2.9516537252322399</v>
          </cell>
          <cell r="S146">
            <v>3.0471424326650101</v>
          </cell>
          <cell r="T146">
            <v>2.7281775959838548</v>
          </cell>
          <cell r="V146">
            <v>3.2209806177457416</v>
          </cell>
          <cell r="W146">
            <v>3.1929865435457545</v>
          </cell>
          <cell r="X146">
            <v>3.0471424326650101</v>
          </cell>
          <cell r="Z146">
            <v>3.2100612051262818</v>
          </cell>
          <cell r="AB146">
            <v>3.2216322550511682</v>
          </cell>
          <cell r="AC146">
            <v>2.1008277615165669</v>
          </cell>
          <cell r="AD146">
            <v>4.3816287500324327</v>
          </cell>
        </row>
        <row r="147">
          <cell r="A147" t="str">
            <v>CGI009-qtz01-CL-fit-5-offset</v>
          </cell>
          <cell r="J147">
            <v>6.0042204794713463</v>
          </cell>
          <cell r="K147">
            <v>5.7208405394087958</v>
          </cell>
          <cell r="L147">
            <v>6.1969020362990639</v>
          </cell>
          <cell r="M147">
            <v>6.5025129119163552</v>
          </cell>
          <cell r="N147">
            <v>5.9088157066054317</v>
          </cell>
          <cell r="O147">
            <v>6.5838904783277332</v>
          </cell>
          <cell r="P147">
            <v>5.9361630735926898</v>
          </cell>
          <cell r="Q147">
            <v>6.3393270697254129</v>
          </cell>
          <cell r="R147">
            <v>6.9005889776649036</v>
          </cell>
          <cell r="S147">
            <v>6.143517428820525</v>
          </cell>
          <cell r="T147">
            <v>6.2256761508166427</v>
          </cell>
          <cell r="V147">
            <v>6.1938149282764607</v>
          </cell>
          <cell r="W147">
            <v>6.2238595320589898</v>
          </cell>
          <cell r="X147">
            <v>6.1969020362990639</v>
          </cell>
          <cell r="Z147">
            <v>6.151911449974377</v>
          </cell>
          <cell r="AB147">
            <v>6.2149153234914367</v>
          </cell>
          <cell r="AC147">
            <v>5.2443519401792127</v>
          </cell>
          <cell r="AD147">
            <v>7.3751594724300267</v>
          </cell>
        </row>
        <row r="148">
          <cell r="A148" t="str">
            <v>CGI009-qtz02-CL-fit-1-offset</v>
          </cell>
          <cell r="J148">
            <v>12.050094090321039</v>
          </cell>
          <cell r="K148">
            <v>15.154184968940314</v>
          </cell>
          <cell r="L148">
            <v>13.953675035662542</v>
          </cell>
          <cell r="M148">
            <v>18.923014194349349</v>
          </cell>
          <cell r="N148">
            <v>16.258771967308245</v>
          </cell>
          <cell r="O148">
            <v>12.820238878108539</v>
          </cell>
          <cell r="P148">
            <v>6.7940321730216047</v>
          </cell>
          <cell r="Q148">
            <v>8.1344210465692708</v>
          </cell>
          <cell r="R148">
            <v>6.6336478186298677</v>
          </cell>
          <cell r="S148">
            <v>8.7313961549977765</v>
          </cell>
          <cell r="T148">
            <v>7.4020452966749692</v>
          </cell>
          <cell r="V148">
            <v>10.784268326383021</v>
          </cell>
          <cell r="W148">
            <v>11.532320147689411</v>
          </cell>
          <cell r="X148">
            <v>12.050094090321039</v>
          </cell>
          <cell r="Z148">
            <v>11.04909647566781</v>
          </cell>
          <cell r="AB148">
            <v>11.433216474185837</v>
          </cell>
          <cell r="AC148">
            <v>6.6720366398176107</v>
          </cell>
          <cell r="AD148">
            <v>17.488643200976561</v>
          </cell>
        </row>
        <row r="149">
          <cell r="A149" t="str">
            <v>CGI009-qtz02-CL-fit-2-offset</v>
          </cell>
          <cell r="J149">
            <v>2.8627972481763839</v>
          </cell>
          <cell r="K149">
            <v>4.2348305059954017</v>
          </cell>
          <cell r="L149">
            <v>1.928321632892557</v>
          </cell>
          <cell r="M149">
            <v>3.5262866721652744</v>
          </cell>
          <cell r="N149">
            <v>4.7819677835839167</v>
          </cell>
          <cell r="O149">
            <v>4.1349285510157392</v>
          </cell>
          <cell r="P149">
            <v>4.8539445172748934</v>
          </cell>
          <cell r="Q149">
            <v>3.1106734827710056</v>
          </cell>
          <cell r="R149">
            <v>4.2198412300451089</v>
          </cell>
          <cell r="S149">
            <v>3.1710163032059371</v>
          </cell>
          <cell r="T149">
            <v>3.5582558914386282</v>
          </cell>
          <cell r="V149">
            <v>3.5880001644469766</v>
          </cell>
          <cell r="W149">
            <v>3.6711694380513493</v>
          </cell>
          <cell r="X149">
            <v>3.5582558914386282</v>
          </cell>
          <cell r="Z149">
            <v>3.5152452615444725</v>
          </cell>
          <cell r="AB149">
            <v>3.6356130776536317</v>
          </cell>
          <cell r="AC149">
            <v>1.9870319632447553</v>
          </cell>
          <cell r="AD149">
            <v>6.239088531618572</v>
          </cell>
        </row>
        <row r="150">
          <cell r="A150" t="str">
            <v>CGI009-qtz02-CL-fit-3-offset</v>
          </cell>
          <cell r="J150">
            <v>1.9585874105590682</v>
          </cell>
          <cell r="K150">
            <v>2.0139289668174416</v>
          </cell>
          <cell r="L150">
            <v>1.2863286375004308</v>
          </cell>
          <cell r="M150">
            <v>2.2279388521700878</v>
          </cell>
          <cell r="N150">
            <v>2.3466692700761724</v>
          </cell>
          <cell r="O150">
            <v>1.8140197528162676</v>
          </cell>
          <cell r="P150">
            <v>2.2430042769495779</v>
          </cell>
          <cell r="Q150">
            <v>1.9365247233980756</v>
          </cell>
          <cell r="R150">
            <v>1.6997663633039233</v>
          </cell>
          <cell r="S150">
            <v>1.4649244009274427</v>
          </cell>
          <cell r="T150">
            <v>1.7415450604714364</v>
          </cell>
          <cell r="V150">
            <v>1.9055695915842159</v>
          </cell>
          <cell r="W150">
            <v>1.8848397922718114</v>
          </cell>
          <cell r="X150">
            <v>1.9365247233980756</v>
          </cell>
          <cell r="Z150">
            <v>1.9050922663436558</v>
          </cell>
          <cell r="AB150">
            <v>1.7991806011650042</v>
          </cell>
          <cell r="AC150">
            <v>0.23010113524242121</v>
          </cell>
          <cell r="AD150">
            <v>2.8321414038543518</v>
          </cell>
        </row>
        <row r="151">
          <cell r="A151" t="str">
            <v>CGI009-qtz03-CL-fit-1-offset</v>
          </cell>
          <cell r="J151">
            <v>4.4029132049197734</v>
          </cell>
          <cell r="K151">
            <v>3.6398233485572611</v>
          </cell>
          <cell r="L151">
            <v>4.079614570898153</v>
          </cell>
          <cell r="M151">
            <v>3.5820023381347332</v>
          </cell>
          <cell r="N151">
            <v>2.9577260146106426</v>
          </cell>
          <cell r="O151">
            <v>4.8749438634929136</v>
          </cell>
          <cell r="P151">
            <v>3.5076186436444918</v>
          </cell>
          <cell r="Q151">
            <v>3.7938699319927975</v>
          </cell>
          <cell r="R151">
            <v>4.0213015982424363</v>
          </cell>
          <cell r="S151">
            <v>3.1992316546651742</v>
          </cell>
          <cell r="T151">
            <v>3.3785227838206811</v>
          </cell>
          <cell r="V151">
            <v>3.7227965890738668</v>
          </cell>
          <cell r="W151">
            <v>3.7670516320890055</v>
          </cell>
          <cell r="X151">
            <v>3.6398233485572611</v>
          </cell>
          <cell r="Z151">
            <v>3.7233325783122675</v>
          </cell>
          <cell r="AB151">
            <v>3.726008807165992</v>
          </cell>
          <cell r="AC151">
            <v>2.695639547168069</v>
          </cell>
          <cell r="AD151">
            <v>4.6435434971538916</v>
          </cell>
        </row>
        <row r="152">
          <cell r="A152" t="str">
            <v>CGI009-qtz03-CL-fit-2-offset</v>
          </cell>
          <cell r="J152">
            <v>3.8316992555812135</v>
          </cell>
          <cell r="K152">
            <v>4.0788397515278891</v>
          </cell>
          <cell r="L152">
            <v>3.6979433125105485</v>
          </cell>
          <cell r="M152">
            <v>2.7494516068681678</v>
          </cell>
          <cell r="N152">
            <v>2.7522117027563833</v>
          </cell>
          <cell r="O152">
            <v>3.2814987097729191</v>
          </cell>
          <cell r="P152">
            <v>3.2246899826397888</v>
          </cell>
          <cell r="Q152">
            <v>3.3581432806027744</v>
          </cell>
          <cell r="R152">
            <v>3.4682451708411146</v>
          </cell>
          <cell r="S152">
            <v>3.4634414768284332</v>
          </cell>
          <cell r="T152">
            <v>3.4297475866963532</v>
          </cell>
          <cell r="V152">
            <v>3.4032191327987524</v>
          </cell>
          <cell r="W152">
            <v>3.3941738033295987</v>
          </cell>
          <cell r="X152">
            <v>3.4297475866963532</v>
          </cell>
          <cell r="Z152">
            <v>3.3692797156320742</v>
          </cell>
          <cell r="AB152">
            <v>3.3952378858297516</v>
          </cell>
          <cell r="AC152">
            <v>2.7415395730913792</v>
          </cell>
          <cell r="AD152">
            <v>4.0966835300559774</v>
          </cell>
        </row>
        <row r="153">
          <cell r="A153" t="str">
            <v>CGI009-qtz03-CL-fit-3-offset</v>
          </cell>
          <cell r="J153">
            <v>2.8675261953357447</v>
          </cell>
          <cell r="K153">
            <v>1.5304973822509473</v>
          </cell>
          <cell r="L153">
            <v>1.8605162473129713</v>
          </cell>
          <cell r="M153">
            <v>2.2714873947016074</v>
          </cell>
          <cell r="N153">
            <v>1.475129732754854</v>
          </cell>
          <cell r="O153">
            <v>2.9276293986719475</v>
          </cell>
          <cell r="P153">
            <v>2.6336736401030159</v>
          </cell>
          <cell r="Q153">
            <v>2.464531415001542</v>
          </cell>
          <cell r="R153">
            <v>2.455443853800082</v>
          </cell>
          <cell r="S153">
            <v>1.8414465967498805</v>
          </cell>
          <cell r="T153">
            <v>2.0320025460406912</v>
          </cell>
          <cell r="V153">
            <v>2.1571358554289719</v>
          </cell>
          <cell r="W153">
            <v>2.2145349457021166</v>
          </cell>
          <cell r="X153">
            <v>2.2714873947016074</v>
          </cell>
          <cell r="Z153">
            <v>2.171748597315057</v>
          </cell>
          <cell r="AB153">
            <v>2.1505623250323591</v>
          </cell>
          <cell r="AC153">
            <v>1.2052638595763943</v>
          </cell>
          <cell r="AD153">
            <v>3.0258332719956091</v>
          </cell>
        </row>
        <row r="154">
          <cell r="A154" t="str">
            <v>CGI009-qtz03-CL-fit-4-offset</v>
          </cell>
          <cell r="J154">
            <v>2.1776216855485391</v>
          </cell>
          <cell r="K154">
            <v>2.3176670643016162</v>
          </cell>
          <cell r="L154">
            <v>2.3130886441222471</v>
          </cell>
          <cell r="M154">
            <v>2.7866392676343388</v>
          </cell>
          <cell r="N154">
            <v>2.103800796502477</v>
          </cell>
          <cell r="O154">
            <v>2.1973484851521481</v>
          </cell>
          <cell r="P154">
            <v>2.5102208779572499</v>
          </cell>
          <cell r="Q154">
            <v>2.5277204062838687</v>
          </cell>
          <cell r="R154">
            <v>2.5320836619955158</v>
          </cell>
          <cell r="S154">
            <v>2.2985953275736373</v>
          </cell>
          <cell r="T154">
            <v>2.2509697539049331</v>
          </cell>
          <cell r="V154">
            <v>2.3957883091478389</v>
          </cell>
          <cell r="W154">
            <v>2.3650687246342335</v>
          </cell>
          <cell r="X154">
            <v>2.3130886441222471</v>
          </cell>
          <cell r="Z154">
            <v>2.3800059977214749</v>
          </cell>
          <cell r="AB154">
            <v>2.3739773477296073</v>
          </cell>
          <cell r="AC154">
            <v>1.7010121467581309</v>
          </cell>
          <cell r="AD154">
            <v>3.0764734577480279</v>
          </cell>
        </row>
        <row r="155">
          <cell r="A155" t="str">
            <v>CGI009-qtz03-CL-fit-5-offset</v>
          </cell>
          <cell r="J155">
            <v>3.605994273613176</v>
          </cell>
          <cell r="K155">
            <v>3.6047522871652178</v>
          </cell>
          <cell r="L155">
            <v>4.7061910053534879</v>
          </cell>
          <cell r="M155">
            <v>2.5634050179413013</v>
          </cell>
          <cell r="N155">
            <v>4.5408059174727695</v>
          </cell>
          <cell r="O155">
            <v>3.4050382127238801</v>
          </cell>
          <cell r="P155">
            <v>4.1829572931755958</v>
          </cell>
          <cell r="Q155">
            <v>5.319539006540686</v>
          </cell>
          <cell r="R155">
            <v>4.0962085206709729</v>
          </cell>
          <cell r="S155">
            <v>2.828223043374535</v>
          </cell>
          <cell r="T155">
            <v>4.5976384661357201</v>
          </cell>
          <cell r="V155">
            <v>3.9231783499471096</v>
          </cell>
          <cell r="W155">
            <v>3.9500684585606676</v>
          </cell>
          <cell r="X155">
            <v>4.0962085206709729</v>
          </cell>
          <cell r="Z155">
            <v>3.9411874421434643</v>
          </cell>
          <cell r="AB155">
            <v>3.9455756537107356</v>
          </cell>
          <cell r="AC155">
            <v>1.7959418691813764</v>
          </cell>
          <cell r="AD155">
            <v>5.6765214990652408</v>
          </cell>
        </row>
        <row r="156">
          <cell r="A156" t="str">
            <v>CGI009-qtz04-CL-fit-1-offset</v>
          </cell>
          <cell r="J156">
            <v>3.7407797660821513</v>
          </cell>
          <cell r="K156">
            <v>4.0897759279632933</v>
          </cell>
          <cell r="L156">
            <v>5.3250769376294311</v>
          </cell>
          <cell r="M156">
            <v>4.7370075207667446</v>
          </cell>
          <cell r="N156">
            <v>3.3902668521340571</v>
          </cell>
          <cell r="O156">
            <v>5.1888779498754332</v>
          </cell>
          <cell r="P156">
            <v>6.3845449822484079</v>
          </cell>
          <cell r="Q156">
            <v>5.1658114677566225</v>
          </cell>
          <cell r="R156">
            <v>5.7742832546999869</v>
          </cell>
          <cell r="S156">
            <v>6.7637706487249218</v>
          </cell>
          <cell r="T156">
            <v>5.083814779317489</v>
          </cell>
          <cell r="V156">
            <v>5.0452360310034141</v>
          </cell>
          <cell r="W156">
            <v>5.0585463715635051</v>
          </cell>
          <cell r="X156">
            <v>5.1658114677566225</v>
          </cell>
          <cell r="Z156">
            <v>5.0062706490523956</v>
          </cell>
          <cell r="AB156">
            <v>5.0067934097326114</v>
          </cell>
          <cell r="AC156">
            <v>3.027025504212665</v>
          </cell>
          <cell r="AD156">
            <v>7.2827968512282197</v>
          </cell>
        </row>
        <row r="157">
          <cell r="A157" t="str">
            <v>CGI009-qtz04-CL-fit-2-offset</v>
          </cell>
          <cell r="J157">
            <v>4.3367498762504848</v>
          </cell>
          <cell r="K157">
            <v>4.6040414599935477</v>
          </cell>
          <cell r="L157">
            <v>3.2542328090684602</v>
          </cell>
          <cell r="M157">
            <v>3.0026925606245238</v>
          </cell>
          <cell r="N157">
            <v>3.228086571461684</v>
          </cell>
          <cell r="O157">
            <v>3.6718670436926986</v>
          </cell>
          <cell r="P157">
            <v>3.9603269264535723</v>
          </cell>
          <cell r="Q157">
            <v>3.9422940976691376</v>
          </cell>
          <cell r="R157">
            <v>5.0359852366545672</v>
          </cell>
          <cell r="S157">
            <v>2.2728654563922768</v>
          </cell>
          <cell r="T157">
            <v>6.0806009931153158</v>
          </cell>
          <cell r="V157">
            <v>3.9859142967248431</v>
          </cell>
          <cell r="W157">
            <v>3.9445220937614791</v>
          </cell>
          <cell r="X157">
            <v>3.9422940976691376</v>
          </cell>
          <cell r="Z157">
            <v>4.1170104241528698</v>
          </cell>
          <cell r="AB157">
            <v>4.0967233327015817</v>
          </cell>
          <cell r="AC157">
            <v>1.8470857708503174</v>
          </cell>
          <cell r="AD157">
            <v>6.7198491849009718</v>
          </cell>
        </row>
        <row r="158">
          <cell r="A158" t="str">
            <v>CGI009-qtz04-CL-fit-3-offset</v>
          </cell>
          <cell r="J158">
            <v>3.171213679874616</v>
          </cell>
          <cell r="K158">
            <v>5.404986176602403</v>
          </cell>
          <cell r="L158">
            <v>3.3155212118770065</v>
          </cell>
          <cell r="M158">
            <v>1.9063828215615624</v>
          </cell>
          <cell r="N158">
            <v>0.2365296056896079</v>
          </cell>
          <cell r="O158">
            <v>2.0762119671826462</v>
          </cell>
          <cell r="P158">
            <v>0.97684608394825978</v>
          </cell>
          <cell r="Q158">
            <v>5.227840796134279</v>
          </cell>
          <cell r="R158">
            <v>3.0773648068036907</v>
          </cell>
          <cell r="S158">
            <v>0.88652144128451205</v>
          </cell>
          <cell r="T158">
            <v>3.5246685881095385</v>
          </cell>
          <cell r="V158">
            <v>2.5675292063689832</v>
          </cell>
          <cell r="W158">
            <v>2.7094624708243749</v>
          </cell>
          <cell r="X158">
            <v>3.0773648068036907</v>
          </cell>
          <cell r="Z158">
            <v>2.4882228789995229</v>
          </cell>
          <cell r="AB158">
            <v>2.9249315611598909</v>
          </cell>
          <cell r="AC158">
            <v>0.24587675961009403</v>
          </cell>
          <cell r="AD158">
            <v>8.7948395701846103</v>
          </cell>
        </row>
        <row r="159">
          <cell r="A159" t="str">
            <v>CGI009-qtz04-CL-fit-4-offset</v>
          </cell>
          <cell r="J159">
            <v>2.2811074813306518</v>
          </cell>
          <cell r="K159">
            <v>1.7530719935123356</v>
          </cell>
          <cell r="L159">
            <v>1.6447446865461177</v>
          </cell>
          <cell r="M159">
            <v>2.1820966273617937</v>
          </cell>
          <cell r="N159">
            <v>1.465040707772326</v>
          </cell>
          <cell r="O159">
            <v>1.5817439754491525</v>
          </cell>
          <cell r="P159">
            <v>1.5431493235650775</v>
          </cell>
          <cell r="Q159">
            <v>2.3755752716270711</v>
          </cell>
          <cell r="R159">
            <v>1.474484860964226</v>
          </cell>
          <cell r="S159">
            <v>2.1067675438758031</v>
          </cell>
          <cell r="T159">
            <v>2.1268909476806739</v>
          </cell>
          <cell r="V159">
            <v>1.9324613351720039</v>
          </cell>
          <cell r="W159">
            <v>1.8667884926986573</v>
          </cell>
          <cell r="X159">
            <v>1.7530719935123356</v>
          </cell>
          <cell r="Z159">
            <v>1.8942248774431856</v>
          </cell>
          <cell r="AB159">
            <v>1.885888584970786</v>
          </cell>
          <cell r="AC159">
            <v>0.92680091523938102</v>
          </cell>
          <cell r="AD159">
            <v>2.9814206720453251</v>
          </cell>
        </row>
        <row r="160">
          <cell r="A160" t="str">
            <v>CGI009-qtz05-CL-fit-1-offset</v>
          </cell>
          <cell r="J160">
            <v>5.1493730694214443</v>
          </cell>
          <cell r="K160">
            <v>4.664205642645336</v>
          </cell>
          <cell r="L160">
            <v>5.0768875983660093</v>
          </cell>
          <cell r="M160">
            <v>3.5633023762701774</v>
          </cell>
          <cell r="N160">
            <v>4.9044286073074561</v>
          </cell>
          <cell r="O160">
            <v>4.5710495394129298</v>
          </cell>
          <cell r="P160">
            <v>3.6324302215673345</v>
          </cell>
          <cell r="Q160">
            <v>3.4048551805211194</v>
          </cell>
          <cell r="R160">
            <v>5.6794374447952256</v>
          </cell>
          <cell r="S160">
            <v>3.4265367522517587</v>
          </cell>
          <cell r="T160">
            <v>4.0815790673247578</v>
          </cell>
          <cell r="V160">
            <v>4.3431807796340101</v>
          </cell>
          <cell r="W160">
            <v>4.3776441363530489</v>
          </cell>
          <cell r="X160">
            <v>4.5710495394129298</v>
          </cell>
          <cell r="Z160">
            <v>4.3141607225646172</v>
          </cell>
          <cell r="AB160">
            <v>4.3562605678916713</v>
          </cell>
          <cell r="AC160">
            <v>2.9368813918123107</v>
          </cell>
          <cell r="AD160">
            <v>6.2016791248784422</v>
          </cell>
        </row>
        <row r="161">
          <cell r="A161" t="str">
            <v>CGI009-qtz05-CL-fit-2-offset</v>
          </cell>
          <cell r="J161">
            <v>4.1007696172547474</v>
          </cell>
          <cell r="K161">
            <v>5.2264897279964933</v>
          </cell>
          <cell r="L161">
            <v>5.3979922320477511</v>
          </cell>
          <cell r="M161">
            <v>4.0380124070668568</v>
          </cell>
          <cell r="N161">
            <v>4.7242617863197509</v>
          </cell>
          <cell r="O161">
            <v>3.1169274016512607</v>
          </cell>
          <cell r="P161">
            <v>3.1920647516715581</v>
          </cell>
          <cell r="Q161">
            <v>3.0102682786828341</v>
          </cell>
          <cell r="R161">
            <v>3.6296708514680769</v>
          </cell>
          <cell r="S161">
            <v>4.3317514878893721</v>
          </cell>
          <cell r="T161">
            <v>4.2078628286234263</v>
          </cell>
          <cell r="V161">
            <v>4.1547854560884536</v>
          </cell>
          <cell r="W161">
            <v>4.0887337609701939</v>
          </cell>
          <cell r="X161">
            <v>4.1007696172547474</v>
          </cell>
          <cell r="Z161">
            <v>4.0472289102763517</v>
          </cell>
          <cell r="AB161">
            <v>4.0858907776710423</v>
          </cell>
          <cell r="AC161">
            <v>2.9418411630474064</v>
          </cell>
          <cell r="AD161">
            <v>5.6528971581011147</v>
          </cell>
        </row>
        <row r="162">
          <cell r="A162" t="str">
            <v>CGI009-qtz05-CL-fit-3-offset</v>
          </cell>
          <cell r="J162">
            <v>0</v>
          </cell>
          <cell r="K162">
            <v>3.7615206949436297</v>
          </cell>
          <cell r="L162">
            <v>3.8544149592770691</v>
          </cell>
          <cell r="M162">
            <v>3.5592459035383399</v>
          </cell>
          <cell r="N162">
            <v>2.7792340336051167</v>
          </cell>
          <cell r="O162">
            <v>4.2660329478545611</v>
          </cell>
          <cell r="P162">
            <v>3.9955809841690004</v>
          </cell>
          <cell r="Q162">
            <v>4.3506665545002621</v>
          </cell>
          <cell r="R162">
            <v>2.2908136727179573</v>
          </cell>
          <cell r="S162">
            <v>3.2499350771866973</v>
          </cell>
          <cell r="T162">
            <v>4.6509326753063815</v>
          </cell>
          <cell r="V162">
            <v>3.9502753588696917</v>
          </cell>
          <cell r="W162">
            <v>3.6758377503099013</v>
          </cell>
          <cell r="X162">
            <v>3.8079678271103496</v>
          </cell>
          <cell r="Z162">
            <v>3.6802642868850923</v>
          </cell>
          <cell r="AB162">
            <v>3.6019864792560981</v>
          </cell>
          <cell r="AC162">
            <v>2.0742872156957706</v>
          </cell>
          <cell r="AD162">
            <v>4.9436993643942042</v>
          </cell>
        </row>
        <row r="163">
          <cell r="A163" t="str">
            <v>CGI009-qtz05-CL-fit-4-offset</v>
          </cell>
          <cell r="J163">
            <v>3.1033807028513389</v>
          </cell>
          <cell r="K163">
            <v>1.7322159353115385</v>
          </cell>
          <cell r="L163">
            <v>2.1908297560898036</v>
          </cell>
          <cell r="M163">
            <v>0.11754441668447206</v>
          </cell>
          <cell r="N163">
            <v>0.88658158660333197</v>
          </cell>
          <cell r="O163">
            <v>3.4817927030349395E-2</v>
          </cell>
          <cell r="P163">
            <v>1.9570486087563796</v>
          </cell>
          <cell r="Q163">
            <v>0.84462691221201502</v>
          </cell>
          <cell r="R163">
            <v>1.8044746601086707</v>
          </cell>
          <cell r="S163">
            <v>0.24103875648708223</v>
          </cell>
          <cell r="T163">
            <v>0.25440501138392413</v>
          </cell>
          <cell r="V163">
            <v>1.7401297324309601</v>
          </cell>
          <cell r="W163">
            <v>1.1969967521380822</v>
          </cell>
          <cell r="X163">
            <v>0.88658158660333197</v>
          </cell>
          <cell r="Z163">
            <v>1.5158702541917279</v>
          </cell>
          <cell r="AB163">
            <v>1.5088532194611814</v>
          </cell>
          <cell r="AC163">
            <v>2.5931393226676581E-2</v>
          </cell>
          <cell r="AD163">
            <v>4.0176343611743368</v>
          </cell>
        </row>
        <row r="164">
          <cell r="A164" t="str">
            <v>CGI009-qtz05-CL-fit-5-offset</v>
          </cell>
          <cell r="J164">
            <v>0.57766100636200823</v>
          </cell>
          <cell r="K164">
            <v>2.3718815880148312</v>
          </cell>
          <cell r="L164">
            <v>1.3824917042164899</v>
          </cell>
          <cell r="M164">
            <v>2.9694947810946735</v>
          </cell>
          <cell r="N164">
            <v>2.173752366852117</v>
          </cell>
          <cell r="O164">
            <v>1.9857104648602748</v>
          </cell>
          <cell r="P164">
            <v>2.6116917482366042</v>
          </cell>
          <cell r="Q164">
            <v>4.2963928580194644</v>
          </cell>
          <cell r="R164">
            <v>0</v>
          </cell>
          <cell r="S164">
            <v>0.36088126017689598</v>
          </cell>
          <cell r="T164">
            <v>2.0415505725776044</v>
          </cell>
          <cell r="V164">
            <v>2.5009602046957999</v>
          </cell>
          <cell r="W164">
            <v>2.0771508350410963</v>
          </cell>
          <cell r="X164">
            <v>2.1076514697148605</v>
          </cell>
          <cell r="Z164">
            <v>2.1281345882327054</v>
          </cell>
          <cell r="AB164">
            <v>2.1043639016945561</v>
          </cell>
          <cell r="AC164">
            <v>0.31127932438471762</v>
          </cell>
          <cell r="AD164">
            <v>4.4190120931290595</v>
          </cell>
        </row>
        <row r="165">
          <cell r="A165" t="str">
            <v>CGI009-qtz06-CL-fit-1-offset</v>
          </cell>
          <cell r="J165">
            <v>5.0685769392078965</v>
          </cell>
          <cell r="K165">
            <v>5.4376492200012132</v>
          </cell>
          <cell r="L165">
            <v>5.9937886174932418</v>
          </cell>
          <cell r="M165">
            <v>4.7358099798019948</v>
          </cell>
          <cell r="N165">
            <v>0</v>
          </cell>
          <cell r="O165">
            <v>3.3903976628421768</v>
          </cell>
          <cell r="P165">
            <v>1.2999327972732568</v>
          </cell>
          <cell r="Q165">
            <v>0</v>
          </cell>
          <cell r="R165">
            <v>3.9085513732637982</v>
          </cell>
          <cell r="S165">
            <v>4.7139283504060208</v>
          </cell>
          <cell r="T165">
            <v>0.26684511178410814</v>
          </cell>
          <cell r="V165">
            <v>5.5869454667365801</v>
          </cell>
          <cell r="W165">
            <v>3.8683866724526337</v>
          </cell>
          <cell r="X165">
            <v>4.7139283504060208</v>
          </cell>
          <cell r="Z165">
            <v>4.8665395556352919</v>
          </cell>
          <cell r="AB165">
            <v>6.0679911197686227</v>
          </cell>
          <cell r="AC165">
            <v>1.4939699197272928E-2</v>
          </cell>
          <cell r="AD165">
            <v>18.53447262793436</v>
          </cell>
        </row>
        <row r="166">
          <cell r="A166" t="str">
            <v>CGI009-qtz06-CL-fit-2-offset</v>
          </cell>
          <cell r="J166">
            <v>1.7378062880206093</v>
          </cell>
          <cell r="K166">
            <v>1.828030222254871</v>
          </cell>
          <cell r="L166">
            <v>0.96356891365174557</v>
          </cell>
          <cell r="M166">
            <v>6.1837916230750034</v>
          </cell>
          <cell r="N166">
            <v>4.1748689348734978</v>
          </cell>
          <cell r="O166">
            <v>4.3536695308066449</v>
          </cell>
          <cell r="P166">
            <v>3.5472105216028083</v>
          </cell>
          <cell r="Q166">
            <v>3.5655257630258599</v>
          </cell>
          <cell r="R166">
            <v>4.3962492508801754</v>
          </cell>
          <cell r="S166">
            <v>1.4479433687650725</v>
          </cell>
          <cell r="T166">
            <v>2.5702183525732631</v>
          </cell>
          <cell r="V166">
            <v>3.3379874216181382</v>
          </cell>
          <cell r="W166">
            <v>3.1608075245026863</v>
          </cell>
          <cell r="X166">
            <v>3.5472105216028083</v>
          </cell>
          <cell r="Z166">
            <v>3.324726815216545</v>
          </cell>
          <cell r="AB166">
            <v>3.2475822078760785</v>
          </cell>
          <cell r="AC166">
            <v>1.203389484653993</v>
          </cell>
          <cell r="AD166">
            <v>5.432569554141244</v>
          </cell>
        </row>
        <row r="167">
          <cell r="A167" t="str">
            <v>CGI009-qtz06-CL-fit-3-offset</v>
          </cell>
          <cell r="J167">
            <v>4.023683614868518</v>
          </cell>
          <cell r="K167">
            <v>3.0852836120615703</v>
          </cell>
          <cell r="L167">
            <v>3.8500441147466113</v>
          </cell>
          <cell r="M167">
            <v>2.2375493840391596</v>
          </cell>
          <cell r="N167">
            <v>3.2064510197815452</v>
          </cell>
          <cell r="O167">
            <v>2.5578270326004535</v>
          </cell>
          <cell r="P167">
            <v>5.1995374868137461</v>
          </cell>
          <cell r="Q167">
            <v>3.5602060185417215</v>
          </cell>
          <cell r="R167">
            <v>3.528145031710511</v>
          </cell>
          <cell r="S167">
            <v>3.2987444658866107</v>
          </cell>
          <cell r="T167">
            <v>4.2066130828910513</v>
          </cell>
          <cell r="V167">
            <v>3.530852365449813</v>
          </cell>
          <cell r="W167">
            <v>3.5230986239946818</v>
          </cell>
          <cell r="X167">
            <v>3.528145031710511</v>
          </cell>
          <cell r="Z167">
            <v>3.57519935574161</v>
          </cell>
          <cell r="AB167">
            <v>3.6044538779155402</v>
          </cell>
          <cell r="AC167">
            <v>1.8144980741593666</v>
          </cell>
          <cell r="AD167">
            <v>5.7448745744616883</v>
          </cell>
        </row>
        <row r="168">
          <cell r="A168" t="str">
            <v>CGI009-qtz06-CL-fit-4-offset</v>
          </cell>
          <cell r="J168">
            <v>1.7344052084733828</v>
          </cell>
          <cell r="K168">
            <v>1.1648345448501716</v>
          </cell>
          <cell r="L168">
            <v>0.17256987378125047</v>
          </cell>
          <cell r="M168">
            <v>1.6050604644082862</v>
          </cell>
          <cell r="N168">
            <v>1.2495051383495246</v>
          </cell>
          <cell r="O168">
            <v>1.4275525620633649</v>
          </cell>
          <cell r="P168">
            <v>0.32195002120314198</v>
          </cell>
          <cell r="Q168">
            <v>1.4800458168733657</v>
          </cell>
          <cell r="R168">
            <v>4.0583231884537287</v>
          </cell>
          <cell r="S168">
            <v>0.24680142924064652</v>
          </cell>
          <cell r="T168">
            <v>2.4214445425782709</v>
          </cell>
          <cell r="V168">
            <v>1.3925449851055962</v>
          </cell>
          <cell r="W168">
            <v>1.4438629809341033</v>
          </cell>
          <cell r="X168">
            <v>1.4275525620633649</v>
          </cell>
          <cell r="Z168">
            <v>1.1858575002613398</v>
          </cell>
          <cell r="AB168">
            <v>1.4374994906465819</v>
          </cell>
          <cell r="AC168">
            <v>2.1269116437499347E-2</v>
          </cell>
          <cell r="AD168">
            <v>5.262628816216032</v>
          </cell>
        </row>
        <row r="169">
          <cell r="A169" t="str">
            <v>CGI009-qtz06-CL-fit-5-offset</v>
          </cell>
          <cell r="J169">
            <v>1.9367354014576412</v>
          </cell>
          <cell r="K169">
            <v>2.8872383919685589</v>
          </cell>
          <cell r="L169">
            <v>1.9878685642070115</v>
          </cell>
          <cell r="M169">
            <v>2.7196017719582559</v>
          </cell>
          <cell r="N169">
            <v>1.7660475099710173</v>
          </cell>
          <cell r="O169">
            <v>2.4244782180936379</v>
          </cell>
          <cell r="P169">
            <v>2.1561327020685623</v>
          </cell>
          <cell r="Q169">
            <v>2.886576831704788</v>
          </cell>
          <cell r="R169">
            <v>1.8753672690790071</v>
          </cell>
          <cell r="S169">
            <v>2.56286771110801</v>
          </cell>
          <cell r="T169">
            <v>2.0845228428497191</v>
          </cell>
          <cell r="V169">
            <v>2.3493539933207295</v>
          </cell>
          <cell r="W169">
            <v>2.2988579285878368</v>
          </cell>
          <cell r="X169">
            <v>2.1561327020685623</v>
          </cell>
          <cell r="Z169">
            <v>2.2503929437958954</v>
          </cell>
          <cell r="AB169">
            <v>2.2595802083571277</v>
          </cell>
          <cell r="AC169">
            <v>1.2441749981611832</v>
          </cell>
          <cell r="AD169">
            <v>3.2972085579167749</v>
          </cell>
        </row>
        <row r="170">
          <cell r="A170" t="str">
            <v>CGI009-qtz07-CL-fit-1-offset</v>
          </cell>
          <cell r="J170">
            <v>4.4794977227254655</v>
          </cell>
          <cell r="K170">
            <v>2.8071866737597562</v>
          </cell>
          <cell r="L170">
            <v>3.7249923050722304</v>
          </cell>
          <cell r="M170">
            <v>2.9916853372521772</v>
          </cell>
          <cell r="N170">
            <v>3.3015873668831257</v>
          </cell>
          <cell r="O170">
            <v>2.6431154127866332</v>
          </cell>
          <cell r="P170">
            <v>3.6504191969383815</v>
          </cell>
          <cell r="Q170">
            <v>4.2820742659044999</v>
          </cell>
          <cell r="R170">
            <v>3.3903068211040139</v>
          </cell>
          <cell r="S170">
            <v>4.0983578503974094</v>
          </cell>
          <cell r="T170">
            <v>4.5479678367683869</v>
          </cell>
          <cell r="V170">
            <v>3.6711590560714931</v>
          </cell>
          <cell r="W170">
            <v>3.6288355263265526</v>
          </cell>
          <cell r="X170">
            <v>3.6504191969383815</v>
          </cell>
          <cell r="Z170">
            <v>3.6053650732494367</v>
          </cell>
          <cell r="AB170">
            <v>3.7044095028033661</v>
          </cell>
          <cell r="AC170">
            <v>2.0212937370959576</v>
          </cell>
          <cell r="AD170">
            <v>5.7625257658801088</v>
          </cell>
        </row>
        <row r="171">
          <cell r="A171" t="str">
            <v>CGI009-qtz07-CL-fit-2-offset</v>
          </cell>
          <cell r="J171">
            <v>1.3727719395694531</v>
          </cell>
          <cell r="K171">
            <v>1.2258876942129575</v>
          </cell>
          <cell r="L171">
            <v>0.82047155462861177</v>
          </cell>
          <cell r="M171">
            <v>0.2036080377017401</v>
          </cell>
          <cell r="N171">
            <v>0.82159262289516122</v>
          </cell>
          <cell r="O171">
            <v>1.8175722465072546</v>
          </cell>
          <cell r="P171">
            <v>1.1481449213782996E-2</v>
          </cell>
          <cell r="Q171">
            <v>3.5998018102205109</v>
          </cell>
          <cell r="R171">
            <v>1.8167958540571241</v>
          </cell>
          <cell r="S171">
            <v>2.6281795006602766</v>
          </cell>
          <cell r="T171">
            <v>0.65880452538689016</v>
          </cell>
          <cell r="V171">
            <v>1.6411517668096383</v>
          </cell>
          <cell r="W171">
            <v>1.3615424759139785</v>
          </cell>
          <cell r="X171">
            <v>1.2258876942129575</v>
          </cell>
          <cell r="Z171">
            <v>1.679722304806246</v>
          </cell>
          <cell r="AB171">
            <v>1.7036012617145133</v>
          </cell>
          <cell r="AC171">
            <v>7.6338646180990594E-2</v>
          </cell>
          <cell r="AD171">
            <v>4.5302220270563787</v>
          </cell>
        </row>
        <row r="172">
          <cell r="A172" t="str">
            <v>CGI009-qtz07-CL-fit-3-offset</v>
          </cell>
          <cell r="J172">
            <v>2.4160598074342676</v>
          </cell>
          <cell r="K172">
            <v>2.2290105504916333</v>
          </cell>
          <cell r="L172">
            <v>1.4481144895351525</v>
          </cell>
          <cell r="M172">
            <v>2.3206431746174596</v>
          </cell>
          <cell r="N172">
            <v>3.3568905069418413</v>
          </cell>
          <cell r="O172">
            <v>2.0479017954496883</v>
          </cell>
          <cell r="P172">
            <v>2.2347298934371467</v>
          </cell>
          <cell r="Q172">
            <v>1.5692579722311768</v>
          </cell>
          <cell r="R172">
            <v>1.962501587551466</v>
          </cell>
          <cell r="S172">
            <v>2.0937665664388843</v>
          </cell>
          <cell r="T172">
            <v>2.5758716658691023</v>
          </cell>
          <cell r="V172">
            <v>2.1552732422993954</v>
          </cell>
          <cell r="W172">
            <v>2.2049770918179834</v>
          </cell>
          <cell r="X172">
            <v>2.2290105504916333</v>
          </cell>
          <cell r="Z172">
            <v>2.1860144609837926</v>
          </cell>
          <cell r="AB172">
            <v>2.1909312886268673</v>
          </cell>
          <cell r="AC172">
            <v>0.91625059386524688</v>
          </cell>
          <cell r="AD172">
            <v>3.754428822674921</v>
          </cell>
        </row>
        <row r="173">
          <cell r="A173" t="str">
            <v>CGI009-qtz07-CL-fit-4-offset</v>
          </cell>
          <cell r="J173">
            <v>0.46907646316546736</v>
          </cell>
          <cell r="K173">
            <v>2.4308685036646476</v>
          </cell>
          <cell r="L173">
            <v>2.6193129603932634</v>
          </cell>
          <cell r="M173">
            <v>1.1061792440648082</v>
          </cell>
          <cell r="N173">
            <v>1.9793234706454432</v>
          </cell>
          <cell r="O173">
            <v>1.4599087047649406</v>
          </cell>
          <cell r="P173">
            <v>1.9909913702734012</v>
          </cell>
          <cell r="Q173">
            <v>2.6682438463013893</v>
          </cell>
          <cell r="R173">
            <v>2.4903181413975219</v>
          </cell>
          <cell r="S173">
            <v>3.3523456E-2</v>
          </cell>
          <cell r="T173">
            <v>0.99245541421783989</v>
          </cell>
          <cell r="V173">
            <v>1.7196820927478558</v>
          </cell>
          <cell r="W173">
            <v>1.6582001431717024</v>
          </cell>
          <cell r="X173">
            <v>1.9793234706454432</v>
          </cell>
          <cell r="Z173">
            <v>1.4841977647033129</v>
          </cell>
          <cell r="AB173">
            <v>1.6346297527132725</v>
          </cell>
          <cell r="AC173">
            <v>1.1282603062220783E-6</v>
          </cell>
          <cell r="AD173">
            <v>4.6711962339633191</v>
          </cell>
        </row>
        <row r="174">
          <cell r="A174" t="str">
            <v>CGI009-qtz08-CL-fit-1-offset</v>
          </cell>
          <cell r="J174">
            <v>2.2087403591492016</v>
          </cell>
          <cell r="K174">
            <v>5.5978538942720233</v>
          </cell>
          <cell r="L174">
            <v>3.0744704696302452</v>
          </cell>
          <cell r="M174">
            <v>3.3149824195607978</v>
          </cell>
          <cell r="N174">
            <v>6.2541936847458821</v>
          </cell>
          <cell r="O174">
            <v>4.70162412752323</v>
          </cell>
          <cell r="P174">
            <v>3.5369162203676154</v>
          </cell>
          <cell r="Q174">
            <v>2.93070292284344</v>
          </cell>
          <cell r="R174">
            <v>3.4578690207003957</v>
          </cell>
          <cell r="S174">
            <v>3.6472316887592515</v>
          </cell>
          <cell r="T174">
            <v>3.2594746084203714</v>
          </cell>
          <cell r="V174">
            <v>3.929208332415465</v>
          </cell>
          <cell r="W174">
            <v>3.8167326741793137</v>
          </cell>
          <cell r="X174">
            <v>3.4578690207003957</v>
          </cell>
          <cell r="Z174">
            <v>3.6549555267686369</v>
          </cell>
          <cell r="AB174">
            <v>3.6370129867623131</v>
          </cell>
          <cell r="AC174">
            <v>0.68746968969627942</v>
          </cell>
          <cell r="AD174">
            <v>6.2819313610017637</v>
          </cell>
        </row>
        <row r="175">
          <cell r="A175" t="str">
            <v>CGI009-qtz08-CL-fit-2-offset</v>
          </cell>
          <cell r="J175">
            <v>5.1408178794729595</v>
          </cell>
          <cell r="K175">
            <v>4.5713514141266511</v>
          </cell>
          <cell r="L175">
            <v>5.6059520529597622</v>
          </cell>
          <cell r="M175">
            <v>5.3002829656137065</v>
          </cell>
          <cell r="N175">
            <v>5.6570793929730598</v>
          </cell>
          <cell r="O175">
            <v>4.5934173676634913</v>
          </cell>
          <cell r="P175">
            <v>6.7208802405915282</v>
          </cell>
          <cell r="Q175">
            <v>5.0643423508358012</v>
          </cell>
          <cell r="R175">
            <v>6.208291587496455</v>
          </cell>
          <cell r="S175">
            <v>5.4515006797394943</v>
          </cell>
          <cell r="T175">
            <v>5.7876785350927902</v>
          </cell>
          <cell r="V175">
            <v>5.4794674293589587</v>
          </cell>
          <cell r="W175">
            <v>5.4637813151423362</v>
          </cell>
          <cell r="X175">
            <v>5.4515006797394943</v>
          </cell>
          <cell r="Z175">
            <v>5.4699316516482268</v>
          </cell>
          <cell r="AB175">
            <v>5.5233757572231923</v>
          </cell>
          <cell r="AC175">
            <v>4.2529188206539175</v>
          </cell>
          <cell r="AD175">
            <v>6.966566066434555</v>
          </cell>
        </row>
        <row r="176">
          <cell r="A176" t="str">
            <v>CGI009-qtz08-CL-fit-3-offset</v>
          </cell>
          <cell r="J176">
            <v>4.6855845915474941</v>
          </cell>
          <cell r="K176">
            <v>4.9024629318693087</v>
          </cell>
          <cell r="L176">
            <v>6.3558907082851714</v>
          </cell>
          <cell r="M176">
            <v>4.3995063736744466</v>
          </cell>
          <cell r="N176">
            <v>3.8713654575206946</v>
          </cell>
          <cell r="O176">
            <v>3.7547946506507288</v>
          </cell>
          <cell r="P176">
            <v>5.4384873989074451</v>
          </cell>
          <cell r="Q176">
            <v>3.2083705906822155</v>
          </cell>
          <cell r="R176">
            <v>5.5083128322138508</v>
          </cell>
          <cell r="S176">
            <v>4.4691712148321043</v>
          </cell>
          <cell r="T176">
            <v>6.0163725390576452</v>
          </cell>
          <cell r="V176">
            <v>4.7840080471057469</v>
          </cell>
          <cell r="W176">
            <v>4.7827562990219183</v>
          </cell>
          <cell r="X176">
            <v>4.6855845915474941</v>
          </cell>
          <cell r="Z176">
            <v>4.7735666808436692</v>
          </cell>
          <cell r="AB176">
            <v>4.8660398556969096</v>
          </cell>
          <cell r="AC176">
            <v>2.7076521461772409</v>
          </cell>
          <cell r="AD176">
            <v>7.4274093689549066</v>
          </cell>
        </row>
        <row r="177">
          <cell r="A177" t="str">
            <v>CGI009-qtz08-CL-fit-4-offset</v>
          </cell>
          <cell r="J177">
            <v>0</v>
          </cell>
          <cell r="K177">
            <v>4.2486988863472614</v>
          </cell>
          <cell r="L177">
            <v>5.6725894968210424</v>
          </cell>
          <cell r="M177">
            <v>5.0728701122411213</v>
          </cell>
          <cell r="N177">
            <v>5.1256922467754311</v>
          </cell>
          <cell r="O177">
            <v>2.906536319602953</v>
          </cell>
          <cell r="P177">
            <v>2.114997941120845</v>
          </cell>
          <cell r="Q177">
            <v>5.0987303154393295</v>
          </cell>
          <cell r="R177">
            <v>0.91827967136518929</v>
          </cell>
          <cell r="S177">
            <v>5.5684552443185975</v>
          </cell>
          <cell r="T177">
            <v>5.5996705647176633E-2</v>
          </cell>
          <cell r="V177">
            <v>4.6036906409299112</v>
          </cell>
          <cell r="W177">
            <v>3.6782846939678948</v>
          </cell>
          <cell r="X177">
            <v>4.6607844992941914</v>
          </cell>
          <cell r="Z177">
            <v>1.4863936259046122</v>
          </cell>
          <cell r="AB177">
            <v>2.6193098339302803</v>
          </cell>
          <cell r="AC177">
            <v>8.9682831725030939E-3</v>
          </cell>
          <cell r="AD177">
            <v>9.6946113144772124</v>
          </cell>
        </row>
        <row r="178">
          <cell r="A178" t="str">
            <v>CGI009-qtz08-CL-fit-5-offset</v>
          </cell>
          <cell r="J178">
            <v>2.1045257039246796</v>
          </cell>
          <cell r="K178">
            <v>1.8374941158697971</v>
          </cell>
          <cell r="L178">
            <v>2.2734482280215338</v>
          </cell>
          <cell r="M178">
            <v>2.2210214315222006</v>
          </cell>
          <cell r="N178">
            <v>3.0368318051176466</v>
          </cell>
          <cell r="O178">
            <v>1.4544406153435008</v>
          </cell>
          <cell r="P178">
            <v>2.3116816680208796</v>
          </cell>
          <cell r="Q178">
            <v>2.2986839402554464</v>
          </cell>
          <cell r="R178">
            <v>2.8377495022506385</v>
          </cell>
          <cell r="S178">
            <v>2.6500200507368814</v>
          </cell>
          <cell r="T178">
            <v>2.4527190186272607</v>
          </cell>
          <cell r="V178">
            <v>2.3185790597278064</v>
          </cell>
          <cell r="W178">
            <v>2.3162378254264055</v>
          </cell>
          <cell r="X178">
            <v>2.2986839402554464</v>
          </cell>
          <cell r="Z178">
            <v>2.2166299772357547</v>
          </cell>
          <cell r="AB178">
            <v>2.2750333465829224</v>
          </cell>
          <cell r="AC178">
            <v>1.2337088587862173</v>
          </cell>
          <cell r="AD178">
            <v>3.5882030159002625</v>
          </cell>
        </row>
        <row r="179">
          <cell r="A179" t="str">
            <v>CGI009-qtz09-CL-fit-1-offset</v>
          </cell>
          <cell r="J179">
            <v>5.2308354949993179</v>
          </cell>
          <cell r="K179">
            <v>4.0839545976996607</v>
          </cell>
          <cell r="L179">
            <v>4.4232442475482721</v>
          </cell>
          <cell r="M179">
            <v>4.7564934830893062</v>
          </cell>
          <cell r="N179">
            <v>4.3426906220109416</v>
          </cell>
          <cell r="O179">
            <v>4.3137743943897862</v>
          </cell>
          <cell r="P179">
            <v>4.4016201821983643</v>
          </cell>
          <cell r="Q179">
            <v>5.5210285541702566</v>
          </cell>
          <cell r="R179">
            <v>5.3804608189005076</v>
          </cell>
          <cell r="S179">
            <v>4.4968229825955017</v>
          </cell>
          <cell r="T179">
            <v>4.1745445012082296</v>
          </cell>
          <cell r="V179">
            <v>4.6687622455387272</v>
          </cell>
          <cell r="W179">
            <v>4.6477699889827404</v>
          </cell>
          <cell r="X179">
            <v>4.4232442475482721</v>
          </cell>
          <cell r="Z179">
            <v>4.6864711292708705</v>
          </cell>
          <cell r="AB179">
            <v>4.8214170221691504</v>
          </cell>
          <cell r="AC179">
            <v>3.6505489575775756</v>
          </cell>
          <cell r="AD179">
            <v>6.5564623251860423</v>
          </cell>
        </row>
        <row r="180">
          <cell r="A180" t="str">
            <v>CGI009-qtz09-CL-fit-2-offset</v>
          </cell>
          <cell r="J180">
            <v>4.0623906304361714</v>
          </cell>
          <cell r="K180">
            <v>5.3450196699414008</v>
          </cell>
          <cell r="L180">
            <v>4.6084913607393787</v>
          </cell>
          <cell r="M180">
            <v>7.9430479266128833</v>
          </cell>
          <cell r="N180">
            <v>4.807027966637742</v>
          </cell>
          <cell r="O180">
            <v>5.5106631155374242</v>
          </cell>
          <cell r="P180">
            <v>4.9601277085117799</v>
          </cell>
          <cell r="Q180">
            <v>4.7626724145226973</v>
          </cell>
          <cell r="R180">
            <v>5.9105371419483266</v>
          </cell>
          <cell r="S180">
            <v>5.0303306574195279</v>
          </cell>
          <cell r="T180">
            <v>4.3760412599259348</v>
          </cell>
          <cell r="V180">
            <v>5.1139284910348382</v>
          </cell>
          <cell r="W180">
            <v>5.2105772592939328</v>
          </cell>
          <cell r="X180">
            <v>4.9601277085117799</v>
          </cell>
          <cell r="Z180">
            <v>5.1661145242774316</v>
          </cell>
          <cell r="AB180">
            <v>5.1120241214627056</v>
          </cell>
          <cell r="AC180">
            <v>3.6166312547717951</v>
          </cell>
          <cell r="AD180">
            <v>6.8506147280610206</v>
          </cell>
        </row>
        <row r="181">
          <cell r="A181" t="str">
            <v>CGI009-qtz09-CL-fit-3-offset</v>
          </cell>
          <cell r="J181">
            <v>3.1756454311023958</v>
          </cell>
          <cell r="K181">
            <v>2.251880419637275</v>
          </cell>
          <cell r="L181">
            <v>2.6585920403832595</v>
          </cell>
          <cell r="M181">
            <v>2.1460826420158807</v>
          </cell>
          <cell r="N181">
            <v>3.0840450385039508</v>
          </cell>
          <cell r="O181">
            <v>2.829283103775539</v>
          </cell>
          <cell r="P181">
            <v>2.4129513828033762</v>
          </cell>
          <cell r="Q181">
            <v>2.5351169835304899</v>
          </cell>
          <cell r="R181">
            <v>2.4639080769332615</v>
          </cell>
          <cell r="S181">
            <v>2.4824921215319717</v>
          </cell>
          <cell r="T181">
            <v>3.0684340014444178</v>
          </cell>
          <cell r="V181">
            <v>2.6477386218407624</v>
          </cell>
          <cell r="W181">
            <v>2.6462210219692563</v>
          </cell>
          <cell r="X181">
            <v>2.5351169835304899</v>
          </cell>
          <cell r="Z181">
            <v>2.6432273355462099</v>
          </cell>
          <cell r="AB181">
            <v>2.6347152472503019</v>
          </cell>
          <cell r="AC181">
            <v>1.8716991294283079</v>
          </cell>
          <cell r="AD181">
            <v>3.4696411548766384</v>
          </cell>
        </row>
        <row r="182">
          <cell r="A182" t="str">
            <v>CGI009-qtz09-CL-fit-4-offset</v>
          </cell>
          <cell r="J182">
            <v>1.5111581814802808</v>
          </cell>
          <cell r="K182">
            <v>1.3925894843109794</v>
          </cell>
          <cell r="L182">
            <v>1.3223963385763982</v>
          </cell>
          <cell r="M182">
            <v>1.327375637211138</v>
          </cell>
          <cell r="N182">
            <v>1.9603278094688379</v>
          </cell>
          <cell r="O182">
            <v>1.6156642989267069</v>
          </cell>
          <cell r="P182">
            <v>1.2881873295287949</v>
          </cell>
          <cell r="Q182">
            <v>0.8877897952216588</v>
          </cell>
          <cell r="R182">
            <v>1.0623072778659428</v>
          </cell>
          <cell r="S182">
            <v>1.2253614716762844</v>
          </cell>
          <cell r="T182">
            <v>0.8089576552304294</v>
          </cell>
          <cell r="V182">
            <v>1.4146576652086269</v>
          </cell>
          <cell r="W182">
            <v>1.3092832072270411</v>
          </cell>
          <cell r="X182">
            <v>1.3223963385763982</v>
          </cell>
          <cell r="Z182">
            <v>1.2359846326836277</v>
          </cell>
          <cell r="AB182">
            <v>1.1851125256239667</v>
          </cell>
          <cell r="AC182">
            <v>0.34299492717044067</v>
          </cell>
          <cell r="AD182">
            <v>2.1027557932812844</v>
          </cell>
        </row>
        <row r="183">
          <cell r="A183" t="str">
            <v>CGI009-qtz10-CL-fit-1-offset</v>
          </cell>
          <cell r="J183">
            <v>5.9096731793033115</v>
          </cell>
          <cell r="K183">
            <v>4.9191015271702589</v>
          </cell>
          <cell r="L183">
            <v>5.4119355942773515</v>
          </cell>
          <cell r="M183">
            <v>5.4048018548996932</v>
          </cell>
          <cell r="N183">
            <v>5.5855069488275557</v>
          </cell>
          <cell r="O183">
            <v>5.7139933945650876</v>
          </cell>
          <cell r="P183">
            <v>5.5246735710784041</v>
          </cell>
          <cell r="Q183">
            <v>5.5987471803755255</v>
          </cell>
          <cell r="R183">
            <v>5.3251782761684954</v>
          </cell>
          <cell r="S183">
            <v>5.6453279306090858</v>
          </cell>
          <cell r="T183">
            <v>5.3716003176414695</v>
          </cell>
          <cell r="V183">
            <v>5.505872706437362</v>
          </cell>
          <cell r="W183">
            <v>5.491867252265112</v>
          </cell>
          <cell r="X183">
            <v>5.5246735710784041</v>
          </cell>
          <cell r="Z183">
            <v>5.4842984450380428</v>
          </cell>
          <cell r="AB183">
            <v>5.4880215737693296</v>
          </cell>
          <cell r="AC183">
            <v>4.5317924099903877</v>
          </cell>
          <cell r="AD183">
            <v>6.4411852567830605</v>
          </cell>
        </row>
        <row r="184">
          <cell r="A184" t="str">
            <v>CGI009-qtz10-CL-fit-2-offset</v>
          </cell>
          <cell r="J184">
            <v>2.5891048218428647</v>
          </cell>
          <cell r="K184">
            <v>4.0566469272109353</v>
          </cell>
          <cell r="L184">
            <v>3.5393788135176631</v>
          </cell>
          <cell r="M184">
            <v>4.0396854552571186</v>
          </cell>
          <cell r="N184">
            <v>3.8024663367248905</v>
          </cell>
          <cell r="O184">
            <v>3.2527792475320987</v>
          </cell>
          <cell r="P184">
            <v>2.057399751389589</v>
          </cell>
          <cell r="Q184">
            <v>3.7092032059733149</v>
          </cell>
          <cell r="R184">
            <v>3.5321604975834413</v>
          </cell>
          <cell r="S184">
            <v>3.3759749798978551</v>
          </cell>
          <cell r="T184">
            <v>3.6857448527278489</v>
          </cell>
          <cell r="V184">
            <v>3.4458648481555141</v>
          </cell>
          <cell r="W184">
            <v>3.4218677172416019</v>
          </cell>
          <cell r="X184">
            <v>3.5393788135176631</v>
          </cell>
          <cell r="Z184">
            <v>3.3864468354208439</v>
          </cell>
          <cell r="AB184">
            <v>3.3445109496908221</v>
          </cell>
          <cell r="AC184">
            <v>2.2166380666560861</v>
          </cell>
          <cell r="AD184">
            <v>4.5520385885944759</v>
          </cell>
        </row>
        <row r="185">
          <cell r="A185" t="str">
            <v>CGI009-qtz10-CL-fit-3-offset</v>
          </cell>
          <cell r="J185">
            <v>3.1811851406338807</v>
          </cell>
          <cell r="K185">
            <v>2.8569740752428712</v>
          </cell>
          <cell r="L185">
            <v>2.9162307579007503</v>
          </cell>
          <cell r="M185">
            <v>2.7974816901653798</v>
          </cell>
          <cell r="N185">
            <v>2.7254797140626059</v>
          </cell>
          <cell r="O185">
            <v>3.1095326519652109</v>
          </cell>
          <cell r="P185">
            <v>3.1469070186281427</v>
          </cell>
          <cell r="Q185">
            <v>3.0604067490445668</v>
          </cell>
          <cell r="R185">
            <v>3.4171362267029011</v>
          </cell>
          <cell r="S185">
            <v>2.9269416527878254</v>
          </cell>
          <cell r="T185">
            <v>2.3458635353131143</v>
          </cell>
          <cell r="V185">
            <v>2.9777428959635448</v>
          </cell>
          <cell r="W185">
            <v>2.9531035647679316</v>
          </cell>
          <cell r="X185">
            <v>2.9269416527878254</v>
          </cell>
          <cell r="Z185">
            <v>2.9612576874274792</v>
          </cell>
          <cell r="AB185">
            <v>2.9606165154458726</v>
          </cell>
          <cell r="AC185">
            <v>2.3720507356958729</v>
          </cell>
          <cell r="AD185">
            <v>3.4601382546978789</v>
          </cell>
        </row>
        <row r="186">
          <cell r="A186" t="str">
            <v>CGI009-qtz10-CL-fit-4-offset</v>
          </cell>
          <cell r="J186">
            <v>1.7853810009956885</v>
          </cell>
          <cell r="K186">
            <v>2.0245548717142947</v>
          </cell>
          <cell r="L186">
            <v>2.2807067167678072</v>
          </cell>
          <cell r="M186">
            <v>2.0539403073785945</v>
          </cell>
          <cell r="N186">
            <v>2.4977009617286945</v>
          </cell>
          <cell r="O186">
            <v>1.6346796515433459</v>
          </cell>
          <cell r="P186">
            <v>2.0221132003769311</v>
          </cell>
          <cell r="Q186">
            <v>2.3947104819212948</v>
          </cell>
          <cell r="R186">
            <v>1.6880894844024104</v>
          </cell>
          <cell r="S186">
            <v>1.7377295093709642</v>
          </cell>
          <cell r="T186">
            <v>1.8071714005734516</v>
          </cell>
          <cell r="V186">
            <v>2.0115302931093821</v>
          </cell>
          <cell r="W186">
            <v>1.9933434169794071</v>
          </cell>
          <cell r="X186">
            <v>2.0221132003769311</v>
          </cell>
          <cell r="Z186">
            <v>1.9534951132615652</v>
          </cell>
          <cell r="AB186">
            <v>1.9765603269407948</v>
          </cell>
          <cell r="AC186">
            <v>1.3898851291359891</v>
          </cell>
          <cell r="AD186">
            <v>2.6824855530832594</v>
          </cell>
        </row>
        <row r="187">
          <cell r="A187" t="str">
            <v>CGI009-qtz10-CL-fit-5-offset</v>
          </cell>
          <cell r="J187">
            <v>0.84040137094735223</v>
          </cell>
          <cell r="K187">
            <v>3.6573685115595719E-3</v>
          </cell>
          <cell r="L187">
            <v>0.5817956959820203</v>
          </cell>
          <cell r="M187">
            <v>1.4290071973701899</v>
          </cell>
          <cell r="N187">
            <v>0.19734310881469319</v>
          </cell>
          <cell r="O187">
            <v>0.22248702230389281</v>
          </cell>
          <cell r="P187">
            <v>0.93709020324604131</v>
          </cell>
          <cell r="Q187">
            <v>0.26891757400461641</v>
          </cell>
          <cell r="R187">
            <v>0.16199891387736798</v>
          </cell>
          <cell r="S187">
            <v>0.18233808196164766</v>
          </cell>
          <cell r="T187">
            <v>0.183504722103488</v>
          </cell>
          <cell r="V187">
            <v>0.72063752760594557</v>
          </cell>
          <cell r="W187">
            <v>0.45532193264753362</v>
          </cell>
          <cell r="X187">
            <v>0.22248702230389281</v>
          </cell>
          <cell r="Z187">
            <v>0.42721140822554582</v>
          </cell>
          <cell r="AB187">
            <v>0.54450212404552945</v>
          </cell>
          <cell r="AC187">
            <v>4.9150042638235622E-2</v>
          </cell>
          <cell r="AD187">
            <v>1.4102863742890095</v>
          </cell>
        </row>
        <row r="188">
          <cell r="A188" t="str">
            <v>CGI009-qtz11-CL-fit-1-offset</v>
          </cell>
          <cell r="J188">
            <v>4.2928064487686557</v>
          </cell>
          <cell r="K188">
            <v>0.29854648556280283</v>
          </cell>
          <cell r="L188">
            <v>1.1176863192868924</v>
          </cell>
          <cell r="M188">
            <v>0.37079190191030559</v>
          </cell>
          <cell r="N188">
            <v>1.2111921982738074</v>
          </cell>
          <cell r="O188">
            <v>2.0961880017718846</v>
          </cell>
          <cell r="P188">
            <v>4.1811605496492081</v>
          </cell>
          <cell r="Q188">
            <v>1.2814352362225119</v>
          </cell>
          <cell r="R188">
            <v>0.2687553329037688</v>
          </cell>
          <cell r="S188">
            <v>0.27061078</v>
          </cell>
          <cell r="T188">
            <v>0.98924656974635572</v>
          </cell>
          <cell r="V188">
            <v>1.6098190443243943</v>
          </cell>
          <cell r="W188">
            <v>1.4889472567360178</v>
          </cell>
          <cell r="X188">
            <v>1.1176863192868924</v>
          </cell>
          <cell r="Z188">
            <v>1.4948727442467926</v>
          </cell>
          <cell r="AB188">
            <v>2.4250234560989377</v>
          </cell>
          <cell r="AC188">
            <v>4.6535973764365761E-3</v>
          </cell>
          <cell r="AD188">
            <v>15.381410165922002</v>
          </cell>
        </row>
        <row r="189">
          <cell r="A189" t="str">
            <v>CGI009-qtz11-CL-fit-2-offset</v>
          </cell>
          <cell r="J189">
            <v>2.5386137625197471</v>
          </cell>
          <cell r="K189">
            <v>1.9960678326833305</v>
          </cell>
          <cell r="L189">
            <v>2.3643791467055233</v>
          </cell>
          <cell r="M189">
            <v>3.0371514412171008</v>
          </cell>
          <cell r="N189">
            <v>2.3258484778432043</v>
          </cell>
          <cell r="O189">
            <v>2.2443447817017099</v>
          </cell>
          <cell r="P189">
            <v>4.1522661827277298</v>
          </cell>
          <cell r="Q189">
            <v>3.091019480865655</v>
          </cell>
          <cell r="R189">
            <v>2.5540491710216289</v>
          </cell>
          <cell r="S189">
            <v>1.444723608309026</v>
          </cell>
          <cell r="T189">
            <v>1.8403901983787805</v>
          </cell>
          <cell r="V189">
            <v>2.4613024986262007</v>
          </cell>
          <cell r="W189">
            <v>2.5080776439975847</v>
          </cell>
          <cell r="X189">
            <v>2.3643791467055233</v>
          </cell>
          <cell r="Z189">
            <v>2.4877080061892469</v>
          </cell>
          <cell r="AB189">
            <v>2.4566899975247067</v>
          </cell>
          <cell r="AC189">
            <v>0.35629255441929614</v>
          </cell>
          <cell r="AD189">
            <v>4.0451911624978942</v>
          </cell>
        </row>
        <row r="190">
          <cell r="A190" t="str">
            <v>CGI009-qtz11-CL-fit-3-offset</v>
          </cell>
          <cell r="J190">
            <v>3.6431882296417601</v>
          </cell>
          <cell r="K190">
            <v>3.5439169057321811</v>
          </cell>
          <cell r="L190">
            <v>3.6135344965683149</v>
          </cell>
          <cell r="M190">
            <v>3.9340692711873904</v>
          </cell>
          <cell r="N190">
            <v>4.0085586024778586</v>
          </cell>
          <cell r="O190">
            <v>3.4089193161945466</v>
          </cell>
          <cell r="P190">
            <v>4.3951337232800345</v>
          </cell>
          <cell r="Q190">
            <v>3.7339194070266926</v>
          </cell>
          <cell r="R190">
            <v>3.694390407481531</v>
          </cell>
          <cell r="S190">
            <v>3.2444692188815529</v>
          </cell>
          <cell r="T190">
            <v>3.5350329922291026</v>
          </cell>
          <cell r="V190">
            <v>3.7649382182149598</v>
          </cell>
          <cell r="W190">
            <v>3.7050120518819067</v>
          </cell>
          <cell r="X190">
            <v>3.6431882296417601</v>
          </cell>
          <cell r="Z190">
            <v>3.7070640560216663</v>
          </cell>
          <cell r="AB190">
            <v>3.7197637526430487</v>
          </cell>
          <cell r="AC190">
            <v>2.7565085347254716</v>
          </cell>
          <cell r="AD190">
            <v>4.5706137388051511</v>
          </cell>
        </row>
        <row r="191">
          <cell r="A191" t="str">
            <v>CGI009-qtz11-CL-fit-4-offset</v>
          </cell>
          <cell r="J191">
            <v>2.0055386989450676</v>
          </cell>
          <cell r="K191">
            <v>5.2786271752868652</v>
          </cell>
          <cell r="L191">
            <v>4.5677599257602228</v>
          </cell>
          <cell r="M191">
            <v>1.8804785692273238</v>
          </cell>
          <cell r="N191">
            <v>2.7499842922615354</v>
          </cell>
          <cell r="O191">
            <v>1.2811662909694659</v>
          </cell>
          <cell r="P191">
            <v>1.4240849236602313</v>
          </cell>
          <cell r="Q191">
            <v>4.3497841039343468E-2</v>
          </cell>
          <cell r="R191">
            <v>1.9842140172576772</v>
          </cell>
          <cell r="S191">
            <v>0.31462373276582589</v>
          </cell>
          <cell r="T191">
            <v>2.8559939529376583</v>
          </cell>
          <cell r="V191">
            <v>1.65218385499934</v>
          </cell>
          <cell r="W191">
            <v>2.2169063109192013</v>
          </cell>
          <cell r="X191">
            <v>1.9842140172576772</v>
          </cell>
          <cell r="Z191">
            <v>1.7212543793463044</v>
          </cell>
          <cell r="AB191">
            <v>2.5282898328426917</v>
          </cell>
          <cell r="AC191">
            <v>0.33646764103553506</v>
          </cell>
          <cell r="AD191">
            <v>8.0457243489168775</v>
          </cell>
        </row>
        <row r="192">
          <cell r="A192" t="str">
            <v>CGI009-qtz11-CL-fit-5-offset</v>
          </cell>
          <cell r="J192">
            <v>1.476126789776538</v>
          </cell>
          <cell r="K192">
            <v>1.9315588829159818</v>
          </cell>
          <cell r="L192">
            <v>1.2424280150771041</v>
          </cell>
          <cell r="M192">
            <v>1.7768240622613787</v>
          </cell>
          <cell r="N192">
            <v>2.1501145650781983</v>
          </cell>
          <cell r="O192">
            <v>1.1392184273157047</v>
          </cell>
          <cell r="P192">
            <v>1.5886411959542661</v>
          </cell>
          <cell r="Q192">
            <v>1.3907261871949959</v>
          </cell>
          <cell r="R192">
            <v>1.0560470021380064</v>
          </cell>
          <cell r="S192">
            <v>1.1267150186825237</v>
          </cell>
          <cell r="T192">
            <v>1.5557284588739171</v>
          </cell>
          <cell r="V192">
            <v>1.4615742276468118</v>
          </cell>
          <cell r="W192">
            <v>1.4940116913880559</v>
          </cell>
          <cell r="X192">
            <v>1.476126789776538</v>
          </cell>
          <cell r="Z192">
            <v>1.4196391962700801</v>
          </cell>
          <cell r="AB192">
            <v>1.4246247981419651</v>
          </cell>
          <cell r="AC192">
            <v>0.28245906925705705</v>
          </cell>
          <cell r="AD192">
            <v>2.0819159822808224</v>
          </cell>
        </row>
        <row r="193">
          <cell r="A193" t="str">
            <v>CGI009-qtz12-CL-fit-1-offset</v>
          </cell>
          <cell r="J193">
            <v>6.9422754811380347</v>
          </cell>
          <cell r="K193">
            <v>4.1624650268398353</v>
          </cell>
          <cell r="L193">
            <v>4.9117467048495485</v>
          </cell>
          <cell r="M193">
            <v>5.5175422160462402</v>
          </cell>
          <cell r="N193">
            <v>6.1699069479646527</v>
          </cell>
          <cell r="O193">
            <v>7.0616350652846966</v>
          </cell>
          <cell r="P193">
            <v>5.262985844465252</v>
          </cell>
          <cell r="Q193">
            <v>5.6881340005532239</v>
          </cell>
          <cell r="R193">
            <v>5.9356150128195369</v>
          </cell>
          <cell r="S193">
            <v>6.9373368831336499</v>
          </cell>
          <cell r="T193">
            <v>6.9394091452626752</v>
          </cell>
          <cell r="V193">
            <v>5.9641640430467824</v>
          </cell>
          <cell r="W193">
            <v>5.9571865753052125</v>
          </cell>
          <cell r="X193">
            <v>5.9356150128195369</v>
          </cell>
          <cell r="Z193">
            <v>6.0010927184156575</v>
          </cell>
          <cell r="AB193">
            <v>5.9929308538135402</v>
          </cell>
          <cell r="AC193">
            <v>4.5509881662715568</v>
          </cell>
          <cell r="AD193">
            <v>7.7977893806554706</v>
          </cell>
        </row>
        <row r="194">
          <cell r="A194" t="str">
            <v>CGI009-qtz12-CL-fit-2-offset</v>
          </cell>
          <cell r="J194">
            <v>3.6258671776069535</v>
          </cell>
          <cell r="K194">
            <v>2.5534012733901128</v>
          </cell>
          <cell r="L194">
            <v>1.7915183207771266</v>
          </cell>
          <cell r="M194">
            <v>2.0901383664198576</v>
          </cell>
          <cell r="N194">
            <v>2.79838821880834</v>
          </cell>
          <cell r="O194">
            <v>2.0119715804732996</v>
          </cell>
          <cell r="P194">
            <v>2.2412429420207465</v>
          </cell>
          <cell r="Q194">
            <v>1.4971081720839208</v>
          </cell>
          <cell r="R194">
            <v>3.9864007987952701</v>
          </cell>
          <cell r="S194">
            <v>3.2592020563230011</v>
          </cell>
          <cell r="T194">
            <v>4.7969256922796895</v>
          </cell>
          <cell r="V194">
            <v>2.7528623445927187</v>
          </cell>
          <cell r="W194">
            <v>2.7865604180889378</v>
          </cell>
          <cell r="X194">
            <v>2.5534012733901128</v>
          </cell>
          <cell r="Z194">
            <v>2.7849808440835497</v>
          </cell>
          <cell r="AB194">
            <v>2.7045983655773478</v>
          </cell>
          <cell r="AC194">
            <v>1.3738826969619271</v>
          </cell>
          <cell r="AD194">
            <v>3.7842366957570284</v>
          </cell>
        </row>
        <row r="195">
          <cell r="A195" t="str">
            <v>CGI009-qtz12-CL-fit-3-offset</v>
          </cell>
          <cell r="J195">
            <v>1.473405420667262</v>
          </cell>
          <cell r="K195">
            <v>1.0104831983878719</v>
          </cell>
          <cell r="L195">
            <v>2.1188035998449641</v>
          </cell>
          <cell r="M195">
            <v>2.2324168854790178</v>
          </cell>
          <cell r="N195">
            <v>2.7358806770709498</v>
          </cell>
          <cell r="O195">
            <v>3.0340080274966161</v>
          </cell>
          <cell r="P195">
            <v>0.10003521</v>
          </cell>
          <cell r="Q195">
            <v>1.1867874882027223</v>
          </cell>
          <cell r="R195">
            <v>2.3206004492558709</v>
          </cell>
          <cell r="S195">
            <v>0.42876851530274696</v>
          </cell>
          <cell r="T195">
            <v>1.1238684157400427</v>
          </cell>
          <cell r="V195">
            <v>1.9506126273278115</v>
          </cell>
          <cell r="W195">
            <v>1.6150052624952784</v>
          </cell>
          <cell r="X195">
            <v>1.473405420667262</v>
          </cell>
          <cell r="Z195">
            <v>1.69589630016335</v>
          </cell>
          <cell r="AB195">
            <v>1.9323931543651887</v>
          </cell>
          <cell r="AC195">
            <v>0.14414124410692858</v>
          </cell>
          <cell r="AD195">
            <v>5.8969622115348566</v>
          </cell>
        </row>
        <row r="196">
          <cell r="A196" t="str">
            <v>CGI009-qtz12-CL-fit-4-offset</v>
          </cell>
          <cell r="J196">
            <v>2.7382503780470127</v>
          </cell>
          <cell r="K196">
            <v>1.9035665240972406</v>
          </cell>
          <cell r="L196">
            <v>1.5757932326954902</v>
          </cell>
          <cell r="M196">
            <v>2.4051345406476345</v>
          </cell>
          <cell r="N196">
            <v>1.800315007645549</v>
          </cell>
          <cell r="O196">
            <v>1.8277234985892155</v>
          </cell>
          <cell r="P196">
            <v>1.786285164776114</v>
          </cell>
          <cell r="Q196">
            <v>1.4606538628330601</v>
          </cell>
          <cell r="R196">
            <v>0.82012636078029055</v>
          </cell>
          <cell r="S196">
            <v>2.4301950192699415</v>
          </cell>
          <cell r="T196">
            <v>4.7193899153657179</v>
          </cell>
          <cell r="V196">
            <v>1.7932071761685373</v>
          </cell>
          <cell r="W196">
            <v>2.1334030458861153</v>
          </cell>
          <cell r="X196">
            <v>1.8277234985892155</v>
          </cell>
          <cell r="Z196">
            <v>1.5855405668701643</v>
          </cell>
          <cell r="AB196">
            <v>1.6802927544984456</v>
          </cell>
          <cell r="AC196">
            <v>7.7244310345496933E-3</v>
          </cell>
          <cell r="AD196">
            <v>3.9211140902264825</v>
          </cell>
        </row>
        <row r="197">
          <cell r="A197" t="str">
            <v>CGI011-qtz01-CL-fit-1-offset</v>
          </cell>
          <cell r="J197">
            <v>4.7107358334950549</v>
          </cell>
          <cell r="K197">
            <v>4.6306561349664834</v>
          </cell>
          <cell r="L197">
            <v>3.7876947959364284</v>
          </cell>
          <cell r="M197">
            <v>5.8467051762173332</v>
          </cell>
          <cell r="N197">
            <v>4.2997266725631125</v>
          </cell>
          <cell r="O197">
            <v>4.2555493606031565</v>
          </cell>
          <cell r="P197">
            <v>4.8659112712465715</v>
          </cell>
          <cell r="Q197">
            <v>6.3321046950696127</v>
          </cell>
          <cell r="R197">
            <v>4.9527033501398048</v>
          </cell>
          <cell r="S197">
            <v>3.6717299383051558</v>
          </cell>
          <cell r="T197">
            <v>5.123195982096024</v>
          </cell>
          <cell r="V197">
            <v>4.7264720963559723</v>
          </cell>
          <cell r="W197">
            <v>4.770610291876249</v>
          </cell>
          <cell r="X197">
            <v>4.7107358334950549</v>
          </cell>
          <cell r="Z197">
            <v>4.6634129251487506</v>
          </cell>
          <cell r="AB197">
            <v>4.7149792099800463</v>
          </cell>
          <cell r="AC197">
            <v>3.212836712037884</v>
          </cell>
          <cell r="AD197">
            <v>6.6288681754058221</v>
          </cell>
        </row>
        <row r="198">
          <cell r="A198" t="str">
            <v>CGI011-qtz01-CL-fit-2-offset</v>
          </cell>
          <cell r="J198">
            <v>1.3943029904291686</v>
          </cell>
          <cell r="K198">
            <v>5.4196459896637021</v>
          </cell>
          <cell r="L198">
            <v>4.8342952605412188</v>
          </cell>
          <cell r="M198">
            <v>2.6567578526959061</v>
          </cell>
          <cell r="N198">
            <v>4.4031519985850105</v>
          </cell>
          <cell r="O198">
            <v>2.273480936565583</v>
          </cell>
          <cell r="P198">
            <v>2.8752287158231153</v>
          </cell>
          <cell r="Q198">
            <v>4.8196283530074675</v>
          </cell>
          <cell r="R198">
            <v>1.7316843731295484</v>
          </cell>
          <cell r="S198">
            <v>2.8559299025002267</v>
          </cell>
          <cell r="T198">
            <v>2.0349668894447372</v>
          </cell>
          <cell r="V198">
            <v>3.1115288335925722</v>
          </cell>
          <cell r="W198">
            <v>3.2090066602168807</v>
          </cell>
          <cell r="X198">
            <v>2.8559299025002267</v>
          </cell>
          <cell r="Z198">
            <v>3.1810182758385457</v>
          </cell>
          <cell r="AB198">
            <v>3.2947347229984598</v>
          </cell>
          <cell r="AC198">
            <v>1.1431795422942366</v>
          </cell>
          <cell r="AD198">
            <v>6.0830734681168845</v>
          </cell>
        </row>
        <row r="199">
          <cell r="A199" t="str">
            <v>CGI011-qtz01-CL-fit-3-offset</v>
          </cell>
          <cell r="J199">
            <v>2.2642518200815935</v>
          </cell>
          <cell r="K199">
            <v>2.2894631670279524</v>
          </cell>
          <cell r="L199">
            <v>2.8883151938928497</v>
          </cell>
          <cell r="M199">
            <v>3.0523366973696224</v>
          </cell>
          <cell r="N199">
            <v>2.2929399027789605</v>
          </cell>
          <cell r="O199">
            <v>2.4786519446836786</v>
          </cell>
          <cell r="P199">
            <v>2.969019814007916</v>
          </cell>
          <cell r="Q199">
            <v>2.9844991471905056</v>
          </cell>
          <cell r="R199">
            <v>2.1046379712840637</v>
          </cell>
          <cell r="S199">
            <v>2.1066117778591655</v>
          </cell>
          <cell r="T199">
            <v>3.6541620704470357</v>
          </cell>
          <cell r="V199">
            <v>2.5943220878002515</v>
          </cell>
          <cell r="W199">
            <v>2.6440808642384854</v>
          </cell>
          <cell r="X199">
            <v>2.4786519446836786</v>
          </cell>
          <cell r="Z199">
            <v>2.4926872578285013</v>
          </cell>
          <cell r="AB199">
            <v>2.5812929556050017</v>
          </cell>
          <cell r="AC199">
            <v>1.6267562727427762</v>
          </cell>
          <cell r="AD199">
            <v>3.8111694615449996</v>
          </cell>
        </row>
        <row r="200">
          <cell r="A200" t="str">
            <v>CGI011-qtz01-CL-fit-4-offset</v>
          </cell>
          <cell r="J200">
            <v>5.1580921618272653</v>
          </cell>
          <cell r="K200">
            <v>7.5669612932236356</v>
          </cell>
          <cell r="L200">
            <v>1.2813235961655731</v>
          </cell>
          <cell r="M200">
            <v>9.7390772019712522</v>
          </cell>
          <cell r="N200">
            <v>5.7847811011593517</v>
          </cell>
          <cell r="O200">
            <v>6.9513212456569473</v>
          </cell>
          <cell r="P200">
            <v>3.4272906496247306</v>
          </cell>
          <cell r="Q200">
            <v>7.3352743192106118</v>
          </cell>
          <cell r="R200">
            <v>1.4769238517004044</v>
          </cell>
          <cell r="S200">
            <v>8.7286174943136956</v>
          </cell>
          <cell r="T200">
            <v>6.8702785412298617</v>
          </cell>
          <cell r="V200">
            <v>6.4267139726937739</v>
          </cell>
          <cell r="W200">
            <v>5.8472674050984841</v>
          </cell>
          <cell r="X200">
            <v>6.8702785412298617</v>
          </cell>
          <cell r="Z200">
            <v>6.2012934785884548</v>
          </cell>
          <cell r="AB200">
            <v>6.0709046195800056</v>
          </cell>
          <cell r="AC200">
            <v>1.3833187446803816</v>
          </cell>
          <cell r="AD200">
            <v>11.128569255211085</v>
          </cell>
        </row>
        <row r="201">
          <cell r="A201" t="str">
            <v>CGI011-qtz01-CL-fit-5-offset</v>
          </cell>
          <cell r="J201">
            <v>0.45219364205182799</v>
          </cell>
          <cell r="K201">
            <v>1.5921067676828118</v>
          </cell>
          <cell r="L201">
            <v>1.6540232486035047</v>
          </cell>
          <cell r="M201">
            <v>1.065018578374739</v>
          </cell>
          <cell r="N201">
            <v>1.5129352994262983</v>
          </cell>
          <cell r="O201">
            <v>1.7967058570771817</v>
          </cell>
          <cell r="P201">
            <v>1.5421818873965416</v>
          </cell>
          <cell r="Q201">
            <v>3.4068802000000002E-2</v>
          </cell>
          <cell r="R201">
            <v>1.8098395978901478</v>
          </cell>
          <cell r="S201">
            <v>1.3897121722690291</v>
          </cell>
          <cell r="T201">
            <v>2.3600504822624275</v>
          </cell>
          <cell r="V201">
            <v>1.6935729122470211</v>
          </cell>
          <cell r="W201">
            <v>1.3826214850031371</v>
          </cell>
          <cell r="X201">
            <v>1.5421818873965416</v>
          </cell>
          <cell r="Z201">
            <v>1.5444377377704623</v>
          </cell>
          <cell r="AB201">
            <v>1.5680502426551559</v>
          </cell>
          <cell r="AC201">
            <v>0.25027741700816991</v>
          </cell>
          <cell r="AD201">
            <v>2.9104370248746032</v>
          </cell>
        </row>
        <row r="202">
          <cell r="A202" t="str">
            <v>CGI011-qtz02-CL-fit-1-offset</v>
          </cell>
          <cell r="J202">
            <v>6.9649918097013721</v>
          </cell>
          <cell r="K202">
            <v>5.6967416629718386</v>
          </cell>
          <cell r="L202">
            <v>4.0014805555458253</v>
          </cell>
          <cell r="M202">
            <v>10.514076916295263</v>
          </cell>
          <cell r="N202">
            <v>5.894989599511324</v>
          </cell>
          <cell r="O202">
            <v>1.6484981362306441</v>
          </cell>
          <cell r="P202">
            <v>7.1624136932401408</v>
          </cell>
          <cell r="Q202">
            <v>7.4806286226097471</v>
          </cell>
          <cell r="R202">
            <v>8.8164657283466763</v>
          </cell>
          <cell r="S202">
            <v>3.921911080790609</v>
          </cell>
          <cell r="T202">
            <v>4.4457773128017744</v>
          </cell>
          <cell r="V202">
            <v>6.0477531924812613</v>
          </cell>
          <cell r="W202">
            <v>6.0498159198222927</v>
          </cell>
          <cell r="X202">
            <v>5.894989599511324</v>
          </cell>
          <cell r="Z202">
            <v>5.3135992576311075</v>
          </cell>
          <cell r="AB202">
            <v>6.6281771085837464</v>
          </cell>
          <cell r="AC202">
            <v>2.6059960744269848</v>
          </cell>
          <cell r="AD202">
            <v>16.988852988862369</v>
          </cell>
        </row>
        <row r="203">
          <cell r="A203" t="str">
            <v>CGI011-qtz02-CL-fit-2-offset</v>
          </cell>
          <cell r="J203">
            <v>7.7757519283474066</v>
          </cell>
          <cell r="K203">
            <v>8.5205089888351697</v>
          </cell>
          <cell r="L203">
            <v>6.721746180487254</v>
          </cell>
          <cell r="M203">
            <v>7.6343875335801448</v>
          </cell>
          <cell r="N203">
            <v>8.9716631677875736</v>
          </cell>
          <cell r="O203">
            <v>7.3723192423539183</v>
          </cell>
          <cell r="P203">
            <v>5.709227326856948</v>
          </cell>
          <cell r="Q203">
            <v>5.2405830652736674</v>
          </cell>
          <cell r="R203">
            <v>4.5583693849086515</v>
          </cell>
          <cell r="S203">
            <v>3.5358561503267993</v>
          </cell>
          <cell r="T203">
            <v>4.3743498496553803</v>
          </cell>
          <cell r="V203">
            <v>6.4075284677985405</v>
          </cell>
          <cell r="W203">
            <v>6.4013420744011738</v>
          </cell>
          <cell r="X203">
            <v>6.721746180487254</v>
          </cell>
          <cell r="Z203">
            <v>6.1895216276883813</v>
          </cell>
          <cell r="AB203">
            <v>6.1850538645171067</v>
          </cell>
          <cell r="AC203">
            <v>3.7250713827065636</v>
          </cell>
          <cell r="AD203">
            <v>9.1484744857582374</v>
          </cell>
        </row>
        <row r="204">
          <cell r="A204" t="str">
            <v>CGI011-qtz02-CL-fit-3-offset</v>
          </cell>
          <cell r="J204">
            <v>3.3831306109986712</v>
          </cell>
          <cell r="K204">
            <v>2.4593856336182776</v>
          </cell>
          <cell r="L204">
            <v>2.783446636738196</v>
          </cell>
          <cell r="M204">
            <v>2.8876976132773575</v>
          </cell>
          <cell r="N204">
            <v>3.5543995705546276</v>
          </cell>
          <cell r="O204">
            <v>3.2894327320660532</v>
          </cell>
          <cell r="P204">
            <v>2.6914434350239129</v>
          </cell>
          <cell r="Q204">
            <v>3.6999714622646724</v>
          </cell>
          <cell r="R204">
            <v>1.3481896600583847</v>
          </cell>
          <cell r="S204">
            <v>2.3660506360926741</v>
          </cell>
          <cell r="T204">
            <v>2.4565220495782985</v>
          </cell>
          <cell r="V204">
            <v>2.7713693837683122</v>
          </cell>
          <cell r="W204">
            <v>2.8108790945701028</v>
          </cell>
          <cell r="X204">
            <v>2.783446636738196</v>
          </cell>
          <cell r="Z204">
            <v>2.7536748783088552</v>
          </cell>
          <cell r="AB204">
            <v>2.7673955279488216</v>
          </cell>
          <cell r="AC204">
            <v>1.7612857548045779</v>
          </cell>
          <cell r="AD204">
            <v>3.7978428650094731</v>
          </cell>
        </row>
        <row r="205">
          <cell r="A205" t="str">
            <v>CGI011-qtz02-CL-fit-4-offset</v>
          </cell>
          <cell r="J205">
            <v>2.8213810644550197</v>
          </cell>
          <cell r="K205">
            <v>3.4107414794150155</v>
          </cell>
          <cell r="L205">
            <v>2.7488894260098382</v>
          </cell>
          <cell r="M205">
            <v>2.852530064192595</v>
          </cell>
          <cell r="N205">
            <v>3.4215803386280932</v>
          </cell>
          <cell r="O205">
            <v>2.3059766905526735</v>
          </cell>
          <cell r="P205">
            <v>4.1459254711401057</v>
          </cell>
          <cell r="Q205">
            <v>1.876899374394408</v>
          </cell>
          <cell r="R205">
            <v>3.2868768361365697</v>
          </cell>
          <cell r="S205">
            <v>1.7884568774353486</v>
          </cell>
          <cell r="T205">
            <v>2.9660179953147399</v>
          </cell>
          <cell r="V205">
            <v>2.9599905958824202</v>
          </cell>
          <cell r="W205">
            <v>2.8750250561522188</v>
          </cell>
          <cell r="X205">
            <v>2.852530064192595</v>
          </cell>
          <cell r="Z205">
            <v>2.898759177792591</v>
          </cell>
          <cell r="AB205">
            <v>2.8693527058246899</v>
          </cell>
          <cell r="AC205">
            <v>1.5647986701043872</v>
          </cell>
          <cell r="AD205">
            <v>4.2908212992097363</v>
          </cell>
        </row>
        <row r="206">
          <cell r="A206" t="str">
            <v>CGI011-qtz02-CL-fit-5-offset</v>
          </cell>
          <cell r="J206">
            <v>0.85615023972282112</v>
          </cell>
          <cell r="K206">
            <v>1.2006610158827162</v>
          </cell>
          <cell r="L206">
            <v>1.1618729450830374</v>
          </cell>
          <cell r="M206">
            <v>1.0509804011860158</v>
          </cell>
          <cell r="N206">
            <v>1.5337346532678306</v>
          </cell>
          <cell r="O206">
            <v>0.92978587953604441</v>
          </cell>
          <cell r="P206">
            <v>2.1972443596149422</v>
          </cell>
          <cell r="Q206">
            <v>1.6635095852617408</v>
          </cell>
          <cell r="R206">
            <v>2.0185993637948441</v>
          </cell>
          <cell r="S206">
            <v>1.0286608820441447</v>
          </cell>
          <cell r="T206">
            <v>9.7669900103655546E-2</v>
          </cell>
          <cell r="V206">
            <v>1.4793486989260625</v>
          </cell>
          <cell r="W206">
            <v>1.2489881114088903</v>
          </cell>
          <cell r="X206">
            <v>1.1618729450830374</v>
          </cell>
          <cell r="Z206">
            <v>1.3929511756310455</v>
          </cell>
          <cell r="AB206">
            <v>1.4155028551731428</v>
          </cell>
          <cell r="AC206">
            <v>0.25956573586889037</v>
          </cell>
          <cell r="AD206">
            <v>2.7267466377307277</v>
          </cell>
        </row>
        <row r="207">
          <cell r="A207" t="str">
            <v>CGI011-qtz03-CL-fit-1-offset</v>
          </cell>
          <cell r="J207">
            <v>11.229907791917656</v>
          </cell>
          <cell r="K207">
            <v>7.7742652910068717</v>
          </cell>
          <cell r="L207">
            <v>10.798504773758427</v>
          </cell>
          <cell r="M207">
            <v>6.7138874186297945</v>
          </cell>
          <cell r="N207">
            <v>7.314147764603943</v>
          </cell>
          <cell r="O207">
            <v>7.280643594855567</v>
          </cell>
          <cell r="P207">
            <v>6.5961792136527002</v>
          </cell>
          <cell r="Q207">
            <v>5.9448145961832095</v>
          </cell>
          <cell r="R207">
            <v>6.2250697184225929</v>
          </cell>
          <cell r="S207">
            <v>6.5610089860336114</v>
          </cell>
          <cell r="T207">
            <v>7.5291551916652235</v>
          </cell>
          <cell r="V207">
            <v>7.4582458777042291</v>
          </cell>
          <cell r="W207">
            <v>7.6334167582481456</v>
          </cell>
          <cell r="X207">
            <v>7.280643594855567</v>
          </cell>
          <cell r="Z207">
            <v>7.4043318890182928</v>
          </cell>
          <cell r="AB207">
            <v>7.464268981031613</v>
          </cell>
          <cell r="AC207">
            <v>5.7598087818569788</v>
          </cell>
          <cell r="AD207">
            <v>9.4864854979578084</v>
          </cell>
        </row>
        <row r="208">
          <cell r="A208" t="str">
            <v>CGI011-qtz03-CL-fit-2-offset</v>
          </cell>
          <cell r="J208">
            <v>4.5114572787021308</v>
          </cell>
          <cell r="K208">
            <v>6.5230184985654018</v>
          </cell>
          <cell r="L208">
            <v>6.1817166866707138</v>
          </cell>
          <cell r="M208">
            <v>5.088126987573224</v>
          </cell>
          <cell r="N208">
            <v>5.6252761068669077</v>
          </cell>
          <cell r="O208">
            <v>7.032104449068866</v>
          </cell>
          <cell r="P208">
            <v>5.7559917566780445</v>
          </cell>
          <cell r="Q208">
            <v>5.4818963071732254</v>
          </cell>
          <cell r="R208">
            <v>1.8190059050720946</v>
          </cell>
          <cell r="S208">
            <v>7.0488592620396986</v>
          </cell>
          <cell r="T208">
            <v>5.6367811322624739</v>
          </cell>
          <cell r="V208">
            <v>5.7505761440009691</v>
          </cell>
          <cell r="W208">
            <v>5.5185667609702529</v>
          </cell>
          <cell r="X208">
            <v>5.6367811322624739</v>
          </cell>
          <cell r="Z208">
            <v>5.5809154496544711</v>
          </cell>
          <cell r="AB208">
            <v>5.6509897363104509</v>
          </cell>
          <cell r="AC208">
            <v>4.2300419918769032</v>
          </cell>
          <cell r="AD208">
            <v>7.4614300724121208</v>
          </cell>
        </row>
        <row r="209">
          <cell r="A209" t="str">
            <v>CGI011-qtz03-CL-fit-3-offset</v>
          </cell>
          <cell r="J209">
            <v>3.1559386769856452</v>
          </cell>
          <cell r="K209">
            <v>2.4509961249667764</v>
          </cell>
          <cell r="L209">
            <v>2.4799569792744305</v>
          </cell>
          <cell r="M209">
            <v>2.5987704394816271</v>
          </cell>
          <cell r="N209">
            <v>3.5517911601811876</v>
          </cell>
          <cell r="O209">
            <v>3.5684521948241454</v>
          </cell>
          <cell r="P209">
            <v>3.2075071387558136</v>
          </cell>
          <cell r="Q209">
            <v>3.3311303236760992</v>
          </cell>
          <cell r="R209">
            <v>2.8054639396695942</v>
          </cell>
          <cell r="S209">
            <v>3.3040172552328442</v>
          </cell>
          <cell r="T209">
            <v>2.9951732887171518</v>
          </cell>
          <cell r="V209">
            <v>3.0401982295669359</v>
          </cell>
          <cell r="W209">
            <v>3.0408361383423013</v>
          </cell>
          <cell r="X209">
            <v>3.1559386769856452</v>
          </cell>
          <cell r="Z209">
            <v>2.9685955711658041</v>
          </cell>
          <cell r="AB209">
            <v>2.9745152816686469</v>
          </cell>
          <cell r="AC209">
            <v>2.2598834247016542</v>
          </cell>
          <cell r="AD209">
            <v>3.8411037571384021</v>
          </cell>
        </row>
        <row r="210">
          <cell r="A210" t="str">
            <v>CGI011-qtz04-CL-fit-1-offset</v>
          </cell>
          <cell r="J210">
            <v>4.1039876219335634</v>
          </cell>
          <cell r="K210">
            <v>1.9822643286829251</v>
          </cell>
          <cell r="L210">
            <v>2.4091394630302432</v>
          </cell>
          <cell r="M210">
            <v>3.6990174979582737</v>
          </cell>
          <cell r="N210">
            <v>4.9270773893921245</v>
          </cell>
          <cell r="O210">
            <v>2.8989842991612003</v>
          </cell>
          <cell r="P210">
            <v>5.3260633406413387</v>
          </cell>
          <cell r="Q210">
            <v>2.9029429868364263</v>
          </cell>
          <cell r="R210">
            <v>2.9538310472631584</v>
          </cell>
          <cell r="S210">
            <v>3.3705738689896432</v>
          </cell>
          <cell r="T210">
            <v>4.9264323932753129</v>
          </cell>
          <cell r="V210">
            <v>3.3736064090534055</v>
          </cell>
          <cell r="W210">
            <v>3.5909376579240186</v>
          </cell>
          <cell r="X210">
            <v>3.3705738689896432</v>
          </cell>
          <cell r="Z210">
            <v>3.2238402156452528</v>
          </cell>
          <cell r="AB210">
            <v>3.4118003544863451</v>
          </cell>
          <cell r="AC210">
            <v>1.9541598520427523</v>
          </cell>
          <cell r="AD210">
            <v>5.8945624606404801</v>
          </cell>
        </row>
        <row r="211">
          <cell r="A211" t="str">
            <v>CGI011-qtz04-CL-fit-2-offset</v>
          </cell>
          <cell r="J211">
            <v>2.501266553342866</v>
          </cell>
          <cell r="K211">
            <v>2.9743042947368359</v>
          </cell>
          <cell r="L211">
            <v>1.6006068059491103</v>
          </cell>
          <cell r="M211">
            <v>3.1926256015850067</v>
          </cell>
          <cell r="N211">
            <v>2.5261004277966785</v>
          </cell>
          <cell r="O211">
            <v>1.4139128791458584</v>
          </cell>
          <cell r="P211">
            <v>2.3592191051436138</v>
          </cell>
          <cell r="Q211">
            <v>3.1092330094052905</v>
          </cell>
          <cell r="R211">
            <v>4.5536740706750969</v>
          </cell>
          <cell r="S211">
            <v>1.5936054396305788</v>
          </cell>
          <cell r="T211">
            <v>2.6254492555138258</v>
          </cell>
          <cell r="V211">
            <v>2.5113879545485034</v>
          </cell>
          <cell r="W211">
            <v>2.5863634039022507</v>
          </cell>
          <cell r="X211">
            <v>2.5261004277966785</v>
          </cell>
          <cell r="Z211">
            <v>2.4447710441730237</v>
          </cell>
          <cell r="AB211">
            <v>2.4231058369605636</v>
          </cell>
          <cell r="AC211">
            <v>0.38560339054807091</v>
          </cell>
          <cell r="AD211">
            <v>4.0802820672813649</v>
          </cell>
        </row>
        <row r="212">
          <cell r="A212" t="str">
            <v>CGI011-qtz04-CL-fit-3-offset</v>
          </cell>
          <cell r="J212">
            <v>2.7283995468868265</v>
          </cell>
          <cell r="K212">
            <v>3.6567331394829861</v>
          </cell>
          <cell r="L212">
            <v>3.814567315225049</v>
          </cell>
          <cell r="M212">
            <v>3.4779501597544882</v>
          </cell>
          <cell r="N212">
            <v>3.2687420832235472</v>
          </cell>
          <cell r="O212">
            <v>4.0949266936998239</v>
          </cell>
          <cell r="P212">
            <v>3.2746408317535334</v>
          </cell>
          <cell r="Q212">
            <v>3.577498287072312</v>
          </cell>
          <cell r="R212">
            <v>2.7567370376271305</v>
          </cell>
          <cell r="S212">
            <v>2.8065206646327527</v>
          </cell>
          <cell r="T212">
            <v>3.3110779806471751</v>
          </cell>
          <cell r="V212">
            <v>3.3954910131611573</v>
          </cell>
          <cell r="W212">
            <v>3.3425267036368753</v>
          </cell>
          <cell r="X212">
            <v>3.3110779806471751</v>
          </cell>
          <cell r="Z212">
            <v>3.3893530058746557</v>
          </cell>
          <cell r="AB212">
            <v>3.3904262734477673</v>
          </cell>
          <cell r="AC212">
            <v>2.487240612414094</v>
          </cell>
          <cell r="AD212">
            <v>4.4309982494543068</v>
          </cell>
        </row>
        <row r="213">
          <cell r="A213" t="str">
            <v>CGI011-qtz04-CL-fit-4-offset</v>
          </cell>
          <cell r="J213">
            <v>2.1104363823053305</v>
          </cell>
          <cell r="K213">
            <v>2.4465980182114095</v>
          </cell>
          <cell r="L213">
            <v>2.2302050525700441</v>
          </cell>
          <cell r="M213">
            <v>1.7606384120015273</v>
          </cell>
          <cell r="N213">
            <v>2.1763094198438555</v>
          </cell>
          <cell r="O213">
            <v>2.1374608607199219</v>
          </cell>
          <cell r="P213">
            <v>2.6842665381152448</v>
          </cell>
          <cell r="Q213">
            <v>2.4964330937674344</v>
          </cell>
          <cell r="R213">
            <v>0</v>
          </cell>
          <cell r="S213">
            <v>4.0058809631474279</v>
          </cell>
          <cell r="T213">
            <v>4.0008058041427494</v>
          </cell>
          <cell r="V213">
            <v>2.7033840333291983</v>
          </cell>
          <cell r="W213">
            <v>2.6049034544824941</v>
          </cell>
          <cell r="X213">
            <v>2.3384015353907266</v>
          </cell>
          <cell r="Z213">
            <v>2.6529874187234661</v>
          </cell>
          <cell r="AB213">
            <v>2.6836672400725092</v>
          </cell>
          <cell r="AC213">
            <v>1.364691643386712</v>
          </cell>
          <cell r="AD213">
            <v>4.0597903406983944</v>
          </cell>
        </row>
        <row r="214">
          <cell r="A214" t="str">
            <v>CGI011-qtz04-CL-fit-5-offset</v>
          </cell>
          <cell r="J214">
            <v>0.68677265362075468</v>
          </cell>
          <cell r="K214">
            <v>1.3403425766977617</v>
          </cell>
          <cell r="L214">
            <v>0.26482621451613719</v>
          </cell>
          <cell r="M214">
            <v>1.0649749099635037</v>
          </cell>
          <cell r="N214">
            <v>0.6545466041568796</v>
          </cell>
          <cell r="O214">
            <v>1.008512238653561</v>
          </cell>
          <cell r="P214">
            <v>1.5404638595495594</v>
          </cell>
          <cell r="Q214">
            <v>1.2430248746846744</v>
          </cell>
          <cell r="R214">
            <v>0.78468001921068753</v>
          </cell>
          <cell r="S214">
            <v>1.2328468597255784</v>
          </cell>
          <cell r="T214">
            <v>1.176556211845448</v>
          </cell>
          <cell r="V214">
            <v>1.0048963567539158</v>
          </cell>
          <cell r="W214">
            <v>0.99977700205677678</v>
          </cell>
          <cell r="X214">
            <v>1.0649749099635037</v>
          </cell>
          <cell r="Z214">
            <v>0.96469817557313386</v>
          </cell>
          <cell r="AB214">
            <v>0.96679430958298906</v>
          </cell>
          <cell r="AC214">
            <v>0.17320167934338004</v>
          </cell>
          <cell r="AD214">
            <v>1.8807599578589325</v>
          </cell>
        </row>
        <row r="215">
          <cell r="A215" t="str">
            <v>CGI011-qtz05-CL-fit-1-offset</v>
          </cell>
          <cell r="J215">
            <v>4.2242127372196947</v>
          </cell>
          <cell r="K215">
            <v>5.3627854880376624</v>
          </cell>
          <cell r="L215">
            <v>3.6854565035411455</v>
          </cell>
          <cell r="M215">
            <v>5.515287967768006</v>
          </cell>
          <cell r="N215">
            <v>2.730259945515852</v>
          </cell>
          <cell r="O215">
            <v>6.0100441835376985</v>
          </cell>
          <cell r="P215">
            <v>4.7020865439402195</v>
          </cell>
          <cell r="Q215">
            <v>5.3631587074739135</v>
          </cell>
          <cell r="R215">
            <v>4.6118343199580902</v>
          </cell>
          <cell r="S215">
            <v>5.2173783175649753</v>
          </cell>
          <cell r="T215">
            <v>5.2129217889674688</v>
          </cell>
          <cell r="V215">
            <v>4.7229299652230212</v>
          </cell>
          <cell r="W215">
            <v>4.7850387730477033</v>
          </cell>
          <cell r="X215">
            <v>5.2129217889674688</v>
          </cell>
          <cell r="Z215">
            <v>4.4995805408341631</v>
          </cell>
          <cell r="AB215">
            <v>4.3596794532970202</v>
          </cell>
          <cell r="AC215">
            <v>0.3120376030507111</v>
          </cell>
          <cell r="AD215">
            <v>6.5734660960524787</v>
          </cell>
        </row>
        <row r="216">
          <cell r="A216" t="str">
            <v>CGI011-qtz05-CL-fit-2-offset</v>
          </cell>
          <cell r="J216">
            <v>8.0095249347461088</v>
          </cell>
          <cell r="K216">
            <v>5.9019525034456786</v>
          </cell>
          <cell r="L216">
            <v>5.2992477987101054</v>
          </cell>
          <cell r="M216">
            <v>5.8900079653911881</v>
          </cell>
          <cell r="N216">
            <v>7.2806986351703316</v>
          </cell>
          <cell r="O216">
            <v>5.5333153934213195</v>
          </cell>
          <cell r="P216">
            <v>6.1469354020023497</v>
          </cell>
          <cell r="Q216">
            <v>5.5377825972288743</v>
          </cell>
          <cell r="R216">
            <v>5.8191470718875635</v>
          </cell>
          <cell r="S216">
            <v>5.3965888178910584</v>
          </cell>
          <cell r="T216">
            <v>5.1975165383193866</v>
          </cell>
          <cell r="V216">
            <v>5.9056784941514229</v>
          </cell>
          <cell r="W216">
            <v>6.0011561507467235</v>
          </cell>
          <cell r="X216">
            <v>5.8191470718875635</v>
          </cell>
          <cell r="Z216">
            <v>5.9212578778287925</v>
          </cell>
          <cell r="AB216">
            <v>6.0546434804843621</v>
          </cell>
          <cell r="AC216">
            <v>4.9632634987731343</v>
          </cell>
          <cell r="AD216">
            <v>8.5305023718428874</v>
          </cell>
        </row>
        <row r="217">
          <cell r="A217" t="str">
            <v>CGI011-qtz05-CL-fit-3-offset</v>
          </cell>
          <cell r="J217">
            <v>5.0632367287972722</v>
          </cell>
          <cell r="K217">
            <v>3.8883254007262176</v>
          </cell>
          <cell r="L217">
            <v>3.6274343994453169</v>
          </cell>
          <cell r="M217">
            <v>3.8157524408388035</v>
          </cell>
          <cell r="N217">
            <v>4.3152335514648827</v>
          </cell>
          <cell r="O217">
            <v>2.6034889204745393</v>
          </cell>
          <cell r="P217">
            <v>3.9908516754296675</v>
          </cell>
          <cell r="Q217">
            <v>4.8335216812524591</v>
          </cell>
          <cell r="R217">
            <v>4.5116804640947592</v>
          </cell>
          <cell r="S217">
            <v>4.5510130500963548</v>
          </cell>
          <cell r="T217">
            <v>5.5759719690241543</v>
          </cell>
          <cell r="V217">
            <v>4.2640840873889392</v>
          </cell>
          <cell r="W217">
            <v>4.2524100256040382</v>
          </cell>
          <cell r="X217">
            <v>4.3152335514648827</v>
          </cell>
          <cell r="Z217">
            <v>4.2192244688129978</v>
          </cell>
          <cell r="AB217">
            <v>4.2273157515593995</v>
          </cell>
          <cell r="AC217">
            <v>2.7075077725390178</v>
          </cell>
          <cell r="AD217">
            <v>5.8480380705126045</v>
          </cell>
        </row>
        <row r="218">
          <cell r="A218" t="str">
            <v>CGI011-qtz05-CL-fit-4-offset</v>
          </cell>
          <cell r="J218">
            <v>2.9576814239274305</v>
          </cell>
          <cell r="K218">
            <v>2.9194642836551661</v>
          </cell>
          <cell r="L218">
            <v>2.0988824946330387</v>
          </cell>
          <cell r="M218">
            <v>1.2750640544316629</v>
          </cell>
          <cell r="N218">
            <v>3.1942468815435858</v>
          </cell>
          <cell r="O218">
            <v>2.1869990941203139</v>
          </cell>
          <cell r="P218">
            <v>2.5148672160974321</v>
          </cell>
          <cell r="Q218">
            <v>2.1628268886645499</v>
          </cell>
          <cell r="R218">
            <v>1.4754446212114392</v>
          </cell>
          <cell r="S218">
            <v>1.3833671431892722</v>
          </cell>
          <cell r="T218">
            <v>2.6536339748687912</v>
          </cell>
          <cell r="V218">
            <v>2.4057020869646406</v>
          </cell>
          <cell r="W218">
            <v>2.256588916031153</v>
          </cell>
          <cell r="X218">
            <v>2.1869990941203139</v>
          </cell>
          <cell r="Z218">
            <v>2.3393075064649103</v>
          </cell>
          <cell r="AB218">
            <v>2.3546541741175742</v>
          </cell>
          <cell r="AC218">
            <v>0.99139656466943071</v>
          </cell>
          <cell r="AD218">
            <v>3.8241398958804043</v>
          </cell>
        </row>
        <row r="219">
          <cell r="A219" t="str">
            <v>CGI011-qtz05-CL-fit-5-offset</v>
          </cell>
          <cell r="J219">
            <v>2.2782431670713965</v>
          </cell>
          <cell r="K219">
            <v>2.3989401806700079</v>
          </cell>
          <cell r="L219">
            <v>2.0063960712393869</v>
          </cell>
          <cell r="M219">
            <v>2.1265990107352648</v>
          </cell>
          <cell r="N219">
            <v>2.7808810228423972</v>
          </cell>
          <cell r="O219">
            <v>2.561088635912288</v>
          </cell>
          <cell r="P219">
            <v>2.0074615685254349</v>
          </cell>
          <cell r="Q219">
            <v>2.433544405248798</v>
          </cell>
          <cell r="R219">
            <v>1.670560468562355</v>
          </cell>
          <cell r="S219">
            <v>2.518885203122343</v>
          </cell>
          <cell r="T219">
            <v>2.7237011088775063</v>
          </cell>
          <cell r="V219">
            <v>2.3500412206295422</v>
          </cell>
          <cell r="W219">
            <v>2.3187546220733797</v>
          </cell>
          <cell r="X219">
            <v>2.3989401806700079</v>
          </cell>
          <cell r="Z219">
            <v>2.3309744017013756</v>
          </cell>
          <cell r="AB219">
            <v>2.30487926178888</v>
          </cell>
          <cell r="AC219">
            <v>1.2880843090940131</v>
          </cell>
          <cell r="AD219">
            <v>3.2218057273194649</v>
          </cell>
        </row>
        <row r="220">
          <cell r="A220" t="str">
            <v>CGI011-qtz06-CL-fit-1-offset</v>
          </cell>
          <cell r="J220">
            <v>10.64119183856825</v>
          </cell>
          <cell r="K220">
            <v>11.450800376110482</v>
          </cell>
          <cell r="L220">
            <v>9.9918595556990653</v>
          </cell>
          <cell r="M220">
            <v>12.209001003724302</v>
          </cell>
          <cell r="N220">
            <v>12.411220642785034</v>
          </cell>
          <cell r="O220">
            <v>12.745875159793249</v>
          </cell>
          <cell r="P220">
            <v>11.518663135889849</v>
          </cell>
          <cell r="Q220">
            <v>10.500824114981912</v>
          </cell>
          <cell r="R220">
            <v>12.581180065926924</v>
          </cell>
          <cell r="S220">
            <v>11.714775261132637</v>
          </cell>
          <cell r="T220">
            <v>10.635302083264291</v>
          </cell>
          <cell r="V220">
            <v>11.525562336223478</v>
          </cell>
          <cell r="W220">
            <v>11.490972112534182</v>
          </cell>
          <cell r="X220">
            <v>11.518663135889849</v>
          </cell>
          <cell r="Z220">
            <v>11.495325822322716</v>
          </cell>
          <cell r="AB220">
            <v>11.574319202125302</v>
          </cell>
          <cell r="AC220">
            <v>9.3037180468122838</v>
          </cell>
          <cell r="AD220">
            <v>14.257713222645783</v>
          </cell>
        </row>
        <row r="221">
          <cell r="A221" t="str">
            <v>CGI011-qtz06-CL-fit-2-offset</v>
          </cell>
          <cell r="J221">
            <v>6.2012765170495507</v>
          </cell>
          <cell r="K221">
            <v>6.2096533356843322</v>
          </cell>
          <cell r="L221">
            <v>5.8087418379253428</v>
          </cell>
          <cell r="M221">
            <v>6.7115260000578054</v>
          </cell>
          <cell r="N221">
            <v>6.350394268349782</v>
          </cell>
          <cell r="O221">
            <v>7.0153568959478383</v>
          </cell>
          <cell r="P221">
            <v>6.6451341770627304</v>
          </cell>
          <cell r="Q221">
            <v>7.216961179015521</v>
          </cell>
          <cell r="R221">
            <v>6.083095545674106</v>
          </cell>
          <cell r="S221">
            <v>6.5340029615764355</v>
          </cell>
          <cell r="T221">
            <v>6.3209901717500232</v>
          </cell>
          <cell r="V221">
            <v>6.5045953994600172</v>
          </cell>
          <cell r="W221">
            <v>6.4633757172812238</v>
          </cell>
          <cell r="X221">
            <v>6.350394268349782</v>
          </cell>
          <cell r="Z221">
            <v>6.440709973209966</v>
          </cell>
          <cell r="AB221">
            <v>6.5003167779288002</v>
          </cell>
          <cell r="AC221">
            <v>5.182022920058226</v>
          </cell>
          <cell r="AD221">
            <v>8.0424719392717456</v>
          </cell>
        </row>
        <row r="222">
          <cell r="A222" t="str">
            <v>CGI011-qtz06-CL-fit-3-offset</v>
          </cell>
          <cell r="J222">
            <v>3.5641338072316198</v>
          </cell>
          <cell r="K222">
            <v>3.1503529372312054</v>
          </cell>
          <cell r="L222">
            <v>2.6260534559512529</v>
          </cell>
          <cell r="M222">
            <v>3.3693061932729718</v>
          </cell>
          <cell r="N222">
            <v>4.3659942201878525</v>
          </cell>
          <cell r="O222">
            <v>3.285575398894153</v>
          </cell>
          <cell r="P222">
            <v>4.3872362845261819</v>
          </cell>
          <cell r="Q222">
            <v>3.568722838499597</v>
          </cell>
          <cell r="R222">
            <v>3.6705407035679807</v>
          </cell>
          <cell r="S222">
            <v>3.3936602510566298</v>
          </cell>
          <cell r="T222">
            <v>4.3237463168307366</v>
          </cell>
          <cell r="V222">
            <v>3.592724136951289</v>
          </cell>
          <cell r="W222">
            <v>3.6095747642954708</v>
          </cell>
          <cell r="X222">
            <v>3.5641338072316198</v>
          </cell>
          <cell r="Z222">
            <v>3.5433923289141864</v>
          </cell>
          <cell r="AB222">
            <v>3.5476399807202892</v>
          </cell>
          <cell r="AC222">
            <v>2.4707952657741918</v>
          </cell>
          <cell r="AD222">
            <v>4.5571183692086077</v>
          </cell>
        </row>
        <row r="223">
          <cell r="A223" t="str">
            <v>CGI011-qtz06-CL-fit-4-offset</v>
          </cell>
          <cell r="J223">
            <v>2.7202476779935534</v>
          </cell>
          <cell r="K223">
            <v>2.2427832163675392</v>
          </cell>
          <cell r="L223">
            <v>2.9704678114829131</v>
          </cell>
          <cell r="M223">
            <v>3.186233271267283</v>
          </cell>
          <cell r="N223">
            <v>3.8553304060305167</v>
          </cell>
          <cell r="O223">
            <v>1.8539792078965796</v>
          </cell>
          <cell r="P223">
            <v>3.3331282722499456</v>
          </cell>
          <cell r="Q223">
            <v>2.5479932652106094</v>
          </cell>
          <cell r="R223">
            <v>3.3195066762570073</v>
          </cell>
          <cell r="S223">
            <v>2.5229094214985035</v>
          </cell>
          <cell r="T223">
            <v>3.8723779429768821</v>
          </cell>
          <cell r="V223">
            <v>3.0313261099758892</v>
          </cell>
          <cell r="W223">
            <v>2.9477233790210304</v>
          </cell>
          <cell r="X223">
            <v>2.9704678114829131</v>
          </cell>
          <cell r="Z223">
            <v>2.9377688972412095</v>
          </cell>
          <cell r="AB223">
            <v>2.944526471294675</v>
          </cell>
          <cell r="AC223">
            <v>1.7410638670596497</v>
          </cell>
          <cell r="AD223">
            <v>4.2952180327458871</v>
          </cell>
        </row>
        <row r="224">
          <cell r="A224" t="str">
            <v>CGI011-qtz07-CL-fit-1-offset</v>
          </cell>
          <cell r="J224">
            <v>5.5835409937771612</v>
          </cell>
          <cell r="K224">
            <v>5.3456292384685025</v>
          </cell>
          <cell r="L224">
            <v>6.223116231209711</v>
          </cell>
          <cell r="M224">
            <v>5.1989018228999546</v>
          </cell>
          <cell r="N224">
            <v>6.1555694875697453</v>
          </cell>
          <cell r="O224">
            <v>4.1932475405054808</v>
          </cell>
          <cell r="P224">
            <v>5.0103016923743535</v>
          </cell>
          <cell r="Q224">
            <v>5.60310199772535</v>
          </cell>
          <cell r="R224">
            <v>4.7333239073643618</v>
          </cell>
          <cell r="S224">
            <v>4.9524750193072435</v>
          </cell>
          <cell r="T224">
            <v>4.553908369907278</v>
          </cell>
          <cell r="V224">
            <v>5.1703015318778478</v>
          </cell>
          <cell r="W224">
            <v>5.2321014819190133</v>
          </cell>
          <cell r="X224">
            <v>5.1989018228999546</v>
          </cell>
          <cell r="Z224">
            <v>5.1084674583166958</v>
          </cell>
          <cell r="AB224">
            <v>5.1596291121427882</v>
          </cell>
          <cell r="AC224">
            <v>3.9761606683900208</v>
          </cell>
          <cell r="AD224">
            <v>6.7554721671718925</v>
          </cell>
        </row>
        <row r="225">
          <cell r="A225" t="str">
            <v>CGI011-qtz07-CL-fit-2-offset</v>
          </cell>
          <cell r="J225">
            <v>3.3300296929630724</v>
          </cell>
          <cell r="K225">
            <v>4.3587015408959484</v>
          </cell>
          <cell r="L225">
            <v>3.5376044745527992</v>
          </cell>
          <cell r="M225">
            <v>3.4197810416895438</v>
          </cell>
          <cell r="N225">
            <v>4.4962733650940425</v>
          </cell>
          <cell r="O225">
            <v>4.0135797411924745</v>
          </cell>
          <cell r="P225">
            <v>3.7362774563490793</v>
          </cell>
          <cell r="Q225">
            <v>2.857346535796216</v>
          </cell>
          <cell r="R225">
            <v>2.6565783705200419</v>
          </cell>
          <cell r="S225">
            <v>3.4483202699613464</v>
          </cell>
          <cell r="T225">
            <v>3.3726184090522411</v>
          </cell>
          <cell r="V225">
            <v>3.5333140861587409</v>
          </cell>
          <cell r="W225">
            <v>3.5661009907333461</v>
          </cell>
          <cell r="X225">
            <v>3.4483202699613464</v>
          </cell>
          <cell r="Z225">
            <v>3.5055605464656248</v>
          </cell>
          <cell r="AB225">
            <v>3.5085114208360606</v>
          </cell>
          <cell r="AC225">
            <v>2.4957081367021927</v>
          </cell>
          <cell r="AD225">
            <v>4.7182674999999996</v>
          </cell>
        </row>
        <row r="226">
          <cell r="A226" t="str">
            <v>CGI011-qtz07-CL-fit-3-offset</v>
          </cell>
          <cell r="J226">
            <v>4.207034478656829</v>
          </cell>
          <cell r="K226">
            <v>3.6766306463948899</v>
          </cell>
          <cell r="L226">
            <v>3.1988921182890286</v>
          </cell>
          <cell r="M226">
            <v>3.2565757538063345</v>
          </cell>
          <cell r="N226">
            <v>2.1878605614799307</v>
          </cell>
          <cell r="O226">
            <v>4.1244569835576446</v>
          </cell>
          <cell r="P226">
            <v>3.3565271563207477</v>
          </cell>
          <cell r="Q226">
            <v>2.7324246770820273</v>
          </cell>
          <cell r="R226">
            <v>3.5309770893165831</v>
          </cell>
          <cell r="S226">
            <v>3.2137215614640069</v>
          </cell>
          <cell r="T226">
            <v>3.4250183702059838</v>
          </cell>
          <cell r="V226">
            <v>3.321415577717814</v>
          </cell>
          <cell r="W226">
            <v>3.355465399688546</v>
          </cell>
          <cell r="X226">
            <v>3.3565271563207477</v>
          </cell>
          <cell r="Z226">
            <v>3.2882358704940349</v>
          </cell>
          <cell r="AB226">
            <v>3.2837775378733682</v>
          </cell>
          <cell r="AC226">
            <v>2.2176795234990485</v>
          </cell>
          <cell r="AD226">
            <v>4.1952534451452967</v>
          </cell>
        </row>
        <row r="227">
          <cell r="A227" t="str">
            <v>CGI011-qtz08-CL-fit-1-offset</v>
          </cell>
          <cell r="J227">
            <v>0</v>
          </cell>
          <cell r="K227">
            <v>5.0088716011140804</v>
          </cell>
          <cell r="L227">
            <v>6.8761457709155485</v>
          </cell>
          <cell r="M227">
            <v>6.6532783543459884</v>
          </cell>
          <cell r="N227">
            <v>6.708896119612576</v>
          </cell>
          <cell r="O227">
            <v>3.9525264829865128</v>
          </cell>
          <cell r="P227">
            <v>5.9427588897353001</v>
          </cell>
          <cell r="Q227">
            <v>3.3726469989876393</v>
          </cell>
          <cell r="R227">
            <v>4.2625391909765646</v>
          </cell>
          <cell r="S227">
            <v>4.2810250651200938</v>
          </cell>
          <cell r="T227">
            <v>0</v>
          </cell>
          <cell r="V227">
            <v>5.0180150336815084</v>
          </cell>
          <cell r="W227">
            <v>5.2287431637549231</v>
          </cell>
          <cell r="X227">
            <v>5.0088716011140804</v>
          </cell>
          <cell r="Z227">
            <v>4.9657936716594921</v>
          </cell>
          <cell r="AB227">
            <v>6.022840001122761</v>
          </cell>
          <cell r="AC227">
            <v>2.1769664760579621</v>
          </cell>
          <cell r="AD227">
            <v>15.360702509229846</v>
          </cell>
        </row>
        <row r="228">
          <cell r="A228" t="str">
            <v>CGI011-qtz08-CL-fit-2-offset</v>
          </cell>
          <cell r="J228">
            <v>14.128379002799184</v>
          </cell>
          <cell r="K228">
            <v>13.466465614098279</v>
          </cell>
          <cell r="L228">
            <v>14.974651129538898</v>
          </cell>
          <cell r="M228">
            <v>16.892007649124146</v>
          </cell>
          <cell r="N228">
            <v>14.196453425435735</v>
          </cell>
          <cell r="O228">
            <v>12.920479194975725</v>
          </cell>
          <cell r="P228">
            <v>16.578275211145641</v>
          </cell>
          <cell r="Q228">
            <v>13.375557084349055</v>
          </cell>
          <cell r="R228">
            <v>11.901389066111536</v>
          </cell>
          <cell r="S228">
            <v>13.587863193017256</v>
          </cell>
          <cell r="T228">
            <v>11.5046403588067</v>
          </cell>
          <cell r="V228">
            <v>13.880560480412946</v>
          </cell>
          <cell r="W228">
            <v>13.956923720854745</v>
          </cell>
          <cell r="X228">
            <v>13.587863193017256</v>
          </cell>
          <cell r="Z228">
            <v>13.782839001097075</v>
          </cell>
          <cell r="AB228">
            <v>13.928062980010589</v>
          </cell>
          <cell r="AC228">
            <v>11.424950981921373</v>
          </cell>
          <cell r="AD228">
            <v>16.733537403061373</v>
          </cell>
        </row>
        <row r="229">
          <cell r="A229" t="str">
            <v>CGI011-qtz08-CL-fit-3-offset</v>
          </cell>
          <cell r="J229">
            <v>4.4819838396771754</v>
          </cell>
          <cell r="K229">
            <v>4.5574115348106741</v>
          </cell>
          <cell r="L229">
            <v>3.9312734176927115</v>
          </cell>
          <cell r="M229">
            <v>5.6237615389191733</v>
          </cell>
          <cell r="N229">
            <v>5.650343795608161</v>
          </cell>
          <cell r="O229">
            <v>4.6661299094763748</v>
          </cell>
          <cell r="P229">
            <v>6.2244314369811686</v>
          </cell>
          <cell r="Q229">
            <v>5.3379837926596982</v>
          </cell>
          <cell r="R229">
            <v>6.1460344427333871</v>
          </cell>
          <cell r="S229">
            <v>6.5191997527981869</v>
          </cell>
          <cell r="T229">
            <v>5.3701632986405539</v>
          </cell>
          <cell r="V229">
            <v>5.3374091150160332</v>
          </cell>
          <cell r="W229">
            <v>5.3189742509088429</v>
          </cell>
          <cell r="X229">
            <v>5.3701632986405539</v>
          </cell>
          <cell r="Z229">
            <v>5.3978197076221246</v>
          </cell>
          <cell r="AB229">
            <v>5.3336550817021804</v>
          </cell>
          <cell r="AC229">
            <v>4.1315329007270263</v>
          </cell>
          <cell r="AD229">
            <v>6.5445870320771391</v>
          </cell>
        </row>
        <row r="230">
          <cell r="A230" t="str">
            <v>CGI011-qtz08-CL-fit-4-offset</v>
          </cell>
          <cell r="J230">
            <v>2.5616523413568744</v>
          </cell>
          <cell r="K230">
            <v>2.3819698404196186</v>
          </cell>
          <cell r="L230">
            <v>2.1873727788921502</v>
          </cell>
          <cell r="M230">
            <v>2.6720010189142513</v>
          </cell>
          <cell r="N230">
            <v>2.2480093388942786</v>
          </cell>
          <cell r="O230">
            <v>1.704061261326425</v>
          </cell>
          <cell r="P230">
            <v>1.7482382870668829</v>
          </cell>
          <cell r="Q230">
            <v>2.1040509279451243</v>
          </cell>
          <cell r="R230">
            <v>1.4779343614613454</v>
          </cell>
          <cell r="S230">
            <v>1.7345541373329767</v>
          </cell>
          <cell r="T230">
            <v>2.0781065061427602</v>
          </cell>
          <cell r="V230">
            <v>2.0954744886956269</v>
          </cell>
          <cell r="W230">
            <v>2.0816318908866078</v>
          </cell>
          <cell r="X230">
            <v>2.1040509279451243</v>
          </cell>
          <cell r="Z230">
            <v>2.0359110611352706</v>
          </cell>
          <cell r="AB230">
            <v>2.0349647866613152</v>
          </cell>
          <cell r="AC230">
            <v>0.8836674532869554</v>
          </cell>
          <cell r="AD230">
            <v>3.0445283305236388</v>
          </cell>
        </row>
        <row r="231">
          <cell r="A231" t="str">
            <v>CGI011-qtz08-CL-fit-5-offset</v>
          </cell>
          <cell r="J231">
            <v>3.6301112854653521</v>
          </cell>
          <cell r="K231">
            <v>3.9586669446055947</v>
          </cell>
          <cell r="L231">
            <v>4.6051707342028321</v>
          </cell>
          <cell r="M231">
            <v>4.9950856504143815</v>
          </cell>
          <cell r="N231">
            <v>5.3692580247567543</v>
          </cell>
          <cell r="O231">
            <v>5.0415806512857166</v>
          </cell>
          <cell r="P231">
            <v>3.8846703878931454</v>
          </cell>
          <cell r="Q231">
            <v>4.6969582879089957</v>
          </cell>
          <cell r="R231">
            <v>4.7661192532671866</v>
          </cell>
          <cell r="S231">
            <v>3.804749778705022</v>
          </cell>
          <cell r="T231">
            <v>4.6033563049011059</v>
          </cell>
          <cell r="V231">
            <v>4.4071124980130172</v>
          </cell>
          <cell r="W231">
            <v>4.4868843003096437</v>
          </cell>
          <cell r="X231">
            <v>4.6051707342028321</v>
          </cell>
          <cell r="Z231">
            <v>4.3157357352859513</v>
          </cell>
          <cell r="AB231">
            <v>4.3860308107721515</v>
          </cell>
          <cell r="AC231">
            <v>3.2190486874017488</v>
          </cell>
          <cell r="AD231">
            <v>5.7555660003009486</v>
          </cell>
        </row>
        <row r="232">
          <cell r="A232" t="str">
            <v>CGI011-qtz09-CL-fit-1-offset</v>
          </cell>
          <cell r="J232">
            <v>3.5812320105333981</v>
          </cell>
          <cell r="K232">
            <v>3.84349657717955</v>
          </cell>
          <cell r="L232">
            <v>3.31242875521006</v>
          </cell>
          <cell r="M232">
            <v>0</v>
          </cell>
          <cell r="N232">
            <v>5.3434887811128151</v>
          </cell>
          <cell r="O232">
            <v>5.2609639360006861</v>
          </cell>
          <cell r="P232">
            <v>0.84100125055118891</v>
          </cell>
          <cell r="Q232">
            <v>1.6693134478057299</v>
          </cell>
          <cell r="R232">
            <v>6.4191986064513014</v>
          </cell>
          <cell r="S232">
            <v>6.0081274832773346</v>
          </cell>
          <cell r="T232">
            <v>4.6181420178158517</v>
          </cell>
          <cell r="V232">
            <v>4.122733792773742</v>
          </cell>
          <cell r="W232">
            <v>4.0897392865937912</v>
          </cell>
          <cell r="X232">
            <v>4.2308192974977006</v>
          </cell>
          <cell r="Z232">
            <v>3.9617470012605693</v>
          </cell>
          <cell r="AB232">
            <v>4.1878916628717411</v>
          </cell>
          <cell r="AC232">
            <v>0.34922544618007806</v>
          </cell>
          <cell r="AD232">
            <v>9.1250149450401654</v>
          </cell>
        </row>
        <row r="233">
          <cell r="A233" t="str">
            <v>CGI011-qtz09-CL-fit-2-offset</v>
          </cell>
          <cell r="J233">
            <v>8.5541292947166188</v>
          </cell>
          <cell r="K233">
            <v>6.6612391094410226</v>
          </cell>
          <cell r="L233">
            <v>8.2025051852065065</v>
          </cell>
          <cell r="M233">
            <v>4.9280540128644779</v>
          </cell>
          <cell r="N233">
            <v>6.7876154689764192</v>
          </cell>
          <cell r="O233">
            <v>4.6900320271348992</v>
          </cell>
          <cell r="P233">
            <v>5.6055305234424413</v>
          </cell>
          <cell r="Q233">
            <v>6.5454457512819229</v>
          </cell>
          <cell r="R233">
            <v>6.1834302787073838</v>
          </cell>
          <cell r="S233">
            <v>3.5908081500465463</v>
          </cell>
          <cell r="T233">
            <v>0</v>
          </cell>
          <cell r="V233">
            <v>6.0968604587792434</v>
          </cell>
          <cell r="W233">
            <v>6.1748789801818242</v>
          </cell>
          <cell r="X233">
            <v>6.3644380149946533</v>
          </cell>
          <cell r="Z233">
            <v>5.875697535850942</v>
          </cell>
          <cell r="AB233">
            <v>6.2193491835186387</v>
          </cell>
          <cell r="AC233">
            <v>3.6449458907822194</v>
          </cell>
          <cell r="AD233">
            <v>10.272491900079512</v>
          </cell>
        </row>
        <row r="234">
          <cell r="A234" t="str">
            <v>CGI011-qtz09-CL-fit-3-offset</v>
          </cell>
          <cell r="J234">
            <v>5.1388789398024537</v>
          </cell>
          <cell r="K234">
            <v>6.6507042639134095</v>
          </cell>
          <cell r="L234">
            <v>3.610147291824823</v>
          </cell>
          <cell r="M234">
            <v>4.3707981782030147</v>
          </cell>
          <cell r="N234">
            <v>4.0910622803438503</v>
          </cell>
          <cell r="O234">
            <v>3.4119855874509066</v>
          </cell>
          <cell r="P234">
            <v>5.4153361499947366</v>
          </cell>
          <cell r="Q234">
            <v>4.0563510304731905</v>
          </cell>
          <cell r="R234">
            <v>3.7198004170787944</v>
          </cell>
          <cell r="S234">
            <v>3.7610075694063916</v>
          </cell>
          <cell r="T234">
            <v>4.0873427588499949</v>
          </cell>
          <cell r="V234">
            <v>4.3508277458505678</v>
          </cell>
          <cell r="W234">
            <v>4.3921285879401424</v>
          </cell>
          <cell r="X234">
            <v>4.0873427588499949</v>
          </cell>
          <cell r="Z234">
            <v>4.3124661364384327</v>
          </cell>
          <cell r="AB234">
            <v>4.3600480244735884</v>
          </cell>
          <cell r="AC234">
            <v>2.9761767153802778</v>
          </cell>
          <cell r="AD234">
            <v>6.2753541693012167</v>
          </cell>
        </row>
        <row r="235">
          <cell r="A235" t="str">
            <v>CGI011-qtz09-CL-fit-4-offset</v>
          </cell>
          <cell r="J235">
            <v>4.4559626329709969</v>
          </cell>
          <cell r="K235">
            <v>2.7441200993850243</v>
          </cell>
          <cell r="L235">
            <v>1.6653877362506246</v>
          </cell>
          <cell r="M235">
            <v>2.9949428621038989</v>
          </cell>
          <cell r="N235">
            <v>1.8014637274153382</v>
          </cell>
          <cell r="O235">
            <v>3.5800922430979285</v>
          </cell>
          <cell r="P235">
            <v>2.8934717095682685</v>
          </cell>
          <cell r="Q235">
            <v>4.4316159632539582</v>
          </cell>
          <cell r="R235">
            <v>5.4744239123004022</v>
          </cell>
          <cell r="S235">
            <v>2.5368569300973274</v>
          </cell>
          <cell r="T235">
            <v>2.6524355731258087</v>
          </cell>
          <cell r="V235">
            <v>3.1818753905481478</v>
          </cell>
          <cell r="W235">
            <v>3.2027975808699609</v>
          </cell>
          <cell r="X235">
            <v>2.8934717095682685</v>
          </cell>
          <cell r="Z235">
            <v>3.1651045999999998</v>
          </cell>
          <cell r="AB235">
            <v>3.1301304339965332</v>
          </cell>
          <cell r="AC235">
            <v>1.192482154430007</v>
          </cell>
          <cell r="AD235">
            <v>4.7738228303490198</v>
          </cell>
        </row>
        <row r="236">
          <cell r="A236" t="str">
            <v>CGI011-qtz11-CL-fit-1-offset</v>
          </cell>
          <cell r="J236">
            <v>5.0241874692656072</v>
          </cell>
          <cell r="K236">
            <v>5.7063151242628214</v>
          </cell>
          <cell r="L236">
            <v>6.0383639613318474</v>
          </cell>
          <cell r="M236">
            <v>7.5814499095724983</v>
          </cell>
          <cell r="N236">
            <v>7.8851668078598118</v>
          </cell>
          <cell r="O236">
            <v>7.6227220423741766</v>
          </cell>
          <cell r="P236">
            <v>8.9606285162931769</v>
          </cell>
          <cell r="Q236">
            <v>8.8139312008493533</v>
          </cell>
          <cell r="R236">
            <v>8.9433147969282132</v>
          </cell>
          <cell r="S236">
            <v>9.5694093123905475</v>
          </cell>
          <cell r="T236">
            <v>7.8425016650233204</v>
          </cell>
          <cell r="V236">
            <v>7.4554487316085947</v>
          </cell>
          <cell r="W236">
            <v>7.6352718914683066</v>
          </cell>
          <cell r="X236">
            <v>7.8425016650233204</v>
          </cell>
          <cell r="Z236">
            <v>7.4118510990446893</v>
          </cell>
          <cell r="AB236">
            <v>7.4363371009739145</v>
          </cell>
          <cell r="AC236">
            <v>5.9038636001372353</v>
          </cell>
          <cell r="AD236">
            <v>8.9900484578063509</v>
          </cell>
        </row>
        <row r="237">
          <cell r="A237" t="str">
            <v>CGI011-qtz11-CL-fit-2-offset</v>
          </cell>
          <cell r="J237">
            <v>6.7177070587026968</v>
          </cell>
          <cell r="K237">
            <v>4.9818165681872024</v>
          </cell>
          <cell r="L237">
            <v>5.3668157551751818</v>
          </cell>
          <cell r="M237">
            <v>5.7948628937463722</v>
          </cell>
          <cell r="N237">
            <v>5.7786825332016134</v>
          </cell>
          <cell r="O237">
            <v>5.3194136832227121</v>
          </cell>
          <cell r="P237">
            <v>5.3805412131677111</v>
          </cell>
          <cell r="Q237">
            <v>4.6629186673262497</v>
          </cell>
          <cell r="R237">
            <v>5.4797011277723406</v>
          </cell>
          <cell r="S237">
            <v>5.1956707022512187</v>
          </cell>
          <cell r="T237">
            <v>5.6314458926435993</v>
          </cell>
          <cell r="V237">
            <v>5.4816758591748318</v>
          </cell>
          <cell r="W237">
            <v>5.4826887359451737</v>
          </cell>
          <cell r="X237">
            <v>5.3805412131677111</v>
          </cell>
          <cell r="Z237">
            <v>5.532450770826042</v>
          </cell>
          <cell r="AB237">
            <v>5.516324688586332</v>
          </cell>
          <cell r="AC237">
            <v>4.6367248608551979</v>
          </cell>
          <cell r="AD237">
            <v>6.424745732130579</v>
          </cell>
        </row>
        <row r="238">
          <cell r="A238" t="str">
            <v>CGI011-qtz11-CL-fit-3-offset</v>
          </cell>
          <cell r="J238">
            <v>4.9452009801715375</v>
          </cell>
          <cell r="K238">
            <v>4.0125606114433641</v>
          </cell>
          <cell r="L238">
            <v>4.4498561515976318</v>
          </cell>
          <cell r="M238">
            <v>3.8731085271238315</v>
          </cell>
          <cell r="N238">
            <v>4.1951427022696777</v>
          </cell>
          <cell r="O238">
            <v>4.3522782859857481</v>
          </cell>
          <cell r="P238">
            <v>4.5656797763088255</v>
          </cell>
          <cell r="Q238">
            <v>4.4911117414785986</v>
          </cell>
          <cell r="R238">
            <v>3.2595093439980332</v>
          </cell>
          <cell r="S238">
            <v>4.0186707545064815</v>
          </cell>
          <cell r="T238">
            <v>3.7262302615512137</v>
          </cell>
          <cell r="V238">
            <v>4.2453052001103746</v>
          </cell>
          <cell r="W238">
            <v>4.1717590124031769</v>
          </cell>
          <cell r="X238">
            <v>4.1951427022696777</v>
          </cell>
          <cell r="Z238">
            <v>4.2738822753333832</v>
          </cell>
          <cell r="AB238">
            <v>4.2531189150842046</v>
          </cell>
          <cell r="AC238">
            <v>3.1054152127511592</v>
          </cell>
          <cell r="AD238">
            <v>5.4305082374560953</v>
          </cell>
        </row>
        <row r="239">
          <cell r="A239" t="str">
            <v>CGI011-qtz11-CL-fit-4-offset</v>
          </cell>
          <cell r="J239">
            <v>2.938684839918341</v>
          </cell>
          <cell r="K239">
            <v>2.67533400400692</v>
          </cell>
          <cell r="L239">
            <v>2.5241368539077671</v>
          </cell>
          <cell r="M239">
            <v>2.6288615918135609</v>
          </cell>
          <cell r="N239">
            <v>0.97244189711637297</v>
          </cell>
          <cell r="O239">
            <v>0.61454247030220921</v>
          </cell>
          <cell r="P239">
            <v>1.3058460670799621</v>
          </cell>
          <cell r="Q239">
            <v>1.8533623963017203</v>
          </cell>
          <cell r="R239">
            <v>2.4045500780553417</v>
          </cell>
          <cell r="S239">
            <v>2.2133806855208955</v>
          </cell>
          <cell r="T239">
            <v>2.2031529936686569</v>
          </cell>
          <cell r="V239">
            <v>2.0806317493606512</v>
          </cell>
          <cell r="W239">
            <v>2.0303903525174314</v>
          </cell>
          <cell r="X239">
            <v>2.2133806855208955</v>
          </cell>
          <cell r="Z239">
            <v>1.9251429650215299</v>
          </cell>
          <cell r="AB239">
            <v>1.864226207025244</v>
          </cell>
          <cell r="AC239">
            <v>0.62666471550681913</v>
          </cell>
          <cell r="AD239">
            <v>2.943802876249924</v>
          </cell>
        </row>
        <row r="240">
          <cell r="A240" t="str">
            <v>CGI011-qtz12-CL-fit-1-offset</v>
          </cell>
          <cell r="J240">
            <v>5.8915096295748723</v>
          </cell>
          <cell r="K240">
            <v>4.2048167152538367</v>
          </cell>
          <cell r="L240">
            <v>4.4438381472888961</v>
          </cell>
          <cell r="M240">
            <v>4.1048121417152927</v>
          </cell>
          <cell r="N240">
            <v>4.48639605138532</v>
          </cell>
          <cell r="O240">
            <v>3.9946013295434453</v>
          </cell>
          <cell r="P240">
            <v>4.829078123538598</v>
          </cell>
          <cell r="Q240">
            <v>4.1534501507052903</v>
          </cell>
          <cell r="R240">
            <v>7.9111716274826982</v>
          </cell>
          <cell r="S240">
            <v>6.385623742751628</v>
          </cell>
          <cell r="T240">
            <v>5.8554790373538159</v>
          </cell>
          <cell r="V240">
            <v>4.9958148734012005</v>
          </cell>
          <cell r="W240">
            <v>5.1146160633266993</v>
          </cell>
          <cell r="X240">
            <v>4.48639605138532</v>
          </cell>
          <cell r="Z240">
            <v>4.9032026243392508</v>
          </cell>
          <cell r="AB240">
            <v>5.0567767892152613</v>
          </cell>
          <cell r="AC240">
            <v>3.0542096621999693</v>
          </cell>
          <cell r="AD240">
            <v>6.9658770001783932</v>
          </cell>
        </row>
        <row r="241">
          <cell r="A241" t="str">
            <v>CGI011-qtz12-CL-fit-2-offset</v>
          </cell>
          <cell r="J241">
            <v>5.9217815124560209</v>
          </cell>
          <cell r="K241">
            <v>5.1076913751398143</v>
          </cell>
          <cell r="L241">
            <v>6.6268022695760314</v>
          </cell>
          <cell r="M241">
            <v>4.8568084901978805</v>
          </cell>
          <cell r="N241">
            <v>6.1887725151009416</v>
          </cell>
          <cell r="O241">
            <v>5.8532751466849886</v>
          </cell>
          <cell r="P241">
            <v>5.9680983015139049</v>
          </cell>
          <cell r="Q241">
            <v>6.8268499450803724</v>
          </cell>
          <cell r="R241">
            <v>4.7144460829875019</v>
          </cell>
          <cell r="S241">
            <v>5.9816518085964363</v>
          </cell>
          <cell r="T241">
            <v>4.5630555090388274</v>
          </cell>
          <cell r="V241">
            <v>5.6280978542591065</v>
          </cell>
          <cell r="W241">
            <v>5.6917484505793388</v>
          </cell>
          <cell r="X241">
            <v>5.9217815124560209</v>
          </cell>
          <cell r="Z241">
            <v>5.5757283556451043</v>
          </cell>
          <cell r="AB241">
            <v>5.5943643474884501</v>
          </cell>
          <cell r="AC241">
            <v>4.4473876650586099</v>
          </cell>
          <cell r="AD241">
            <v>7.2474258806516509</v>
          </cell>
        </row>
        <row r="242">
          <cell r="A242" t="str">
            <v>CGI011-qtz12-CL-fit-3-offset</v>
          </cell>
          <cell r="J242">
            <v>0</v>
          </cell>
          <cell r="K242">
            <v>5.2876400388075142</v>
          </cell>
          <cell r="L242">
            <v>5.9165179838193387</v>
          </cell>
          <cell r="M242">
            <v>3.6129551339983674</v>
          </cell>
          <cell r="N242">
            <v>4.3849264588259604</v>
          </cell>
          <cell r="O242">
            <v>4.5681027178933862</v>
          </cell>
          <cell r="P242">
            <v>4.0043331633162902</v>
          </cell>
          <cell r="Q242">
            <v>5.0063207288234599</v>
          </cell>
          <cell r="R242">
            <v>4.3924012220800766</v>
          </cell>
          <cell r="S242">
            <v>5.8851420619200665</v>
          </cell>
          <cell r="T242">
            <v>4.5959133888119368</v>
          </cell>
          <cell r="V242">
            <v>4.9136489081584021</v>
          </cell>
          <cell r="W242">
            <v>4.765425289829639</v>
          </cell>
          <cell r="X242">
            <v>4.582008053352661</v>
          </cell>
          <cell r="Z242">
            <v>4.8018725938245499</v>
          </cell>
          <cell r="AB242">
            <v>4.7678204744056751</v>
          </cell>
          <cell r="AC242">
            <v>3.2067470384042371</v>
          </cell>
          <cell r="AD242">
            <v>6.5229032067152293</v>
          </cell>
        </row>
        <row r="243">
          <cell r="A243" t="str">
            <v>CGI011-qtz12-CL-fit-4-offset</v>
          </cell>
          <cell r="J243">
            <v>2.9634134100710838</v>
          </cell>
          <cell r="K243">
            <v>3.1806396503991956</v>
          </cell>
          <cell r="L243">
            <v>4.4459949043827161</v>
          </cell>
          <cell r="M243">
            <v>3.86381087683817</v>
          </cell>
          <cell r="N243">
            <v>3.6092043946176915</v>
          </cell>
          <cell r="O243">
            <v>3.4171276718490784</v>
          </cell>
          <cell r="P243">
            <v>3.1165322433181029</v>
          </cell>
          <cell r="Q243">
            <v>3.6981273464896267</v>
          </cell>
          <cell r="R243">
            <v>4.5978329365730124</v>
          </cell>
          <cell r="S243">
            <v>4.0728771761292446</v>
          </cell>
          <cell r="T243">
            <v>3.475392678520024</v>
          </cell>
          <cell r="V243">
            <v>3.6141224081901164</v>
          </cell>
          <cell r="W243">
            <v>3.6764502990170866</v>
          </cell>
          <cell r="X243">
            <v>3.6092043946176915</v>
          </cell>
          <cell r="Z243">
            <v>3.6272060640645174</v>
          </cell>
          <cell r="AB243">
            <v>3.6920056855142751</v>
          </cell>
          <cell r="AC243">
            <v>2.6963540474850078</v>
          </cell>
          <cell r="AD243">
            <v>4.8413981818758449</v>
          </cell>
        </row>
        <row r="244">
          <cell r="A244" t="str">
            <v>CGI014-qtz01-CL-fit-1-offset</v>
          </cell>
          <cell r="J244">
            <v>6.1897559248238719E-2</v>
          </cell>
          <cell r="K244">
            <v>5.2700745104613897</v>
          </cell>
          <cell r="L244">
            <v>5.9615426560193807</v>
          </cell>
          <cell r="M244">
            <v>1.3528280758169935</v>
          </cell>
          <cell r="N244">
            <v>2.6403205379886461</v>
          </cell>
          <cell r="O244">
            <v>1.3253431385098893</v>
          </cell>
          <cell r="P244">
            <v>3.649815959118671</v>
          </cell>
          <cell r="Q244">
            <v>3.1927369927501389E-3</v>
          </cell>
          <cell r="R244">
            <v>2.7250086154728757</v>
          </cell>
          <cell r="S244">
            <v>7.6074111E-2</v>
          </cell>
          <cell r="T244">
            <v>3.2290831428621165</v>
          </cell>
          <cell r="V244">
            <v>2.5083066809306973</v>
          </cell>
          <cell r="W244">
            <v>2.3904710039537234</v>
          </cell>
          <cell r="X244">
            <v>2.6403205379886461</v>
          </cell>
          <cell r="Z244">
            <v>2.2836538538986639</v>
          </cell>
          <cell r="AB244">
            <v>2.9334802827402338</v>
          </cell>
          <cell r="AC244">
            <v>1.1290552631612447E-2</v>
          </cell>
          <cell r="AD244">
            <v>11.553204516053018</v>
          </cell>
        </row>
        <row r="245">
          <cell r="A245" t="str">
            <v>CGI014-qtz01-CL-fit-2-offset</v>
          </cell>
          <cell r="J245">
            <v>0.2310969679527152</v>
          </cell>
          <cell r="K245">
            <v>0.24153809239165777</v>
          </cell>
          <cell r="L245">
            <v>1.3147707586345552</v>
          </cell>
          <cell r="M245">
            <v>0.10789103999999999</v>
          </cell>
          <cell r="N245">
            <v>0.24112884641996485</v>
          </cell>
          <cell r="O245">
            <v>1.2480797121036482</v>
          </cell>
          <cell r="P245">
            <v>1.0776688081381356</v>
          </cell>
          <cell r="Q245">
            <v>0.22578224740260583</v>
          </cell>
          <cell r="R245">
            <v>1.2322154459478407</v>
          </cell>
          <cell r="S245">
            <v>0.20597596581627975</v>
          </cell>
          <cell r="T245">
            <v>2.5855339966310615</v>
          </cell>
          <cell r="V245">
            <v>0.25771297753089578</v>
          </cell>
          <cell r="W245">
            <v>0.79197108013076944</v>
          </cell>
          <cell r="X245">
            <v>0.24153809239165777</v>
          </cell>
          <cell r="Z245">
            <v>0.53019925283029856</v>
          </cell>
          <cell r="AB245">
            <v>0.92532888982522254</v>
          </cell>
          <cell r="AC245">
            <v>6.5004536348758513E-7</v>
          </cell>
          <cell r="AD245">
            <v>3.9739455878644097</v>
          </cell>
        </row>
        <row r="246">
          <cell r="A246" t="str">
            <v>CGI014-qtz02-CL-fit-1-offset</v>
          </cell>
          <cell r="J246">
            <v>3.7554453230989773</v>
          </cell>
          <cell r="K246">
            <v>4.3499343323580701</v>
          </cell>
          <cell r="L246">
            <v>4.2303014212770735</v>
          </cell>
          <cell r="M246">
            <v>3.3215239474256268</v>
          </cell>
          <cell r="N246">
            <v>4.6255610478422025</v>
          </cell>
          <cell r="O246">
            <v>4.4155124156361474</v>
          </cell>
          <cell r="P246">
            <v>4.1787645506241518</v>
          </cell>
          <cell r="Q246">
            <v>4.6314829124934933</v>
          </cell>
          <cell r="R246">
            <v>3.9852514770318246</v>
          </cell>
          <cell r="S246">
            <v>2.7943146578626488</v>
          </cell>
          <cell r="T246">
            <v>3.7466456087350815</v>
          </cell>
          <cell r="V246">
            <v>3.9454112820656846</v>
          </cell>
          <cell r="W246">
            <v>4.0031579722168456</v>
          </cell>
          <cell r="X246">
            <v>4.1787645506241518</v>
          </cell>
          <cell r="Z246">
            <v>3.9492113280198318</v>
          </cell>
          <cell r="AB246">
            <v>3.9953735805787183</v>
          </cell>
          <cell r="AC246">
            <v>2.9290263179758411</v>
          </cell>
          <cell r="AD246">
            <v>5.0845272919963715</v>
          </cell>
        </row>
        <row r="247">
          <cell r="A247" t="str">
            <v>CGI014-qtz02-CL-fit-2-offset</v>
          </cell>
          <cell r="J247">
            <v>3.0238495126460965</v>
          </cell>
          <cell r="K247">
            <v>1.3399254164427896</v>
          </cell>
          <cell r="L247">
            <v>2.2482128373061294</v>
          </cell>
          <cell r="M247">
            <v>3.3844499499271201</v>
          </cell>
          <cell r="N247">
            <v>1.3375553532266018</v>
          </cell>
          <cell r="O247">
            <v>1.9807239013970535</v>
          </cell>
          <cell r="P247">
            <v>0.85190410583267318</v>
          </cell>
          <cell r="Q247">
            <v>1.6515372171129266</v>
          </cell>
          <cell r="R247">
            <v>2.4795321463514282</v>
          </cell>
          <cell r="S247">
            <v>1.7500445016968511</v>
          </cell>
          <cell r="T247">
            <v>1.2720818532519957</v>
          </cell>
          <cell r="V247">
            <v>1.7450210143373237</v>
          </cell>
          <cell r="W247">
            <v>1.9381651631992427</v>
          </cell>
          <cell r="X247">
            <v>1.7500445016968511</v>
          </cell>
          <cell r="Z247">
            <v>1.7782679959298253</v>
          </cell>
          <cell r="AB247">
            <v>1.8810913483772094</v>
          </cell>
          <cell r="AC247">
            <v>0.6572091929848769</v>
          </cell>
          <cell r="AD247">
            <v>3.9607050942101574</v>
          </cell>
        </row>
        <row r="248">
          <cell r="A248" t="str">
            <v>CGI014-qtz02-CL-fit-3-offset</v>
          </cell>
          <cell r="J248">
            <v>2.0087274421702817</v>
          </cell>
          <cell r="K248">
            <v>1.3492094712213292</v>
          </cell>
          <cell r="L248">
            <v>1.8514253357114754</v>
          </cell>
          <cell r="M248">
            <v>0.72371742493205682</v>
          </cell>
          <cell r="N248">
            <v>2.3101297811394592</v>
          </cell>
          <cell r="O248">
            <v>0.61865178083725891</v>
          </cell>
          <cell r="P248">
            <v>0.90355097520778571</v>
          </cell>
          <cell r="Q248">
            <v>6.1600398504220139E-2</v>
          </cell>
          <cell r="R248">
            <v>0.14531104434779424</v>
          </cell>
          <cell r="S248">
            <v>0.88556372320399712</v>
          </cell>
          <cell r="T248">
            <v>0.74994417617009668</v>
          </cell>
          <cell r="V248">
            <v>0.93467880331517272</v>
          </cell>
          <cell r="W248">
            <v>1.0552574139496143</v>
          </cell>
          <cell r="X248">
            <v>0.88556372320399712</v>
          </cell>
          <cell r="Z248">
            <v>0.8896080428783808</v>
          </cell>
          <cell r="AB248">
            <v>1.1528902185640897</v>
          </cell>
          <cell r="AC248">
            <v>0.18920560259828559</v>
          </cell>
          <cell r="AD248">
            <v>3.4437681541554848</v>
          </cell>
        </row>
        <row r="249">
          <cell r="A249" t="str">
            <v>CGI014-qtz02-CL-fit-4-offset</v>
          </cell>
          <cell r="J249">
            <v>0.15445387104518052</v>
          </cell>
          <cell r="K249">
            <v>0.93957109407884176</v>
          </cell>
          <cell r="L249">
            <v>7.9192798999999994E-2</v>
          </cell>
          <cell r="M249">
            <v>0.14485880433235487</v>
          </cell>
          <cell r="N249">
            <v>5.4349376999999997E-2</v>
          </cell>
          <cell r="O249">
            <v>0.15782599423212459</v>
          </cell>
          <cell r="P249">
            <v>0.24542309027441289</v>
          </cell>
          <cell r="Q249">
            <v>0.89146974243114385</v>
          </cell>
          <cell r="R249">
            <v>0.50480043930807617</v>
          </cell>
          <cell r="S249">
            <v>0.39869673907031972</v>
          </cell>
          <cell r="T249">
            <v>0.57200308495129126</v>
          </cell>
          <cell r="V249">
            <v>0.53642444409868384</v>
          </cell>
          <cell r="W249">
            <v>0.37660409415670415</v>
          </cell>
          <cell r="X249">
            <v>0.24542309027441289</v>
          </cell>
          <cell r="Z249">
            <v>0.26298962181302254</v>
          </cell>
          <cell r="AB249">
            <v>0.40596861426200276</v>
          </cell>
          <cell r="AC249">
            <v>1.3991495229452552E-2</v>
          </cell>
          <cell r="AD249">
            <v>1.0658464999999999</v>
          </cell>
        </row>
        <row r="250">
          <cell r="A250" t="str">
            <v>CGI014-qtz03-CL-fit-1-offset</v>
          </cell>
          <cell r="J250">
            <v>8.8485222390398341</v>
          </cell>
          <cell r="K250">
            <v>4.7586196920172394</v>
          </cell>
          <cell r="L250">
            <v>8.6648791063912523</v>
          </cell>
          <cell r="M250">
            <v>7.2997538512813822</v>
          </cell>
          <cell r="N250">
            <v>10.739937746043973</v>
          </cell>
          <cell r="O250">
            <v>9.1995290000000001</v>
          </cell>
          <cell r="P250">
            <v>7.1732662398556286</v>
          </cell>
          <cell r="Q250">
            <v>6.8222567297953756</v>
          </cell>
          <cell r="R250">
            <v>7.4687234589733915</v>
          </cell>
          <cell r="S250">
            <v>10.138398019365901</v>
          </cell>
          <cell r="T250">
            <v>12.830914214283029</v>
          </cell>
          <cell r="V250">
            <v>8.1943297622894704</v>
          </cell>
          <cell r="W250">
            <v>8.540436390640636</v>
          </cell>
          <cell r="X250">
            <v>8.6648791063912523</v>
          </cell>
          <cell r="Z250">
            <v>8.1033553014854078</v>
          </cell>
          <cell r="AB250">
            <v>8.0668728078598679</v>
          </cell>
          <cell r="AC250">
            <v>4.8756195336821504</v>
          </cell>
          <cell r="AD250">
            <v>11.518840002677642</v>
          </cell>
        </row>
        <row r="251">
          <cell r="A251" t="str">
            <v>CGI014-qtz03-CL-fit-2-offset</v>
          </cell>
          <cell r="J251">
            <v>6.6557986414544601</v>
          </cell>
          <cell r="K251">
            <v>5.9766263448841555</v>
          </cell>
          <cell r="L251">
            <v>4.5453803206565455</v>
          </cell>
          <cell r="M251">
            <v>5.4391649474691572</v>
          </cell>
          <cell r="N251">
            <v>6.153743984173131</v>
          </cell>
          <cell r="O251">
            <v>1.7175652777313726</v>
          </cell>
          <cell r="P251">
            <v>4.9130856375593748</v>
          </cell>
          <cell r="Q251">
            <v>4.4050475745043052</v>
          </cell>
          <cell r="R251">
            <v>4.1870978675177355</v>
          </cell>
          <cell r="S251">
            <v>3.4106347581508931</v>
          </cell>
          <cell r="T251">
            <v>3.2481289663952793</v>
          </cell>
          <cell r="V251">
            <v>4.6948960662830421</v>
          </cell>
          <cell r="W251">
            <v>4.6047522109542189</v>
          </cell>
          <cell r="X251">
            <v>4.5453803206565455</v>
          </cell>
          <cell r="Z251">
            <v>4.3528671081453085</v>
          </cell>
          <cell r="AB251">
            <v>4.404498024283491</v>
          </cell>
          <cell r="AC251">
            <v>1.2038963275396717</v>
          </cell>
          <cell r="AD251">
            <v>8.1467068467957002</v>
          </cell>
        </row>
        <row r="252">
          <cell r="A252" t="str">
            <v>CGI014-qtz03-CL-fit-3-offset</v>
          </cell>
          <cell r="J252">
            <v>1.2160518651798891</v>
          </cell>
          <cell r="K252">
            <v>1.523710274920975</v>
          </cell>
          <cell r="L252">
            <v>2.3626411872198214</v>
          </cell>
          <cell r="M252">
            <v>0.71800974123704764</v>
          </cell>
          <cell r="N252">
            <v>0.23487042617647699</v>
          </cell>
          <cell r="O252">
            <v>2.8701756477211453</v>
          </cell>
          <cell r="P252">
            <v>2.2487371357088426</v>
          </cell>
          <cell r="Q252">
            <v>0.54681313025567591</v>
          </cell>
          <cell r="R252">
            <v>1.4878079351263827</v>
          </cell>
          <cell r="S252">
            <v>0.81583086329110721</v>
          </cell>
          <cell r="T252">
            <v>2.596081153853786</v>
          </cell>
          <cell r="V252">
            <v>1.2634251479149226</v>
          </cell>
          <cell r="W252">
            <v>1.5109753964264678</v>
          </cell>
          <cell r="X252">
            <v>1.4878079351263827</v>
          </cell>
          <cell r="Z252">
            <v>1.1262523169100047</v>
          </cell>
          <cell r="AB252">
            <v>1.2250993559920165</v>
          </cell>
          <cell r="AC252">
            <v>7.2019085617410908E-7</v>
          </cell>
          <cell r="AD252">
            <v>3.1094595080576806</v>
          </cell>
        </row>
        <row r="253">
          <cell r="A253" t="str">
            <v>CGI014-qtz03-CL-fit-4-offset</v>
          </cell>
          <cell r="J253">
            <v>3.2163968612052716</v>
          </cell>
          <cell r="K253">
            <v>0.63624911399520134</v>
          </cell>
          <cell r="L253">
            <v>4.1014029613854697E-2</v>
          </cell>
          <cell r="M253">
            <v>0.61183041363252533</v>
          </cell>
          <cell r="N253">
            <v>5.4639941999999997E-2</v>
          </cell>
          <cell r="O253">
            <v>3.4360287621990389</v>
          </cell>
          <cell r="P253">
            <v>1.0484091211185138</v>
          </cell>
          <cell r="Q253">
            <v>1.3920694456638925</v>
          </cell>
          <cell r="R253">
            <v>1.6352427921792432</v>
          </cell>
          <cell r="S253">
            <v>0.24733282528665926</v>
          </cell>
          <cell r="T253">
            <v>2.1476789837862356</v>
          </cell>
          <cell r="V253">
            <v>0.87503053644480355</v>
          </cell>
          <cell r="W253">
            <v>1.3151720264254942</v>
          </cell>
          <cell r="X253">
            <v>1.0484091211185138</v>
          </cell>
          <cell r="Z253">
            <v>0.40144249317660508</v>
          </cell>
          <cell r="AB253">
            <v>0.98929883683947506</v>
          </cell>
          <cell r="AC253">
            <v>7.1322911497398821E-8</v>
          </cell>
          <cell r="AD253">
            <v>4.0000616437162355</v>
          </cell>
        </row>
        <row r="254">
          <cell r="A254" t="str">
            <v>CGI014-qtz03-CL-fit-5-offset</v>
          </cell>
          <cell r="J254">
            <v>2.3639869064785626</v>
          </cell>
          <cell r="K254">
            <v>2.8332953919305659</v>
          </cell>
          <cell r="L254">
            <v>0.34924669598836627</v>
          </cell>
          <cell r="M254">
            <v>2.2778219195096732</v>
          </cell>
          <cell r="N254">
            <v>0.18579040548926232</v>
          </cell>
          <cell r="O254">
            <v>0.23661469049375572</v>
          </cell>
          <cell r="P254">
            <v>1.0778231153193607</v>
          </cell>
          <cell r="Q254">
            <v>0.20486752764582325</v>
          </cell>
          <cell r="R254">
            <v>0.37880222451288398</v>
          </cell>
          <cell r="S254">
            <v>0.76631016273577346</v>
          </cell>
          <cell r="T254">
            <v>0.16650430850372167</v>
          </cell>
          <cell r="V254">
            <v>1.1654091030078815</v>
          </cell>
          <cell r="W254">
            <v>0.98555121350979535</v>
          </cell>
          <cell r="X254">
            <v>0.37880222451288398</v>
          </cell>
          <cell r="Z254">
            <v>0.35455791036748752</v>
          </cell>
          <cell r="AB254">
            <v>0.91364005099180912</v>
          </cell>
          <cell r="AC254">
            <v>1.7566319616724124E-2</v>
          </cell>
          <cell r="AD254">
            <v>4.6905041030439873</v>
          </cell>
        </row>
        <row r="255">
          <cell r="A255" t="str">
            <v>CGI014-qtz04-CL-fit-1-offset</v>
          </cell>
          <cell r="J255">
            <v>0</v>
          </cell>
          <cell r="K255">
            <v>0</v>
          </cell>
          <cell r="L255">
            <v>9.358896602295486</v>
          </cell>
          <cell r="M255">
            <v>8.505184109109468</v>
          </cell>
          <cell r="N255">
            <v>6.1908993731404713</v>
          </cell>
          <cell r="O255">
            <v>5.592607805860534</v>
          </cell>
          <cell r="P255">
            <v>8.0208282451661255</v>
          </cell>
          <cell r="Q255">
            <v>6.4442208385614101</v>
          </cell>
          <cell r="R255">
            <v>7.7979710756749689</v>
          </cell>
          <cell r="S255">
            <v>6.8488486416601182</v>
          </cell>
          <cell r="T255">
            <v>7.1922649871355757</v>
          </cell>
          <cell r="V255">
            <v>7.4554776303310319</v>
          </cell>
          <cell r="W255">
            <v>7.3279690754004623</v>
          </cell>
          <cell r="X255">
            <v>7.1922649871355757</v>
          </cell>
          <cell r="Z255">
            <v>7.5433953957164572</v>
          </cell>
          <cell r="AB255">
            <v>7.4813442238033518</v>
          </cell>
          <cell r="AC255">
            <v>4.7564588884421237</v>
          </cell>
          <cell r="AD255">
            <v>10.077908223598696</v>
          </cell>
        </row>
        <row r="256">
          <cell r="A256" t="str">
            <v>CGI014-qtz04-CL-fit-2-offset</v>
          </cell>
          <cell r="J256">
            <v>3.9387020226023197</v>
          </cell>
          <cell r="K256">
            <v>4.6624094796376845</v>
          </cell>
          <cell r="L256">
            <v>0.21091690527944656</v>
          </cell>
          <cell r="M256">
            <v>4.8208055327434733</v>
          </cell>
          <cell r="N256">
            <v>4.9287630874097337</v>
          </cell>
          <cell r="O256">
            <v>2.9939895971483939</v>
          </cell>
          <cell r="P256">
            <v>1.2322413837908459</v>
          </cell>
          <cell r="Q256">
            <v>2.0820682347900994</v>
          </cell>
          <cell r="R256">
            <v>2.4589591458418569</v>
          </cell>
          <cell r="S256">
            <v>3.6054154934581883</v>
          </cell>
          <cell r="T256">
            <v>2.7544013242895247</v>
          </cell>
          <cell r="V256">
            <v>3.1732772880546172</v>
          </cell>
          <cell r="W256">
            <v>3.0626065642719609</v>
          </cell>
          <cell r="X256">
            <v>2.9939895971483939</v>
          </cell>
          <cell r="Z256">
            <v>2.698903051459371</v>
          </cell>
          <cell r="AB256">
            <v>4.4240115569217089</v>
          </cell>
          <cell r="AC256">
            <v>9.7366702080764381E-2</v>
          </cell>
          <cell r="AD256">
            <v>38.646909949615726</v>
          </cell>
        </row>
        <row r="257">
          <cell r="A257" t="str">
            <v>CGI014-qtz04-CL-fit-3-offset</v>
          </cell>
          <cell r="J257">
            <v>1.0268649870923738</v>
          </cell>
          <cell r="K257">
            <v>0.3891495196688935</v>
          </cell>
          <cell r="L257">
            <v>3.0031772035271927E-9</v>
          </cell>
          <cell r="M257">
            <v>1.0270434153915982</v>
          </cell>
          <cell r="N257">
            <v>0.10607503055384014</v>
          </cell>
          <cell r="O257">
            <v>1.3479471586163498</v>
          </cell>
          <cell r="P257">
            <v>3.2726169365880269</v>
          </cell>
          <cell r="Q257">
            <v>0.92085209774149501</v>
          </cell>
          <cell r="R257">
            <v>0.65461385172456765</v>
          </cell>
          <cell r="S257">
            <v>0.32508190404756659</v>
          </cell>
          <cell r="T257">
            <v>0.34242906768403447</v>
          </cell>
          <cell r="V257">
            <v>1.0266266298730604</v>
          </cell>
          <cell r="W257">
            <v>0.85569763382835684</v>
          </cell>
          <cell r="X257">
            <v>0.65461385172456765</v>
          </cell>
          <cell r="Z257">
            <v>0.43678813007287437</v>
          </cell>
          <cell r="AB257">
            <v>0.79345097137523135</v>
          </cell>
          <cell r="AC257">
            <v>0.10286399623449034</v>
          </cell>
          <cell r="AD257">
            <v>2.3531550761136546</v>
          </cell>
        </row>
        <row r="258">
          <cell r="A258" t="str">
            <v>CGI014-qtz05-CL-fit-1-offset</v>
          </cell>
          <cell r="J258">
            <v>12.572288829732372</v>
          </cell>
          <cell r="K258">
            <v>14.843743706796317</v>
          </cell>
          <cell r="L258">
            <v>11.363555980731423</v>
          </cell>
          <cell r="M258">
            <v>12.012002927281404</v>
          </cell>
          <cell r="N258">
            <v>10.210000380923676</v>
          </cell>
          <cell r="O258">
            <v>11.755558907369878</v>
          </cell>
          <cell r="P258">
            <v>11.455866323928603</v>
          </cell>
          <cell r="Q258">
            <v>8.3425073329957868</v>
          </cell>
          <cell r="R258">
            <v>9.9552165505102437</v>
          </cell>
          <cell r="S258">
            <v>12.017113323764478</v>
          </cell>
          <cell r="T258">
            <v>10.486990317689203</v>
          </cell>
          <cell r="V258">
            <v>11.350005377423402</v>
          </cell>
          <cell r="W258">
            <v>11.364985871065763</v>
          </cell>
          <cell r="X258">
            <v>11.455866323928603</v>
          </cell>
          <cell r="Z258">
            <v>11.251819736820787</v>
          </cell>
          <cell r="AB258">
            <v>11.233320161687809</v>
          </cell>
          <cell r="AC258">
            <v>8.8828240219529171</v>
          </cell>
          <cell r="AD258">
            <v>13.466266664320555</v>
          </cell>
        </row>
        <row r="259">
          <cell r="A259" t="str">
            <v>CGI014-qtz05-CL-fit-2-offset</v>
          </cell>
          <cell r="J259">
            <v>6.3329332112536489</v>
          </cell>
          <cell r="K259">
            <v>5.5832789957438305</v>
          </cell>
          <cell r="L259">
            <v>5.7987792325957015</v>
          </cell>
          <cell r="M259">
            <v>4.9989445934915722</v>
          </cell>
          <cell r="N259">
            <v>4.7833583656175653</v>
          </cell>
          <cell r="O259">
            <v>4.7167316746528742</v>
          </cell>
          <cell r="P259">
            <v>4.37359907934934</v>
          </cell>
          <cell r="Q259">
            <v>3.8809851522037113</v>
          </cell>
          <cell r="R259">
            <v>3.8429941458188552</v>
          </cell>
          <cell r="S259">
            <v>4.7130065506042458</v>
          </cell>
          <cell r="T259">
            <v>4.5236951635842546</v>
          </cell>
          <cell r="V259">
            <v>4.8780597937787622</v>
          </cell>
          <cell r="W259">
            <v>4.8680278331741462</v>
          </cell>
          <cell r="X259">
            <v>4.7167316746528742</v>
          </cell>
          <cell r="Z259">
            <v>4.8527154576809268</v>
          </cell>
          <cell r="AB259">
            <v>4.860756257313338</v>
          </cell>
          <cell r="AC259">
            <v>3.8337460447556566</v>
          </cell>
          <cell r="AD259">
            <v>5.8607956133245454</v>
          </cell>
        </row>
        <row r="260">
          <cell r="A260" t="str">
            <v>CGI014-qtz05-CL-fit-3-offset</v>
          </cell>
          <cell r="J260">
            <v>3.3004437079853082</v>
          </cell>
          <cell r="K260">
            <v>2.9208209857796046</v>
          </cell>
          <cell r="L260">
            <v>3.2735241013338841</v>
          </cell>
          <cell r="M260">
            <v>4.2718334020429154</v>
          </cell>
          <cell r="N260">
            <v>4.0193619351355672</v>
          </cell>
          <cell r="O260">
            <v>3.3462418124376812</v>
          </cell>
          <cell r="P260">
            <v>4.8969985163349055</v>
          </cell>
          <cell r="Q260">
            <v>3.8598545090603666</v>
          </cell>
          <cell r="R260">
            <v>4.0850732089930295</v>
          </cell>
          <cell r="S260">
            <v>4.8860490069592215</v>
          </cell>
          <cell r="T260">
            <v>3.875544095587399</v>
          </cell>
          <cell r="V260">
            <v>3.776869329425705</v>
          </cell>
          <cell r="W260">
            <v>3.8850677528772617</v>
          </cell>
          <cell r="X260">
            <v>3.875544095587399</v>
          </cell>
          <cell r="Z260">
            <v>3.6994406112713252</v>
          </cell>
          <cell r="AB260">
            <v>3.7072946655120269</v>
          </cell>
          <cell r="AC260">
            <v>2.6149254602982213</v>
          </cell>
          <cell r="AD260">
            <v>4.9852398631905821</v>
          </cell>
        </row>
        <row r="261">
          <cell r="A261" t="str">
            <v>CGI014-qtz05-CL-fit-4-offset</v>
          </cell>
          <cell r="J261">
            <v>15.452595291136786</v>
          </cell>
          <cell r="K261">
            <v>15.576142904192574</v>
          </cell>
          <cell r="L261">
            <v>11.693284814998755</v>
          </cell>
          <cell r="M261">
            <v>13.473157415261777</v>
          </cell>
          <cell r="N261">
            <v>12.419509285897233</v>
          </cell>
          <cell r="O261">
            <v>9.786265657033967</v>
          </cell>
          <cell r="P261">
            <v>13.016367801829132</v>
          </cell>
          <cell r="Q261">
            <v>11.871881419836106</v>
          </cell>
          <cell r="R261">
            <v>12.600412703798982</v>
          </cell>
          <cell r="S261">
            <v>18.654281849501629</v>
          </cell>
          <cell r="T261">
            <v>11.699429431413373</v>
          </cell>
          <cell r="V261">
            <v>13.255783369938881</v>
          </cell>
          <cell r="W261">
            <v>13.294848052263665</v>
          </cell>
          <cell r="X261">
            <v>12.600412703798982</v>
          </cell>
          <cell r="Z261">
            <v>13.289023013413274</v>
          </cell>
          <cell r="AB261">
            <v>13.219044148201977</v>
          </cell>
          <cell r="AC261">
            <v>10.227080820551132</v>
          </cell>
          <cell r="AD261">
            <v>17.334643699511595</v>
          </cell>
        </row>
        <row r="262">
          <cell r="A262" t="str">
            <v>CGI014-qtz05-CL-fit-5-offset</v>
          </cell>
          <cell r="J262">
            <v>2.2659128909928086</v>
          </cell>
          <cell r="K262">
            <v>1.9900136955171528</v>
          </cell>
          <cell r="L262">
            <v>1.9974030085811012</v>
          </cell>
          <cell r="M262">
            <v>3.2204959481484594</v>
          </cell>
          <cell r="N262">
            <v>2.5925928092708728</v>
          </cell>
          <cell r="O262">
            <v>1.9976617641278835</v>
          </cell>
          <cell r="P262">
            <v>2.1355275117624126</v>
          </cell>
          <cell r="Q262">
            <v>2.2701245052665584</v>
          </cell>
          <cell r="R262">
            <v>1.9562687807602923</v>
          </cell>
          <cell r="S262">
            <v>1.4697313909601462</v>
          </cell>
          <cell r="T262">
            <v>2.205865718803746</v>
          </cell>
          <cell r="V262">
            <v>2.2307330539923442</v>
          </cell>
          <cell r="W262">
            <v>2.1910543658355852</v>
          </cell>
          <cell r="X262">
            <v>2.1355275117624126</v>
          </cell>
          <cell r="Z262">
            <v>2.2470095440391238</v>
          </cell>
          <cell r="AB262">
            <v>2.2163306836549066</v>
          </cell>
          <cell r="AC262">
            <v>1.2703563141024743</v>
          </cell>
          <cell r="AD262">
            <v>3.1243153866648914</v>
          </cell>
        </row>
        <row r="263">
          <cell r="A263" t="str">
            <v>CGI014-qtz05-CL-fit-6-offset</v>
          </cell>
          <cell r="J263">
            <v>0.25384956725659835</v>
          </cell>
          <cell r="K263">
            <v>1.0260036112019431</v>
          </cell>
          <cell r="L263">
            <v>0.54396544699840688</v>
          </cell>
          <cell r="M263">
            <v>1.0683340721084325</v>
          </cell>
          <cell r="N263">
            <v>1.2725552258243511</v>
          </cell>
          <cell r="O263">
            <v>0.50966344938913632</v>
          </cell>
          <cell r="P263">
            <v>1.0743123226753817</v>
          </cell>
          <cell r="Q263">
            <v>0.22113474671815683</v>
          </cell>
          <cell r="R263">
            <v>0.6063197987828548</v>
          </cell>
          <cell r="S263">
            <v>1.0968230255990303</v>
          </cell>
          <cell r="T263">
            <v>0.99837248542068635</v>
          </cell>
          <cell r="V263">
            <v>1.0649764738223548</v>
          </cell>
          <cell r="W263">
            <v>0.78830306836136155</v>
          </cell>
          <cell r="X263">
            <v>0.99837248542068635</v>
          </cell>
          <cell r="Z263">
            <v>0.80992101332466637</v>
          </cell>
          <cell r="AB263">
            <v>0.79357827279725623</v>
          </cell>
          <cell r="AC263">
            <v>0.21040510445300739</v>
          </cell>
          <cell r="AD263">
            <v>1.7502429855742292</v>
          </cell>
        </row>
        <row r="264">
          <cell r="A264" t="str">
            <v>CGI014-qtz07-CL-fit-1-offset</v>
          </cell>
          <cell r="J264">
            <v>2.9737168683753454</v>
          </cell>
          <cell r="K264">
            <v>2.7653506881979029</v>
          </cell>
          <cell r="L264">
            <v>2.9124670779276181</v>
          </cell>
          <cell r="M264">
            <v>2.6465925845253215</v>
          </cell>
          <cell r="N264">
            <v>2.2780376225308796</v>
          </cell>
          <cell r="O264">
            <v>2.6522402100078368</v>
          </cell>
          <cell r="P264">
            <v>3.5685305458559231</v>
          </cell>
          <cell r="Q264">
            <v>2.4430183534581347</v>
          </cell>
          <cell r="R264">
            <v>2.9504290621830722</v>
          </cell>
          <cell r="S264">
            <v>2.760233863309923</v>
          </cell>
          <cell r="T264">
            <v>3.3502931759121566</v>
          </cell>
          <cell r="V264">
            <v>2.8873075208546477</v>
          </cell>
          <cell r="W264">
            <v>2.8455372774803744</v>
          </cell>
          <cell r="X264">
            <v>2.7653506881979029</v>
          </cell>
          <cell r="Z264">
            <v>2.8665546429224706</v>
          </cell>
          <cell r="AB264">
            <v>2.8812548742520105</v>
          </cell>
          <cell r="AC264">
            <v>1.9588076663947112</v>
          </cell>
          <cell r="AD264">
            <v>3.7346810969272104</v>
          </cell>
        </row>
        <row r="265">
          <cell r="A265" t="str">
            <v>CGI014-qtz07-CL-fit-2-offset</v>
          </cell>
          <cell r="J265">
            <v>1.713016581615022</v>
          </cell>
          <cell r="K265">
            <v>1.8707653081536639</v>
          </cell>
          <cell r="L265">
            <v>2.2854005318210322</v>
          </cell>
          <cell r="M265">
            <v>2.3332187843534076</v>
          </cell>
          <cell r="N265">
            <v>2.2243902691748061</v>
          </cell>
          <cell r="O265">
            <v>1.0055663856767154</v>
          </cell>
          <cell r="P265">
            <v>1.6866030152022609</v>
          </cell>
          <cell r="Q265">
            <v>0.25185140863577488</v>
          </cell>
          <cell r="R265">
            <v>0.24589601573056824</v>
          </cell>
          <cell r="S265">
            <v>1.1090182756414417</v>
          </cell>
          <cell r="T265">
            <v>1.5402614673562742</v>
          </cell>
          <cell r="V265">
            <v>1.4719791462396583</v>
          </cell>
          <cell r="W265">
            <v>1.478726185760088</v>
          </cell>
          <cell r="X265">
            <v>1.6866030152022609</v>
          </cell>
          <cell r="Z265">
            <v>1.4747995978859527</v>
          </cell>
          <cell r="AB265">
            <v>2.0929969342622829</v>
          </cell>
          <cell r="AC265">
            <v>0.23850066517502036</v>
          </cell>
          <cell r="AD265">
            <v>10.174422923658909</v>
          </cell>
        </row>
        <row r="266">
          <cell r="A266" t="str">
            <v>CGI014-qtz07-CL-fit-3-offset</v>
          </cell>
          <cell r="J266">
            <v>2.558421853841514</v>
          </cell>
          <cell r="K266">
            <v>2.9080530306143038</v>
          </cell>
          <cell r="L266">
            <v>2.9703165022938274</v>
          </cell>
          <cell r="M266">
            <v>2.8587193434072025</v>
          </cell>
          <cell r="N266">
            <v>3.1221885946781192</v>
          </cell>
          <cell r="O266">
            <v>1.798445721327222</v>
          </cell>
          <cell r="P266">
            <v>2.7787202416726728</v>
          </cell>
          <cell r="Q266">
            <v>2.2198608138484506</v>
          </cell>
          <cell r="R266">
            <v>3.2265241823258508</v>
          </cell>
          <cell r="S266">
            <v>2.9772322605411752</v>
          </cell>
          <cell r="T266">
            <v>2.2981862760467142</v>
          </cell>
          <cell r="V266">
            <v>2.7355549013632823</v>
          </cell>
          <cell r="W266">
            <v>2.7015153473270046</v>
          </cell>
          <cell r="X266">
            <v>2.8587193434072025</v>
          </cell>
          <cell r="Z266">
            <v>2.7673915556966415</v>
          </cell>
          <cell r="AB266">
            <v>2.7447771698764289</v>
          </cell>
          <cell r="AC266">
            <v>1.2521439794453622</v>
          </cell>
          <cell r="AD266">
            <v>4.0951738336479009</v>
          </cell>
        </row>
        <row r="267">
          <cell r="A267" t="str">
            <v>CGI014-qtz07-CL-fit-4-offset</v>
          </cell>
          <cell r="J267">
            <v>1.3153270132252677</v>
          </cell>
          <cell r="K267">
            <v>2.5742077878583363</v>
          </cell>
          <cell r="L267">
            <v>2.0107295714822921</v>
          </cell>
          <cell r="M267">
            <v>2.7505035453409197</v>
          </cell>
          <cell r="N267">
            <v>1.6082736424597521</v>
          </cell>
          <cell r="O267">
            <v>1.159142929200867</v>
          </cell>
          <cell r="P267">
            <v>0.72999170838589755</v>
          </cell>
          <cell r="Q267">
            <v>2.6160024292424624</v>
          </cell>
          <cell r="R267">
            <v>2.2097865165922004</v>
          </cell>
          <cell r="S267">
            <v>1.7213897928942923</v>
          </cell>
          <cell r="T267">
            <v>2.2413936158504999</v>
          </cell>
          <cell r="V267">
            <v>1.8266087500044661</v>
          </cell>
          <cell r="W267">
            <v>1.9033407775029803</v>
          </cell>
          <cell r="X267">
            <v>2.0107295714822921</v>
          </cell>
          <cell r="Z267">
            <v>1.8184813473749948</v>
          </cell>
          <cell r="AB267">
            <v>1.6776283894690409</v>
          </cell>
          <cell r="AC267">
            <v>0.20796003792822437</v>
          </cell>
          <cell r="AD267">
            <v>3.1945778856547054</v>
          </cell>
        </row>
        <row r="268">
          <cell r="A268" t="str">
            <v>CGI014-qtz08-CL-fit-1-offset</v>
          </cell>
          <cell r="J268">
            <v>16.590997080470267</v>
          </cell>
          <cell r="K268">
            <v>15.579227079442067</v>
          </cell>
          <cell r="L268">
            <v>15.108540438603258</v>
          </cell>
          <cell r="M268">
            <v>15.908574337043397</v>
          </cell>
          <cell r="N268">
            <v>14.072362635359713</v>
          </cell>
          <cell r="O268">
            <v>14.378310697585203</v>
          </cell>
          <cell r="P268">
            <v>15.577999857288569</v>
          </cell>
          <cell r="Q268">
            <v>15.749415602138503</v>
          </cell>
          <cell r="R268">
            <v>15.485874939504185</v>
          </cell>
          <cell r="S268">
            <v>13.882147070148802</v>
          </cell>
          <cell r="T268">
            <v>13.081339301916342</v>
          </cell>
          <cell r="V268">
            <v>15.069007825555513</v>
          </cell>
          <cell r="W268">
            <v>15.037708094500028</v>
          </cell>
          <cell r="X268">
            <v>15.485874939504185</v>
          </cell>
          <cell r="Z268">
            <v>14.879242624951644</v>
          </cell>
          <cell r="AB268">
            <v>14.965735753966724</v>
          </cell>
          <cell r="AC268">
            <v>13.102073822700516</v>
          </cell>
          <cell r="AD268">
            <v>16.961456626021178</v>
          </cell>
        </row>
        <row r="269">
          <cell r="A269" t="str">
            <v>CGI014-qtz08-CL-fit-2-offset</v>
          </cell>
          <cell r="J269">
            <v>7.1368781551176088</v>
          </cell>
          <cell r="K269">
            <v>6.1537196423499507</v>
          </cell>
          <cell r="L269">
            <v>6.1319441605228588</v>
          </cell>
          <cell r="M269">
            <v>5.7679971068469893</v>
          </cell>
          <cell r="N269">
            <v>6.6163378206999424</v>
          </cell>
          <cell r="O269">
            <v>5.1479111642018873</v>
          </cell>
          <cell r="P269">
            <v>5.3858351906588675</v>
          </cell>
          <cell r="Q269">
            <v>5.9222603871567907</v>
          </cell>
          <cell r="R269">
            <v>5.7500864384640025</v>
          </cell>
          <cell r="S269">
            <v>5.9578622910668608</v>
          </cell>
          <cell r="T269">
            <v>7.7017811347646417</v>
          </cell>
          <cell r="V269">
            <v>6.2199693524597377</v>
          </cell>
          <cell r="W269">
            <v>6.1520557719864</v>
          </cell>
          <cell r="X269">
            <v>5.9578622910668608</v>
          </cell>
          <cell r="Z269">
            <v>6.1890067255238925</v>
          </cell>
          <cell r="AB269">
            <v>6.1706839089485106</v>
          </cell>
          <cell r="AC269">
            <v>5.0212590827378074</v>
          </cell>
          <cell r="AD269">
            <v>7.3463245533008203</v>
          </cell>
        </row>
        <row r="270">
          <cell r="A270" t="str">
            <v>CGI014-qtz08-CL-fit-3-offset</v>
          </cell>
          <cell r="J270">
            <v>7.0460701458284651</v>
          </cell>
          <cell r="K270">
            <v>6.7394454371465384</v>
          </cell>
          <cell r="L270">
            <v>9.5763409712381726</v>
          </cell>
          <cell r="M270">
            <v>9.0340113055775451</v>
          </cell>
          <cell r="N270">
            <v>7.1165596876048562</v>
          </cell>
          <cell r="O270">
            <v>5.8284051162636104</v>
          </cell>
          <cell r="P270">
            <v>6.3937346342447254</v>
          </cell>
          <cell r="Q270">
            <v>3.7206839634521964</v>
          </cell>
          <cell r="R270">
            <v>5.6568521601876069</v>
          </cell>
          <cell r="S270">
            <v>5.94008149333205</v>
          </cell>
          <cell r="T270">
            <v>5.3112568265351365</v>
          </cell>
          <cell r="V270">
            <v>6.3129273363221925</v>
          </cell>
          <cell r="W270">
            <v>6.5784947037646271</v>
          </cell>
          <cell r="X270">
            <v>6.3937346342447254</v>
          </cell>
          <cell r="Z270">
            <v>6.2766976229568279</v>
          </cell>
          <cell r="AB270">
            <v>6.5284865008580457</v>
          </cell>
          <cell r="AC270">
            <v>3.8153086992159428</v>
          </cell>
          <cell r="AD270">
            <v>10.864035910261316</v>
          </cell>
        </row>
        <row r="271">
          <cell r="A271" t="str">
            <v>CGI014-qtz08-CL-fit-4-offset</v>
          </cell>
          <cell r="J271">
            <v>5.7421201412195542</v>
          </cell>
          <cell r="K271">
            <v>5.5966541220011177</v>
          </cell>
          <cell r="L271">
            <v>5.0432230806881559</v>
          </cell>
          <cell r="M271">
            <v>4.8031199940496982</v>
          </cell>
          <cell r="N271">
            <v>6.2036756339100432</v>
          </cell>
          <cell r="O271">
            <v>4.8311223960242335</v>
          </cell>
          <cell r="P271">
            <v>4.2350833179450014</v>
          </cell>
          <cell r="Q271">
            <v>4.881799912292565</v>
          </cell>
          <cell r="R271">
            <v>6.2118004872265189</v>
          </cell>
          <cell r="S271">
            <v>5.8974631524133976</v>
          </cell>
          <cell r="T271">
            <v>5.0428670556424597</v>
          </cell>
          <cell r="V271">
            <v>5.3617378620739764</v>
          </cell>
          <cell r="W271">
            <v>5.3171753903102505</v>
          </cell>
          <cell r="X271">
            <v>5.0432230806881559</v>
          </cell>
          <cell r="Z271">
            <v>5.3994530970011745</v>
          </cell>
          <cell r="AB271">
            <v>5.4249495802032675</v>
          </cell>
          <cell r="AC271">
            <v>4.2840404450533107</v>
          </cell>
          <cell r="AD271">
            <v>6.7984285829488238</v>
          </cell>
        </row>
        <row r="272">
          <cell r="A272" t="str">
            <v>CGI014-qtz09-CL-fit-1-offset</v>
          </cell>
          <cell r="J272">
            <v>0.24582284718336958</v>
          </cell>
          <cell r="K272">
            <v>0.83903161057661668</v>
          </cell>
          <cell r="L272">
            <v>2.9794505307567212</v>
          </cell>
          <cell r="M272">
            <v>0</v>
          </cell>
          <cell r="N272">
            <v>0.22293583571680825</v>
          </cell>
          <cell r="O272">
            <v>2.7132439108209563</v>
          </cell>
          <cell r="P272">
            <v>5.6659838570744428E-2</v>
          </cell>
          <cell r="Q272">
            <v>5.8643000000000002E-3</v>
          </cell>
          <cell r="R272">
            <v>4.5851739618883931</v>
          </cell>
          <cell r="S272">
            <v>1.9765606211681788</v>
          </cell>
          <cell r="T272">
            <v>0.1090345700553593</v>
          </cell>
          <cell r="V272">
            <v>2.4486303049906883</v>
          </cell>
          <cell r="W272">
            <v>1.3733778026737147</v>
          </cell>
          <cell r="X272">
            <v>0.54242722887999317</v>
          </cell>
          <cell r="Z272">
            <v>1.6749799609199085</v>
          </cell>
          <cell r="AB272">
            <v>2.4149107829034104</v>
          </cell>
          <cell r="AC272">
            <v>3.9447527323857523E-6</v>
          </cell>
          <cell r="AD272">
            <v>7.4226510687671992</v>
          </cell>
        </row>
        <row r="273">
          <cell r="A273" t="str">
            <v>CGI014-qtz09-CL-fit-2-offset</v>
          </cell>
          <cell r="J273">
            <v>1.2696918904713979</v>
          </cell>
          <cell r="K273">
            <v>3.0252999506617524</v>
          </cell>
          <cell r="L273">
            <v>0.27670704907860211</v>
          </cell>
          <cell r="M273">
            <v>2.2118239598620297</v>
          </cell>
          <cell r="N273">
            <v>5.0682565207561682E-2</v>
          </cell>
          <cell r="O273">
            <v>0.23156255158005279</v>
          </cell>
          <cell r="P273">
            <v>0.22614972227444702</v>
          </cell>
          <cell r="Q273">
            <v>9.7335265024729292E-2</v>
          </cell>
          <cell r="R273">
            <v>0.78108701050741236</v>
          </cell>
          <cell r="S273">
            <v>0</v>
          </cell>
          <cell r="T273">
            <v>0.83547372266520947</v>
          </cell>
          <cell r="V273">
            <v>1.6516258175042837</v>
          </cell>
          <cell r="W273">
            <v>0.90058136873331962</v>
          </cell>
          <cell r="X273">
            <v>0.52889702979300723</v>
          </cell>
          <cell r="Z273">
            <v>1.6319566816519251</v>
          </cell>
          <cell r="AB273">
            <v>2.2521781747815277</v>
          </cell>
          <cell r="AC273">
            <v>5.8807080257115819E-2</v>
          </cell>
          <cell r="AD273">
            <v>9.3532371507490168</v>
          </cell>
        </row>
        <row r="274">
          <cell r="A274" t="str">
            <v>CGI014-qtz09-CL-fit-3-offset</v>
          </cell>
          <cell r="J274">
            <v>1.5753889192428452E-2</v>
          </cell>
          <cell r="K274">
            <v>0.17573222198593555</v>
          </cell>
          <cell r="L274">
            <v>4.8510448999999997E-2</v>
          </cell>
          <cell r="M274">
            <v>0.21775844694055599</v>
          </cell>
          <cell r="N274">
            <v>0.28977951764152199</v>
          </cell>
          <cell r="O274">
            <v>0.12938887186360731</v>
          </cell>
          <cell r="P274">
            <v>3.7531139572885217E-2</v>
          </cell>
          <cell r="Q274">
            <v>0.22769642944115984</v>
          </cell>
          <cell r="R274">
            <v>1.0223507048617633</v>
          </cell>
          <cell r="S274">
            <v>0.18358924294692516</v>
          </cell>
          <cell r="T274">
            <v>6.3308421000000004E-2</v>
          </cell>
          <cell r="V274">
            <v>0.22494030287297387</v>
          </cell>
          <cell r="W274">
            <v>0.21921812131334392</v>
          </cell>
          <cell r="X274">
            <v>0.17573222198593555</v>
          </cell>
          <cell r="Z274">
            <v>0.21436378727075883</v>
          </cell>
          <cell r="AB274">
            <v>0.80420858088021641</v>
          </cell>
          <cell r="AC274">
            <v>1.4311495288291528E-6</v>
          </cell>
          <cell r="AD274">
            <v>5.4218090413097446</v>
          </cell>
        </row>
        <row r="275">
          <cell r="A275" t="str">
            <v>CGI014-qtz09-CL-fit-4-offset</v>
          </cell>
          <cell r="J275">
            <v>1.3535093224621253</v>
          </cell>
          <cell r="K275">
            <v>4.7252047462294847E-2</v>
          </cell>
          <cell r="L275">
            <v>2.837915001964165</v>
          </cell>
          <cell r="M275">
            <v>0.19784737555983092</v>
          </cell>
          <cell r="N275">
            <v>0.61486498473668849</v>
          </cell>
          <cell r="O275">
            <v>0.65452038499761844</v>
          </cell>
          <cell r="P275">
            <v>0.69918830540702614</v>
          </cell>
          <cell r="Q275">
            <v>1.0135214E-2</v>
          </cell>
          <cell r="R275">
            <v>0.11918198956253497</v>
          </cell>
          <cell r="S275">
            <v>7.4069913988713029E-2</v>
          </cell>
          <cell r="T275">
            <v>0.25518705492478594</v>
          </cell>
          <cell r="V275">
            <v>3.359938064899743</v>
          </cell>
          <cell r="W275">
            <v>0.62397014500598036</v>
          </cell>
          <cell r="X275">
            <v>0.25518705492478594</v>
          </cell>
          <cell r="Z275">
            <v>0.39716789293355692</v>
          </cell>
          <cell r="AB275">
            <v>1.8838169863905008</v>
          </cell>
          <cell r="AC275">
            <v>3.5621967847670167E-8</v>
          </cell>
          <cell r="AD275">
            <v>8.2348314634815694</v>
          </cell>
        </row>
        <row r="276">
          <cell r="A276" t="str">
            <v>CGI014-qtz09-CL-fit-5-offset</v>
          </cell>
          <cell r="J276">
            <v>2.6244186765907318</v>
          </cell>
          <cell r="K276">
            <v>1.0205792768076261</v>
          </cell>
          <cell r="L276">
            <v>1.2793921977511804</v>
          </cell>
          <cell r="M276">
            <v>0.88381443962361483</v>
          </cell>
          <cell r="N276">
            <v>2.3172077438266769</v>
          </cell>
          <cell r="O276">
            <v>1.6042788709630833</v>
          </cell>
          <cell r="P276">
            <v>1.4967225278543401</v>
          </cell>
          <cell r="Q276">
            <v>1.9304101174200525</v>
          </cell>
          <cell r="R276">
            <v>1.8273347308540282</v>
          </cell>
          <cell r="S276">
            <v>1.55491964401407</v>
          </cell>
          <cell r="T276">
            <v>1.9987768150660843</v>
          </cell>
          <cell r="V276">
            <v>1.7679778626394471</v>
          </cell>
          <cell r="W276">
            <v>1.6852595491610443</v>
          </cell>
          <cell r="X276">
            <v>1.6042788709630833</v>
          </cell>
          <cell r="Z276">
            <v>1.6958640909220302</v>
          </cell>
          <cell r="AB276">
            <v>1.8101036491230205</v>
          </cell>
          <cell r="AC276">
            <v>0.89711013994967126</v>
          </cell>
          <cell r="AD276">
            <v>3.2814480536618587</v>
          </cell>
        </row>
        <row r="277">
          <cell r="A277" t="str">
            <v>CGI014-qtz10-CL-fit-1-offset</v>
          </cell>
          <cell r="J277">
            <v>3.7928339279909373</v>
          </cell>
          <cell r="K277">
            <v>3.4999127068661995</v>
          </cell>
          <cell r="L277">
            <v>3.6274463991823493</v>
          </cell>
          <cell r="M277">
            <v>3.6275312893778273</v>
          </cell>
          <cell r="N277">
            <v>4.8645236273641252</v>
          </cell>
          <cell r="O277">
            <v>3.2876668905540667</v>
          </cell>
          <cell r="P277">
            <v>3.2444845709192345</v>
          </cell>
          <cell r="Q277">
            <v>3.0513654326575996</v>
          </cell>
          <cell r="R277">
            <v>3.9893531265580564</v>
          </cell>
          <cell r="S277">
            <v>2.4164877421952609</v>
          </cell>
          <cell r="T277">
            <v>2.4552839319738129</v>
          </cell>
          <cell r="V277">
            <v>3.4457094311547882</v>
          </cell>
          <cell r="W277">
            <v>3.4415354223308601</v>
          </cell>
          <cell r="X277">
            <v>3.4999127068661995</v>
          </cell>
          <cell r="Z277">
            <v>3.4520025366259448</v>
          </cell>
          <cell r="AB277">
            <v>3.4605084278361473</v>
          </cell>
          <cell r="AC277">
            <v>2.1465390487423908</v>
          </cell>
          <cell r="AD277">
            <v>4.9478749347004962</v>
          </cell>
        </row>
        <row r="278">
          <cell r="A278" t="str">
            <v>CGI014-qtz10-CL-fit-2-offset</v>
          </cell>
          <cell r="J278">
            <v>5.6374144501058625</v>
          </cell>
          <cell r="K278">
            <v>6.9066997029495178</v>
          </cell>
          <cell r="L278">
            <v>6.4682815962524023</v>
          </cell>
          <cell r="M278">
            <v>6.2054918653900302</v>
          </cell>
          <cell r="N278">
            <v>7.9519859750444475</v>
          </cell>
          <cell r="O278">
            <v>6.9528805307285726</v>
          </cell>
          <cell r="P278">
            <v>9.9720702293877164</v>
          </cell>
          <cell r="Q278">
            <v>7.4674536545897521</v>
          </cell>
          <cell r="R278">
            <v>6.0971878943822864</v>
          </cell>
          <cell r="S278">
            <v>3.4848403547997795</v>
          </cell>
          <cell r="T278">
            <v>6.6932269882415172</v>
          </cell>
          <cell r="V278">
            <v>6.8731845387432413</v>
          </cell>
          <cell r="W278">
            <v>6.7125030219883541</v>
          </cell>
          <cell r="X278">
            <v>6.6932269882415172</v>
          </cell>
          <cell r="Z278">
            <v>7.0242779826854731</v>
          </cell>
          <cell r="AB278">
            <v>7.0857650974961004</v>
          </cell>
          <cell r="AC278">
            <v>3.4814287164815823</v>
          </cell>
          <cell r="AD278">
            <v>11.235112222152031</v>
          </cell>
        </row>
        <row r="279">
          <cell r="A279" t="str">
            <v>CGI014-qtz10-CL-fit-3-offset</v>
          </cell>
          <cell r="J279">
            <v>1.7010727776513435</v>
          </cell>
          <cell r="K279">
            <v>1.8479128045481961</v>
          </cell>
          <cell r="L279">
            <v>0.77676477759390072</v>
          </cell>
          <cell r="M279">
            <v>2.0545641852955181</v>
          </cell>
          <cell r="N279">
            <v>2.4296140078138051</v>
          </cell>
          <cell r="O279">
            <v>2.2083791708548564</v>
          </cell>
          <cell r="P279">
            <v>1.607198474642541</v>
          </cell>
          <cell r="Q279">
            <v>2.701955477339431</v>
          </cell>
          <cell r="R279">
            <v>0.9587208956855261</v>
          </cell>
          <cell r="S279">
            <v>1.1684893108034917</v>
          </cell>
          <cell r="T279">
            <v>2.3632129569305138</v>
          </cell>
          <cell r="V279">
            <v>1.6452770170881084</v>
          </cell>
          <cell r="W279">
            <v>1.8016258944690113</v>
          </cell>
          <cell r="X279">
            <v>1.8479128045481961</v>
          </cell>
          <cell r="Z279">
            <v>1.5145005046075324</v>
          </cell>
          <cell r="AB279">
            <v>1.5463327736436541</v>
          </cell>
          <cell r="AC279">
            <v>4.6531388985596889E-2</v>
          </cell>
          <cell r="AD279">
            <v>3.4512552023586656</v>
          </cell>
        </row>
        <row r="280">
          <cell r="A280" t="str">
            <v>CGI014-qtz10-CL-fit-4-offset</v>
          </cell>
          <cell r="J280">
            <v>0.75885059967829438</v>
          </cell>
          <cell r="K280">
            <v>1.971347054230657</v>
          </cell>
          <cell r="L280">
            <v>1.7758114468572039</v>
          </cell>
          <cell r="M280">
            <v>2.5563047338446561</v>
          </cell>
          <cell r="N280">
            <v>1.8884170926306509</v>
          </cell>
          <cell r="O280">
            <v>0.90772073819305288</v>
          </cell>
          <cell r="P280">
            <v>1.6730361670964129</v>
          </cell>
          <cell r="Q280">
            <v>1.5230965436880166</v>
          </cell>
          <cell r="R280">
            <v>2.0848994352741674</v>
          </cell>
          <cell r="S280">
            <v>2.1127946055147548</v>
          </cell>
          <cell r="T280">
            <v>2.7477760839226253</v>
          </cell>
          <cell r="V280">
            <v>1.9019384781992013</v>
          </cell>
          <cell r="W280">
            <v>1.8181867728118626</v>
          </cell>
          <cell r="X280">
            <v>1.8884170926306509</v>
          </cell>
          <cell r="Z280">
            <v>1.7947479763187975</v>
          </cell>
          <cell r="AB280">
            <v>1.8664146715685939</v>
          </cell>
          <cell r="AC280">
            <v>0.76267477713188514</v>
          </cell>
          <cell r="AD280">
            <v>3.2449839952471602</v>
          </cell>
        </row>
        <row r="281">
          <cell r="A281" t="str">
            <v>CGI014-qtz11-CL-fit-1-offset</v>
          </cell>
          <cell r="J281">
            <v>6.788463038352921</v>
          </cell>
          <cell r="K281">
            <v>6.4522017739050064</v>
          </cell>
          <cell r="L281">
            <v>5.8874812244349339</v>
          </cell>
          <cell r="M281">
            <v>8.0558393514908957</v>
          </cell>
          <cell r="N281">
            <v>6.0511829385026408</v>
          </cell>
          <cell r="O281">
            <v>5.1594316220063323</v>
          </cell>
          <cell r="P281">
            <v>4.3127890342766788</v>
          </cell>
          <cell r="Q281">
            <v>5.1104952152626542</v>
          </cell>
          <cell r="R281">
            <v>5.4712349769764499</v>
          </cell>
          <cell r="S281">
            <v>5.2754740282836785</v>
          </cell>
          <cell r="T281">
            <v>6.2344647128935202</v>
          </cell>
          <cell r="V281">
            <v>5.7954651302861757</v>
          </cell>
          <cell r="W281">
            <v>5.8908234469441547</v>
          </cell>
          <cell r="X281">
            <v>5.8874812244349339</v>
          </cell>
          <cell r="Z281">
            <v>5.7356392100535336</v>
          </cell>
          <cell r="AB281">
            <v>5.8277471152790632</v>
          </cell>
          <cell r="AC281">
            <v>4.0440906553722735</v>
          </cell>
          <cell r="AD281">
            <v>8.4911106868427275</v>
          </cell>
        </row>
        <row r="282">
          <cell r="A282" t="str">
            <v>CGI014-qtz11-CL-fit-2-offset</v>
          </cell>
          <cell r="J282">
            <v>10.97172248857842</v>
          </cell>
          <cell r="K282">
            <v>12.378948472549039</v>
          </cell>
          <cell r="L282">
            <v>9.4854031845768425</v>
          </cell>
          <cell r="M282">
            <v>10.370890804497668</v>
          </cell>
          <cell r="N282">
            <v>10.915842129859541</v>
          </cell>
          <cell r="O282">
            <v>11.068999735186596</v>
          </cell>
          <cell r="P282">
            <v>10.658685299548763</v>
          </cell>
          <cell r="Q282">
            <v>11.269582832801756</v>
          </cell>
          <cell r="R282">
            <v>8.8611780857319307</v>
          </cell>
          <cell r="S282">
            <v>10.332304277161278</v>
          </cell>
          <cell r="T282">
            <v>11.637467284006583</v>
          </cell>
          <cell r="V282">
            <v>10.776036069354589</v>
          </cell>
          <cell r="W282">
            <v>10.722820417681676</v>
          </cell>
          <cell r="X282">
            <v>10.915842129859541</v>
          </cell>
          <cell r="Z282">
            <v>10.693327850871867</v>
          </cell>
          <cell r="AB282">
            <v>10.708903859784154</v>
          </cell>
          <cell r="AC282">
            <v>9.0080244671955541</v>
          </cell>
          <cell r="AD282">
            <v>12.743575019752841</v>
          </cell>
        </row>
        <row r="283">
          <cell r="A283" t="str">
            <v>CGI014-qtz11-CL-fit-3-offset</v>
          </cell>
          <cell r="J283">
            <v>2.9835389980009541</v>
          </cell>
          <cell r="K283">
            <v>4.7673331037190003</v>
          </cell>
          <cell r="L283">
            <v>4.8549036093210018</v>
          </cell>
          <cell r="M283">
            <v>3.3542928973665158</v>
          </cell>
          <cell r="N283">
            <v>4.8045515657904749</v>
          </cell>
          <cell r="O283">
            <v>3.8610362386572326</v>
          </cell>
          <cell r="P283">
            <v>4.4315471922391652</v>
          </cell>
          <cell r="Q283">
            <v>3.861601083468968</v>
          </cell>
          <cell r="R283">
            <v>4.4573856473821261</v>
          </cell>
          <cell r="S283">
            <v>4.6662191362979835</v>
          </cell>
          <cell r="T283">
            <v>4.5760770470068213</v>
          </cell>
          <cell r="V283">
            <v>4.2805004210670408</v>
          </cell>
          <cell r="W283">
            <v>4.2380442290227487</v>
          </cell>
          <cell r="X283">
            <v>4.4573856473821261</v>
          </cell>
          <cell r="Z283">
            <v>4.3225731925955406</v>
          </cell>
          <cell r="AB283">
            <v>4.2975029016087731</v>
          </cell>
          <cell r="AC283">
            <v>3.249971308863258</v>
          </cell>
          <cell r="AD283">
            <v>5.4395551037596173</v>
          </cell>
        </row>
        <row r="284">
          <cell r="A284" t="str">
            <v>CGI014-qtz11-CL-fit-4-offset</v>
          </cell>
          <cell r="J284">
            <v>2.2255485980510206</v>
          </cell>
          <cell r="K284">
            <v>2.7997451419250337</v>
          </cell>
          <cell r="L284">
            <v>2.4506511603173275</v>
          </cell>
          <cell r="M284">
            <v>2.1120869792763202</v>
          </cell>
          <cell r="N284">
            <v>2.1357077121601749</v>
          </cell>
          <cell r="O284">
            <v>2.0404971085360226</v>
          </cell>
          <cell r="P284">
            <v>2.0127181416847608</v>
          </cell>
          <cell r="Q284">
            <v>1.7025629917971348</v>
          </cell>
          <cell r="R284">
            <v>2.1328868441541871</v>
          </cell>
          <cell r="S284">
            <v>1.9741258541291979</v>
          </cell>
          <cell r="T284">
            <v>0.88726379381707843</v>
          </cell>
          <cell r="V284">
            <v>2.0360683825180357</v>
          </cell>
          <cell r="W284">
            <v>2.0430722114407507</v>
          </cell>
          <cell r="X284">
            <v>2.1120869792763202</v>
          </cell>
          <cell r="Z284">
            <v>1.9912818483923109</v>
          </cell>
          <cell r="AB284">
            <v>1.870813721882578</v>
          </cell>
          <cell r="AC284">
            <v>0.33684708580701406</v>
          </cell>
          <cell r="AD284">
            <v>3.2504436810373885</v>
          </cell>
        </row>
        <row r="285">
          <cell r="A285" t="str">
            <v>CGI014-qtz11-CL-fit-5-offset</v>
          </cell>
          <cell r="J285">
            <v>1.1277264662141515</v>
          </cell>
          <cell r="K285">
            <v>1.9191660890156057</v>
          </cell>
          <cell r="L285">
            <v>1.7319451228129643</v>
          </cell>
          <cell r="M285">
            <v>1.2091923699783564</v>
          </cell>
          <cell r="N285">
            <v>1.3053131017318622</v>
          </cell>
          <cell r="O285">
            <v>1.4993467759121342</v>
          </cell>
          <cell r="P285">
            <v>0.22282358334379915</v>
          </cell>
          <cell r="Q285">
            <v>0.85599965886816765</v>
          </cell>
          <cell r="R285">
            <v>1.2275157746819161</v>
          </cell>
          <cell r="S285">
            <v>1.1398891196837284</v>
          </cell>
          <cell r="T285">
            <v>0.82725741383532958</v>
          </cell>
          <cell r="V285">
            <v>1.3511839300885466</v>
          </cell>
          <cell r="W285">
            <v>1.1878341341889105</v>
          </cell>
          <cell r="X285">
            <v>1.2091923699783564</v>
          </cell>
          <cell r="Z285">
            <v>1.2197132513052968</v>
          </cell>
          <cell r="AB285">
            <v>1.1620724854610121</v>
          </cell>
          <cell r="AC285">
            <v>0.22864522540484211</v>
          </cell>
          <cell r="AD285">
            <v>2.1634397486716743</v>
          </cell>
        </row>
        <row r="286">
          <cell r="A286" t="str">
            <v>CGI014-qtz12-CL-fit-1-offset</v>
          </cell>
          <cell r="J286">
            <v>13.033545964102194</v>
          </cell>
          <cell r="K286">
            <v>14.445840443772216</v>
          </cell>
          <cell r="L286">
            <v>12.914229221048137</v>
          </cell>
          <cell r="M286">
            <v>17.693497629152674</v>
          </cell>
          <cell r="N286">
            <v>16.945647992679351</v>
          </cell>
          <cell r="O286">
            <v>14.347188994139643</v>
          </cell>
          <cell r="P286">
            <v>13.894109270073161</v>
          </cell>
          <cell r="Q286">
            <v>14.545946545081014</v>
          </cell>
          <cell r="R286">
            <v>12.561532624789248</v>
          </cell>
          <cell r="S286">
            <v>14.652169606759495</v>
          </cell>
          <cell r="T286">
            <v>16.016833284552213</v>
          </cell>
          <cell r="V286">
            <v>14.589567956431461</v>
          </cell>
          <cell r="W286">
            <v>14.640958325104485</v>
          </cell>
          <cell r="X286">
            <v>14.445840443772216</v>
          </cell>
          <cell r="Z286">
            <v>14.58466305877938</v>
          </cell>
          <cell r="AB286">
            <v>14.631062612776391</v>
          </cell>
          <cell r="AC286">
            <v>11.899973976135625</v>
          </cell>
          <cell r="AD286">
            <v>18.148829587138572</v>
          </cell>
        </row>
        <row r="287">
          <cell r="A287" t="str">
            <v>CGI014-qtz12-CL-fit-2-offset</v>
          </cell>
          <cell r="J287">
            <v>6.6991696771012634</v>
          </cell>
          <cell r="K287">
            <v>8.3313930491465076</v>
          </cell>
          <cell r="L287">
            <v>6.9465419983370991</v>
          </cell>
          <cell r="M287">
            <v>0</v>
          </cell>
          <cell r="N287">
            <v>7.6215895751078815</v>
          </cell>
          <cell r="O287">
            <v>6.2746316932400594</v>
          </cell>
          <cell r="P287">
            <v>8.4486881840313952</v>
          </cell>
          <cell r="Q287">
            <v>0</v>
          </cell>
          <cell r="R287">
            <v>4.2550495843757137</v>
          </cell>
          <cell r="S287">
            <v>0</v>
          </cell>
          <cell r="T287">
            <v>5.121802840919595</v>
          </cell>
          <cell r="V287">
            <v>6.8306474170392271</v>
          </cell>
          <cell r="W287">
            <v>6.7123583252824393</v>
          </cell>
          <cell r="X287">
            <v>6.8228558377191817</v>
          </cell>
          <cell r="Z287">
            <v>6.6276100628797847</v>
          </cell>
          <cell r="AB287">
            <v>6.7334467703854788</v>
          </cell>
          <cell r="AC287">
            <v>3.7423190646614497</v>
          </cell>
          <cell r="AD287">
            <v>10.176123692822022</v>
          </cell>
        </row>
        <row r="288">
          <cell r="A288" t="str">
            <v>CGI014-qtz12-CL-fit-3-offset</v>
          </cell>
          <cell r="J288">
            <v>2.3211996582737164</v>
          </cell>
          <cell r="K288">
            <v>3.4879315859041511</v>
          </cell>
          <cell r="L288">
            <v>3.6203363371403565</v>
          </cell>
          <cell r="M288">
            <v>3.6387552451099441</v>
          </cell>
          <cell r="N288">
            <v>4.0633753939560293</v>
          </cell>
          <cell r="O288">
            <v>3.8195301320009025</v>
          </cell>
          <cell r="P288">
            <v>2.9661103</v>
          </cell>
          <cell r="Q288">
            <v>5.0254046251608653</v>
          </cell>
          <cell r="R288">
            <v>5.3981418536567567</v>
          </cell>
          <cell r="S288">
            <v>5.5754785618179339</v>
          </cell>
          <cell r="T288">
            <v>5.2425738603027412</v>
          </cell>
          <cell r="V288">
            <v>4.0576912601492623</v>
          </cell>
          <cell r="W288">
            <v>4.1053488684839445</v>
          </cell>
          <cell r="X288">
            <v>3.8195301320009025</v>
          </cell>
          <cell r="Z288">
            <v>4.1279267267685853</v>
          </cell>
          <cell r="AB288">
            <v>4.152154849305421</v>
          </cell>
          <cell r="AC288">
            <v>2.8273159850882306</v>
          </cell>
          <cell r="AD288">
            <v>5.6119908509403187</v>
          </cell>
        </row>
        <row r="289">
          <cell r="A289" t="str">
            <v>CGI015-qtz01-CL-fit-1-offset</v>
          </cell>
          <cell r="J289">
            <v>2.4749925277813039</v>
          </cell>
          <cell r="K289">
            <v>6.0972417095444573</v>
          </cell>
          <cell r="L289">
            <v>3.2327289168691751</v>
          </cell>
          <cell r="M289">
            <v>5.486586856455185</v>
          </cell>
          <cell r="N289">
            <v>7.5387141224998562</v>
          </cell>
          <cell r="O289">
            <v>1.875813390483277</v>
          </cell>
          <cell r="P289">
            <v>3.6221642733460344</v>
          </cell>
          <cell r="Q289">
            <v>3.2394849318994821</v>
          </cell>
          <cell r="R289">
            <v>2.7185958134308699</v>
          </cell>
          <cell r="S289">
            <v>3.5326421899494154</v>
          </cell>
          <cell r="T289">
            <v>0.72770874215428161</v>
          </cell>
          <cell r="V289">
            <v>3.7219884899562099</v>
          </cell>
          <cell r="W289">
            <v>3.6860612249466667</v>
          </cell>
          <cell r="X289">
            <v>3.2394849318994821</v>
          </cell>
          <cell r="Z289">
            <v>3.6349554675795943</v>
          </cell>
          <cell r="AB289">
            <v>3.6992435523095986</v>
          </cell>
          <cell r="AC289">
            <v>0.84180432976000141</v>
          </cell>
          <cell r="AD289">
            <v>7.22319785827424</v>
          </cell>
        </row>
        <row r="290">
          <cell r="A290" t="str">
            <v>CGI015-qtz01-CL-fit-2-offset</v>
          </cell>
          <cell r="J290">
            <v>3.5276081763290561</v>
          </cell>
          <cell r="K290">
            <v>3.0040709451836705</v>
          </cell>
          <cell r="L290">
            <v>3.2112317446568386</v>
          </cell>
          <cell r="M290">
            <v>3.0549588405270049</v>
          </cell>
          <cell r="N290">
            <v>3.0094708131270758</v>
          </cell>
          <cell r="O290">
            <v>3.3485510232367619</v>
          </cell>
          <cell r="P290">
            <v>3.3577532247142012</v>
          </cell>
          <cell r="Q290">
            <v>2.9965199538708918</v>
          </cell>
          <cell r="R290">
            <v>3.1731856356830819</v>
          </cell>
          <cell r="S290">
            <v>4.0852289190960196</v>
          </cell>
          <cell r="T290">
            <v>4.0257052172340737</v>
          </cell>
          <cell r="V290">
            <v>3.339198296387432</v>
          </cell>
          <cell r="W290">
            <v>3.3449349539689708</v>
          </cell>
          <cell r="X290">
            <v>3.2112317446568386</v>
          </cell>
          <cell r="Z290">
            <v>3.3182401090217915</v>
          </cell>
          <cell r="AB290">
            <v>3.3130305794745345</v>
          </cell>
          <cell r="AC290">
            <v>1.8207791774200039</v>
          </cell>
          <cell r="AD290">
            <v>4.6942782230848863</v>
          </cell>
        </row>
        <row r="291">
          <cell r="A291" t="str">
            <v>CGI015-qtz01-CL-fit-3-offset</v>
          </cell>
          <cell r="J291">
            <v>3.8320466003614619</v>
          </cell>
          <cell r="K291">
            <v>3.6891261882237161</v>
          </cell>
          <cell r="L291">
            <v>3.9521273039438949</v>
          </cell>
          <cell r="M291">
            <v>2.8389077447115225</v>
          </cell>
          <cell r="N291">
            <v>3.9165018020543956</v>
          </cell>
          <cell r="O291">
            <v>4.4763417624212822</v>
          </cell>
          <cell r="P291">
            <v>4.624746534720221</v>
          </cell>
          <cell r="Q291">
            <v>4.9771049686052971</v>
          </cell>
          <cell r="R291">
            <v>4.0106247581679444</v>
          </cell>
          <cell r="S291">
            <v>3.6121513073097415</v>
          </cell>
          <cell r="T291">
            <v>4.2539894225473143</v>
          </cell>
          <cell r="V291">
            <v>3.9830392844023774</v>
          </cell>
          <cell r="W291">
            <v>4.0166971266424349</v>
          </cell>
          <cell r="X291">
            <v>3.9521273039438949</v>
          </cell>
          <cell r="Z291">
            <v>3.97198785470954</v>
          </cell>
          <cell r="AB291">
            <v>3.9840187800006066</v>
          </cell>
          <cell r="AC291">
            <v>2.8891893297236142</v>
          </cell>
          <cell r="AD291">
            <v>5.1678014983116434</v>
          </cell>
        </row>
        <row r="292">
          <cell r="A292" t="str">
            <v>CGI015-qtz01-CL-fit-4-offset</v>
          </cell>
          <cell r="J292">
            <v>2.9927419349006588</v>
          </cell>
          <cell r="K292">
            <v>2.7307175918831357</v>
          </cell>
          <cell r="L292">
            <v>3.0864474339064931</v>
          </cell>
          <cell r="M292">
            <v>2.0503265706261562</v>
          </cell>
          <cell r="N292">
            <v>2.3104108959739023</v>
          </cell>
          <cell r="O292">
            <v>2.8315334461221373</v>
          </cell>
          <cell r="P292">
            <v>2.4588142021330368</v>
          </cell>
          <cell r="Q292">
            <v>2.9557371000446531</v>
          </cell>
          <cell r="R292">
            <v>2.6737444158701944</v>
          </cell>
          <cell r="S292">
            <v>2.2480471215790874</v>
          </cell>
          <cell r="T292">
            <v>1.7757557575025824</v>
          </cell>
          <cell r="V292">
            <v>2.5471916060722739</v>
          </cell>
          <cell r="W292">
            <v>2.555843315503822</v>
          </cell>
          <cell r="X292">
            <v>2.6737444158701944</v>
          </cell>
          <cell r="Z292">
            <v>2.5850285552295817</v>
          </cell>
          <cell r="AB292">
            <v>2.5785699861998084</v>
          </cell>
          <cell r="AC292">
            <v>1.8140355750578125</v>
          </cell>
          <cell r="AD292">
            <v>3.4076259717247859</v>
          </cell>
        </row>
        <row r="293">
          <cell r="A293" t="str">
            <v>CGI015-qtz01-CL-fit-5-offset</v>
          </cell>
          <cell r="J293">
            <v>1.7622241426915461</v>
          </cell>
          <cell r="K293">
            <v>1.5982065081430317</v>
          </cell>
          <cell r="L293">
            <v>2.6395608775075199</v>
          </cell>
          <cell r="M293">
            <v>2.721513788961345</v>
          </cell>
          <cell r="N293">
            <v>2.7353282028128687</v>
          </cell>
          <cell r="O293">
            <v>1.7282549534729519</v>
          </cell>
          <cell r="P293">
            <v>2.0733272252640274</v>
          </cell>
          <cell r="Q293">
            <v>2.157499743861937</v>
          </cell>
          <cell r="R293">
            <v>3.9859405051767558</v>
          </cell>
          <cell r="S293">
            <v>1.8420092743332948</v>
          </cell>
          <cell r="T293">
            <v>3.0365293321288389</v>
          </cell>
          <cell r="V293">
            <v>2.2530564011020324</v>
          </cell>
          <cell r="W293">
            <v>2.3891267776685563</v>
          </cell>
          <cell r="X293">
            <v>2.157499743861937</v>
          </cell>
          <cell r="Z293">
            <v>2.1425844708696746</v>
          </cell>
          <cell r="AB293">
            <v>2.2412959878423551</v>
          </cell>
          <cell r="AC293">
            <v>1.3192136545926716</v>
          </cell>
          <cell r="AD293">
            <v>3.2946811293300216</v>
          </cell>
        </row>
        <row r="294">
          <cell r="A294" t="str">
            <v>CGI015-qtz01-CL-fit-6-offset</v>
          </cell>
          <cell r="J294">
            <v>0.88603352055087359</v>
          </cell>
          <cell r="K294">
            <v>0.79516573622923492</v>
          </cell>
          <cell r="L294">
            <v>0.74330417440200924</v>
          </cell>
          <cell r="M294">
            <v>0.87783869031084449</v>
          </cell>
          <cell r="N294">
            <v>0.57817654792639861</v>
          </cell>
          <cell r="O294">
            <v>0.27491388794533506</v>
          </cell>
          <cell r="P294">
            <v>0.94707261517217656</v>
          </cell>
          <cell r="Q294">
            <v>0.28421247847793207</v>
          </cell>
          <cell r="R294">
            <v>1.0884003577286516</v>
          </cell>
          <cell r="S294">
            <v>0.2909853452281011</v>
          </cell>
          <cell r="T294">
            <v>1.3141793206011176</v>
          </cell>
          <cell r="V294">
            <v>0.88367692767168327</v>
          </cell>
          <cell r="W294">
            <v>0.73457115223387959</v>
          </cell>
          <cell r="X294">
            <v>0.79516573622923492</v>
          </cell>
          <cell r="Z294">
            <v>0.7839466508759656</v>
          </cell>
          <cell r="AB294">
            <v>0.82850429403495229</v>
          </cell>
          <cell r="AC294">
            <v>9.0882207108321206E-2</v>
          </cell>
          <cell r="AD294">
            <v>1.922382682210596</v>
          </cell>
        </row>
        <row r="295">
          <cell r="A295" t="str">
            <v>CGI015-qtz02-CL-fit-1-offset</v>
          </cell>
          <cell r="J295">
            <v>14.543310121800459</v>
          </cell>
          <cell r="K295">
            <v>14.660317069459396</v>
          </cell>
          <cell r="L295">
            <v>14.988505995812814</v>
          </cell>
          <cell r="M295">
            <v>14.246613850349602</v>
          </cell>
          <cell r="N295">
            <v>14.764769119554428</v>
          </cell>
          <cell r="O295">
            <v>13.76790080025234</v>
          </cell>
          <cell r="P295">
            <v>12.602474949159209</v>
          </cell>
          <cell r="Q295">
            <v>15.050573851165618</v>
          </cell>
          <cell r="R295">
            <v>16.578967109084736</v>
          </cell>
          <cell r="S295">
            <v>16.756402887420528</v>
          </cell>
          <cell r="T295">
            <v>14.119099063856023</v>
          </cell>
          <cell r="V295">
            <v>14.687383197822911</v>
          </cell>
          <cell r="W295">
            <v>14.734448619810468</v>
          </cell>
          <cell r="X295">
            <v>14.660317069459396</v>
          </cell>
          <cell r="Z295">
            <v>14.752161953628217</v>
          </cell>
          <cell r="AB295">
            <v>14.721652362964393</v>
          </cell>
          <cell r="AC295">
            <v>12.19512760812518</v>
          </cell>
          <cell r="AD295">
            <v>17.368392471134332</v>
          </cell>
        </row>
        <row r="296">
          <cell r="A296" t="str">
            <v>CGI015-qtz02-CL-fit-2-offset</v>
          </cell>
          <cell r="J296">
            <v>2.4845295057401429</v>
          </cell>
          <cell r="K296">
            <v>2.9201887173656167</v>
          </cell>
          <cell r="L296">
            <v>2.7436970680705848</v>
          </cell>
          <cell r="M296">
            <v>1.8577826254570449</v>
          </cell>
          <cell r="N296">
            <v>2.9285437158047158</v>
          </cell>
          <cell r="O296">
            <v>3.4716637908084564</v>
          </cell>
          <cell r="P296">
            <v>3.1337514435244698</v>
          </cell>
          <cell r="Q296">
            <v>3.8691231545285674</v>
          </cell>
          <cell r="R296">
            <v>3.641480057238256</v>
          </cell>
          <cell r="S296">
            <v>3.4624099873268599</v>
          </cell>
          <cell r="T296">
            <v>2.6656291115402824</v>
          </cell>
          <cell r="V296">
            <v>3.1069140761261829</v>
          </cell>
          <cell r="W296">
            <v>3.0162544706731818</v>
          </cell>
          <cell r="X296">
            <v>2.9285437158047158</v>
          </cell>
          <cell r="Z296">
            <v>3.0038289875130202</v>
          </cell>
          <cell r="AB296">
            <v>2.9925673292834034</v>
          </cell>
          <cell r="AC296">
            <v>1.9379926932977911</v>
          </cell>
          <cell r="AD296">
            <v>3.8107860047886075</v>
          </cell>
        </row>
        <row r="297">
          <cell r="A297" t="str">
            <v>CGI015-qtz02-CL-fit-3-offset</v>
          </cell>
          <cell r="J297">
            <v>2.6784622238359557</v>
          </cell>
          <cell r="K297">
            <v>2.3220579521069888</v>
          </cell>
          <cell r="L297">
            <v>2.0537529922441218</v>
          </cell>
          <cell r="M297">
            <v>2.7965587276320214</v>
          </cell>
          <cell r="N297">
            <v>2.6695273221866609</v>
          </cell>
          <cell r="O297">
            <v>2.362457975260881</v>
          </cell>
          <cell r="P297">
            <v>2.205022147918712</v>
          </cell>
          <cell r="Q297">
            <v>2.0486927996451088</v>
          </cell>
          <cell r="R297">
            <v>2.1776070591644761</v>
          </cell>
          <cell r="S297">
            <v>3.1625005329165639</v>
          </cell>
          <cell r="T297">
            <v>1.7694749267140939</v>
          </cell>
          <cell r="V297">
            <v>2.3765835451462531</v>
          </cell>
          <cell r="W297">
            <v>2.3860104236023258</v>
          </cell>
          <cell r="X297">
            <v>2.3220579521069888</v>
          </cell>
          <cell r="Z297">
            <v>2.4014478651701499</v>
          </cell>
          <cell r="AB297">
            <v>2.4002449317969963</v>
          </cell>
          <cell r="AC297">
            <v>1.3858624022778441</v>
          </cell>
          <cell r="AD297">
            <v>3.3597797221040753</v>
          </cell>
        </row>
        <row r="298">
          <cell r="A298" t="str">
            <v>CGI015-qtz02-CL-fit-4-offset</v>
          </cell>
          <cell r="J298">
            <v>0.88867386900722756</v>
          </cell>
          <cell r="K298">
            <v>0.76641239563487151</v>
          </cell>
          <cell r="L298">
            <v>0.65411499546366769</v>
          </cell>
          <cell r="M298">
            <v>0.75190150377912923</v>
          </cell>
          <cell r="N298">
            <v>0.83745091828291873</v>
          </cell>
          <cell r="O298">
            <v>0.9079677421281922</v>
          </cell>
          <cell r="P298">
            <v>0.85150176841321279</v>
          </cell>
          <cell r="Q298">
            <v>1.0667994828720679</v>
          </cell>
          <cell r="R298">
            <v>0.95333156822133958</v>
          </cell>
          <cell r="S298">
            <v>1.022487600864729</v>
          </cell>
          <cell r="T298">
            <v>0.81943183762272909</v>
          </cell>
          <cell r="V298">
            <v>0.90564763390220748</v>
          </cell>
          <cell r="W298">
            <v>0.86546124384455325</v>
          </cell>
          <cell r="X298">
            <v>0.85150176841321279</v>
          </cell>
          <cell r="Z298">
            <v>0.87926456861904412</v>
          </cell>
          <cell r="AB298">
            <v>0.81592594807002183</v>
          </cell>
          <cell r="AC298">
            <v>7.0247528875165569E-2</v>
          </cell>
          <cell r="AD298">
            <v>1.4460634268345991</v>
          </cell>
        </row>
        <row r="299">
          <cell r="A299" t="str">
            <v>CGI015-qtz03-CL-fit-1-offset</v>
          </cell>
          <cell r="J299">
            <v>6.9694438281962787</v>
          </cell>
          <cell r="K299">
            <v>7.3460298122649146</v>
          </cell>
          <cell r="L299">
            <v>7.2176882982887447</v>
          </cell>
          <cell r="M299">
            <v>6.7263837747596344</v>
          </cell>
          <cell r="N299">
            <v>6.6832213544545347</v>
          </cell>
          <cell r="O299">
            <v>7.8789271169447668</v>
          </cell>
          <cell r="P299">
            <v>5.0993974403390689</v>
          </cell>
          <cell r="Q299">
            <v>5.4448836783173098</v>
          </cell>
          <cell r="R299">
            <v>4.9869400431186257</v>
          </cell>
          <cell r="S299">
            <v>5.0937466904681941</v>
          </cell>
          <cell r="T299">
            <v>6.3565913377697258</v>
          </cell>
          <cell r="V299">
            <v>6.4344491898481033</v>
          </cell>
          <cell r="W299">
            <v>6.3457503068110732</v>
          </cell>
          <cell r="X299">
            <v>6.6832213544545347</v>
          </cell>
          <cell r="Z299">
            <v>6.2678432407378066</v>
          </cell>
          <cell r="AB299">
            <v>6.3568041932727519</v>
          </cell>
          <cell r="AC299">
            <v>4.0119583075136838</v>
          </cell>
          <cell r="AD299">
            <v>9.0673678654340151</v>
          </cell>
        </row>
        <row r="300">
          <cell r="A300" t="str">
            <v>CGI015-qtz03-CL-fit-2-offset</v>
          </cell>
          <cell r="J300">
            <v>4.9238551870297416</v>
          </cell>
          <cell r="K300">
            <v>6.8274856313057546</v>
          </cell>
          <cell r="L300">
            <v>7.2399421528200127</v>
          </cell>
          <cell r="M300">
            <v>5.9648121319954663</v>
          </cell>
          <cell r="N300">
            <v>6.2720871332805013</v>
          </cell>
          <cell r="O300">
            <v>7.3495406694999605</v>
          </cell>
          <cell r="P300">
            <v>6.9003240098703644</v>
          </cell>
          <cell r="Q300">
            <v>7.0421262557561359</v>
          </cell>
          <cell r="R300">
            <v>7.6517381513741656</v>
          </cell>
          <cell r="S300">
            <v>7.5925955749857676</v>
          </cell>
          <cell r="T300">
            <v>6.4963535335933358</v>
          </cell>
          <cell r="V300">
            <v>6.8119724442496992</v>
          </cell>
          <cell r="W300">
            <v>6.7509873119555657</v>
          </cell>
          <cell r="X300">
            <v>6.9003240098703644</v>
          </cell>
          <cell r="Z300">
            <v>6.6753001330607962</v>
          </cell>
          <cell r="AB300">
            <v>6.7014259064742756</v>
          </cell>
          <cell r="AC300">
            <v>4.9352696586041196</v>
          </cell>
          <cell r="AD300">
            <v>8.6845136598256776</v>
          </cell>
        </row>
        <row r="301">
          <cell r="A301" t="str">
            <v>CGI015-qtz03-CL-fit-3-offset</v>
          </cell>
          <cell r="J301">
            <v>3.6211379102845007</v>
          </cell>
          <cell r="K301">
            <v>3.7631723371737134</v>
          </cell>
          <cell r="L301">
            <v>4.1589420364819505</v>
          </cell>
          <cell r="M301">
            <v>3.0636179221618578</v>
          </cell>
          <cell r="N301">
            <v>2.6519777719437729</v>
          </cell>
          <cell r="O301">
            <v>3.1318012732128397</v>
          </cell>
          <cell r="P301">
            <v>3.0977421721488505</v>
          </cell>
          <cell r="Q301">
            <v>3.6803960645952278</v>
          </cell>
          <cell r="R301">
            <v>3.9504955586254562</v>
          </cell>
          <cell r="S301">
            <v>3.2078219715745857</v>
          </cell>
          <cell r="T301">
            <v>3.084598267091005</v>
          </cell>
          <cell r="V301">
            <v>3.3782636466375275</v>
          </cell>
          <cell r="W301">
            <v>3.4010639350267056</v>
          </cell>
          <cell r="X301">
            <v>3.2078219715745857</v>
          </cell>
          <cell r="Z301">
            <v>3.3340947116968387</v>
          </cell>
          <cell r="AB301">
            <v>3.3410414927251524</v>
          </cell>
          <cell r="AC301">
            <v>2.3299913941934594</v>
          </cell>
          <cell r="AD301">
            <v>4.2076718157231348</v>
          </cell>
        </row>
        <row r="302">
          <cell r="A302" t="str">
            <v>CGI015-qtz03-CL-fit-4-offset</v>
          </cell>
          <cell r="J302">
            <v>4.5814690957738211</v>
          </cell>
          <cell r="K302">
            <v>5.0358401786492104</v>
          </cell>
          <cell r="L302">
            <v>4.7478150022149794</v>
          </cell>
          <cell r="M302">
            <v>4.3505519349008095</v>
          </cell>
          <cell r="N302">
            <v>3.5077839580387904</v>
          </cell>
          <cell r="O302">
            <v>3.9300431482938234</v>
          </cell>
          <cell r="P302">
            <v>3.755125088440745</v>
          </cell>
          <cell r="Q302">
            <v>5.0728405104963832</v>
          </cell>
          <cell r="R302">
            <v>2.299098475276709</v>
          </cell>
          <cell r="S302">
            <v>2.4078444781713215</v>
          </cell>
          <cell r="T302">
            <v>3.6401988743918747</v>
          </cell>
          <cell r="V302">
            <v>3.8291928659035892</v>
          </cell>
          <cell r="W302">
            <v>3.9389646131498606</v>
          </cell>
          <cell r="X302">
            <v>3.9300431482938234</v>
          </cell>
          <cell r="Z302">
            <v>3.6090237416880031</v>
          </cell>
          <cell r="AB302">
            <v>3.7162790791791447</v>
          </cell>
          <cell r="AC302">
            <v>2.5667448086780125</v>
          </cell>
          <cell r="AD302">
            <v>5.2852677898377847</v>
          </cell>
        </row>
        <row r="303">
          <cell r="A303" t="str">
            <v>CGI015-qtz03-CL-fit-5-offset</v>
          </cell>
          <cell r="J303">
            <v>3.0469285270406603</v>
          </cell>
          <cell r="K303">
            <v>1.7616287134757032</v>
          </cell>
          <cell r="L303">
            <v>2.5018528505623476</v>
          </cell>
          <cell r="M303">
            <v>1.7119447657683555</v>
          </cell>
          <cell r="N303">
            <v>2.1004196539540105</v>
          </cell>
          <cell r="O303">
            <v>2.1765005271924744</v>
          </cell>
          <cell r="P303">
            <v>2.2683669861527909</v>
          </cell>
          <cell r="Q303">
            <v>2.161015939546477</v>
          </cell>
          <cell r="R303">
            <v>2.3741071679298611</v>
          </cell>
          <cell r="S303">
            <v>2.7123384137012736</v>
          </cell>
          <cell r="T303">
            <v>3.1111015484881905</v>
          </cell>
          <cell r="V303">
            <v>2.3910368165788984</v>
          </cell>
          <cell r="W303">
            <v>2.3569277358011043</v>
          </cell>
          <cell r="X303">
            <v>2.2683669861527909</v>
          </cell>
          <cell r="Z303">
            <v>2.3382291434960427</v>
          </cell>
          <cell r="AB303">
            <v>2.3470838621972292</v>
          </cell>
          <cell r="AC303">
            <v>1.2119552913577134</v>
          </cell>
          <cell r="AD303">
            <v>3.4978453125530242</v>
          </cell>
        </row>
        <row r="304">
          <cell r="A304" t="str">
            <v>CGI015-qtz04-CL-fit-1-offset</v>
          </cell>
          <cell r="J304">
            <v>4.2751336314870567</v>
          </cell>
          <cell r="K304">
            <v>4.6249245114176265</v>
          </cell>
          <cell r="L304">
            <v>4.9877628937320946</v>
          </cell>
          <cell r="M304">
            <v>4.6362234778797289</v>
          </cell>
          <cell r="N304">
            <v>4.4444351212223498</v>
          </cell>
          <cell r="O304">
            <v>4.6409552197172816</v>
          </cell>
          <cell r="P304">
            <v>4.6275645397958929</v>
          </cell>
          <cell r="Q304">
            <v>4.4073158053839103</v>
          </cell>
          <cell r="R304">
            <v>4.5604923651949791</v>
          </cell>
          <cell r="S304">
            <v>4.6067986172148139</v>
          </cell>
          <cell r="T304">
            <v>5.2759040126158068</v>
          </cell>
          <cell r="V304">
            <v>4.6785390521977979</v>
          </cell>
          <cell r="W304">
            <v>4.6443191086965037</v>
          </cell>
          <cell r="X304">
            <v>4.6249245114176265</v>
          </cell>
          <cell r="Z304">
            <v>4.6201584104490241</v>
          </cell>
          <cell r="AB304">
            <v>4.6525244545416653</v>
          </cell>
          <cell r="AC304">
            <v>3.7774629250526162</v>
          </cell>
          <cell r="AD304">
            <v>5.4381889381486861</v>
          </cell>
        </row>
        <row r="305">
          <cell r="A305" t="str">
            <v>CGI015-qtz04-CL-fit-2-offset</v>
          </cell>
          <cell r="J305">
            <v>3.6039970703365922</v>
          </cell>
          <cell r="K305">
            <v>3.8648977197793428</v>
          </cell>
          <cell r="L305">
            <v>3.5853263514083724</v>
          </cell>
          <cell r="M305">
            <v>3.8577147990590754</v>
          </cell>
          <cell r="N305">
            <v>3.0493335782995246</v>
          </cell>
          <cell r="O305">
            <v>3.707445241490932</v>
          </cell>
          <cell r="P305">
            <v>3.2883794310985359</v>
          </cell>
          <cell r="Q305">
            <v>4.2183706984710545</v>
          </cell>
          <cell r="R305">
            <v>3.6605454000703772</v>
          </cell>
          <cell r="S305">
            <v>3.7359060330592002</v>
          </cell>
          <cell r="T305">
            <v>2.6805109417669497</v>
          </cell>
          <cell r="V305">
            <v>3.6568947907943214</v>
          </cell>
          <cell r="W305">
            <v>3.5684024786218145</v>
          </cell>
          <cell r="X305">
            <v>3.6605454000703772</v>
          </cell>
          <cell r="Z305">
            <v>3.6311197195781046</v>
          </cell>
          <cell r="AB305">
            <v>3.6626777600244806</v>
          </cell>
          <cell r="AC305">
            <v>2.4773102807132399</v>
          </cell>
          <cell r="AD305">
            <v>4.8618791429784274</v>
          </cell>
        </row>
        <row r="306">
          <cell r="A306" t="str">
            <v>CGI015-qtz04-CL-fit-3-offset</v>
          </cell>
          <cell r="J306">
            <v>1.991375738023855</v>
          </cell>
          <cell r="K306">
            <v>1.4090080244809455</v>
          </cell>
          <cell r="L306">
            <v>1.4983732145986981</v>
          </cell>
          <cell r="M306">
            <v>1.3428344001876371</v>
          </cell>
          <cell r="N306">
            <v>1.1661399289926464</v>
          </cell>
          <cell r="O306">
            <v>1.9645348183785503</v>
          </cell>
          <cell r="P306">
            <v>2.5450897751570722</v>
          </cell>
          <cell r="Q306">
            <v>1.7539078476948653</v>
          </cell>
          <cell r="R306">
            <v>2.3519265945333347</v>
          </cell>
          <cell r="S306">
            <v>1.0583384045453355</v>
          </cell>
          <cell r="T306">
            <v>1.4619901766104981</v>
          </cell>
          <cell r="V306">
            <v>1.7286923576121873</v>
          </cell>
          <cell r="W306">
            <v>1.6857744475639487</v>
          </cell>
          <cell r="X306">
            <v>1.4983732145986981</v>
          </cell>
          <cell r="Z306">
            <v>1.6669137704131285</v>
          </cell>
          <cell r="AB306">
            <v>1.6341265001035254</v>
          </cell>
          <cell r="AC306">
            <v>0.26254370576860586</v>
          </cell>
          <cell r="AD306">
            <v>2.6307199770451022</v>
          </cell>
        </row>
        <row r="307">
          <cell r="A307" t="str">
            <v>CGI015-qtz04-CL-fit-4-offset</v>
          </cell>
          <cell r="J307">
            <v>1.646140702298311</v>
          </cell>
          <cell r="K307">
            <v>0.25786377340390104</v>
          </cell>
          <cell r="L307">
            <v>1.3355318986382132</v>
          </cell>
          <cell r="M307">
            <v>1.1859573647971464</v>
          </cell>
          <cell r="N307">
            <v>1.1981957362687901</v>
          </cell>
          <cell r="O307">
            <v>1.5459822248840616</v>
          </cell>
          <cell r="P307">
            <v>1.3001279897418792</v>
          </cell>
          <cell r="Q307">
            <v>0.15045648934333536</v>
          </cell>
          <cell r="R307">
            <v>0.94744402521288229</v>
          </cell>
          <cell r="S307">
            <v>1.2666039247865604</v>
          </cell>
          <cell r="T307">
            <v>1.0151196414857409</v>
          </cell>
          <cell r="V307">
            <v>1.2835995617163889</v>
          </cell>
          <cell r="W307">
            <v>1.0772203428055294</v>
          </cell>
          <cell r="X307">
            <v>1.1981957362687901</v>
          </cell>
          <cell r="Z307">
            <v>1.2417609885090966</v>
          </cell>
          <cell r="AB307">
            <v>1.2733258079086895</v>
          </cell>
          <cell r="AC307">
            <v>0.18560250376987622</v>
          </cell>
          <cell r="AD307">
            <v>3.7171639032747272</v>
          </cell>
        </row>
        <row r="308">
          <cell r="A308" t="str">
            <v>CGI015-qtz05-CL-fit-1-offset</v>
          </cell>
          <cell r="J308">
            <v>8.2032015566004031</v>
          </cell>
          <cell r="K308">
            <v>7.4788981438050151</v>
          </cell>
          <cell r="L308">
            <v>9.4199227602322839</v>
          </cell>
          <cell r="M308">
            <v>8.0018066703767605</v>
          </cell>
          <cell r="N308">
            <v>8.29959902662414</v>
          </cell>
          <cell r="O308">
            <v>7.2492023983555525</v>
          </cell>
          <cell r="P308">
            <v>10.144208770205521</v>
          </cell>
          <cell r="Q308">
            <v>7.9087061716332396</v>
          </cell>
          <cell r="R308">
            <v>5.8272052535804351</v>
          </cell>
          <cell r="S308">
            <v>5.0600240433396246</v>
          </cell>
          <cell r="T308">
            <v>7.2090161724198252</v>
          </cell>
          <cell r="V308">
            <v>7.5311290702665499</v>
          </cell>
          <cell r="W308">
            <v>7.7092537242884358</v>
          </cell>
          <cell r="X308">
            <v>7.9087061716332396</v>
          </cell>
          <cell r="Z308">
            <v>7.4771471656080823</v>
          </cell>
          <cell r="AB308">
            <v>7.4976345584830479</v>
          </cell>
          <cell r="AC308">
            <v>5.9985961852077558</v>
          </cell>
          <cell r="AD308">
            <v>9.1978109980776015</v>
          </cell>
        </row>
        <row r="309">
          <cell r="A309" t="str">
            <v>CGI015-qtz05-CL-fit-2-offset</v>
          </cell>
          <cell r="J309">
            <v>2.9819140231581387</v>
          </cell>
          <cell r="K309">
            <v>2.8795468820295129</v>
          </cell>
          <cell r="L309">
            <v>2.8814446429277698</v>
          </cell>
          <cell r="M309">
            <v>2.9524822818934795</v>
          </cell>
          <cell r="N309">
            <v>3.0110223405512833</v>
          </cell>
          <cell r="O309">
            <v>3.2810784621131535</v>
          </cell>
          <cell r="P309">
            <v>3.7143543150588467</v>
          </cell>
          <cell r="Q309">
            <v>3.2665019471928427</v>
          </cell>
          <cell r="R309">
            <v>3.5773809097334412</v>
          </cell>
          <cell r="S309">
            <v>2.4839846281911511</v>
          </cell>
          <cell r="T309">
            <v>2.9220915843742845</v>
          </cell>
          <cell r="V309">
            <v>3.0748001944510794</v>
          </cell>
          <cell r="W309">
            <v>3.0865274561112641</v>
          </cell>
          <cell r="X309">
            <v>2.9819140231581387</v>
          </cell>
          <cell r="Z309">
            <v>3.017548369178483</v>
          </cell>
          <cell r="AB309">
            <v>3.015331594549731</v>
          </cell>
          <cell r="AC309">
            <v>2.3586652975484457</v>
          </cell>
          <cell r="AD309">
            <v>3.7762487420417878</v>
          </cell>
        </row>
        <row r="310">
          <cell r="A310" t="str">
            <v>CGI015-qtz05-CL-fit-3-offset</v>
          </cell>
          <cell r="J310">
            <v>2.6960502532618773</v>
          </cell>
          <cell r="K310">
            <v>2.5300856800946416</v>
          </cell>
          <cell r="L310">
            <v>2.2227709176178969</v>
          </cell>
          <cell r="M310">
            <v>1.577653121914494</v>
          </cell>
          <cell r="N310">
            <v>1.0956742479593293</v>
          </cell>
          <cell r="O310">
            <v>1.1941537423175954</v>
          </cell>
          <cell r="P310">
            <v>2.1945315407626858</v>
          </cell>
          <cell r="Q310">
            <v>2.0480222130207548</v>
          </cell>
          <cell r="R310">
            <v>1.1446193534649654</v>
          </cell>
          <cell r="S310">
            <v>1.4996738065852881</v>
          </cell>
          <cell r="T310">
            <v>1.0670611563380858</v>
          </cell>
          <cell r="V310">
            <v>1.7994830073222461</v>
          </cell>
          <cell r="W310">
            <v>1.7518450939397829</v>
          </cell>
          <cell r="X310">
            <v>1.577653121914494</v>
          </cell>
          <cell r="Z310">
            <v>1.7680101018143985</v>
          </cell>
          <cell r="AB310">
            <v>1.7270655815908171</v>
          </cell>
          <cell r="AC310">
            <v>0.27841821760904112</v>
          </cell>
          <cell r="AD310">
            <v>2.6158753233640613</v>
          </cell>
        </row>
        <row r="311">
          <cell r="A311" t="str">
            <v>CGI015-qtz05-CL-fit-4-offset</v>
          </cell>
          <cell r="J311">
            <v>2.2214074347913404</v>
          </cell>
          <cell r="K311">
            <v>2.474848624262326</v>
          </cell>
          <cell r="L311">
            <v>2.6254307062403899</v>
          </cell>
          <cell r="M311">
            <v>2.507987714295727</v>
          </cell>
          <cell r="N311">
            <v>1.7566615024042296</v>
          </cell>
          <cell r="O311">
            <v>2.1674099301124055</v>
          </cell>
          <cell r="P311">
            <v>1.4029695343720756</v>
          </cell>
          <cell r="Q311">
            <v>0.83976864743494684</v>
          </cell>
          <cell r="R311">
            <v>2.4572868861100208</v>
          </cell>
          <cell r="S311">
            <v>1.9022763465425492</v>
          </cell>
          <cell r="T311">
            <v>1.0372814938126398</v>
          </cell>
          <cell r="V311">
            <v>1.9351156299924821</v>
          </cell>
          <cell r="W311">
            <v>1.9448480745798775</v>
          </cell>
          <cell r="X311">
            <v>2.1674099301124055</v>
          </cell>
          <cell r="Z311">
            <v>1.8824879579791469</v>
          </cell>
          <cell r="AB311">
            <v>1.8293022171931159</v>
          </cell>
          <cell r="AC311">
            <v>0.23210707697719551</v>
          </cell>
          <cell r="AD311">
            <v>3.1514524377428934</v>
          </cell>
        </row>
        <row r="312">
          <cell r="A312" t="str">
            <v>CGI015-qtz06-CL-fit-1-offset</v>
          </cell>
          <cell r="J312">
            <v>5.4190954019256479</v>
          </cell>
          <cell r="K312">
            <v>5.6563123505947637</v>
          </cell>
          <cell r="L312">
            <v>4.9862513102720634</v>
          </cell>
          <cell r="M312">
            <v>6.2880438545227406</v>
          </cell>
          <cell r="N312">
            <v>6.8277682542695732</v>
          </cell>
          <cell r="O312">
            <v>5.9825743025587581</v>
          </cell>
          <cell r="P312">
            <v>5.8989002097169765</v>
          </cell>
          <cell r="Q312">
            <v>5.2587010818510489</v>
          </cell>
          <cell r="R312">
            <v>4.8358054888183046</v>
          </cell>
          <cell r="S312">
            <v>6.8641042657141291</v>
          </cell>
          <cell r="T312">
            <v>7.1730488739054428</v>
          </cell>
          <cell r="V312">
            <v>5.8539098942956143</v>
          </cell>
          <cell r="W312">
            <v>5.9264186721954051</v>
          </cell>
          <cell r="X312">
            <v>5.8989002097169765</v>
          </cell>
          <cell r="Z312">
            <v>5.8160957256430503</v>
          </cell>
          <cell r="AB312">
            <v>5.8778549636582627</v>
          </cell>
          <cell r="AC312">
            <v>4.393228706820322</v>
          </cell>
          <cell r="AD312">
            <v>7.5441562030631362</v>
          </cell>
        </row>
        <row r="313">
          <cell r="A313" t="str">
            <v>CGI015-qtz06-CL-fit-2-offset</v>
          </cell>
          <cell r="J313">
            <v>5.3272077521655747</v>
          </cell>
          <cell r="K313">
            <v>3.8243605137342271</v>
          </cell>
          <cell r="L313">
            <v>4.5202624039388537</v>
          </cell>
          <cell r="M313">
            <v>4.3719156262593897</v>
          </cell>
          <cell r="N313">
            <v>4.5262980919099807</v>
          </cell>
          <cell r="O313">
            <v>5.0243485810625934</v>
          </cell>
          <cell r="P313">
            <v>3.467020185304464</v>
          </cell>
          <cell r="Q313">
            <v>3.7305044058394663</v>
          </cell>
          <cell r="R313">
            <v>3.0769278212370943</v>
          </cell>
          <cell r="S313">
            <v>4.2968389516126928</v>
          </cell>
          <cell r="T313">
            <v>3.7898314909840471</v>
          </cell>
          <cell r="V313">
            <v>4.1770314845472614</v>
          </cell>
          <cell r="W313">
            <v>4.17777416582258</v>
          </cell>
          <cell r="X313">
            <v>4.2968389516126928</v>
          </cell>
          <cell r="Z313">
            <v>4.1396641980876705</v>
          </cell>
          <cell r="AB313">
            <v>4.1195459271348058</v>
          </cell>
          <cell r="AC313">
            <v>2.898691151238499</v>
          </cell>
          <cell r="AD313">
            <v>5.1508113691321569</v>
          </cell>
        </row>
        <row r="314">
          <cell r="A314" t="str">
            <v>CGI015-qtz06-CL-fit-3-offset</v>
          </cell>
          <cell r="J314">
            <v>0.18490132169938822</v>
          </cell>
          <cell r="K314">
            <v>2.0735255557501469</v>
          </cell>
          <cell r="L314">
            <v>3.8550009184378462</v>
          </cell>
          <cell r="M314">
            <v>1.6163659958204151</v>
          </cell>
          <cell r="N314">
            <v>0</v>
          </cell>
          <cell r="O314">
            <v>0.23570163983286646</v>
          </cell>
          <cell r="P314">
            <v>5.5460523245389171</v>
          </cell>
          <cell r="Q314">
            <v>6.872911306909006</v>
          </cell>
          <cell r="R314">
            <v>1.6557532335550256</v>
          </cell>
          <cell r="S314">
            <v>3.6495360870049076</v>
          </cell>
          <cell r="T314">
            <v>2.0504665112167588</v>
          </cell>
          <cell r="V314">
            <v>3.7251218585223702</v>
          </cell>
          <cell r="W314">
            <v>2.7740214894765276</v>
          </cell>
          <cell r="X314">
            <v>2.0619960334834531</v>
          </cell>
          <cell r="Z314">
            <v>3.7000630297404866</v>
          </cell>
          <cell r="AB314">
            <v>4.0927771839002132</v>
          </cell>
          <cell r="AC314">
            <v>0.32004238513933103</v>
          </cell>
          <cell r="AD314">
            <v>10.583927993288953</v>
          </cell>
        </row>
        <row r="315">
          <cell r="A315" t="str">
            <v>CGI015-qtz06-CL-fit-4-offset</v>
          </cell>
          <cell r="J315">
            <v>2.776193764873589</v>
          </cell>
          <cell r="K315">
            <v>3.6726292222620613</v>
          </cell>
          <cell r="L315">
            <v>3.7472978908323888</v>
          </cell>
          <cell r="M315">
            <v>2.5158012510100405</v>
          </cell>
          <cell r="N315">
            <v>3.4121080043432257</v>
          </cell>
          <cell r="O315">
            <v>3.7144144225561373</v>
          </cell>
          <cell r="P315">
            <v>3.4402862314973017</v>
          </cell>
          <cell r="Q315">
            <v>3.4971357890103763</v>
          </cell>
          <cell r="R315">
            <v>4.8850099413630508</v>
          </cell>
          <cell r="S315">
            <v>4.0106553991678071</v>
          </cell>
          <cell r="T315">
            <v>3.0616164287592</v>
          </cell>
          <cell r="V315">
            <v>3.6354997623787817</v>
          </cell>
          <cell r="W315">
            <v>3.5211953041522892</v>
          </cell>
          <cell r="X315">
            <v>3.4971357890103763</v>
          </cell>
          <cell r="Z315">
            <v>3.5817566008253579</v>
          </cell>
          <cell r="AB315">
            <v>3.6098730713424798</v>
          </cell>
          <cell r="AC315">
            <v>2.6705587133537878</v>
          </cell>
          <cell r="AD315">
            <v>4.6411605305082908</v>
          </cell>
        </row>
        <row r="316">
          <cell r="A316" t="str">
            <v>CGI015-qtz07-CL-fit-1-offset</v>
          </cell>
          <cell r="J316">
            <v>4.6777741252467528</v>
          </cell>
          <cell r="K316">
            <v>4.6319155693966589</v>
          </cell>
          <cell r="L316">
            <v>5.1913464879249025</v>
          </cell>
          <cell r="M316">
            <v>4.4513636256959597</v>
          </cell>
          <cell r="N316">
            <v>4.7956749788967246</v>
          </cell>
          <cell r="O316">
            <v>4.2170312698606836</v>
          </cell>
          <cell r="P316">
            <v>4.673036310186335</v>
          </cell>
          <cell r="Q316">
            <v>3.8123481649608042</v>
          </cell>
          <cell r="R316">
            <v>3.7309694838710326</v>
          </cell>
          <cell r="S316">
            <v>3.8437190851531979</v>
          </cell>
          <cell r="T316">
            <v>4.8685781159905135</v>
          </cell>
          <cell r="V316">
            <v>4.4640711487908042</v>
          </cell>
          <cell r="W316">
            <v>4.4448870197439607</v>
          </cell>
          <cell r="X316">
            <v>4.6319155693966589</v>
          </cell>
          <cell r="Z316">
            <v>4.460058133226207</v>
          </cell>
          <cell r="AB316">
            <v>4.4803096181815434</v>
          </cell>
          <cell r="AC316">
            <v>3.5449564788259549</v>
          </cell>
          <cell r="AD316">
            <v>5.4858049688699788</v>
          </cell>
        </row>
        <row r="317">
          <cell r="A317" t="str">
            <v>CGI015-qtz07-CL-fit-2-offset</v>
          </cell>
          <cell r="J317">
            <v>10.454300763784218</v>
          </cell>
          <cell r="K317">
            <v>10.452198576128215</v>
          </cell>
          <cell r="L317">
            <v>10.559406506252238</v>
          </cell>
          <cell r="M317">
            <v>7.7109504615706195</v>
          </cell>
          <cell r="N317">
            <v>8.2493756582711928</v>
          </cell>
          <cell r="O317">
            <v>7.3685476245543349</v>
          </cell>
          <cell r="P317">
            <v>7.4533760831037554</v>
          </cell>
          <cell r="Q317">
            <v>8.7423346154901491</v>
          </cell>
          <cell r="R317">
            <v>6.0178987359972957</v>
          </cell>
          <cell r="S317">
            <v>10.645703992203627</v>
          </cell>
          <cell r="T317">
            <v>9.0102296389034766</v>
          </cell>
          <cell r="V317">
            <v>8.8667758800987606</v>
          </cell>
          <cell r="W317">
            <v>8.7876656960235557</v>
          </cell>
          <cell r="X317">
            <v>8.7423346154901491</v>
          </cell>
          <cell r="Z317">
            <v>8.6766563565030985</v>
          </cell>
          <cell r="AB317">
            <v>8.858226228557573</v>
          </cell>
          <cell r="AC317">
            <v>6.5228497749724488</v>
          </cell>
          <cell r="AD317">
            <v>12.173552721032129</v>
          </cell>
        </row>
        <row r="318">
          <cell r="A318" t="str">
            <v>CGI015-qtz07-CL-fit-3-offset</v>
          </cell>
          <cell r="J318">
            <v>1.8889478907756181</v>
          </cell>
          <cell r="K318">
            <v>2.2108109258449677</v>
          </cell>
          <cell r="L318">
            <v>2.2055365168124466</v>
          </cell>
          <cell r="M318">
            <v>2.4896586340638565</v>
          </cell>
          <cell r="N318">
            <v>2.241772447283112</v>
          </cell>
          <cell r="O318">
            <v>2.2161494041393208</v>
          </cell>
          <cell r="P318">
            <v>2.2628857644647797</v>
          </cell>
          <cell r="Q318">
            <v>2.4616561523392777</v>
          </cell>
          <cell r="R318">
            <v>2.0274387930272022</v>
          </cell>
          <cell r="S318">
            <v>1.9384521826468453</v>
          </cell>
          <cell r="T318">
            <v>3.1147501449347432</v>
          </cell>
          <cell r="V318">
            <v>2.2649358567956988</v>
          </cell>
          <cell r="W318">
            <v>2.2780053505756519</v>
          </cell>
          <cell r="X318">
            <v>2.2161494041393208</v>
          </cell>
          <cell r="Z318">
            <v>2.1825303782545933</v>
          </cell>
          <cell r="AB318">
            <v>2.2201049104503014</v>
          </cell>
          <cell r="AC318">
            <v>1.5878294677719056</v>
          </cell>
          <cell r="AD318">
            <v>2.9940080677300185</v>
          </cell>
        </row>
        <row r="319">
          <cell r="A319" t="str">
            <v>CGI015-qtz07-CL-fit-4-offset</v>
          </cell>
          <cell r="J319">
            <v>1.9768410890486328</v>
          </cell>
          <cell r="K319">
            <v>1.6161885572981209</v>
          </cell>
          <cell r="L319">
            <v>2.0290073002876361</v>
          </cell>
          <cell r="M319">
            <v>1.9312458594476043</v>
          </cell>
          <cell r="N319">
            <v>2.0487002968762811</v>
          </cell>
          <cell r="O319">
            <v>2.0340368631942582</v>
          </cell>
          <cell r="P319">
            <v>2.0149929483030808</v>
          </cell>
          <cell r="Q319">
            <v>2.0024920846679422</v>
          </cell>
          <cell r="R319">
            <v>1.9109414414243007</v>
          </cell>
          <cell r="S319">
            <v>2.2737360537653957</v>
          </cell>
          <cell r="T319">
            <v>2.3594125550854512</v>
          </cell>
          <cell r="V319">
            <v>2.1024934050690991</v>
          </cell>
          <cell r="W319">
            <v>2.0179631863089731</v>
          </cell>
          <cell r="X319">
            <v>2.0149929483030808</v>
          </cell>
          <cell r="Z319">
            <v>2.0845823714276555</v>
          </cell>
          <cell r="AB319">
            <v>2.0096055894643849</v>
          </cell>
          <cell r="AC319">
            <v>0.75773788639025375</v>
          </cell>
          <cell r="AD319">
            <v>2.770976536666633</v>
          </cell>
        </row>
        <row r="320">
          <cell r="A320" t="str">
            <v>CGI015-qtz07-CL-fit-5-offset</v>
          </cell>
          <cell r="J320">
            <v>2.7680813083417979</v>
          </cell>
          <cell r="K320">
            <v>2.8143507989879937</v>
          </cell>
          <cell r="L320">
            <v>2.5902968012429186</v>
          </cell>
          <cell r="M320">
            <v>2.9246445180852754</v>
          </cell>
          <cell r="N320">
            <v>2.7206014636757732</v>
          </cell>
          <cell r="O320">
            <v>3.0393802330985484</v>
          </cell>
          <cell r="P320">
            <v>2.4368199652580773</v>
          </cell>
          <cell r="Q320">
            <v>1.9005853743389298</v>
          </cell>
          <cell r="R320">
            <v>2.2969953934351754</v>
          </cell>
          <cell r="S320">
            <v>3.152782931159293</v>
          </cell>
          <cell r="T320">
            <v>2.9356575521831068</v>
          </cell>
          <cell r="V320">
            <v>2.7204839694430416</v>
          </cell>
          <cell r="W320">
            <v>2.689108758164263</v>
          </cell>
          <cell r="X320">
            <v>2.7680813083417979</v>
          </cell>
          <cell r="Z320">
            <v>2.6241742354225797</v>
          </cell>
          <cell r="AB320">
            <v>2.6458623291541552</v>
          </cell>
          <cell r="AC320">
            <v>0.78059251908888949</v>
          </cell>
          <cell r="AD320">
            <v>4.757355293205892</v>
          </cell>
        </row>
        <row r="321">
          <cell r="A321" t="str">
            <v>CGI015-qtz07-CL-fit-6-offset</v>
          </cell>
          <cell r="J321">
            <v>1.2642028028659678</v>
          </cell>
          <cell r="K321">
            <v>1.5789917769789763</v>
          </cell>
          <cell r="L321">
            <v>1.6372975297187231</v>
          </cell>
          <cell r="M321">
            <v>1.1756890205205339</v>
          </cell>
          <cell r="N321">
            <v>1.4770645293236082</v>
          </cell>
          <cell r="O321">
            <v>1.5620686355303162</v>
          </cell>
          <cell r="P321">
            <v>1.783190104339782</v>
          </cell>
          <cell r="Q321">
            <v>1.551274252796871</v>
          </cell>
          <cell r="R321">
            <v>1.5500841155544411</v>
          </cell>
          <cell r="S321">
            <v>1.2524633330396386</v>
          </cell>
          <cell r="T321">
            <v>1.1289579673499217</v>
          </cell>
          <cell r="V321">
            <v>1.4937492867067725</v>
          </cell>
          <cell r="W321">
            <v>1.4510258243653438</v>
          </cell>
          <cell r="X321">
            <v>1.5500841155544411</v>
          </cell>
          <cell r="Z321">
            <v>1.4539577230782084</v>
          </cell>
          <cell r="AB321">
            <v>1.412287558613107</v>
          </cell>
          <cell r="AC321">
            <v>0.26237636361347461</v>
          </cell>
          <cell r="AD321">
            <v>2.0700396431481392</v>
          </cell>
        </row>
        <row r="322">
          <cell r="A322" t="str">
            <v>CGI015-qtz08-CL-fit-1-offset</v>
          </cell>
          <cell r="J322">
            <v>5.5159004402758196</v>
          </cell>
          <cell r="K322">
            <v>6.0701472103654668</v>
          </cell>
          <cell r="L322">
            <v>6.4287312837507926</v>
          </cell>
          <cell r="M322">
            <v>6.6069727936109723</v>
          </cell>
          <cell r="N322">
            <v>6.5611827937519971</v>
          </cell>
          <cell r="O322">
            <v>5.1072425238035342</v>
          </cell>
          <cell r="P322">
            <v>5.3414579173277268</v>
          </cell>
          <cell r="Q322">
            <v>6.6107790819140124</v>
          </cell>
          <cell r="R322">
            <v>6.1445452050844827</v>
          </cell>
          <cell r="S322">
            <v>5.100804922126545</v>
          </cell>
          <cell r="T322">
            <v>5.7016120232934933</v>
          </cell>
          <cell r="V322">
            <v>5.9233240874011157</v>
          </cell>
          <cell r="W322">
            <v>5.9263069268458954</v>
          </cell>
          <cell r="X322">
            <v>6.0701472103654668</v>
          </cell>
          <cell r="Z322">
            <v>5.9316325393501321</v>
          </cell>
          <cell r="AB322">
            <v>5.9572308242256256</v>
          </cell>
          <cell r="AC322">
            <v>4.6581849565563527</v>
          </cell>
          <cell r="AD322">
            <v>7.2823544343963285</v>
          </cell>
        </row>
        <row r="323">
          <cell r="A323" t="str">
            <v>CGI015-qtz08-CL-fit-2-offset</v>
          </cell>
          <cell r="J323">
            <v>4.3549139124744318</v>
          </cell>
          <cell r="K323">
            <v>3.9295607748873955</v>
          </cell>
          <cell r="L323">
            <v>4.4117716834775829</v>
          </cell>
          <cell r="M323">
            <v>3.4082576644789691</v>
          </cell>
          <cell r="N323">
            <v>4.9625213409136864</v>
          </cell>
          <cell r="O323">
            <v>3.4283096272185403</v>
          </cell>
          <cell r="P323">
            <v>3.8717052874467814</v>
          </cell>
          <cell r="Q323">
            <v>3.7447245875722013</v>
          </cell>
          <cell r="R323">
            <v>3.4409699517558532</v>
          </cell>
          <cell r="S323">
            <v>5.4433670921636983</v>
          </cell>
          <cell r="T323">
            <v>5.0058956856548829</v>
          </cell>
          <cell r="V323">
            <v>4.232161292356948</v>
          </cell>
          <cell r="W323">
            <v>4.1819997825494566</v>
          </cell>
          <cell r="X323">
            <v>3.9295607748873955</v>
          </cell>
          <cell r="Z323">
            <v>4.2185996317038601</v>
          </cell>
          <cell r="AB323">
            <v>4.2993692782296078</v>
          </cell>
          <cell r="AC323">
            <v>2.9468979290678288</v>
          </cell>
          <cell r="AD323">
            <v>6.4213488947816542</v>
          </cell>
        </row>
        <row r="324">
          <cell r="A324" t="str">
            <v>CGI015-qtz08-CL-fit-3-offset</v>
          </cell>
          <cell r="J324">
            <v>8.1554156637333897</v>
          </cell>
          <cell r="K324">
            <v>6.5553436841597916</v>
          </cell>
          <cell r="L324">
            <v>7.3894179597224765</v>
          </cell>
          <cell r="M324">
            <v>7.456163850679328</v>
          </cell>
          <cell r="N324">
            <v>12.809950599445942</v>
          </cell>
          <cell r="O324">
            <v>5.9598605686592689</v>
          </cell>
          <cell r="P324">
            <v>6.4207585397908797</v>
          </cell>
          <cell r="Q324">
            <v>6.8533749929746879</v>
          </cell>
          <cell r="R324">
            <v>10.904459395063975</v>
          </cell>
          <cell r="S324">
            <v>7.3839267255897081</v>
          </cell>
          <cell r="T324">
            <v>8.8809922258495178</v>
          </cell>
          <cell r="V324">
            <v>7.9601883435913301</v>
          </cell>
          <cell r="W324">
            <v>8.069969473242633</v>
          </cell>
          <cell r="X324">
            <v>7.3894179597224765</v>
          </cell>
          <cell r="Z324">
            <v>7.8867782948940564</v>
          </cell>
          <cell r="AB324">
            <v>8.0063049316145971</v>
          </cell>
          <cell r="AC324">
            <v>3.266340505521979</v>
          </cell>
          <cell r="AD324">
            <v>14.164695317313372</v>
          </cell>
        </row>
        <row r="325">
          <cell r="A325" t="str">
            <v>CGI015-qtz08-CL-fit-4-offset</v>
          </cell>
          <cell r="J325">
            <v>3.5268972068287865</v>
          </cell>
          <cell r="K325">
            <v>5.6056213800702688</v>
          </cell>
          <cell r="L325">
            <v>4.076145147464759</v>
          </cell>
          <cell r="M325">
            <v>4.4987972718104325</v>
          </cell>
          <cell r="N325">
            <v>4.0157794269238076</v>
          </cell>
          <cell r="O325">
            <v>4.4143025006651406</v>
          </cell>
          <cell r="P325">
            <v>4.3562483057111505</v>
          </cell>
          <cell r="Q325">
            <v>4.8065732484735015</v>
          </cell>
          <cell r="R325">
            <v>5.2810394819234867</v>
          </cell>
          <cell r="S325">
            <v>7.2497136092367125</v>
          </cell>
          <cell r="T325">
            <v>4.9330402777316262</v>
          </cell>
          <cell r="V325">
            <v>4.8585510237918133</v>
          </cell>
          <cell r="W325">
            <v>4.7967416233490612</v>
          </cell>
          <cell r="X325">
            <v>4.4987972718104325</v>
          </cell>
          <cell r="Z325">
            <v>4.677269434208668</v>
          </cell>
          <cell r="AB325">
            <v>4.7092462778388997</v>
          </cell>
          <cell r="AC325">
            <v>2.8962218322154722</v>
          </cell>
          <cell r="AD325">
            <v>6.9020384619634614</v>
          </cell>
        </row>
        <row r="326">
          <cell r="A326" t="str">
            <v>CGI015-qtz08-CL-fit-5-offset</v>
          </cell>
          <cell r="J326">
            <v>4.1298522721636441</v>
          </cell>
          <cell r="K326">
            <v>4.5385053437833456</v>
          </cell>
          <cell r="L326">
            <v>4.2736346997203691</v>
          </cell>
          <cell r="M326">
            <v>3.5881707663884725</v>
          </cell>
          <cell r="N326">
            <v>4.5510751141873866</v>
          </cell>
          <cell r="O326">
            <v>4.7154124300608347</v>
          </cell>
          <cell r="P326">
            <v>4.4965661811757194</v>
          </cell>
          <cell r="Q326">
            <v>6.0371039702833871</v>
          </cell>
          <cell r="R326">
            <v>7.1089869387316922</v>
          </cell>
          <cell r="S326">
            <v>8.3615739485312588</v>
          </cell>
          <cell r="T326">
            <v>5.8247417392827838</v>
          </cell>
          <cell r="V326">
            <v>5.1613471339084631</v>
          </cell>
          <cell r="W326">
            <v>5.2386930367553539</v>
          </cell>
          <cell r="X326">
            <v>4.5510751141873866</v>
          </cell>
          <cell r="Z326">
            <v>5.1117356427053648</v>
          </cell>
          <cell r="AB326">
            <v>5.1941824114114583</v>
          </cell>
          <cell r="AC326">
            <v>3.132848728799452</v>
          </cell>
          <cell r="AD326">
            <v>7.7325603871881938</v>
          </cell>
        </row>
        <row r="327">
          <cell r="A327" t="str">
            <v>CGI015-qtz08-CL-fit-6-offset</v>
          </cell>
          <cell r="J327">
            <v>2.9285290070720658</v>
          </cell>
          <cell r="K327">
            <v>3.4846474383053803</v>
          </cell>
          <cell r="L327">
            <v>2.4455566224347827</v>
          </cell>
          <cell r="M327">
            <v>1.8347768237047875</v>
          </cell>
          <cell r="N327">
            <v>2.6460059608898545</v>
          </cell>
          <cell r="O327">
            <v>2.4077157704326462</v>
          </cell>
          <cell r="P327">
            <v>2.6886259134581789</v>
          </cell>
          <cell r="Q327">
            <v>2.84434477644036</v>
          </cell>
          <cell r="R327">
            <v>3.0515288249474524</v>
          </cell>
          <cell r="S327">
            <v>2.1747348567810372</v>
          </cell>
          <cell r="T327">
            <v>3.1533965028031177</v>
          </cell>
          <cell r="V327">
            <v>2.6363358990768364</v>
          </cell>
          <cell r="W327">
            <v>2.6963511361154238</v>
          </cell>
          <cell r="X327">
            <v>2.6886259134581789</v>
          </cell>
          <cell r="Z327">
            <v>2.6410319249414975</v>
          </cell>
          <cell r="AB327">
            <v>2.7525788234309529</v>
          </cell>
          <cell r="AC327">
            <v>1.5960028646969227</v>
          </cell>
          <cell r="AD327">
            <v>4.5040507205019003</v>
          </cell>
        </row>
        <row r="328">
          <cell r="A328" t="str">
            <v>CGI015-qtz09-CL-fit-1-offset</v>
          </cell>
          <cell r="J328">
            <v>5.0574823881121747</v>
          </cell>
          <cell r="K328">
            <v>5.8171747532445615</v>
          </cell>
          <cell r="L328">
            <v>5.7691399127074705</v>
          </cell>
          <cell r="M328">
            <v>6.3063335004600791</v>
          </cell>
          <cell r="N328">
            <v>5.4586564675129861</v>
          </cell>
          <cell r="O328">
            <v>5.9330944799492702</v>
          </cell>
          <cell r="P328">
            <v>5.823717969124294</v>
          </cell>
          <cell r="Q328">
            <v>6.2235061403778777</v>
          </cell>
          <cell r="R328">
            <v>7.3616948886096116</v>
          </cell>
          <cell r="S328">
            <v>6.2116166661688652</v>
          </cell>
          <cell r="T328">
            <v>6.3590138960098637</v>
          </cell>
          <cell r="V328">
            <v>6.0088069134265307</v>
          </cell>
          <cell r="W328">
            <v>6.0292210056615509</v>
          </cell>
          <cell r="X328">
            <v>5.9330944799492702</v>
          </cell>
          <cell r="Z328">
            <v>6.0378453717279346</v>
          </cell>
          <cell r="AB328">
            <v>6.0848542932755443</v>
          </cell>
          <cell r="AC328">
            <v>5.1385349002624121</v>
          </cell>
          <cell r="AD328">
            <v>7.4438556888842839</v>
          </cell>
        </row>
        <row r="329">
          <cell r="A329" t="str">
            <v>CGI015-qtz09-CL-fit-2-offset</v>
          </cell>
          <cell r="J329">
            <v>5.3009126281737942</v>
          </cell>
          <cell r="K329">
            <v>5.7023622219470491</v>
          </cell>
          <cell r="L329">
            <v>4.4759137480099209</v>
          </cell>
          <cell r="M329">
            <v>4.9279504836312027</v>
          </cell>
          <cell r="N329">
            <v>4.5363234329550952</v>
          </cell>
          <cell r="O329">
            <v>5.1154462419810276</v>
          </cell>
          <cell r="P329">
            <v>5.2484936533777482</v>
          </cell>
          <cell r="Q329">
            <v>5.6187271832132053</v>
          </cell>
          <cell r="R329">
            <v>5.5520102616637876</v>
          </cell>
          <cell r="S329">
            <v>5.8684890441542228</v>
          </cell>
          <cell r="T329">
            <v>4.3574167259369965</v>
          </cell>
          <cell r="V329">
            <v>5.1867899068218977</v>
          </cell>
          <cell r="W329">
            <v>5.1549132386403675</v>
          </cell>
          <cell r="X329">
            <v>5.2484936533777482</v>
          </cell>
          <cell r="Z329">
            <v>5.1073736327377173</v>
          </cell>
          <cell r="AB329">
            <v>5.1152411099894008</v>
          </cell>
          <cell r="AC329">
            <v>3.8850058239641685</v>
          </cell>
          <cell r="AD329">
            <v>6.5702561978850547</v>
          </cell>
        </row>
        <row r="330">
          <cell r="A330" t="str">
            <v>CGI015-qtz09-CL-fit-3-offset</v>
          </cell>
          <cell r="J330">
            <v>2.0983022174756414</v>
          </cell>
          <cell r="K330">
            <v>2.0058853896171245</v>
          </cell>
          <cell r="L330">
            <v>1.7992975441001822</v>
          </cell>
          <cell r="M330">
            <v>1.6685870990208225</v>
          </cell>
          <cell r="N330">
            <v>1.8079236762277784</v>
          </cell>
          <cell r="O330">
            <v>1.791486607382742</v>
          </cell>
          <cell r="P330">
            <v>1.7927156201101064</v>
          </cell>
          <cell r="Q330">
            <v>2.6143893034833545</v>
          </cell>
          <cell r="R330">
            <v>2.1025151007925977</v>
          </cell>
          <cell r="S330">
            <v>2.1347590005193524</v>
          </cell>
          <cell r="T330">
            <v>2.260045327105062</v>
          </cell>
          <cell r="V330">
            <v>2.0209002928631938</v>
          </cell>
          <cell r="W330">
            <v>2.0069006259849784</v>
          </cell>
          <cell r="X330">
            <v>2.0058853896171245</v>
          </cell>
          <cell r="Z330">
            <v>1.9326977850231102</v>
          </cell>
          <cell r="AB330">
            <v>1.9420388510530242</v>
          </cell>
          <cell r="AC330">
            <v>1.2616256340776031</v>
          </cell>
          <cell r="AD330">
            <v>2.5985211297438759</v>
          </cell>
        </row>
        <row r="331">
          <cell r="A331" t="str">
            <v>CGI015-qtz09-CL-fit-4-offset</v>
          </cell>
          <cell r="J331">
            <v>1.9511716751257875</v>
          </cell>
          <cell r="K331">
            <v>2.6835034072834252</v>
          </cell>
          <cell r="L331">
            <v>2.9993748718759532</v>
          </cell>
          <cell r="M331">
            <v>2.9539317930844273</v>
          </cell>
          <cell r="N331">
            <v>3.2508451650079846</v>
          </cell>
          <cell r="O331">
            <v>1.8248537178303093</v>
          </cell>
          <cell r="P331">
            <v>2.3698056218367416</v>
          </cell>
          <cell r="Q331">
            <v>2.720358160420667</v>
          </cell>
          <cell r="R331">
            <v>2.9839037946093732</v>
          </cell>
          <cell r="S331">
            <v>2.5701252341716705</v>
          </cell>
          <cell r="T331">
            <v>3.1148797671410517</v>
          </cell>
          <cell r="V331">
            <v>2.7895169031976366</v>
          </cell>
          <cell r="W331">
            <v>2.6747957462170353</v>
          </cell>
          <cell r="X331">
            <v>2.720358160420667</v>
          </cell>
          <cell r="Z331">
            <v>2.7501861981147386</v>
          </cell>
          <cell r="AB331">
            <v>2.7163738213483519</v>
          </cell>
          <cell r="AC331">
            <v>1.4990264396037249</v>
          </cell>
          <cell r="AD331">
            <v>3.7868272211900118</v>
          </cell>
        </row>
        <row r="332">
          <cell r="A332" t="str">
            <v>CGI015-qtz09-CL-fit-5-offset</v>
          </cell>
          <cell r="J332">
            <v>3.8053208677499105E-4</v>
          </cell>
          <cell r="K332">
            <v>1.1345419319864776</v>
          </cell>
          <cell r="L332">
            <v>1.1023862410812508</v>
          </cell>
          <cell r="M332">
            <v>4.2587313000000002E-2</v>
          </cell>
          <cell r="N332">
            <v>1.5806195775806833</v>
          </cell>
          <cell r="O332">
            <v>0.74900022683046052</v>
          </cell>
          <cell r="P332">
            <v>0.96801265121809099</v>
          </cell>
          <cell r="Q332">
            <v>7.2847859999999997E-3</v>
          </cell>
          <cell r="R332">
            <v>0.90680572461535758</v>
          </cell>
          <cell r="S332">
            <v>1.0615038182381786</v>
          </cell>
          <cell r="T332">
            <v>0.60850777299081693</v>
          </cell>
          <cell r="V332">
            <v>0.84025199718595922</v>
          </cell>
          <cell r="W332">
            <v>0.74196641596618995</v>
          </cell>
          <cell r="X332">
            <v>0.90680572461535758</v>
          </cell>
          <cell r="Z332">
            <v>0.79592286209961671</v>
          </cell>
          <cell r="AB332">
            <v>0.83868996362873716</v>
          </cell>
          <cell r="AC332">
            <v>0.1225140256832796</v>
          </cell>
          <cell r="AD332">
            <v>1.7448397850249886</v>
          </cell>
        </row>
        <row r="333">
          <cell r="A333" t="str">
            <v>CGI015-qtz09-CL-fit-6-offset</v>
          </cell>
          <cell r="J333">
            <v>2.7495720601248457</v>
          </cell>
          <cell r="K333">
            <v>2.1422700290149028</v>
          </cell>
          <cell r="L333">
            <v>2.4149127253184841</v>
          </cell>
          <cell r="M333">
            <v>1.6276342695964059</v>
          </cell>
          <cell r="N333">
            <v>1.9620599097177862</v>
          </cell>
          <cell r="O333">
            <v>1.6747946572693588</v>
          </cell>
          <cell r="P333">
            <v>1.8647786070918084</v>
          </cell>
          <cell r="Q333">
            <v>1.6478507190314338</v>
          </cell>
          <cell r="R333">
            <v>1.3215489645890255</v>
          </cell>
          <cell r="S333">
            <v>1.4053126070283761</v>
          </cell>
          <cell r="T333">
            <v>1.3077099405044548</v>
          </cell>
          <cell r="V333">
            <v>1.9466000744707779</v>
          </cell>
          <cell r="W333">
            <v>1.82894949902608</v>
          </cell>
          <cell r="X333">
            <v>1.6747946572693588</v>
          </cell>
          <cell r="Z333">
            <v>1.819016712644292</v>
          </cell>
          <cell r="AB333">
            <v>1.7770458324820053</v>
          </cell>
          <cell r="AC333">
            <v>0.71056534346550826</v>
          </cell>
          <cell r="AD333">
            <v>2.9418187003597316</v>
          </cell>
        </row>
        <row r="334">
          <cell r="A334" t="str">
            <v>CGI015-qtz10-CL-fit-1-offset</v>
          </cell>
          <cell r="J334">
            <v>6.8867032257772252</v>
          </cell>
          <cell r="K334">
            <v>7.3600497518563142</v>
          </cell>
          <cell r="L334">
            <v>5.9243188699380633</v>
          </cell>
          <cell r="M334">
            <v>7.2611597711006786</v>
          </cell>
          <cell r="N334">
            <v>6.8370559770093413</v>
          </cell>
          <cell r="O334">
            <v>7.6649388922044288</v>
          </cell>
          <cell r="P334">
            <v>7.2714675710785137</v>
          </cell>
          <cell r="Q334">
            <v>6.8167457291556461</v>
          </cell>
          <cell r="R334">
            <v>6.9579864093090835</v>
          </cell>
          <cell r="S334">
            <v>8.569898926534</v>
          </cell>
          <cell r="T334">
            <v>6.971698075734226</v>
          </cell>
          <cell r="V334">
            <v>7.1304261404637153</v>
          </cell>
          <cell r="W334">
            <v>7.1383657454270484</v>
          </cell>
          <cell r="X334">
            <v>6.971698075734226</v>
          </cell>
          <cell r="Z334">
            <v>7.1200617432074855</v>
          </cell>
          <cell r="AB334">
            <v>7.104912044894701</v>
          </cell>
          <cell r="AC334">
            <v>5.8428915310797995</v>
          </cell>
          <cell r="AD334">
            <v>8.6567891491780991</v>
          </cell>
        </row>
        <row r="335">
          <cell r="A335" t="str">
            <v>CGI015-qtz10-CL-fit-2-offset</v>
          </cell>
          <cell r="J335">
            <v>3.7727341184942906</v>
          </cell>
          <cell r="K335">
            <v>3.2811328967188382</v>
          </cell>
          <cell r="L335">
            <v>1.5316335518128401</v>
          </cell>
          <cell r="M335">
            <v>2.0622091267746971</v>
          </cell>
          <cell r="N335">
            <v>2.6064650742102611</v>
          </cell>
          <cell r="O335">
            <v>3.9782715422709427</v>
          </cell>
          <cell r="P335">
            <v>1.1667900957793107</v>
          </cell>
          <cell r="Q335">
            <v>2.8771446973995278</v>
          </cell>
          <cell r="R335">
            <v>3.6658808502888691</v>
          </cell>
          <cell r="S335">
            <v>2.8480103373720107</v>
          </cell>
          <cell r="T335">
            <v>1.1088550399008852</v>
          </cell>
          <cell r="V335">
            <v>3.1528758436519411</v>
          </cell>
          <cell r="W335">
            <v>2.6271933937293155</v>
          </cell>
          <cell r="X335">
            <v>2.8480103373720107</v>
          </cell>
          <cell r="Z335">
            <v>3.0271786613131697</v>
          </cell>
          <cell r="AB335">
            <v>3.2082514058575438</v>
          </cell>
          <cell r="AC335">
            <v>0.256309379911835</v>
          </cell>
          <cell r="AD335">
            <v>8.7836715775176089</v>
          </cell>
        </row>
        <row r="336">
          <cell r="A336" t="str">
            <v>CGI015-qtz10-CL-fit-3-offset</v>
          </cell>
          <cell r="J336">
            <v>2.7885740715522886</v>
          </cell>
          <cell r="K336">
            <v>2.413213351979353</v>
          </cell>
          <cell r="L336">
            <v>2.5294250668565454</v>
          </cell>
          <cell r="M336">
            <v>2.8620260608077417</v>
          </cell>
          <cell r="N336">
            <v>3.0896324876960697</v>
          </cell>
          <cell r="O336">
            <v>3.0076535859879456</v>
          </cell>
          <cell r="P336">
            <v>3.4170387520206393</v>
          </cell>
          <cell r="Q336">
            <v>0.77420771604636962</v>
          </cell>
          <cell r="R336">
            <v>0</v>
          </cell>
          <cell r="S336">
            <v>3.1785079256262248</v>
          </cell>
          <cell r="T336">
            <v>3.4503795683756198</v>
          </cell>
          <cell r="V336">
            <v>3.0425773417782751</v>
          </cell>
          <cell r="W336">
            <v>2.7510658586948793</v>
          </cell>
          <cell r="X336">
            <v>2.9348398233978434</v>
          </cell>
          <cell r="Z336">
            <v>2.8239426054429506</v>
          </cell>
          <cell r="AB336">
            <v>2.835523358755367</v>
          </cell>
          <cell r="AC336">
            <v>0.31158507122242518</v>
          </cell>
          <cell r="AD336">
            <v>6.4436617542280263</v>
          </cell>
        </row>
        <row r="337">
          <cell r="A337" t="str">
            <v>CGI015-qtz10-CL-fit-4-offset</v>
          </cell>
          <cell r="J337">
            <v>1.7369645421634894</v>
          </cell>
          <cell r="K337">
            <v>0.98749356405866195</v>
          </cell>
          <cell r="L337">
            <v>0.68707920425894031</v>
          </cell>
          <cell r="M337">
            <v>1.7350916516275263</v>
          </cell>
          <cell r="N337">
            <v>0.9803406592558771</v>
          </cell>
          <cell r="O337">
            <v>1.9507655653087643</v>
          </cell>
          <cell r="P337">
            <v>1.9122570574671931</v>
          </cell>
          <cell r="Q337">
            <v>2.2780547754760052</v>
          </cell>
          <cell r="R337">
            <v>2.6113928660178236</v>
          </cell>
          <cell r="S337">
            <v>1.9072867583806004</v>
          </cell>
          <cell r="T337">
            <v>1.9617498503370658</v>
          </cell>
          <cell r="V337">
            <v>1.8875391962530088</v>
          </cell>
          <cell r="W337">
            <v>1.7044069540319953</v>
          </cell>
          <cell r="X337">
            <v>1.9072867583806004</v>
          </cell>
          <cell r="Z337">
            <v>1.7118324924004651</v>
          </cell>
          <cell r="AB337">
            <v>1.6877383520229459</v>
          </cell>
          <cell r="AC337">
            <v>0.43586685252733642</v>
          </cell>
          <cell r="AD337">
            <v>2.8783124999999998</v>
          </cell>
        </row>
        <row r="338">
          <cell r="A338" t="str">
            <v>CGI015-qtz10-CL-fit-5-offset</v>
          </cell>
          <cell r="J338">
            <v>1.4680943200814212</v>
          </cell>
          <cell r="K338">
            <v>1.4815627257609341</v>
          </cell>
          <cell r="L338">
            <v>1.645940367433288</v>
          </cell>
          <cell r="M338">
            <v>2.6468375826826609</v>
          </cell>
          <cell r="N338">
            <v>2.2686637627020083</v>
          </cell>
          <cell r="O338">
            <v>2.4446938729813579</v>
          </cell>
          <cell r="P338">
            <v>2.3898795322206343</v>
          </cell>
          <cell r="Q338">
            <v>3.5083930739561455</v>
          </cell>
          <cell r="R338">
            <v>3.0662478976159053</v>
          </cell>
          <cell r="S338">
            <v>2.7671308587678269</v>
          </cell>
          <cell r="T338">
            <v>2.6483854877045263</v>
          </cell>
          <cell r="V338">
            <v>2.3553681077693756</v>
          </cell>
          <cell r="W338">
            <v>2.3941663165369738</v>
          </cell>
          <cell r="X338">
            <v>2.4446938729813579</v>
          </cell>
          <cell r="Z338">
            <v>2.3979581882838472</v>
          </cell>
          <cell r="AB338">
            <v>2.4363007580498395</v>
          </cell>
          <cell r="AC338">
            <v>0.84855834489696469</v>
          </cell>
          <cell r="AD338">
            <v>4.2242230318253382</v>
          </cell>
        </row>
        <row r="339">
          <cell r="A339" t="str">
            <v>CGI015-qtz10-CL-fit-6-offset</v>
          </cell>
          <cell r="J339">
            <v>1.140923814722518</v>
          </cell>
          <cell r="K339">
            <v>1.6531393824475529</v>
          </cell>
          <cell r="L339">
            <v>1.3685961985036668</v>
          </cell>
          <cell r="M339">
            <v>1.2252026232470545</v>
          </cell>
          <cell r="N339">
            <v>1.2848866136794792</v>
          </cell>
          <cell r="O339">
            <v>1.0697770566676417</v>
          </cell>
          <cell r="P339">
            <v>1.2427062940958873</v>
          </cell>
          <cell r="Q339">
            <v>1.4838883452915286</v>
          </cell>
          <cell r="R339">
            <v>1.1542020071876167</v>
          </cell>
          <cell r="S339">
            <v>1.2430726407343522</v>
          </cell>
          <cell r="T339">
            <v>1.0952181971108443</v>
          </cell>
          <cell r="V339">
            <v>1.2608969284211902</v>
          </cell>
          <cell r="W339">
            <v>1.2692375612443767</v>
          </cell>
          <cell r="X339">
            <v>1.2427062940958873</v>
          </cell>
          <cell r="Z339">
            <v>1.2092833530111129</v>
          </cell>
          <cell r="AB339">
            <v>1.145362444532172</v>
          </cell>
          <cell r="AC339">
            <v>0.21339154271057606</v>
          </cell>
          <cell r="AD339">
            <v>2.1099598752279882</v>
          </cell>
        </row>
        <row r="340">
          <cell r="A340" t="str">
            <v>CGI015-qtz10-CL-fit-7-offset</v>
          </cell>
          <cell r="J340">
            <v>0.21057008819563727</v>
          </cell>
          <cell r="K340">
            <v>0.23479304601007567</v>
          </cell>
          <cell r="L340">
            <v>0.19658808798483965</v>
          </cell>
          <cell r="M340">
            <v>0.16639124797517743</v>
          </cell>
          <cell r="N340">
            <v>0.61210273951962413</v>
          </cell>
          <cell r="O340">
            <v>7.1722216000000005E-2</v>
          </cell>
          <cell r="P340">
            <v>0.21282608794624802</v>
          </cell>
          <cell r="Q340">
            <v>0.19461968154739465</v>
          </cell>
          <cell r="R340">
            <v>0.19746508226679532</v>
          </cell>
          <cell r="S340">
            <v>0.65629469144702013</v>
          </cell>
          <cell r="T340">
            <v>0.11739257596244503</v>
          </cell>
          <cell r="V340">
            <v>0.2037138253459263</v>
          </cell>
          <cell r="W340">
            <v>0.26097868589593243</v>
          </cell>
          <cell r="X340">
            <v>0.19746508226679532</v>
          </cell>
          <cell r="Z340">
            <v>0.24767149957724746</v>
          </cell>
          <cell r="AB340">
            <v>0.47031720552029327</v>
          </cell>
          <cell r="AC340">
            <v>5.7853433987954369E-4</v>
          </cell>
          <cell r="AD340">
            <v>2.7305613702745792</v>
          </cell>
        </row>
        <row r="341">
          <cell r="A341" t="str">
            <v>CGI015-qtz11-CL-fit-1-offset</v>
          </cell>
          <cell r="J341">
            <v>6.5037097199996907</v>
          </cell>
          <cell r="K341">
            <v>6.1259789960098194</v>
          </cell>
          <cell r="L341">
            <v>6.3267873870649076</v>
          </cell>
          <cell r="M341">
            <v>5.975966187788762</v>
          </cell>
          <cell r="N341">
            <v>6.1265298083704938</v>
          </cell>
          <cell r="O341">
            <v>5.8741780527593344</v>
          </cell>
          <cell r="P341">
            <v>6.0171610288154138</v>
          </cell>
          <cell r="Q341">
            <v>6.7823052394973731</v>
          </cell>
          <cell r="R341">
            <v>7.105009404770672</v>
          </cell>
          <cell r="S341">
            <v>6.7134325540472304</v>
          </cell>
          <cell r="T341">
            <v>7.4714490638266104</v>
          </cell>
          <cell r="V341">
            <v>6.4457279714795996</v>
          </cell>
          <cell r="W341">
            <v>6.4565915857227543</v>
          </cell>
          <cell r="X341">
            <v>6.3267873870649076</v>
          </cell>
          <cell r="Z341">
            <v>6.4126065143211335</v>
          </cell>
          <cell r="AB341">
            <v>6.399051405121309</v>
          </cell>
          <cell r="AC341">
            <v>5.6471839967116511</v>
          </cell>
          <cell r="AD341">
            <v>7.1234740321462215</v>
          </cell>
        </row>
        <row r="342">
          <cell r="A342" t="str">
            <v>CGI015-qtz11-CL-fit-2-offset</v>
          </cell>
          <cell r="J342">
            <v>6.816334819380284</v>
          </cell>
          <cell r="K342">
            <v>6.4929395627632989</v>
          </cell>
          <cell r="L342">
            <v>5.7419553379657025</v>
          </cell>
          <cell r="M342">
            <v>6.3976961901787135</v>
          </cell>
          <cell r="N342">
            <v>5.9097605661226948</v>
          </cell>
          <cell r="O342">
            <v>6.20873880141896</v>
          </cell>
          <cell r="P342">
            <v>5.6713255953163904</v>
          </cell>
          <cell r="Q342">
            <v>5.1764364082445784</v>
          </cell>
          <cell r="R342">
            <v>6.0828002341331402</v>
          </cell>
          <cell r="S342">
            <v>4.4984026911519868</v>
          </cell>
          <cell r="T342">
            <v>5.1587129649273811</v>
          </cell>
          <cell r="V342">
            <v>5.9097630142995925</v>
          </cell>
          <cell r="W342">
            <v>5.8322821065093757</v>
          </cell>
          <cell r="X342">
            <v>5.9097605661226948</v>
          </cell>
          <cell r="Z342">
            <v>5.8797324880772601</v>
          </cell>
          <cell r="AB342">
            <v>5.943661913704573</v>
          </cell>
          <cell r="AC342">
            <v>4.3942670706428046</v>
          </cell>
          <cell r="AD342">
            <v>7.6835056005126923</v>
          </cell>
        </row>
        <row r="343">
          <cell r="A343" t="str">
            <v>CGI015-qtz11-CL-fit-3-offset</v>
          </cell>
          <cell r="J343">
            <v>1.9101325825767177</v>
          </cell>
          <cell r="K343">
            <v>0.39356475721418183</v>
          </cell>
          <cell r="L343">
            <v>1.8637403074941552</v>
          </cell>
          <cell r="M343">
            <v>2.7868420887675804</v>
          </cell>
          <cell r="N343">
            <v>1.9515469036636033</v>
          </cell>
          <cell r="O343">
            <v>1.1070094217118187</v>
          </cell>
          <cell r="P343">
            <v>1.9319838905595013</v>
          </cell>
          <cell r="Q343">
            <v>1.8862477377294695</v>
          </cell>
          <cell r="R343">
            <v>1.7046257909173999</v>
          </cell>
          <cell r="S343">
            <v>2.1826708636709888</v>
          </cell>
          <cell r="T343">
            <v>2.5035887324093213</v>
          </cell>
          <cell r="V343">
            <v>1.7581301740323461</v>
          </cell>
          <cell r="W343">
            <v>1.8383593706104302</v>
          </cell>
          <cell r="X343">
            <v>1.9101325825767177</v>
          </cell>
          <cell r="Z343">
            <v>1.5899420397996931</v>
          </cell>
          <cell r="AB343">
            <v>1.7091201042937465</v>
          </cell>
          <cell r="AC343">
            <v>0.5128437505137341</v>
          </cell>
          <cell r="AD343">
            <v>3.3140741891358401</v>
          </cell>
        </row>
        <row r="344">
          <cell r="A344" t="str">
            <v>CGI015-qtz11-CL-fit-4-offset</v>
          </cell>
          <cell r="J344">
            <v>1.5890791993788627</v>
          </cell>
          <cell r="K344">
            <v>0.95462000593323748</v>
          </cell>
          <cell r="L344">
            <v>1.6345871560873924</v>
          </cell>
          <cell r="M344">
            <v>0.95414769937466137</v>
          </cell>
          <cell r="N344">
            <v>0.17908290706407279</v>
          </cell>
          <cell r="O344">
            <v>1.6655281423364396</v>
          </cell>
          <cell r="P344">
            <v>2.1218277604410165</v>
          </cell>
          <cell r="Q344">
            <v>1.6469479615338531E-3</v>
          </cell>
          <cell r="R344">
            <v>2.1734623604536241</v>
          </cell>
          <cell r="S344">
            <v>0</v>
          </cell>
          <cell r="T344">
            <v>0</v>
          </cell>
          <cell r="V344">
            <v>1.8057822103183745</v>
          </cell>
          <cell r="W344">
            <v>1.2526646865589823</v>
          </cell>
          <cell r="X344">
            <v>1.5890791993788627</v>
          </cell>
          <cell r="Z344">
            <v>1.3978771235478149</v>
          </cell>
          <cell r="AB344">
            <v>1.6314067957297724</v>
          </cell>
          <cell r="AC344">
            <v>0.10571153145199022</v>
          </cell>
          <cell r="AD344">
            <v>6.0787613422417062</v>
          </cell>
        </row>
        <row r="345">
          <cell r="A345" t="str">
            <v>CGI015-qtz11-CL-fit-5-offset</v>
          </cell>
          <cell r="J345">
            <v>0.1943806022637681</v>
          </cell>
          <cell r="K345">
            <v>1.1855436803756498</v>
          </cell>
          <cell r="L345">
            <v>0.19029464348146283</v>
          </cell>
          <cell r="M345">
            <v>0.5118786019981727</v>
          </cell>
          <cell r="N345">
            <v>1.9510313759405149</v>
          </cell>
          <cell r="O345">
            <v>0.68204550617690329</v>
          </cell>
          <cell r="P345">
            <v>2.8569666531700455</v>
          </cell>
          <cell r="Q345">
            <v>2.0474153216513185</v>
          </cell>
          <cell r="R345">
            <v>1.9181505363685061</v>
          </cell>
          <cell r="S345">
            <v>1.4217498767287482</v>
          </cell>
          <cell r="T345">
            <v>0.88668615807026185</v>
          </cell>
          <cell r="V345">
            <v>1.1800914793618371</v>
          </cell>
          <cell r="W345">
            <v>1.2587402687477593</v>
          </cell>
          <cell r="X345">
            <v>1.1855436803756498</v>
          </cell>
          <cell r="Z345">
            <v>1.1033207974845816</v>
          </cell>
          <cell r="AB345">
            <v>1.4339433805035213</v>
          </cell>
          <cell r="AC345">
            <v>0.17288823992227054</v>
          </cell>
          <cell r="AD345">
            <v>2.6876304421933934</v>
          </cell>
        </row>
        <row r="346">
          <cell r="A346" t="str">
            <v>CGI015-qtz11-CL-fit-6-offset</v>
          </cell>
          <cell r="J346">
            <v>4.5853529013080854</v>
          </cell>
          <cell r="K346">
            <v>0.47921744235784752</v>
          </cell>
          <cell r="L346">
            <v>2.6181725153309698</v>
          </cell>
          <cell r="M346">
            <v>0.85742731730717048</v>
          </cell>
          <cell r="N346">
            <v>0.4835684337244941</v>
          </cell>
          <cell r="O346">
            <v>0.46429471169041392</v>
          </cell>
          <cell r="P346">
            <v>2.0307281088550675</v>
          </cell>
          <cell r="Q346">
            <v>1.9944140883199708</v>
          </cell>
          <cell r="R346">
            <v>1.5478487959292209</v>
          </cell>
          <cell r="S346">
            <v>2.980295537061155</v>
          </cell>
          <cell r="T346">
            <v>2.6990561880414154</v>
          </cell>
          <cell r="V346">
            <v>1.0532775784201787</v>
          </cell>
          <cell r="W346">
            <v>1.8854887309023463</v>
          </cell>
          <cell r="X346">
            <v>1.9944140883199708</v>
          </cell>
          <cell r="Z346">
            <v>1.8805471099022815</v>
          </cell>
          <cell r="AB346">
            <v>2.2373527227819947</v>
          </cell>
          <cell r="AC346">
            <v>7.6950166250595448E-2</v>
          </cell>
          <cell r="AD346">
            <v>6.0601312696263721</v>
          </cell>
        </row>
        <row r="347">
          <cell r="A347" t="str">
            <v>CGI015-qtz11-CL-fit-7-offset</v>
          </cell>
          <cell r="J347">
            <v>1.0275939805813836</v>
          </cell>
          <cell r="K347">
            <v>0.85830954274894744</v>
          </cell>
          <cell r="L347">
            <v>1.1095833408840687</v>
          </cell>
          <cell r="M347">
            <v>0.85543345588913255</v>
          </cell>
          <cell r="N347">
            <v>0.6366347071160039</v>
          </cell>
          <cell r="O347">
            <v>0.54207697781175135</v>
          </cell>
          <cell r="P347">
            <v>0.75601179595419377</v>
          </cell>
          <cell r="Q347">
            <v>1.0728505419402117</v>
          </cell>
          <cell r="R347">
            <v>0.43599062253162069</v>
          </cell>
          <cell r="S347">
            <v>0.83534243436130262</v>
          </cell>
          <cell r="T347">
            <v>0.70621042230622644</v>
          </cell>
          <cell r="V347">
            <v>0.83756064642761585</v>
          </cell>
          <cell r="W347">
            <v>0.80327616564771287</v>
          </cell>
          <cell r="X347">
            <v>0.83534243436130262</v>
          </cell>
          <cell r="Z347">
            <v>0.79512042779524827</v>
          </cell>
          <cell r="AB347">
            <v>0.8391591487676151</v>
          </cell>
          <cell r="AC347">
            <v>8.4654358508872818E-2</v>
          </cell>
          <cell r="AD347">
            <v>1.9513767162961744</v>
          </cell>
        </row>
        <row r="348">
          <cell r="A348" t="str">
            <v>CGI015-qtz12-CL-fit-1-offset</v>
          </cell>
          <cell r="J348">
            <v>5.2951538238492963</v>
          </cell>
          <cell r="K348">
            <v>6.6607239097723641</v>
          </cell>
          <cell r="L348">
            <v>4.9529942513891321</v>
          </cell>
          <cell r="M348">
            <v>6.1273373175754511</v>
          </cell>
          <cell r="N348">
            <v>6.4487947506282053</v>
          </cell>
          <cell r="O348">
            <v>5.1593114677557299</v>
          </cell>
          <cell r="P348">
            <v>6.683504310673035</v>
          </cell>
          <cell r="Q348">
            <v>5.3215474278398496</v>
          </cell>
          <cell r="R348">
            <v>5.3599375068548563</v>
          </cell>
          <cell r="S348">
            <v>6.286591774965971</v>
          </cell>
          <cell r="T348">
            <v>6.3451456191362245</v>
          </cell>
          <cell r="V348">
            <v>5.8450657163390769</v>
          </cell>
          <cell r="W348">
            <v>5.8764583782218294</v>
          </cell>
          <cell r="X348">
            <v>6.1273373175754511</v>
          </cell>
          <cell r="Z348">
            <v>5.8544081605076537</v>
          </cell>
          <cell r="AB348">
            <v>5.863180052686821</v>
          </cell>
          <cell r="AC348">
            <v>4.51756312070947</v>
          </cell>
          <cell r="AD348">
            <v>7.1811205622713237</v>
          </cell>
        </row>
        <row r="349">
          <cell r="A349" t="str">
            <v>CGI015-qtz12-CL-fit-2-offset</v>
          </cell>
          <cell r="J349">
            <v>4.066716520120127</v>
          </cell>
          <cell r="K349">
            <v>2.2687671369039362</v>
          </cell>
          <cell r="L349">
            <v>0.17075106265882073</v>
          </cell>
          <cell r="M349">
            <v>0.22928276541493628</v>
          </cell>
          <cell r="N349">
            <v>0.67158900013415146</v>
          </cell>
          <cell r="O349">
            <v>1.8961630344717286</v>
          </cell>
          <cell r="P349">
            <v>5.4914838879782675</v>
          </cell>
          <cell r="Q349">
            <v>0.48756417300172128</v>
          </cell>
          <cell r="R349">
            <v>4.5255925510970405</v>
          </cell>
          <cell r="S349">
            <v>0.44295370752221314</v>
          </cell>
          <cell r="T349">
            <v>4.947947694110324</v>
          </cell>
          <cell r="V349">
            <v>2.8421155348763305</v>
          </cell>
          <cell r="W349">
            <v>2.2908010484921153</v>
          </cell>
          <cell r="X349">
            <v>1.8961630344717286</v>
          </cell>
          <cell r="Z349">
            <v>2.4177425699484387</v>
          </cell>
          <cell r="AB349">
            <v>2.739520965699429</v>
          </cell>
          <cell r="AC349">
            <v>6.5086937098376152E-2</v>
          </cell>
          <cell r="AD349">
            <v>7.0842476898422131</v>
          </cell>
        </row>
        <row r="350">
          <cell r="A350" t="str">
            <v>CGI015-qtz12-CL-fit-3-offset</v>
          </cell>
          <cell r="J350">
            <v>4.5147361724989148</v>
          </cell>
          <cell r="K350">
            <v>1.2211522704134572</v>
          </cell>
          <cell r="L350">
            <v>2.0061128293930177</v>
          </cell>
          <cell r="M350">
            <v>2.322897535697261</v>
          </cell>
          <cell r="N350">
            <v>3.2126671441368808</v>
          </cell>
          <cell r="O350">
            <v>2.499146353012629</v>
          </cell>
          <cell r="P350">
            <v>3.856495407251729</v>
          </cell>
          <cell r="Q350">
            <v>3.5830130256263297</v>
          </cell>
          <cell r="R350">
            <v>3.4957283836050137</v>
          </cell>
          <cell r="S350">
            <v>2.4514287187075472</v>
          </cell>
          <cell r="T350">
            <v>3.6985546216365113</v>
          </cell>
          <cell r="V350">
            <v>3.0448609375894211</v>
          </cell>
          <cell r="W350">
            <v>2.9874484056344808</v>
          </cell>
          <cell r="X350">
            <v>3.2126671441368808</v>
          </cell>
          <cell r="Z350">
            <v>3.0442097309110441</v>
          </cell>
          <cell r="AB350">
            <v>3.0030001784227802</v>
          </cell>
          <cell r="AC350">
            <v>1.523821201456004</v>
          </cell>
          <cell r="AD350">
            <v>4.5359151521037662</v>
          </cell>
        </row>
        <row r="351">
          <cell r="A351" t="str">
            <v>CGI015-qtz12-CL-fit-4-offset</v>
          </cell>
          <cell r="J351">
            <v>1.1974136019352595</v>
          </cell>
          <cell r="K351">
            <v>1.173104181322624</v>
          </cell>
          <cell r="L351">
            <v>1.1326982999999999</v>
          </cell>
          <cell r="M351">
            <v>1.1743062826588104</v>
          </cell>
          <cell r="N351">
            <v>1.052259790631922</v>
          </cell>
          <cell r="O351">
            <v>1.2668292590462447</v>
          </cell>
          <cell r="P351">
            <v>1.0565799728710483</v>
          </cell>
          <cell r="Q351">
            <v>1.2054264272716799</v>
          </cell>
          <cell r="R351">
            <v>1.1371822251693102</v>
          </cell>
          <cell r="S351">
            <v>1.3515036</v>
          </cell>
          <cell r="T351">
            <v>1.1309390216880748</v>
          </cell>
          <cell r="V351">
            <v>1.2107941299955944</v>
          </cell>
          <cell r="W351">
            <v>1.1707493329631795</v>
          </cell>
          <cell r="X351">
            <v>1.173104181322624</v>
          </cell>
          <cell r="Z351">
            <v>1.1053488840533972</v>
          </cell>
          <cell r="AB351">
            <v>1.0673737243552117</v>
          </cell>
          <cell r="AC351">
            <v>0.23589279585855186</v>
          </cell>
          <cell r="AD351">
            <v>1.7160655865533117</v>
          </cell>
        </row>
        <row r="352">
          <cell r="A352" t="str">
            <v>CGI015-qtz12-CL-fit-5-offset</v>
          </cell>
          <cell r="J352">
            <v>1.6001255154222087</v>
          </cell>
          <cell r="K352">
            <v>1.4554199980967222</v>
          </cell>
          <cell r="L352">
            <v>1.4329221467553015</v>
          </cell>
          <cell r="M352">
            <v>1.6281560796054433</v>
          </cell>
          <cell r="N352">
            <v>1.9459052039576288</v>
          </cell>
          <cell r="O352">
            <v>2.2343213356203599</v>
          </cell>
          <cell r="P352">
            <v>1.68814094969859</v>
          </cell>
          <cell r="Q352">
            <v>0.66013362162646072</v>
          </cell>
          <cell r="R352">
            <v>1.3656146717180273</v>
          </cell>
          <cell r="S352">
            <v>1.8238767034699688</v>
          </cell>
          <cell r="T352">
            <v>1.9218283458818397</v>
          </cell>
          <cell r="V352">
            <v>1.7479347849147757</v>
          </cell>
          <cell r="W352">
            <v>1.6142222338047774</v>
          </cell>
          <cell r="X352">
            <v>1.6281560796054433</v>
          </cell>
          <cell r="Z352">
            <v>1.6380052346401039</v>
          </cell>
          <cell r="AB352">
            <v>1.6544029456238394</v>
          </cell>
          <cell r="AC352">
            <v>0.26594605067374349</v>
          </cell>
          <cell r="AD352">
            <v>2.8092650246328379</v>
          </cell>
        </row>
        <row r="353">
          <cell r="A353" t="str">
            <v>CGI018-qtz01-CL-fit-1-offset</v>
          </cell>
          <cell r="J353">
            <v>10.321287291040822</v>
          </cell>
          <cell r="K353">
            <v>11.67743906131107</v>
          </cell>
          <cell r="L353">
            <v>11.069513916310884</v>
          </cell>
          <cell r="M353">
            <v>9.6274749974274751</v>
          </cell>
          <cell r="N353">
            <v>11.385637173380667</v>
          </cell>
          <cell r="O353">
            <v>9.0960491518123252</v>
          </cell>
          <cell r="P353">
            <v>11.357871983972968</v>
          </cell>
          <cell r="Q353">
            <v>9.3917097146044277</v>
          </cell>
          <cell r="R353">
            <v>9.3098761165605577</v>
          </cell>
          <cell r="S353">
            <v>8.751971390254969</v>
          </cell>
          <cell r="T353">
            <v>11.09985620117846</v>
          </cell>
          <cell r="V353">
            <v>10.266544353392582</v>
          </cell>
          <cell r="W353">
            <v>10.280789727077693</v>
          </cell>
          <cell r="X353">
            <v>10.321287291040822</v>
          </cell>
          <cell r="Z353">
            <v>10.14926855529114</v>
          </cell>
          <cell r="AB353">
            <v>10.287253658213206</v>
          </cell>
          <cell r="AC353">
            <v>8.1574031607171147</v>
          </cell>
          <cell r="AD353">
            <v>12.757876471532853</v>
          </cell>
        </row>
        <row r="354">
          <cell r="A354" t="str">
            <v>CGI018-qtz01-CL-fit-2-offset</v>
          </cell>
          <cell r="J354">
            <v>5.3418631197728912</v>
          </cell>
          <cell r="K354">
            <v>4.9379337747511984</v>
          </cell>
          <cell r="L354">
            <v>6.4547587693976469</v>
          </cell>
          <cell r="M354">
            <v>5.3465169153950622</v>
          </cell>
          <cell r="N354">
            <v>5.8708657940192053</v>
          </cell>
          <cell r="O354">
            <v>7.5189993747698693</v>
          </cell>
          <cell r="P354">
            <v>7.0852707729915121</v>
          </cell>
          <cell r="Q354">
            <v>5.5292476624249645</v>
          </cell>
          <cell r="R354">
            <v>4.6933604368071338</v>
          </cell>
          <cell r="S354">
            <v>6.7747598664263693</v>
          </cell>
          <cell r="T354">
            <v>4.5180796194191961</v>
          </cell>
          <cell r="V354">
            <v>5.7846662638584263</v>
          </cell>
          <cell r="W354">
            <v>5.8246960096522766</v>
          </cell>
          <cell r="X354">
            <v>5.5292476624249645</v>
          </cell>
          <cell r="Z354">
            <v>5.7899772169628267</v>
          </cell>
          <cell r="AB354">
            <v>5.7786318968111638</v>
          </cell>
          <cell r="AC354">
            <v>4.3054474353242203</v>
          </cell>
          <cell r="AD354">
            <v>7.2186419757155296</v>
          </cell>
        </row>
        <row r="355">
          <cell r="A355" t="str">
            <v>CGI018-qtz01-CL-fit-3-offset</v>
          </cell>
          <cell r="J355">
            <v>4.2401270721822879</v>
          </cell>
          <cell r="K355">
            <v>4.280904990567528</v>
          </cell>
          <cell r="L355">
            <v>3.6151963361505111</v>
          </cell>
          <cell r="M355">
            <v>4.6817547117265397</v>
          </cell>
          <cell r="N355">
            <v>3.4769213450170708</v>
          </cell>
          <cell r="O355">
            <v>4.1630463022080946</v>
          </cell>
          <cell r="P355">
            <v>4.4660815490268924</v>
          </cell>
          <cell r="Q355">
            <v>5.2920899725466883</v>
          </cell>
          <cell r="R355">
            <v>4.390178027699263</v>
          </cell>
          <cell r="S355">
            <v>3.5544702004102109</v>
          </cell>
          <cell r="T355">
            <v>4.0567690733470192</v>
          </cell>
          <cell r="V355">
            <v>4.1961994239519118</v>
          </cell>
          <cell r="W355">
            <v>4.2015945073529188</v>
          </cell>
          <cell r="X355">
            <v>4.2401270721822879</v>
          </cell>
          <cell r="Z355">
            <v>4.2000637134031473</v>
          </cell>
          <cell r="AB355">
            <v>4.1804315738424433</v>
          </cell>
          <cell r="AC355">
            <v>3.0147688919296693</v>
          </cell>
          <cell r="AD355">
            <v>5.1707895614538195</v>
          </cell>
        </row>
        <row r="356">
          <cell r="A356" t="str">
            <v>CGI018-qtz01-CL-fit-4-offset</v>
          </cell>
          <cell r="J356">
            <v>2.8291911228996227</v>
          </cell>
          <cell r="K356">
            <v>2.66339086256813</v>
          </cell>
          <cell r="L356">
            <v>2.9874245761707332</v>
          </cell>
          <cell r="M356">
            <v>2.3693179623033336</v>
          </cell>
          <cell r="N356">
            <v>3.0304133961342132</v>
          </cell>
          <cell r="O356">
            <v>2.4780777773997471</v>
          </cell>
          <cell r="P356">
            <v>2.4046066943793831</v>
          </cell>
          <cell r="Q356">
            <v>2.877252527865521</v>
          </cell>
          <cell r="R356">
            <v>4.1507363036536837</v>
          </cell>
          <cell r="S356">
            <v>3.5693614499096853</v>
          </cell>
          <cell r="T356">
            <v>4.0295269558205034</v>
          </cell>
          <cell r="V356">
            <v>3.0768090236881971</v>
          </cell>
          <cell r="W356">
            <v>3.0353908753731416</v>
          </cell>
          <cell r="X356">
            <v>2.877252527865521</v>
          </cell>
          <cell r="Z356">
            <v>3.0660405274316695</v>
          </cell>
          <cell r="AB356">
            <v>3.1293633176591347</v>
          </cell>
          <cell r="AC356">
            <v>1.8920035195660192</v>
          </cell>
          <cell r="AD356">
            <v>4.6392408944575694</v>
          </cell>
        </row>
        <row r="357">
          <cell r="A357" t="str">
            <v>CGI018-qtz01-CL-fit-5-offset</v>
          </cell>
          <cell r="J357">
            <v>2.7137254354858587</v>
          </cell>
          <cell r="K357">
            <v>1.9546462488120886</v>
          </cell>
          <cell r="L357">
            <v>2.0377620989864331</v>
          </cell>
          <cell r="M357">
            <v>1.943918926373615</v>
          </cell>
          <cell r="N357">
            <v>2.0658264804756916</v>
          </cell>
          <cell r="O357">
            <v>2.4661005715643376</v>
          </cell>
          <cell r="P357">
            <v>2.4246845903400116</v>
          </cell>
          <cell r="Q357">
            <v>1.7501841422483699</v>
          </cell>
          <cell r="R357">
            <v>2.4273634942318685</v>
          </cell>
          <cell r="S357">
            <v>2.0513162978988482</v>
          </cell>
          <cell r="T357">
            <v>2.9874350039979718</v>
          </cell>
          <cell r="V357">
            <v>2.2722340768754412</v>
          </cell>
          <cell r="W357">
            <v>2.2566330264013725</v>
          </cell>
          <cell r="X357">
            <v>2.0658264804756916</v>
          </cell>
          <cell r="Z357">
            <v>2.1944477900152832</v>
          </cell>
          <cell r="AB357">
            <v>2.1864261343784528</v>
          </cell>
          <cell r="AC357">
            <v>1.4580275449000524</v>
          </cell>
          <cell r="AD357">
            <v>3.0704971365773366</v>
          </cell>
        </row>
        <row r="358">
          <cell r="A358" t="str">
            <v>CGI018-qtz02-CL-fit-1-offset</v>
          </cell>
          <cell r="J358">
            <v>5.6433657063031992</v>
          </cell>
          <cell r="K358">
            <v>7.4110390979155989</v>
          </cell>
          <cell r="L358">
            <v>7.1783133035489985</v>
          </cell>
          <cell r="M358">
            <v>6.1854517649437053</v>
          </cell>
          <cell r="N358">
            <v>7.3697904023124758</v>
          </cell>
          <cell r="O358">
            <v>4.7563263653542336</v>
          </cell>
          <cell r="P358">
            <v>6.0111291640949567</v>
          </cell>
          <cell r="Q358">
            <v>7.4166985032000632</v>
          </cell>
          <cell r="R358">
            <v>5.8103855357406511</v>
          </cell>
          <cell r="S358">
            <v>6.1206218165270423</v>
          </cell>
          <cell r="T358">
            <v>10.562370504619631</v>
          </cell>
          <cell r="V358">
            <v>6.5621365929695319</v>
          </cell>
          <cell r="W358">
            <v>6.7695901967782328</v>
          </cell>
          <cell r="X358">
            <v>6.1854517649437053</v>
          </cell>
          <cell r="Z358">
            <v>6.4767468860775352</v>
          </cell>
          <cell r="AB358">
            <v>6.560689228506658</v>
          </cell>
          <cell r="AC358">
            <v>3.9347981696231225</v>
          </cell>
          <cell r="AD358">
            <v>9.9315068919691214</v>
          </cell>
        </row>
        <row r="359">
          <cell r="A359" t="str">
            <v>CGI018-qtz02-CL-fit-2-offset</v>
          </cell>
          <cell r="J359">
            <v>7.7822908102800072</v>
          </cell>
          <cell r="K359">
            <v>6.9623058597373033</v>
          </cell>
          <cell r="L359">
            <v>8.0733253495884387</v>
          </cell>
          <cell r="M359">
            <v>6.4767160453631858</v>
          </cell>
          <cell r="N359">
            <v>6.8123418730987089</v>
          </cell>
          <cell r="O359">
            <v>5.5022478374535764</v>
          </cell>
          <cell r="P359">
            <v>4.9743476319964834</v>
          </cell>
          <cell r="Q359">
            <v>5.4595995201514276</v>
          </cell>
          <cell r="R359">
            <v>5.2222138455460589</v>
          </cell>
          <cell r="S359">
            <v>5.9879901962955255</v>
          </cell>
          <cell r="T359">
            <v>6.385909722334457</v>
          </cell>
          <cell r="V359">
            <v>6.0819916219815369</v>
          </cell>
          <cell r="W359">
            <v>6.330844426531379</v>
          </cell>
          <cell r="X359">
            <v>6.385909722334457</v>
          </cell>
          <cell r="Z359">
            <v>6.0536639512878372</v>
          </cell>
          <cell r="AB359">
            <v>6.2254865137699111</v>
          </cell>
          <cell r="AC359">
            <v>4.6836955469343762</v>
          </cell>
          <cell r="AD359">
            <v>8.6786186293696659</v>
          </cell>
        </row>
        <row r="360">
          <cell r="A360" t="str">
            <v>CGI018-qtz02-CL-fit-3-offset</v>
          </cell>
          <cell r="J360">
            <v>3.10494488117223</v>
          </cell>
          <cell r="K360">
            <v>4.1819050876849753</v>
          </cell>
          <cell r="L360">
            <v>3.4406705546813749</v>
          </cell>
          <cell r="M360">
            <v>4.1474894529918718</v>
          </cell>
          <cell r="N360">
            <v>2.8929545160825731</v>
          </cell>
          <cell r="O360">
            <v>4.1728897695634144</v>
          </cell>
          <cell r="P360">
            <v>3.2926311310685787</v>
          </cell>
          <cell r="Q360">
            <v>3.949104887688466</v>
          </cell>
          <cell r="R360">
            <v>3.9209113528504873</v>
          </cell>
          <cell r="S360">
            <v>4.2077878525038876</v>
          </cell>
          <cell r="T360">
            <v>3.5645171653490042</v>
          </cell>
          <cell r="V360">
            <v>3.7272025493475223</v>
          </cell>
          <cell r="W360">
            <v>3.7159824228760785</v>
          </cell>
          <cell r="X360">
            <v>3.9209113528504873</v>
          </cell>
          <cell r="Z360">
            <v>3.7202680611026473</v>
          </cell>
          <cell r="AB360">
            <v>3.6752999151774275</v>
          </cell>
          <cell r="AC360">
            <v>2.6161400182439047</v>
          </cell>
          <cell r="AD360">
            <v>4.7312103548789652</v>
          </cell>
        </row>
        <row r="361">
          <cell r="A361" t="str">
            <v>CGI018-qtz02-CL-fit-4-offset</v>
          </cell>
          <cell r="J361">
            <v>2.1677747120910005</v>
          </cell>
          <cell r="K361">
            <v>3.0986489044273777</v>
          </cell>
          <cell r="L361">
            <v>2.4075136987901242</v>
          </cell>
          <cell r="M361">
            <v>2.6436084024836277</v>
          </cell>
          <cell r="N361">
            <v>2.319843850118819</v>
          </cell>
          <cell r="O361">
            <v>2.4383347556652337</v>
          </cell>
          <cell r="P361">
            <v>2.9608606412201555</v>
          </cell>
          <cell r="Q361">
            <v>2.6381743083902376</v>
          </cell>
          <cell r="R361">
            <v>3.6951150715909398</v>
          </cell>
          <cell r="S361">
            <v>2.5724612996808776</v>
          </cell>
          <cell r="T361">
            <v>3.3725289007494195</v>
          </cell>
          <cell r="V361">
            <v>2.7604543960358332</v>
          </cell>
          <cell r="W361">
            <v>2.7558967768370737</v>
          </cell>
          <cell r="X361">
            <v>2.6381743083902376</v>
          </cell>
          <cell r="Z361">
            <v>2.7101880155735794</v>
          </cell>
          <cell r="AB361">
            <v>2.7346751340300068</v>
          </cell>
          <cell r="AC361">
            <v>1.6965690597494787</v>
          </cell>
          <cell r="AD361">
            <v>3.7450074116830945</v>
          </cell>
        </row>
        <row r="362">
          <cell r="A362" t="str">
            <v>CGI018-qtz02-CL-fit-5-offset</v>
          </cell>
          <cell r="J362">
            <v>1.1693580432742188</v>
          </cell>
          <cell r="K362">
            <v>1.0993326688802241</v>
          </cell>
          <cell r="L362">
            <v>1.215018757240379</v>
          </cell>
          <cell r="M362">
            <v>1.1467548688266753</v>
          </cell>
          <cell r="N362">
            <v>1.3344758735368518</v>
          </cell>
          <cell r="O362">
            <v>1.655868776037926</v>
          </cell>
          <cell r="P362">
            <v>1.4605459644383283</v>
          </cell>
          <cell r="Q362">
            <v>1.3632321439664818</v>
          </cell>
          <cell r="R362">
            <v>1.0258841764878035</v>
          </cell>
          <cell r="S362">
            <v>1.2554841028086159</v>
          </cell>
          <cell r="T362">
            <v>1.1224477266658781</v>
          </cell>
          <cell r="V362">
            <v>1.358726137395138</v>
          </cell>
          <cell r="W362">
            <v>1.2589457365603076</v>
          </cell>
          <cell r="X362">
            <v>1.215018757240379</v>
          </cell>
          <cell r="Z362">
            <v>1.1745997596128586</v>
          </cell>
          <cell r="AB362">
            <v>1.1999260671211924</v>
          </cell>
          <cell r="AC362">
            <v>0.37744904188922562</v>
          </cell>
          <cell r="AD362">
            <v>2.1181870757822598</v>
          </cell>
        </row>
        <row r="363">
          <cell r="A363" t="str">
            <v>CGI018-qtz03-CL-fit-1-offset</v>
          </cell>
          <cell r="J363">
            <v>2.7676266581824738</v>
          </cell>
          <cell r="K363">
            <v>2.489641376268938</v>
          </cell>
          <cell r="L363">
            <v>2.5324382631245044</v>
          </cell>
          <cell r="M363">
            <v>3.2505645924796958</v>
          </cell>
          <cell r="N363">
            <v>3.8401007827444347</v>
          </cell>
          <cell r="O363">
            <v>2.8785662410090613</v>
          </cell>
          <cell r="P363">
            <v>2.8340435826916539</v>
          </cell>
          <cell r="Q363">
            <v>3.319699364280754</v>
          </cell>
          <cell r="R363">
            <v>3.1281949175000379</v>
          </cell>
          <cell r="S363">
            <v>3.0148036658642838</v>
          </cell>
          <cell r="T363">
            <v>2.4637854767868483</v>
          </cell>
          <cell r="V363">
            <v>2.9712714157605151</v>
          </cell>
          <cell r="W363">
            <v>2.9563149928120627</v>
          </cell>
          <cell r="X363">
            <v>2.8785662410090613</v>
          </cell>
          <cell r="Z363">
            <v>2.9038805283853391</v>
          </cell>
          <cell r="AB363">
            <v>2.9183947608379492</v>
          </cell>
          <cell r="AC363">
            <v>2.1551048340110595</v>
          </cell>
          <cell r="AD363">
            <v>3.6459008564808046</v>
          </cell>
        </row>
        <row r="364">
          <cell r="A364" t="str">
            <v>CGI018-qtz03-CL-fit-2-offset</v>
          </cell>
          <cell r="J364">
            <v>3.5525438656368112E-2</v>
          </cell>
          <cell r="K364">
            <v>2.8884827855011541</v>
          </cell>
          <cell r="L364">
            <v>1.0975416670130329</v>
          </cell>
          <cell r="M364">
            <v>5.4047832098647461</v>
          </cell>
          <cell r="N364">
            <v>5.5835568281513295</v>
          </cell>
          <cell r="O364">
            <v>5.8986677973599742</v>
          </cell>
          <cell r="P364">
            <v>8.8454461249651981</v>
          </cell>
          <cell r="Q364">
            <v>12.045932576716286</v>
          </cell>
          <cell r="R364">
            <v>0</v>
          </cell>
          <cell r="S364">
            <v>0</v>
          </cell>
          <cell r="T364">
            <v>11.309347797864984</v>
          </cell>
          <cell r="V364">
            <v>7.0342173182555046</v>
          </cell>
          <cell r="W364">
            <v>5.9010315806770093</v>
          </cell>
          <cell r="X364">
            <v>5.5835568281513295</v>
          </cell>
          <cell r="Z364">
            <v>6.9101198814562945</v>
          </cell>
          <cell r="AB364">
            <v>6.9635889491913749</v>
          </cell>
          <cell r="AC364">
            <v>0.6642655363348825</v>
          </cell>
          <cell r="AD364">
            <v>13.775343005002645</v>
          </cell>
        </row>
        <row r="365">
          <cell r="A365" t="str">
            <v>CGI018-qtz03-CL-fit-3-offset</v>
          </cell>
          <cell r="J365">
            <v>3.3168717165106809</v>
          </cell>
          <cell r="K365">
            <v>2.3780327185049543</v>
          </cell>
          <cell r="L365">
            <v>3.4916732960747101</v>
          </cell>
          <cell r="M365">
            <v>2.990895218823642</v>
          </cell>
          <cell r="N365">
            <v>2.7116857924776876</v>
          </cell>
          <cell r="O365">
            <v>2.6209831116319378</v>
          </cell>
          <cell r="P365">
            <v>2.3643729045409625</v>
          </cell>
          <cell r="Q365">
            <v>2.6206625040929934</v>
          </cell>
          <cell r="R365">
            <v>2.2906653666002277</v>
          </cell>
          <cell r="S365">
            <v>3.0058194327771046</v>
          </cell>
          <cell r="T365">
            <v>2.8372663730718477</v>
          </cell>
          <cell r="V365">
            <v>2.7947488515533481</v>
          </cell>
          <cell r="W365">
            <v>2.784448039555159</v>
          </cell>
          <cell r="X365">
            <v>2.7116857924776876</v>
          </cell>
          <cell r="Z365">
            <v>2.808618810541637</v>
          </cell>
          <cell r="AB365">
            <v>2.8295146578745323</v>
          </cell>
          <cell r="AC365">
            <v>1.9611350422399851</v>
          </cell>
          <cell r="AD365">
            <v>3.9009944125352249</v>
          </cell>
        </row>
        <row r="366">
          <cell r="A366" t="str">
            <v>CGI018-qtz03-CL-fit-4-offset</v>
          </cell>
          <cell r="J366">
            <v>1.3358034345611163</v>
          </cell>
          <cell r="K366">
            <v>1.7146645951543908</v>
          </cell>
          <cell r="L366">
            <v>1.2406163441935805</v>
          </cell>
          <cell r="M366">
            <v>1.7150322352460976</v>
          </cell>
          <cell r="N366">
            <v>2.1522527009404193</v>
          </cell>
          <cell r="O366">
            <v>2.1505837358176501</v>
          </cell>
          <cell r="P366">
            <v>2.7183890271001889</v>
          </cell>
          <cell r="Q366">
            <v>2.940705625602428</v>
          </cell>
          <cell r="R366">
            <v>3.3327907420172371</v>
          </cell>
          <cell r="S366">
            <v>2.3239103298978416</v>
          </cell>
          <cell r="T366">
            <v>2.954988988007885</v>
          </cell>
          <cell r="V366">
            <v>2.3246768398546362</v>
          </cell>
          <cell r="W366">
            <v>2.2345216144126212</v>
          </cell>
          <cell r="X366">
            <v>2.1522527009404193</v>
          </cell>
          <cell r="Z366">
            <v>2.3589769376241296</v>
          </cell>
          <cell r="AB366">
            <v>2.5882926347380852</v>
          </cell>
          <cell r="AC366">
            <v>1.0928692058644576</v>
          </cell>
          <cell r="AD366">
            <v>4.9780826351980236</v>
          </cell>
        </row>
        <row r="367">
          <cell r="A367" t="str">
            <v>CGI018-qtz04-CL-fit-1-offset</v>
          </cell>
          <cell r="J367">
            <v>4.0698046029671318</v>
          </cell>
          <cell r="K367">
            <v>3.7970274047715384</v>
          </cell>
          <cell r="L367">
            <v>3.167185569338395</v>
          </cell>
          <cell r="M367">
            <v>2.4226864833205246</v>
          </cell>
          <cell r="N367">
            <v>3.3247649165480917</v>
          </cell>
          <cell r="O367">
            <v>2.7536237147542839</v>
          </cell>
          <cell r="P367">
            <v>2.4099649953243794</v>
          </cell>
          <cell r="Q367">
            <v>4.7157838441495761</v>
          </cell>
          <cell r="R367">
            <v>3.6301420867203706</v>
          </cell>
          <cell r="S367">
            <v>4.2338569741834418</v>
          </cell>
          <cell r="T367">
            <v>2.7545345626118443</v>
          </cell>
          <cell r="V367">
            <v>3.5186242465450461</v>
          </cell>
          <cell r="W367">
            <v>3.3890341049717794</v>
          </cell>
          <cell r="X367">
            <v>3.3247649165480917</v>
          </cell>
          <cell r="Z367">
            <v>3.4541327552465777</v>
          </cell>
          <cell r="AB367">
            <v>3.4504051115561669</v>
          </cell>
          <cell r="AC367">
            <v>1.3742782764224566</v>
          </cell>
          <cell r="AD367">
            <v>5.1834749844602763</v>
          </cell>
        </row>
        <row r="368">
          <cell r="A368" t="str">
            <v>CGI018-qtz04-CL-fit-2-offset</v>
          </cell>
          <cell r="J368">
            <v>0</v>
          </cell>
          <cell r="K368">
            <v>3.1057469214492475</v>
          </cell>
          <cell r="L368">
            <v>4.0506645405085244</v>
          </cell>
          <cell r="M368">
            <v>4.2154495952423634</v>
          </cell>
          <cell r="N368">
            <v>3.3561230028764224</v>
          </cell>
          <cell r="O368">
            <v>4.5096053799963549</v>
          </cell>
          <cell r="P368">
            <v>2.6053433842620128</v>
          </cell>
          <cell r="Q368">
            <v>3.9987146849416599</v>
          </cell>
          <cell r="R368">
            <v>3.5592562907198082</v>
          </cell>
          <cell r="S368">
            <v>5.1654333111101431</v>
          </cell>
          <cell r="T368">
            <v>2.069989576108652</v>
          </cell>
          <cell r="V368">
            <v>3.6433087333495093</v>
          </cell>
          <cell r="W368">
            <v>3.6636326687215197</v>
          </cell>
          <cell r="X368">
            <v>3.7789854878307341</v>
          </cell>
          <cell r="Z368">
            <v>3.6246159451279198</v>
          </cell>
          <cell r="AB368">
            <v>3.7404021508193237</v>
          </cell>
          <cell r="AC368">
            <v>1.6919100620901153</v>
          </cell>
          <cell r="AD368">
            <v>6.8875909471605548</v>
          </cell>
        </row>
        <row r="369">
          <cell r="A369" t="str">
            <v>CGI018-qtz04-CL-fit-3-offset</v>
          </cell>
          <cell r="J369">
            <v>2.3492885936134509</v>
          </cell>
          <cell r="K369">
            <v>1.2520103419094037</v>
          </cell>
          <cell r="L369">
            <v>1.7815242525381032</v>
          </cell>
          <cell r="M369">
            <v>2.0110300164061132</v>
          </cell>
          <cell r="N369">
            <v>1.8962838181082478</v>
          </cell>
          <cell r="O369">
            <v>1.5567241253231794</v>
          </cell>
          <cell r="P369">
            <v>1.7409310209944968</v>
          </cell>
          <cell r="Q369">
            <v>1.7412562747072946</v>
          </cell>
          <cell r="R369">
            <v>1.7150794279929724</v>
          </cell>
          <cell r="S369">
            <v>1.9899642645827849</v>
          </cell>
          <cell r="T369">
            <v>2.4254860229322683</v>
          </cell>
          <cell r="V369">
            <v>1.9062867990738059</v>
          </cell>
          <cell r="W369">
            <v>1.8599616508280286</v>
          </cell>
          <cell r="X369">
            <v>1.7815242525381032</v>
          </cell>
          <cell r="Z369">
            <v>1.879567322609843</v>
          </cell>
          <cell r="AB369">
            <v>1.8445212762685341</v>
          </cell>
          <cell r="AC369">
            <v>0.85844216728477185</v>
          </cell>
          <cell r="AD369">
            <v>2.6365550793521062</v>
          </cell>
        </row>
        <row r="370">
          <cell r="A370" t="str">
            <v>CGI018-qtz04-CL-fit-4-offset</v>
          </cell>
          <cell r="J370">
            <v>2.465244370872719</v>
          </cell>
          <cell r="K370">
            <v>2.2349388161482544</v>
          </cell>
          <cell r="L370">
            <v>2.0768599254104814</v>
          </cell>
          <cell r="M370">
            <v>0</v>
          </cell>
          <cell r="N370">
            <v>2.5021846706386599</v>
          </cell>
          <cell r="O370">
            <v>2.0790357250120253</v>
          </cell>
          <cell r="P370">
            <v>2.3774759011088866</v>
          </cell>
          <cell r="Q370">
            <v>2.4214555419831476</v>
          </cell>
          <cell r="R370">
            <v>1.2808968867356474</v>
          </cell>
          <cell r="S370">
            <v>2.3279887451632431</v>
          </cell>
          <cell r="T370">
            <v>1.7340624311430874</v>
          </cell>
          <cell r="V370">
            <v>2.208509530094382</v>
          </cell>
          <cell r="W370">
            <v>2.1500143014216149</v>
          </cell>
          <cell r="X370">
            <v>2.2814637806557485</v>
          </cell>
          <cell r="Z370">
            <v>2.1881285597719105</v>
          </cell>
          <cell r="AB370">
            <v>2.2150224156789227</v>
          </cell>
          <cell r="AC370">
            <v>0.85524107141847128</v>
          </cell>
          <cell r="AD370">
            <v>3.929345110611421</v>
          </cell>
        </row>
        <row r="371">
          <cell r="A371" t="str">
            <v>CGI018-qtz05-CL-fit-1-offset</v>
          </cell>
          <cell r="J371">
            <v>0.25601066430494934</v>
          </cell>
          <cell r="K371">
            <v>0.23634318993810241</v>
          </cell>
          <cell r="L371">
            <v>4.0578682541496408E-2</v>
          </cell>
          <cell r="M371">
            <v>0.21883470320620241</v>
          </cell>
          <cell r="N371">
            <v>1.5664996838824983</v>
          </cell>
          <cell r="O371">
            <v>0.22868842055025956</v>
          </cell>
          <cell r="P371">
            <v>0.39105781919588301</v>
          </cell>
          <cell r="Q371">
            <v>1.5376934837518943</v>
          </cell>
          <cell r="R371">
            <v>3.017644836807484</v>
          </cell>
          <cell r="S371">
            <v>0.38916812634340647</v>
          </cell>
          <cell r="T371">
            <v>2.8362410902794957</v>
          </cell>
          <cell r="V371">
            <v>2.220348403145139</v>
          </cell>
          <cell r="W371">
            <v>0.97443279098197022</v>
          </cell>
          <cell r="X371">
            <v>0.38916812634340647</v>
          </cell>
          <cell r="Z371">
            <v>1.4926226129052709</v>
          </cell>
          <cell r="AB371">
            <v>3.145445089359979</v>
          </cell>
          <cell r="AC371">
            <v>1.0941768330096017E-6</v>
          </cell>
          <cell r="AD371">
            <v>28.111614392205684</v>
          </cell>
        </row>
        <row r="372">
          <cell r="A372" t="str">
            <v>CGI018-qtz05-CL-fit-2-offset</v>
          </cell>
          <cell r="J372">
            <v>4.4690672434637069</v>
          </cell>
          <cell r="K372">
            <v>3.4755936117525628</v>
          </cell>
          <cell r="L372">
            <v>3.6376812458018839</v>
          </cell>
          <cell r="M372">
            <v>3.6310950192392135</v>
          </cell>
          <cell r="N372">
            <v>2.8962302959824568</v>
          </cell>
          <cell r="O372">
            <v>3.1215441058042455</v>
          </cell>
          <cell r="P372">
            <v>2.6732845232081761</v>
          </cell>
          <cell r="Q372">
            <v>3.2440962001216316</v>
          </cell>
          <cell r="R372">
            <v>2.6407791437654509</v>
          </cell>
          <cell r="S372">
            <v>4.3825880235487862</v>
          </cell>
          <cell r="T372">
            <v>4.3769168444219257</v>
          </cell>
          <cell r="V372">
            <v>3.4962468184437299</v>
          </cell>
          <cell r="W372">
            <v>3.5044432961009124</v>
          </cell>
          <cell r="X372">
            <v>3.4755936117525628</v>
          </cell>
          <cell r="Z372">
            <v>3.463541193774053</v>
          </cell>
          <cell r="AB372">
            <v>3.5172067222677454</v>
          </cell>
          <cell r="AC372">
            <v>1.4729890063485782</v>
          </cell>
          <cell r="AD372">
            <v>5.9456838253855278</v>
          </cell>
        </row>
        <row r="373">
          <cell r="A373" t="str">
            <v>CGI018-qtz05-CL-fit-3-offset</v>
          </cell>
          <cell r="J373">
            <v>3.8612811981293609</v>
          </cell>
          <cell r="K373">
            <v>3.1025872767489249</v>
          </cell>
          <cell r="L373">
            <v>3.1578572270905996</v>
          </cell>
          <cell r="M373">
            <v>1.7932289650113844</v>
          </cell>
          <cell r="N373">
            <v>2.5746251049580464</v>
          </cell>
          <cell r="O373">
            <v>2.3770834285248053</v>
          </cell>
          <cell r="P373">
            <v>3.2749091293881354</v>
          </cell>
          <cell r="Q373">
            <v>3.1121871083614723</v>
          </cell>
          <cell r="R373">
            <v>3.0233126945397131</v>
          </cell>
          <cell r="S373">
            <v>4.1023222431386079</v>
          </cell>
          <cell r="T373">
            <v>3.0895908393922622</v>
          </cell>
          <cell r="V373">
            <v>3.2303690985320777</v>
          </cell>
          <cell r="W373">
            <v>3.0426350195712102</v>
          </cell>
          <cell r="X373">
            <v>3.1025872767489249</v>
          </cell>
          <cell r="Z373">
            <v>3.1999157218233107</v>
          </cell>
          <cell r="AB373">
            <v>3.1858939445430399</v>
          </cell>
          <cell r="AC373">
            <v>0.83033475767493015</v>
          </cell>
          <cell r="AD373">
            <v>5.1245044416771792</v>
          </cell>
        </row>
        <row r="374">
          <cell r="A374" t="str">
            <v>CGI018-qtz05-CL-fit-4-offset</v>
          </cell>
          <cell r="J374">
            <v>3.5783411175071302</v>
          </cell>
          <cell r="K374">
            <v>3.5871694414039617</v>
          </cell>
          <cell r="L374">
            <v>3.9474073973266735</v>
          </cell>
          <cell r="M374">
            <v>4.1219659447582604</v>
          </cell>
          <cell r="N374">
            <v>3.9711047397907286</v>
          </cell>
          <cell r="O374">
            <v>3.5608915367686786</v>
          </cell>
          <cell r="P374">
            <v>4.5906269656760212</v>
          </cell>
          <cell r="Q374">
            <v>4.2601772709284367</v>
          </cell>
          <cell r="R374">
            <v>3.0548343127772761</v>
          </cell>
          <cell r="S374">
            <v>2.9166182576462134</v>
          </cell>
          <cell r="T374">
            <v>3.4100160751750379</v>
          </cell>
          <cell r="V374">
            <v>3.6807750746647465</v>
          </cell>
          <cell r="W374">
            <v>3.7271957327053111</v>
          </cell>
          <cell r="X374">
            <v>3.5871694414039617</v>
          </cell>
          <cell r="Z374">
            <v>3.6128493931548435</v>
          </cell>
          <cell r="AB374">
            <v>3.6124725444871215</v>
          </cell>
          <cell r="AC374">
            <v>2.6380616015365717</v>
          </cell>
          <cell r="AD374">
            <v>4.6111329601292415</v>
          </cell>
        </row>
        <row r="375">
          <cell r="A375" t="str">
            <v>CGI018-qtz05-CL-fit-5-offset</v>
          </cell>
          <cell r="J375">
            <v>0.99031714451852071</v>
          </cell>
          <cell r="K375">
            <v>2.4864236158491595</v>
          </cell>
          <cell r="L375">
            <v>3.0414283387573007</v>
          </cell>
          <cell r="M375">
            <v>3.3147287977042734</v>
          </cell>
          <cell r="N375">
            <v>2.3964153306812133</v>
          </cell>
          <cell r="O375">
            <v>1.2708914435363754</v>
          </cell>
          <cell r="P375">
            <v>1.8667697273029258</v>
          </cell>
          <cell r="Q375">
            <v>2.2147937774475284</v>
          </cell>
          <cell r="R375">
            <v>2.1704683451872389</v>
          </cell>
          <cell r="S375">
            <v>3.4635197924422827</v>
          </cell>
          <cell r="T375">
            <v>3.7332636598197211</v>
          </cell>
          <cell r="V375">
            <v>2.468520101971639</v>
          </cell>
          <cell r="W375">
            <v>2.4499109066587761</v>
          </cell>
          <cell r="X375">
            <v>2.3964153306812133</v>
          </cell>
          <cell r="Z375">
            <v>2.4459357327345654</v>
          </cell>
          <cell r="AB375">
            <v>2.8157285297986738</v>
          </cell>
          <cell r="AC375">
            <v>0.94308186813565542</v>
          </cell>
          <cell r="AD375">
            <v>6.6431570426049431</v>
          </cell>
        </row>
        <row r="376">
          <cell r="A376" t="str">
            <v>CGI018-qtz05-CL-fit-6-offset</v>
          </cell>
          <cell r="J376">
            <v>0.93380676132667484</v>
          </cell>
          <cell r="K376">
            <v>1.6522141662289151</v>
          </cell>
          <cell r="L376">
            <v>1.3223972142222704</v>
          </cell>
          <cell r="M376">
            <v>2.0793183645756406</v>
          </cell>
          <cell r="N376">
            <v>1.4142819461302876</v>
          </cell>
          <cell r="O376">
            <v>1.9009414454243216</v>
          </cell>
          <cell r="P376">
            <v>2.2023882144238169</v>
          </cell>
          <cell r="Q376">
            <v>1.4118055287144784</v>
          </cell>
          <cell r="R376">
            <v>1.539655712076089</v>
          </cell>
          <cell r="S376">
            <v>1.6090457370685949</v>
          </cell>
          <cell r="T376">
            <v>1.2403998667486955</v>
          </cell>
          <cell r="V376">
            <v>1.7226611570481878</v>
          </cell>
          <cell r="W376">
            <v>1.5732959051763442</v>
          </cell>
          <cell r="X376">
            <v>1.539655712076089</v>
          </cell>
          <cell r="Z376">
            <v>1.3524104742210277</v>
          </cell>
          <cell r="AB376">
            <v>1.315495192953464</v>
          </cell>
          <cell r="AC376">
            <v>0.21559764774072054</v>
          </cell>
          <cell r="AD376">
            <v>2.6093705334001664</v>
          </cell>
        </row>
        <row r="377">
          <cell r="A377" t="str">
            <v>CGI018-qtz05-CL-fit-7-offset</v>
          </cell>
          <cell r="J377">
            <v>0.35756615699693828</v>
          </cell>
          <cell r="K377">
            <v>2.9581066217856927E-3</v>
          </cell>
          <cell r="L377">
            <v>6.2642686000000003E-2</v>
          </cell>
          <cell r="M377">
            <v>0.94725290443081789</v>
          </cell>
          <cell r="N377">
            <v>1.4150391999999999E-2</v>
          </cell>
          <cell r="O377">
            <v>1.0207767750245644</v>
          </cell>
          <cell r="P377">
            <v>1.6269126030449756</v>
          </cell>
          <cell r="Q377">
            <v>1.7377176331014259</v>
          </cell>
          <cell r="R377">
            <v>0.85449732117656352</v>
          </cell>
          <cell r="S377">
            <v>0.43342633605611569</v>
          </cell>
          <cell r="T377">
            <v>0.70337921764038691</v>
          </cell>
          <cell r="V377">
            <v>0.71754413280703722</v>
          </cell>
          <cell r="W377">
            <v>0.70557092109941577</v>
          </cell>
          <cell r="X377">
            <v>0.70337921764038691</v>
          </cell>
          <cell r="Z377">
            <v>0.42646236665132298</v>
          </cell>
          <cell r="AB377">
            <v>0.73624705406918944</v>
          </cell>
          <cell r="AC377">
            <v>7.1095791561646424E-3</v>
          </cell>
          <cell r="AD377">
            <v>2.0335998419983579</v>
          </cell>
        </row>
        <row r="378">
          <cell r="A378" t="str">
            <v>CGI018-qtz06-CL-fit-2-offset</v>
          </cell>
          <cell r="J378">
            <v>2.1700861451924816</v>
          </cell>
          <cell r="K378">
            <v>4.0096450156486565</v>
          </cell>
          <cell r="L378">
            <v>5.2881704947937047</v>
          </cell>
          <cell r="M378">
            <v>2.9793418293268732</v>
          </cell>
          <cell r="N378">
            <v>2.4604569326862848</v>
          </cell>
          <cell r="O378">
            <v>2.1541861586446758</v>
          </cell>
          <cell r="P378">
            <v>1.9183537739393699</v>
          </cell>
          <cell r="Q378">
            <v>3.1809028029746655</v>
          </cell>
          <cell r="R378">
            <v>4.1735972779948618</v>
          </cell>
          <cell r="S378">
            <v>3.2201802966092163</v>
          </cell>
          <cell r="T378">
            <v>2.8351140519807174</v>
          </cell>
          <cell r="V378">
            <v>2.90813912238356</v>
          </cell>
          <cell r="W378">
            <v>3.1263667981628642</v>
          </cell>
          <cell r="X378">
            <v>2.9793418293268732</v>
          </cell>
          <cell r="Z378">
            <v>2.8970259210022915</v>
          </cell>
          <cell r="AB378">
            <v>3.0137412706366793</v>
          </cell>
          <cell r="AC378">
            <v>1.4888509973765791</v>
          </cell>
          <cell r="AD378">
            <v>5.7372055349839766</v>
          </cell>
        </row>
        <row r="379">
          <cell r="A379" t="str">
            <v>CGI018-qtz06-CL-fit-3-offset</v>
          </cell>
          <cell r="J379">
            <v>0.84446510987508749</v>
          </cell>
          <cell r="K379">
            <v>1.6874010081517985</v>
          </cell>
          <cell r="L379">
            <v>1.8028478634920209</v>
          </cell>
          <cell r="M379">
            <v>1.9149182762900778</v>
          </cell>
          <cell r="N379">
            <v>2.8227437326729361</v>
          </cell>
          <cell r="O379">
            <v>1.2601603435474331</v>
          </cell>
          <cell r="P379">
            <v>1.8931891999999999</v>
          </cell>
          <cell r="Q379">
            <v>2.2009794172260948</v>
          </cell>
          <cell r="R379">
            <v>2.0221471429515696</v>
          </cell>
          <cell r="S379">
            <v>2.8734170502233263</v>
          </cell>
          <cell r="T379">
            <v>1.3340998065404341</v>
          </cell>
          <cell r="V379">
            <v>1.8455802835009736</v>
          </cell>
          <cell r="W379">
            <v>1.8778517228155254</v>
          </cell>
          <cell r="X379">
            <v>1.8931891999999999</v>
          </cell>
          <cell r="Z379">
            <v>1.8801743069924308</v>
          </cell>
          <cell r="AB379">
            <v>1.8901434715114138</v>
          </cell>
          <cell r="AC379">
            <v>0.77105141592890125</v>
          </cell>
          <cell r="AD379">
            <v>2.9330886074017366</v>
          </cell>
        </row>
        <row r="380">
          <cell r="A380" t="str">
            <v>CGI018-qtz06-CL-fit-4-offset</v>
          </cell>
          <cell r="J380">
            <v>1.1496509825400143</v>
          </cell>
          <cell r="K380">
            <v>0.77767798213137929</v>
          </cell>
          <cell r="L380">
            <v>1.3110802334946172</v>
          </cell>
          <cell r="M380">
            <v>0.22800106938083006</v>
          </cell>
          <cell r="N380">
            <v>0.19904759852050022</v>
          </cell>
          <cell r="O380">
            <v>0.55018087178789288</v>
          </cell>
          <cell r="P380">
            <v>1.4755299755951892</v>
          </cell>
          <cell r="Q380">
            <v>1.4314882527486146</v>
          </cell>
          <cell r="R380">
            <v>1.8567184430860848</v>
          </cell>
          <cell r="S380">
            <v>9.0750501168947187E-2</v>
          </cell>
          <cell r="T380">
            <v>2.4914031572499655</v>
          </cell>
          <cell r="V380">
            <v>0.96923024850705841</v>
          </cell>
          <cell r="W380">
            <v>1.0510480970640033</v>
          </cell>
          <cell r="X380">
            <v>1.1496509825400143</v>
          </cell>
          <cell r="Z380">
            <v>0.91272138148085458</v>
          </cell>
          <cell r="AB380">
            <v>0.95200517919126115</v>
          </cell>
          <cell r="AC380">
            <v>0.17994188232811886</v>
          </cell>
          <cell r="AD380">
            <v>2.7866458929099731</v>
          </cell>
        </row>
        <row r="381">
          <cell r="A381" t="str">
            <v>CGI018-qtz07-CL-fit-1-offset</v>
          </cell>
          <cell r="J381">
            <v>3.2040291861926344</v>
          </cell>
          <cell r="K381">
            <v>2.6166113712036787</v>
          </cell>
          <cell r="L381">
            <v>4.3291644669483187</v>
          </cell>
          <cell r="M381">
            <v>4.1640398451640541</v>
          </cell>
          <cell r="N381">
            <v>2.4012621498800284</v>
          </cell>
          <cell r="O381">
            <v>1.5102457020667186</v>
          </cell>
          <cell r="P381">
            <v>4.8191504607227973</v>
          </cell>
          <cell r="Q381">
            <v>1.8850124008514937</v>
          </cell>
          <cell r="R381">
            <v>1.3115522280076506</v>
          </cell>
          <cell r="S381">
            <v>4.2203128540685242</v>
          </cell>
          <cell r="T381">
            <v>1.8651643327184346</v>
          </cell>
          <cell r="V381">
            <v>3.2018305673823702</v>
          </cell>
          <cell r="W381">
            <v>2.9387768179840306</v>
          </cell>
          <cell r="X381">
            <v>2.6166113712036787</v>
          </cell>
          <cell r="Z381">
            <v>2.8291642571276272</v>
          </cell>
          <cell r="AB381">
            <v>3.2438626570397262</v>
          </cell>
          <cell r="AC381">
            <v>6.7991390970281382E-2</v>
          </cell>
          <cell r="AD381">
            <v>8.2620452440386511</v>
          </cell>
        </row>
        <row r="382">
          <cell r="A382" t="str">
            <v>CGI018-qtz07-CL-fit-2-offset</v>
          </cell>
          <cell r="J382">
            <v>3.1604525626542221</v>
          </cell>
          <cell r="K382">
            <v>3.3472753280102947</v>
          </cell>
          <cell r="L382">
            <v>2.2455267709701858</v>
          </cell>
          <cell r="M382">
            <v>2.2908994478634725</v>
          </cell>
          <cell r="N382">
            <v>6.6882263123897427</v>
          </cell>
          <cell r="O382">
            <v>0.19904214141340579</v>
          </cell>
          <cell r="P382">
            <v>2.8464249445105962</v>
          </cell>
          <cell r="Q382">
            <v>4.5458567461408181</v>
          </cell>
          <cell r="R382">
            <v>3.4416813460358422</v>
          </cell>
          <cell r="S382">
            <v>2.3301016027380217</v>
          </cell>
          <cell r="T382">
            <v>2.8412313081670666</v>
          </cell>
          <cell r="V382">
            <v>3.4656312568016667</v>
          </cell>
          <cell r="W382">
            <v>3.08515622826306</v>
          </cell>
          <cell r="X382">
            <v>2.8464249445105962</v>
          </cell>
          <cell r="Z382">
            <v>3.331918350060914</v>
          </cell>
          <cell r="AB382">
            <v>3.435906266035567</v>
          </cell>
          <cell r="AC382">
            <v>1.1545195516783817</v>
          </cell>
          <cell r="AD382">
            <v>5.9401244217723983</v>
          </cell>
        </row>
        <row r="383">
          <cell r="A383" t="str">
            <v>CGI018-qtz07-CL-fit-3-offset</v>
          </cell>
          <cell r="J383">
            <v>1.3416669927187892</v>
          </cell>
          <cell r="K383">
            <v>0.81877729908345698</v>
          </cell>
          <cell r="L383">
            <v>1.0930743597898196</v>
          </cell>
          <cell r="M383">
            <v>0.89585401373501994</v>
          </cell>
          <cell r="N383">
            <v>2.888578885984942E-2</v>
          </cell>
          <cell r="O383">
            <v>1.5389180731184628</v>
          </cell>
          <cell r="P383">
            <v>3.6700823662554276</v>
          </cell>
          <cell r="Q383">
            <v>1.3504138806924368</v>
          </cell>
          <cell r="R383">
            <v>1.4451465936657817</v>
          </cell>
          <cell r="S383">
            <v>0.92033081435707709</v>
          </cell>
          <cell r="T383">
            <v>1.1771949740046386</v>
          </cell>
          <cell r="V383">
            <v>1.1378045013672451</v>
          </cell>
          <cell r="W383">
            <v>1.2982131960255237</v>
          </cell>
          <cell r="X383">
            <v>1.1771949740046386</v>
          </cell>
          <cell r="Z383">
            <v>1.059534808399559</v>
          </cell>
          <cell r="AB383">
            <v>1.0706893709612504</v>
          </cell>
          <cell r="AC383">
            <v>0.18976125515203882</v>
          </cell>
          <cell r="AD383">
            <v>1.8776657059694559</v>
          </cell>
        </row>
        <row r="384">
          <cell r="A384" t="str">
            <v>CGI018-qtz08-CL-fit-1-offset</v>
          </cell>
          <cell r="J384">
            <v>10.025391783129059</v>
          </cell>
          <cell r="K384">
            <v>9.7448092595910953</v>
          </cell>
          <cell r="L384">
            <v>9.6801726292661421</v>
          </cell>
          <cell r="M384">
            <v>10.19204963680113</v>
          </cell>
          <cell r="N384">
            <v>9.9734417810088036</v>
          </cell>
          <cell r="O384">
            <v>10.372489943540307</v>
          </cell>
          <cell r="P384">
            <v>9.1897941180873008</v>
          </cell>
          <cell r="Q384">
            <v>9.5361125215747187</v>
          </cell>
          <cell r="R384">
            <v>9.8049233669523641</v>
          </cell>
          <cell r="S384">
            <v>11.171642076214699</v>
          </cell>
          <cell r="T384">
            <v>11.214007260461948</v>
          </cell>
          <cell r="V384">
            <v>10.070219144803083</v>
          </cell>
          <cell r="W384">
            <v>10.082257670602507</v>
          </cell>
          <cell r="X384">
            <v>9.9734417810088036</v>
          </cell>
          <cell r="Z384">
            <v>10.086733459219143</v>
          </cell>
          <cell r="AB384">
            <v>10.019700271311873</v>
          </cell>
          <cell r="AC384">
            <v>8.5154302964472368</v>
          </cell>
          <cell r="AD384">
            <v>11.638711718599565</v>
          </cell>
        </row>
        <row r="385">
          <cell r="A385" t="str">
            <v>CGI018-qtz08-CL-fit-2-offset</v>
          </cell>
          <cell r="J385">
            <v>3.6048133588544533</v>
          </cell>
          <cell r="K385">
            <v>4.4454633646845352</v>
          </cell>
          <cell r="L385">
            <v>5.0943681025686987</v>
          </cell>
          <cell r="M385">
            <v>3.3893883346417915</v>
          </cell>
          <cell r="N385">
            <v>4.0338694696651594</v>
          </cell>
          <cell r="O385">
            <v>4.9701410980513838</v>
          </cell>
          <cell r="P385">
            <v>3.9569729677673338</v>
          </cell>
          <cell r="Q385">
            <v>3.8782211087474945</v>
          </cell>
          <cell r="R385">
            <v>1.8456614558169424</v>
          </cell>
          <cell r="S385">
            <v>3.5270810471195273</v>
          </cell>
          <cell r="T385">
            <v>4.5007405431984298</v>
          </cell>
          <cell r="V385">
            <v>3.9999952152737124</v>
          </cell>
          <cell r="W385">
            <v>3.9315200773741599</v>
          </cell>
          <cell r="X385">
            <v>3.9569729677673338</v>
          </cell>
          <cell r="Z385">
            <v>4.0745785049437711</v>
          </cell>
          <cell r="AB385">
            <v>4.152281419489066</v>
          </cell>
          <cell r="AC385">
            <v>2.0610191592410807</v>
          </cell>
          <cell r="AD385">
            <v>6.0932476313582704</v>
          </cell>
        </row>
        <row r="386">
          <cell r="A386" t="str">
            <v>CGI018-qtz08-CL-fit-3-offset</v>
          </cell>
          <cell r="J386">
            <v>6.2882635177145376</v>
          </cell>
          <cell r="K386">
            <v>5.5071639519471915</v>
          </cell>
          <cell r="L386">
            <v>5.4286155592896739</v>
          </cell>
          <cell r="M386">
            <v>3.5724641789612095</v>
          </cell>
          <cell r="N386">
            <v>4.4854849278962758</v>
          </cell>
          <cell r="O386">
            <v>4.0324639503567443</v>
          </cell>
          <cell r="P386">
            <v>5.8655476638008652</v>
          </cell>
          <cell r="Q386">
            <v>5.0583718795072281</v>
          </cell>
          <cell r="R386">
            <v>3.6300374609247572</v>
          </cell>
          <cell r="S386">
            <v>3.0341533440745434</v>
          </cell>
          <cell r="T386">
            <v>3.7853250030310255</v>
          </cell>
          <cell r="V386">
            <v>4.4215724715505011</v>
          </cell>
          <cell r="W386">
            <v>4.6079901306821869</v>
          </cell>
          <cell r="X386">
            <v>4.4854849278962758</v>
          </cell>
          <cell r="Z386">
            <v>4.4571849100726926</v>
          </cell>
          <cell r="AB386">
            <v>4.4393133704591676</v>
          </cell>
          <cell r="AC386">
            <v>2.698399860778093</v>
          </cell>
          <cell r="AD386">
            <v>6.1107310772787926</v>
          </cell>
        </row>
        <row r="387">
          <cell r="A387" t="str">
            <v>CGI018-qtz08-CL-fit-4-offset</v>
          </cell>
          <cell r="J387">
            <v>3.6564558440153343</v>
          </cell>
          <cell r="K387">
            <v>2.7105512589253244</v>
          </cell>
          <cell r="L387">
            <v>1.9251779609851742</v>
          </cell>
          <cell r="M387">
            <v>3.2485566404292552</v>
          </cell>
          <cell r="N387">
            <v>4.61435028196441</v>
          </cell>
          <cell r="O387">
            <v>0.81757165212035621</v>
          </cell>
          <cell r="P387">
            <v>4.8879635919957281</v>
          </cell>
          <cell r="Q387">
            <v>3.9824669495411533</v>
          </cell>
          <cell r="R387">
            <v>2.6086774938586808</v>
          </cell>
          <cell r="S387">
            <v>5.934296143830907</v>
          </cell>
          <cell r="T387">
            <v>4.3419051747356834</v>
          </cell>
          <cell r="V387">
            <v>3.6977879026266929</v>
          </cell>
          <cell r="W387">
            <v>3.5207248174910917</v>
          </cell>
          <cell r="X387">
            <v>3.6564558440153343</v>
          </cell>
          <cell r="Z387">
            <v>3.6334459400731016</v>
          </cell>
          <cell r="AB387">
            <v>3.6562016743337575</v>
          </cell>
          <cell r="AC387">
            <v>1.5615558270903276</v>
          </cell>
          <cell r="AD387">
            <v>6.2186538011990189</v>
          </cell>
        </row>
        <row r="388">
          <cell r="A388" t="str">
            <v>CGI018-qtz08-CL-fit-5-offset</v>
          </cell>
          <cell r="J388">
            <v>4.2254655636477612</v>
          </cell>
          <cell r="K388">
            <v>4.2239374730361696</v>
          </cell>
          <cell r="L388">
            <v>4.7142732139587631</v>
          </cell>
          <cell r="M388">
            <v>5.4511003154096906</v>
          </cell>
          <cell r="N388">
            <v>4.7189129655733861</v>
          </cell>
          <cell r="O388">
            <v>4.7395609286266964</v>
          </cell>
          <cell r="P388">
            <v>5.6126799854480307</v>
          </cell>
          <cell r="Q388">
            <v>5.004356308918724</v>
          </cell>
          <cell r="R388">
            <v>5.3359429414572244</v>
          </cell>
          <cell r="S388">
            <v>5.31933450593462</v>
          </cell>
          <cell r="T388">
            <v>5.1948602248226194</v>
          </cell>
          <cell r="V388">
            <v>4.9453552205812059</v>
          </cell>
          <cell r="W388">
            <v>4.9582204024394265</v>
          </cell>
          <cell r="X388">
            <v>5.004356308918724</v>
          </cell>
          <cell r="Z388">
            <v>4.9405818232279621</v>
          </cell>
          <cell r="AB388">
            <v>4.9569482593116847</v>
          </cell>
          <cell r="AC388">
            <v>4.2541599087828894</v>
          </cell>
          <cell r="AD388">
            <v>5.8384787035469703</v>
          </cell>
        </row>
        <row r="389">
          <cell r="A389" t="str">
            <v>CGI018-qtz08-CL-fit-6-offset</v>
          </cell>
          <cell r="J389">
            <v>1.7877880641353554</v>
          </cell>
          <cell r="K389">
            <v>2.3945155460228729</v>
          </cell>
          <cell r="L389">
            <v>2.3799407333734486</v>
          </cell>
          <cell r="M389">
            <v>2.5436985429289471</v>
          </cell>
          <cell r="N389">
            <v>1.9217560045045012</v>
          </cell>
          <cell r="O389">
            <v>2.1534514295880927</v>
          </cell>
          <cell r="P389">
            <v>2.0254707141506567</v>
          </cell>
          <cell r="Q389">
            <v>1.9538094495616831</v>
          </cell>
          <cell r="R389">
            <v>2.3387231684193157</v>
          </cell>
          <cell r="S389">
            <v>1.9256167293038411</v>
          </cell>
          <cell r="T389">
            <v>1.9936823644742645</v>
          </cell>
          <cell r="V389">
            <v>2.1285415095209603</v>
          </cell>
          <cell r="W389">
            <v>2.1289502496784527</v>
          </cell>
          <cell r="X389">
            <v>2.0254707141506567</v>
          </cell>
          <cell r="Z389">
            <v>2.1030937234470337</v>
          </cell>
          <cell r="AB389">
            <v>2.1044063708929106</v>
          </cell>
          <cell r="AC389">
            <v>1.5614368408881261</v>
          </cell>
          <cell r="AD389">
            <v>2.6869051073261048</v>
          </cell>
        </row>
        <row r="390">
          <cell r="A390" t="str">
            <v>CGI018-qtz08-CL-fit-7-offset</v>
          </cell>
          <cell r="J390">
            <v>0.74196594365630708</v>
          </cell>
          <cell r="K390">
            <v>1.5485044695535379</v>
          </cell>
          <cell r="L390">
            <v>1.0117965787460381</v>
          </cell>
          <cell r="M390">
            <v>1.041110342342098</v>
          </cell>
          <cell r="N390">
            <v>1.6646172919212445</v>
          </cell>
          <cell r="O390">
            <v>1.5483265656794516</v>
          </cell>
          <cell r="P390">
            <v>0.6075254972157792</v>
          </cell>
          <cell r="Q390">
            <v>0.12983650327657789</v>
          </cell>
          <cell r="R390">
            <v>0.75316857824067296</v>
          </cell>
          <cell r="S390">
            <v>0.26812680070764605</v>
          </cell>
          <cell r="T390">
            <v>1.5514947326492046</v>
          </cell>
          <cell r="V390">
            <v>1.0416634806192344</v>
          </cell>
          <cell r="W390">
            <v>0.98786120945350542</v>
          </cell>
          <cell r="X390">
            <v>1.0117965787460381</v>
          </cell>
          <cell r="Z390">
            <v>0.92274105467161283</v>
          </cell>
          <cell r="AB390">
            <v>0.91797539138676543</v>
          </cell>
          <cell r="AC390">
            <v>0.14661854266872734</v>
          </cell>
          <cell r="AD390">
            <v>1.9131221490774126</v>
          </cell>
        </row>
        <row r="391">
          <cell r="A391" t="str">
            <v>CGI018-qtz09-CL-fit-2-offset</v>
          </cell>
          <cell r="J391">
            <v>4.5898122409363251E-3</v>
          </cell>
          <cell r="K391">
            <v>0.18722624158611309</v>
          </cell>
          <cell r="L391">
            <v>3.1586694861347278</v>
          </cell>
          <cell r="M391">
            <v>3.9081682266398041</v>
          </cell>
          <cell r="N391">
            <v>4.9867010672960292</v>
          </cell>
          <cell r="O391">
            <v>1.3402471666961697</v>
          </cell>
          <cell r="P391">
            <v>1.4819962245646214</v>
          </cell>
          <cell r="Q391">
            <v>0.16239318134623676</v>
          </cell>
          <cell r="R391">
            <v>0.91047772904680113</v>
          </cell>
          <cell r="S391">
            <v>5.0992712451162951</v>
          </cell>
          <cell r="T391">
            <v>7.4910973719192953</v>
          </cell>
          <cell r="V391">
            <v>4.7922658503381879</v>
          </cell>
          <cell r="W391">
            <v>2.6118943411442754</v>
          </cell>
          <cell r="X391">
            <v>1.4819962245646214</v>
          </cell>
          <cell r="Z391">
            <v>4.6864609471910317</v>
          </cell>
          <cell r="AB391">
            <v>5.5901777971532036</v>
          </cell>
          <cell r="AC391">
            <v>2.8911555160929279E-2</v>
          </cell>
          <cell r="AD391">
            <v>15.436205961409318</v>
          </cell>
        </row>
        <row r="392">
          <cell r="A392" t="str">
            <v>CGI018-qtz09-CL-fit-3-offset</v>
          </cell>
          <cell r="J392">
            <v>2.644325943048444</v>
          </cell>
          <cell r="K392">
            <v>2.4675612761483166</v>
          </cell>
          <cell r="L392">
            <v>1.6828261139296101</v>
          </cell>
          <cell r="M392">
            <v>2.3176058688176421E-2</v>
          </cell>
          <cell r="N392">
            <v>4.1655160999964559E-2</v>
          </cell>
          <cell r="O392">
            <v>5.2729288538016977E-2</v>
          </cell>
          <cell r="P392">
            <v>0</v>
          </cell>
          <cell r="Q392">
            <v>1.1878758997367609</v>
          </cell>
          <cell r="R392">
            <v>1.8160920415021025</v>
          </cell>
          <cell r="S392">
            <v>1.6848983555801056</v>
          </cell>
          <cell r="T392">
            <v>5.6880671587698499</v>
          </cell>
          <cell r="V392">
            <v>1.7633835487752345</v>
          </cell>
          <cell r="W392">
            <v>1.7289207296941349</v>
          </cell>
          <cell r="X392">
            <v>1.6838622347548577</v>
          </cell>
          <cell r="Z392">
            <v>1.8126671426545138</v>
          </cell>
          <cell r="AB392">
            <v>4.1399415815918079</v>
          </cell>
          <cell r="AC392">
            <v>1.2729530579443583E-2</v>
          </cell>
          <cell r="AD392">
            <v>39.069553228854289</v>
          </cell>
        </row>
        <row r="393">
          <cell r="A393" t="str">
            <v>CGI018-qtz09-CL-fit-4-offset</v>
          </cell>
          <cell r="J393">
            <v>8.1353091076717177E-2</v>
          </cell>
          <cell r="K393">
            <v>3.054514241391141E-8</v>
          </cell>
          <cell r="L393">
            <v>0.17437692803648094</v>
          </cell>
          <cell r="M393">
            <v>5.7686701E-2</v>
          </cell>
          <cell r="N393">
            <v>1.0312924850253364</v>
          </cell>
          <cell r="O393">
            <v>0.60383862990258552</v>
          </cell>
          <cell r="P393">
            <v>8.5375396845299018E-2</v>
          </cell>
          <cell r="Q393">
            <v>1.0972429636967069</v>
          </cell>
          <cell r="R393">
            <v>1.9571588871447703</v>
          </cell>
          <cell r="S393">
            <v>3.4937609943160859</v>
          </cell>
          <cell r="T393">
            <v>1.1300243617796335</v>
          </cell>
          <cell r="V393">
            <v>0.90527624367389259</v>
          </cell>
          <cell r="W393">
            <v>0.88291913357897789</v>
          </cell>
          <cell r="X393">
            <v>0.60383862990258552</v>
          </cell>
          <cell r="Z393">
            <v>0.64855849054853398</v>
          </cell>
          <cell r="AB393">
            <v>1.2126984092474471</v>
          </cell>
          <cell r="AC393">
            <v>1.2627198647822469E-8</v>
          </cell>
          <cell r="AD393">
            <v>4.4098491428098123</v>
          </cell>
        </row>
        <row r="394">
          <cell r="A394" t="str">
            <v>CGI018-qtz10-CL-fit-1-offset</v>
          </cell>
          <cell r="J394">
            <v>4.3314108318835842</v>
          </cell>
          <cell r="K394">
            <v>3.3345808960614591</v>
          </cell>
          <cell r="L394">
            <v>3.0990439603035185</v>
          </cell>
          <cell r="M394">
            <v>2.2299569216779864</v>
          </cell>
          <cell r="N394">
            <v>3.9279545567589955</v>
          </cell>
          <cell r="O394">
            <v>4.7520698082535615</v>
          </cell>
          <cell r="P394">
            <v>2.7156401774780128</v>
          </cell>
          <cell r="Q394">
            <v>2.1706424780249693</v>
          </cell>
          <cell r="R394">
            <v>2.4753006706623379</v>
          </cell>
          <cell r="S394">
            <v>2.3565435558674857</v>
          </cell>
          <cell r="T394">
            <v>2.7752710728749235</v>
          </cell>
          <cell r="V394">
            <v>3.0267122444954397</v>
          </cell>
          <cell r="W394">
            <v>3.1062195390769847</v>
          </cell>
          <cell r="X394">
            <v>2.7752710728749235</v>
          </cell>
          <cell r="Z394">
            <v>3.1392206073532778</v>
          </cell>
          <cell r="AB394">
            <v>3.164314019727525</v>
          </cell>
          <cell r="AC394">
            <v>1.9689574680479216</v>
          </cell>
          <cell r="AD394">
            <v>4.7226777125591486</v>
          </cell>
        </row>
        <row r="395">
          <cell r="A395" t="str">
            <v>CGI018-qtz10-CL-fit-2-offset</v>
          </cell>
          <cell r="J395">
            <v>2.5104640006129006</v>
          </cell>
          <cell r="K395">
            <v>2.1112618316656202</v>
          </cell>
          <cell r="L395">
            <v>1.9197677192140394</v>
          </cell>
          <cell r="M395">
            <v>2.4632381801746339</v>
          </cell>
          <cell r="N395">
            <v>2.4402455421655436</v>
          </cell>
          <cell r="O395">
            <v>1.5080565063468039</v>
          </cell>
          <cell r="P395">
            <v>2.7354908716022073</v>
          </cell>
          <cell r="Q395">
            <v>1.7004037846018785</v>
          </cell>
          <cell r="R395">
            <v>1.8232090369177001</v>
          </cell>
          <cell r="S395">
            <v>2.9588793621661398</v>
          </cell>
          <cell r="T395">
            <v>1.7574745178066939</v>
          </cell>
          <cell r="V395">
            <v>2.2335100564372055</v>
          </cell>
          <cell r="W395">
            <v>2.175317395752197</v>
          </cell>
          <cell r="X395">
            <v>2.1112618316656202</v>
          </cell>
          <cell r="Z395">
            <v>2.1224785298892086</v>
          </cell>
          <cell r="AB395">
            <v>2.1285520366316963</v>
          </cell>
          <cell r="AC395">
            <v>0.99470172814344804</v>
          </cell>
          <cell r="AD395">
            <v>3.1781885811683819</v>
          </cell>
        </row>
        <row r="396">
          <cell r="A396" t="str">
            <v>CGI018-qtz10-CL-fit-3-offset</v>
          </cell>
          <cell r="J396">
            <v>1.8969468364347506</v>
          </cell>
          <cell r="K396">
            <v>1.5198353930784294</v>
          </cell>
          <cell r="L396">
            <v>1.205789272522201</v>
          </cell>
          <cell r="M396">
            <v>1.1866074098878441</v>
          </cell>
          <cell r="N396">
            <v>2.3476141942879711</v>
          </cell>
          <cell r="O396">
            <v>1.5129952960307698</v>
          </cell>
          <cell r="P396">
            <v>1.8503630900943198</v>
          </cell>
          <cell r="Q396">
            <v>2.6035204228126929</v>
          </cell>
          <cell r="R396">
            <v>1.1380470593263516</v>
          </cell>
          <cell r="S396">
            <v>1.5808267257940853</v>
          </cell>
          <cell r="T396">
            <v>1.6875228414034387</v>
          </cell>
          <cell r="V396">
            <v>1.6336926764600761</v>
          </cell>
          <cell r="W396">
            <v>1.6845516856066232</v>
          </cell>
          <cell r="X396">
            <v>1.5808267257940853</v>
          </cell>
          <cell r="Z396">
            <v>1.5989753633196315</v>
          </cell>
          <cell r="AB396">
            <v>1.6107035015917426</v>
          </cell>
          <cell r="AC396">
            <v>0.27434016084748519</v>
          </cell>
          <cell r="AD396">
            <v>2.7029420397047992</v>
          </cell>
        </row>
        <row r="397">
          <cell r="A397" t="str">
            <v>CGI018-qtz10-CL-fit-4-offset</v>
          </cell>
          <cell r="J397">
            <v>1.324064864000023</v>
          </cell>
          <cell r="K397">
            <v>1.42784272679813</v>
          </cell>
          <cell r="L397">
            <v>0.94760538585872822</v>
          </cell>
          <cell r="M397">
            <v>1.0682814243839083</v>
          </cell>
          <cell r="N397">
            <v>1.7896606888217341</v>
          </cell>
          <cell r="O397">
            <v>2.0318819507511128</v>
          </cell>
          <cell r="P397">
            <v>1.6689741881751741</v>
          </cell>
          <cell r="Q397">
            <v>1.5396522453319934</v>
          </cell>
          <cell r="R397">
            <v>1.5026320564560505</v>
          </cell>
          <cell r="S397">
            <v>1.3222471956705681</v>
          </cell>
          <cell r="T397">
            <v>6.8745898E-2</v>
          </cell>
          <cell r="V397">
            <v>1.4621932618539208</v>
          </cell>
          <cell r="W397">
            <v>1.3355989658406746</v>
          </cell>
          <cell r="X397">
            <v>1.42784272679813</v>
          </cell>
          <cell r="Z397">
            <v>1.3582963529028569</v>
          </cell>
          <cell r="AB397">
            <v>1.4064386557941879</v>
          </cell>
          <cell r="AC397">
            <v>0.30778011541133665</v>
          </cell>
          <cell r="AD397">
            <v>2.6525856327746857</v>
          </cell>
        </row>
        <row r="398">
          <cell r="A398" t="str">
            <v>CGI018-qtz10-CL-fit-5-offset</v>
          </cell>
          <cell r="J398">
            <v>1.1761923439623569</v>
          </cell>
          <cell r="K398">
            <v>1.278111625688009E-2</v>
          </cell>
          <cell r="L398">
            <v>0.87876300225087711</v>
          </cell>
          <cell r="M398">
            <v>1.1004140308800012</v>
          </cell>
          <cell r="N398">
            <v>1.0043537907287521</v>
          </cell>
          <cell r="O398">
            <v>1.3523467957526563</v>
          </cell>
          <cell r="P398">
            <v>0.86919759773128136</v>
          </cell>
          <cell r="Q398">
            <v>1.3470907831784114</v>
          </cell>
          <cell r="R398">
            <v>0.6240334752832134</v>
          </cell>
          <cell r="S398">
            <v>1.3135714927107867</v>
          </cell>
          <cell r="T398">
            <v>1.0345229278928798</v>
          </cell>
          <cell r="V398">
            <v>1.106872498611992</v>
          </cell>
          <cell r="W398">
            <v>0.97393339605709961</v>
          </cell>
          <cell r="X398">
            <v>1.0345229278928798</v>
          </cell>
          <cell r="Z398">
            <v>0.96192128399138177</v>
          </cell>
          <cell r="AB398">
            <v>0.88486527407452509</v>
          </cell>
          <cell r="AC398">
            <v>6.4051104639584092E-2</v>
          </cell>
          <cell r="AD398">
            <v>1.5525590465382788</v>
          </cell>
        </row>
        <row r="399">
          <cell r="A399" t="str">
            <v>CGI018-qtz10-CL-fit-6-offset</v>
          </cell>
          <cell r="J399">
            <v>1.532241942112859</v>
          </cell>
          <cell r="K399">
            <v>1.2645588927927476</v>
          </cell>
          <cell r="L399">
            <v>1.2333495928985891</v>
          </cell>
          <cell r="M399">
            <v>1.5877966864095416</v>
          </cell>
          <cell r="N399">
            <v>1.6138857264626987</v>
          </cell>
          <cell r="O399">
            <v>0.9670841376713093</v>
          </cell>
          <cell r="P399">
            <v>1.1691567204089675</v>
          </cell>
          <cell r="Q399">
            <v>1.3180091030990415</v>
          </cell>
          <cell r="R399">
            <v>1.9387614167911722</v>
          </cell>
          <cell r="S399">
            <v>1.3186667456871533</v>
          </cell>
          <cell r="T399">
            <v>1.6624932252942133</v>
          </cell>
          <cell r="V399">
            <v>1.3877055393690894</v>
          </cell>
          <cell r="W399">
            <v>1.4187276536025719</v>
          </cell>
          <cell r="X399">
            <v>1.3186667456871533</v>
          </cell>
          <cell r="Z399">
            <v>1.3541923965846272</v>
          </cell>
          <cell r="AB399">
            <v>1.2879296515352974</v>
          </cell>
          <cell r="AC399">
            <v>0.27129605231137133</v>
          </cell>
          <cell r="AD399">
            <v>2.1400670111342692</v>
          </cell>
        </row>
        <row r="400">
          <cell r="A400" t="str">
            <v>CGI018-qtz11-CL-fit-1-offset</v>
          </cell>
          <cell r="J400">
            <v>4.7941766584665784</v>
          </cell>
          <cell r="K400">
            <v>3.6824285968591877</v>
          </cell>
          <cell r="L400">
            <v>4.7866891136857888</v>
          </cell>
          <cell r="M400">
            <v>5.2379082220127913</v>
          </cell>
          <cell r="N400">
            <v>4.1496852941274209</v>
          </cell>
          <cell r="O400">
            <v>4.0229256042118706</v>
          </cell>
          <cell r="P400">
            <v>4.200608839589016</v>
          </cell>
          <cell r="Q400">
            <v>4.4980465594465819</v>
          </cell>
          <cell r="R400">
            <v>4.4836271977279827</v>
          </cell>
          <cell r="S400">
            <v>5.1928894834029009</v>
          </cell>
          <cell r="T400">
            <v>4.1889691629167105</v>
          </cell>
          <cell r="V400">
            <v>4.4778730358682992</v>
          </cell>
          <cell r="W400">
            <v>4.4761777029497125</v>
          </cell>
          <cell r="X400">
            <v>4.4836271977279827</v>
          </cell>
          <cell r="Z400">
            <v>4.4714810677768426</v>
          </cell>
          <cell r="AB400">
            <v>4.4294756185303257</v>
          </cell>
          <cell r="AC400">
            <v>3.3976663914669181</v>
          </cell>
          <cell r="AD400">
            <v>5.2971143852031837</v>
          </cell>
        </row>
        <row r="401">
          <cell r="A401" t="str">
            <v>CGI018-qtz11-CL-fit-2-offset</v>
          </cell>
          <cell r="J401">
            <v>6.1209156486828224E-2</v>
          </cell>
          <cell r="K401">
            <v>2.4625454603513481</v>
          </cell>
          <cell r="L401">
            <v>6.5148944823786694</v>
          </cell>
          <cell r="M401">
            <v>3.2265195253160308</v>
          </cell>
          <cell r="N401">
            <v>1.4502846898455295</v>
          </cell>
          <cell r="O401">
            <v>3.2525971356660355</v>
          </cell>
          <cell r="P401">
            <v>6.1907422838779667</v>
          </cell>
          <cell r="Q401">
            <v>5.4758073031833021</v>
          </cell>
          <cell r="R401">
            <v>3.5144969509635189</v>
          </cell>
          <cell r="S401">
            <v>2.6707776368903886</v>
          </cell>
          <cell r="T401">
            <v>3.2815180547555669</v>
          </cell>
          <cell r="V401">
            <v>3.6646286603365379</v>
          </cell>
          <cell r="W401">
            <v>3.4637629708831992</v>
          </cell>
          <cell r="X401">
            <v>3.2525971356660355</v>
          </cell>
          <cell r="Z401">
            <v>3.4453341686638579</v>
          </cell>
          <cell r="AB401">
            <v>3.5614142305490035</v>
          </cell>
          <cell r="AC401">
            <v>0.2591526063448647</v>
          </cell>
          <cell r="AD401">
            <v>8.2999437647016201</v>
          </cell>
        </row>
        <row r="402">
          <cell r="A402" t="str">
            <v>CGI018-qtz11-CL-fit-3-offset</v>
          </cell>
          <cell r="J402">
            <v>2.0886788703877244</v>
          </cell>
          <cell r="K402">
            <v>4.554732596117435</v>
          </cell>
          <cell r="L402">
            <v>2.0674083375152392</v>
          </cell>
          <cell r="M402">
            <v>3.4323385521030332</v>
          </cell>
          <cell r="N402">
            <v>0.29736009964552274</v>
          </cell>
          <cell r="O402">
            <v>0.25726108737638836</v>
          </cell>
          <cell r="P402">
            <v>2.0594552508533179</v>
          </cell>
          <cell r="Q402">
            <v>4.8602148085630112</v>
          </cell>
          <cell r="R402">
            <v>0.8375251658769528</v>
          </cell>
          <cell r="S402">
            <v>1.6491911760846485</v>
          </cell>
          <cell r="T402">
            <v>3.5082849891180872</v>
          </cell>
          <cell r="V402">
            <v>2.5645741013223557</v>
          </cell>
          <cell r="W402">
            <v>2.3284046303310331</v>
          </cell>
          <cell r="X402">
            <v>2.0674083375152392</v>
          </cell>
          <cell r="Z402">
            <v>2.2087650090120299</v>
          </cell>
          <cell r="AB402">
            <v>2.3570314499828893</v>
          </cell>
          <cell r="AC402">
            <v>2.2257433054286887E-7</v>
          </cell>
          <cell r="AD402">
            <v>7.7932143843517192</v>
          </cell>
        </row>
        <row r="403">
          <cell r="A403" t="str">
            <v>CGI018-qtz11-CL-fit-4-offset</v>
          </cell>
          <cell r="J403">
            <v>3.4443640675942135</v>
          </cell>
          <cell r="K403">
            <v>3.4641055194628447</v>
          </cell>
          <cell r="L403">
            <v>5.6017773214469431</v>
          </cell>
          <cell r="M403">
            <v>4.0715605402759669</v>
          </cell>
          <cell r="N403">
            <v>4.6084578576699524</v>
          </cell>
          <cell r="O403">
            <v>1.2303773308819443</v>
          </cell>
          <cell r="P403">
            <v>3.0387324361384787</v>
          </cell>
          <cell r="Q403">
            <v>5.4611211200207688</v>
          </cell>
          <cell r="R403">
            <v>3.7810121412407374</v>
          </cell>
          <cell r="S403">
            <v>3.0921630309480257</v>
          </cell>
          <cell r="T403">
            <v>5.1200235489670902</v>
          </cell>
          <cell r="V403">
            <v>3.8990636665229381</v>
          </cell>
          <cell r="W403">
            <v>3.9012449922406329</v>
          </cell>
          <cell r="X403">
            <v>3.7810121412407374</v>
          </cell>
          <cell r="Z403">
            <v>3.7772672476505358</v>
          </cell>
          <cell r="AB403">
            <v>4.0512744557575164</v>
          </cell>
          <cell r="AC403">
            <v>2.240313263095794</v>
          </cell>
          <cell r="AD403">
            <v>7.9364976789086148</v>
          </cell>
        </row>
        <row r="404">
          <cell r="A404" t="str">
            <v>CGI018-qtz11-CL-fit-5-offset</v>
          </cell>
          <cell r="J404">
            <v>4.7059894955333616E-3</v>
          </cell>
          <cell r="K404">
            <v>3.1235078288977394</v>
          </cell>
          <cell r="L404">
            <v>3.6939512343204584</v>
          </cell>
          <cell r="M404">
            <v>3.1035370531155699</v>
          </cell>
          <cell r="N404">
            <v>0.59585702641902849</v>
          </cell>
          <cell r="O404">
            <v>2.2093334522363262</v>
          </cell>
          <cell r="P404">
            <v>2.7241929856564</v>
          </cell>
          <cell r="Q404">
            <v>3.5292521211241783</v>
          </cell>
          <cell r="R404">
            <v>1.4662329312638893</v>
          </cell>
          <cell r="S404">
            <v>3.4703050271035849</v>
          </cell>
          <cell r="T404">
            <v>4.0496643097225871</v>
          </cell>
          <cell r="V404">
            <v>2.7177915770994323</v>
          </cell>
          <cell r="W404">
            <v>2.5427763599413904</v>
          </cell>
          <cell r="X404">
            <v>3.1035370531155699</v>
          </cell>
          <cell r="Z404">
            <v>2.7264115263000432</v>
          </cell>
          <cell r="AB404">
            <v>2.660008229576432</v>
          </cell>
          <cell r="AC404">
            <v>0.26187728977175195</v>
          </cell>
          <cell r="AD404">
            <v>5.1950947109713494</v>
          </cell>
        </row>
        <row r="405">
          <cell r="A405" t="str">
            <v>CGI018-qtz11-CL-fit-6-offset</v>
          </cell>
          <cell r="J405">
            <v>0.24679051933956342</v>
          </cell>
          <cell r="K405">
            <v>3.300399930453235</v>
          </cell>
          <cell r="L405">
            <v>1.7947533431169662</v>
          </cell>
          <cell r="M405">
            <v>4.368663643886932</v>
          </cell>
          <cell r="N405">
            <v>1.3551812675767707</v>
          </cell>
          <cell r="O405">
            <v>0.19621029346494945</v>
          </cell>
          <cell r="P405">
            <v>0.16941688650289169</v>
          </cell>
          <cell r="Q405">
            <v>1.971512048054231</v>
          </cell>
          <cell r="R405">
            <v>1.7054914155143632</v>
          </cell>
          <cell r="S405">
            <v>1.4505182391645421</v>
          </cell>
          <cell r="T405">
            <v>2.4751288534065354</v>
          </cell>
          <cell r="V405">
            <v>1.6699824896396804</v>
          </cell>
          <cell r="W405">
            <v>1.7303696764073619</v>
          </cell>
          <cell r="X405">
            <v>1.7054914155143632</v>
          </cell>
          <cell r="Z405">
            <v>1.368759999213681</v>
          </cell>
          <cell r="AB405">
            <v>2.3247961699854982</v>
          </cell>
          <cell r="AC405">
            <v>6.1762575074446616E-2</v>
          </cell>
          <cell r="AD405">
            <v>6.8944047972614815</v>
          </cell>
        </row>
        <row r="406">
          <cell r="A406" t="str">
            <v>CGI018-qtz12-CL-fit-1-offset</v>
          </cell>
          <cell r="J406">
            <v>5.2838242170544243</v>
          </cell>
          <cell r="K406">
            <v>6.0148002777798792</v>
          </cell>
          <cell r="L406">
            <v>5.4292643058286387</v>
          </cell>
          <cell r="M406">
            <v>3.9867707334666287</v>
          </cell>
          <cell r="N406">
            <v>4.8459813688401887</v>
          </cell>
          <cell r="O406">
            <v>5.8753328794928681</v>
          </cell>
          <cell r="P406">
            <v>6.1918169485170838</v>
          </cell>
          <cell r="Q406">
            <v>6.1653943244665106</v>
          </cell>
          <cell r="R406">
            <v>6.4234154018921057</v>
          </cell>
          <cell r="S406">
            <v>6.415705831984682</v>
          </cell>
          <cell r="T406">
            <v>5.607642371544749</v>
          </cell>
          <cell r="V406">
            <v>5.6890398789402434</v>
          </cell>
          <cell r="W406">
            <v>5.6581771509879779</v>
          </cell>
          <cell r="X406">
            <v>5.8753328794928681</v>
          </cell>
          <cell r="Z406">
            <v>5.6787381488667767</v>
          </cell>
          <cell r="AB406">
            <v>5.7241223855533265</v>
          </cell>
          <cell r="AC406">
            <v>4.6636907413846433</v>
          </cell>
          <cell r="AD406">
            <v>7.2912238246768597</v>
          </cell>
        </row>
        <row r="407">
          <cell r="A407" t="str">
            <v>CGI018-qtz12-CL-fit-2-offset</v>
          </cell>
          <cell r="J407">
            <v>4.8037985413152411</v>
          </cell>
          <cell r="K407">
            <v>2.029042183440287</v>
          </cell>
          <cell r="L407">
            <v>3.3916348859191716</v>
          </cell>
          <cell r="M407">
            <v>3.7342297715355643</v>
          </cell>
          <cell r="N407">
            <v>3.9338785801073617</v>
          </cell>
          <cell r="O407">
            <v>5.1910992819263218</v>
          </cell>
          <cell r="P407">
            <v>5.0653496570894516</v>
          </cell>
          <cell r="Q407">
            <v>5.7773447548025922</v>
          </cell>
          <cell r="R407">
            <v>4.5551403060873037</v>
          </cell>
          <cell r="S407">
            <v>3.8552847380680619</v>
          </cell>
          <cell r="T407">
            <v>5.2947938931430256</v>
          </cell>
          <cell r="V407">
            <v>4.4231449117659851</v>
          </cell>
          <cell r="W407">
            <v>4.3301451448576707</v>
          </cell>
          <cell r="X407">
            <v>4.5551403060873037</v>
          </cell>
          <cell r="Z407">
            <v>4.4313881999999998</v>
          </cell>
          <cell r="AB407">
            <v>4.4115397870695876</v>
          </cell>
          <cell r="AC407">
            <v>2.422712420615202</v>
          </cell>
          <cell r="AD407">
            <v>6.6924759870669943</v>
          </cell>
        </row>
        <row r="408">
          <cell r="A408" t="str">
            <v>CGI018-qtz12-CL-fit-3-offset</v>
          </cell>
          <cell r="J408">
            <v>3.0785313006920982</v>
          </cell>
          <cell r="K408">
            <v>3.6821024502901945</v>
          </cell>
          <cell r="L408">
            <v>1.5009692234856649</v>
          </cell>
          <cell r="M408">
            <v>1.4691011471776081</v>
          </cell>
          <cell r="N408">
            <v>3.9084104720131245</v>
          </cell>
          <cell r="O408">
            <v>1.2048774043554296</v>
          </cell>
          <cell r="P408">
            <v>1.1090377614346618</v>
          </cell>
          <cell r="Q408">
            <v>1.7650026664237637</v>
          </cell>
          <cell r="R408">
            <v>0.99338785235481564</v>
          </cell>
          <cell r="S408">
            <v>1.7456159928376107</v>
          </cell>
          <cell r="T408">
            <v>3.3743851306940496</v>
          </cell>
          <cell r="V408">
            <v>2.3462706452634174</v>
          </cell>
          <cell r="W408">
            <v>2.166492854705365</v>
          </cell>
          <cell r="X408">
            <v>1.7456159928376107</v>
          </cell>
          <cell r="Z408">
            <v>2.1313764611365045</v>
          </cell>
          <cell r="AB408">
            <v>2.2854825842654845</v>
          </cell>
          <cell r="AC408">
            <v>0.22605977709413944</v>
          </cell>
          <cell r="AD408">
            <v>5.6142991260994277</v>
          </cell>
        </row>
        <row r="409">
          <cell r="A409" t="str">
            <v>CGI018-qtz12-CL-fit-4-offset</v>
          </cell>
          <cell r="J409">
            <v>2.7196350526142434</v>
          </cell>
          <cell r="K409">
            <v>2.4635586899422783</v>
          </cell>
          <cell r="L409">
            <v>2.4118274442897434</v>
          </cell>
          <cell r="M409">
            <v>3.1140861937346882</v>
          </cell>
          <cell r="N409">
            <v>2.7700763536851714</v>
          </cell>
          <cell r="O409">
            <v>2.9623869391392215</v>
          </cell>
          <cell r="P409">
            <v>2.8283131849870475</v>
          </cell>
          <cell r="Q409">
            <v>2.0449200597106345</v>
          </cell>
          <cell r="R409">
            <v>1.8523776331719308</v>
          </cell>
          <cell r="S409">
            <v>2.0528494433853544</v>
          </cell>
          <cell r="T409">
            <v>2.3421504177965971</v>
          </cell>
          <cell r="V409">
            <v>2.5476290237210626</v>
          </cell>
          <cell r="W409">
            <v>2.5056528556779005</v>
          </cell>
          <cell r="X409">
            <v>2.4635586899422783</v>
          </cell>
          <cell r="Z409">
            <v>2.4855913509507026</v>
          </cell>
          <cell r="AB409">
            <v>2.504746445706556</v>
          </cell>
          <cell r="AC409">
            <v>1.6246669983373225</v>
          </cell>
          <cell r="AD409">
            <v>3.6303358000000001</v>
          </cell>
        </row>
        <row r="410">
          <cell r="A410" t="str">
            <v>CGI018-qtz12-CL-fit-5-offset</v>
          </cell>
          <cell r="J410">
            <v>3.5815328683684093</v>
          </cell>
          <cell r="K410">
            <v>3.7743252022700617</v>
          </cell>
          <cell r="L410">
            <v>4.7982843105370101</v>
          </cell>
          <cell r="M410">
            <v>2.9987844075125287</v>
          </cell>
          <cell r="N410">
            <v>3.5640773098203882</v>
          </cell>
          <cell r="O410">
            <v>3.3040148620880108</v>
          </cell>
          <cell r="P410">
            <v>4.2594284474265756</v>
          </cell>
          <cell r="Q410">
            <v>3.7251537354147248</v>
          </cell>
          <cell r="R410">
            <v>2.359601340686333</v>
          </cell>
          <cell r="S410">
            <v>2.7087462480470985</v>
          </cell>
          <cell r="T410">
            <v>3.0766266797120063</v>
          </cell>
          <cell r="V410">
            <v>3.4821063992586829</v>
          </cell>
          <cell r="W410">
            <v>3.4682341283530134</v>
          </cell>
          <cell r="X410">
            <v>3.5640773098203882</v>
          </cell>
          <cell r="Z410">
            <v>3.4535575922707684</v>
          </cell>
          <cell r="AB410">
            <v>3.500481673813606</v>
          </cell>
          <cell r="AC410">
            <v>2.4801765910384597</v>
          </cell>
          <cell r="AD410">
            <v>4.5434649042566324</v>
          </cell>
        </row>
        <row r="411">
          <cell r="A411" t="str">
            <v>CGI018-qtz12-CL-fit-6-offset</v>
          </cell>
          <cell r="J411">
            <v>1.7826564926385395</v>
          </cell>
          <cell r="K411">
            <v>1.5475899429582782</v>
          </cell>
          <cell r="L411">
            <v>1.1928554602539534</v>
          </cell>
          <cell r="M411">
            <v>1.2891329415288766</v>
          </cell>
          <cell r="N411">
            <v>1.9256913360886045</v>
          </cell>
          <cell r="O411">
            <v>1.3880926485618235</v>
          </cell>
          <cell r="P411">
            <v>2.4499315731142457</v>
          </cell>
          <cell r="Q411">
            <v>2.1721981279436653</v>
          </cell>
          <cell r="R411">
            <v>1.728156756740366</v>
          </cell>
          <cell r="S411">
            <v>1.1887299070334005</v>
          </cell>
          <cell r="T411">
            <v>1.4188039168175424</v>
          </cell>
          <cell r="V411">
            <v>1.6148839045755503</v>
          </cell>
          <cell r="W411">
            <v>1.6439853730617542</v>
          </cell>
          <cell r="X411">
            <v>1.5475899429582782</v>
          </cell>
          <cell r="Z411">
            <v>1.5070958271056727</v>
          </cell>
          <cell r="AB411">
            <v>1.5574883515564217</v>
          </cell>
          <cell r="AC411">
            <v>0.34693489992462873</v>
          </cell>
          <cell r="AD411">
            <v>2.5111590702252395</v>
          </cell>
        </row>
        <row r="412">
          <cell r="A412" t="str">
            <v>CGI018-qtz12-CL-fit-7-offset</v>
          </cell>
          <cell r="J412">
            <v>0.12568665162676787</v>
          </cell>
          <cell r="K412">
            <v>5.3235684994595599E-2</v>
          </cell>
          <cell r="L412">
            <v>8.6955845187728607E-3</v>
          </cell>
          <cell r="M412">
            <v>0.16364191934208702</v>
          </cell>
          <cell r="N412">
            <v>2.5811313342786652E-2</v>
          </cell>
          <cell r="O412">
            <v>0.1350119673877028</v>
          </cell>
          <cell r="P412">
            <v>3.6796889999999999E-3</v>
          </cell>
          <cell r="Q412">
            <v>3.1376827000000003E-2</v>
          </cell>
          <cell r="R412">
            <v>0.154071488861488</v>
          </cell>
          <cell r="S412">
            <v>1.7877314665231754</v>
          </cell>
          <cell r="T412">
            <v>0.05</v>
          </cell>
          <cell r="V412">
            <v>0.10198216271874812</v>
          </cell>
          <cell r="W412">
            <v>0.23081296296339782</v>
          </cell>
          <cell r="X412">
            <v>5.3235684994595599E-2</v>
          </cell>
          <cell r="Z412">
            <v>0.10191601173050926</v>
          </cell>
          <cell r="AB412">
            <v>0.11100478562456191</v>
          </cell>
          <cell r="AC412">
            <v>0.10018325461982788</v>
          </cell>
          <cell r="AD412">
            <v>0.10406892715848781</v>
          </cell>
        </row>
      </sheetData>
      <sheetData sheetId="2">
        <row r="1">
          <cell r="AH1" t="str">
            <v>Profile (Avg)</v>
          </cell>
        </row>
      </sheetData>
      <sheetData sheetId="3" refreshError="1"/>
    </sheetDataSet>
  </externalBook>
</externalLink>
</file>

<file path=xl/externalLinks/externalLink4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L"/>
      <sheetName val="t (Cherniak)"/>
      <sheetName val="t (Cherniak) Category"/>
      <sheetName val="Sheet1"/>
      <sheetName val="t (Cherniak) Rank Order"/>
      <sheetName val="t (J)"/>
      <sheetName val="t (J) Rank Order"/>
    </sheetNames>
    <sheetDataSet>
      <sheetData sheetId="0" refreshError="1"/>
      <sheetData sheetId="1" refreshError="1"/>
      <sheetData sheetId="2" refreshError="1">
        <row r="1">
          <cell r="A1" t="str">
            <v>L (2*sqrt[Dt]) [a]</v>
          </cell>
          <cell r="B1" t="str">
            <v>T</v>
          </cell>
          <cell r="C1" t="str">
            <v>D</v>
          </cell>
          <cell r="D1" t="str">
            <v>View Field</v>
          </cell>
          <cell r="E1" t="str">
            <v>Img Width</v>
          </cell>
          <cell r="F1" t="str">
            <v>Resolution</v>
          </cell>
          <cell r="H1" t="str">
            <v>Profile 1</v>
          </cell>
          <cell r="I1" t="str">
            <v>Profile 2</v>
          </cell>
          <cell r="J1" t="str">
            <v>Profile 3</v>
          </cell>
          <cell r="K1" t="str">
            <v>Profile 4</v>
          </cell>
          <cell r="L1" t="str">
            <v>Profile 5</v>
          </cell>
          <cell r="M1" t="str">
            <v>Profile 6</v>
          </cell>
          <cell r="N1" t="str">
            <v>Profile 7</v>
          </cell>
          <cell r="O1" t="str">
            <v>Profile 8</v>
          </cell>
          <cell r="P1" t="str">
            <v>Profile 9</v>
          </cell>
          <cell r="Q1" t="str">
            <v>Profile 10</v>
          </cell>
          <cell r="R1" t="str">
            <v>Profile 11</v>
          </cell>
          <cell r="T1" t="str">
            <v>Profile (Avg)</v>
          </cell>
          <cell r="U1" t="str">
            <v>Average</v>
          </cell>
          <cell r="V1" t="str">
            <v>Median</v>
          </cell>
          <cell r="X1" t="str">
            <v>Profile MC Median</v>
          </cell>
          <cell r="Z1" t="str">
            <v>Profile MC Avg</v>
          </cell>
          <cell r="AA1" t="str">
            <v>Profile MC CI Low</v>
          </cell>
          <cell r="AB1" t="str">
            <v>Profile MC CI High</v>
          </cell>
          <cell r="AC1" t="str">
            <v>Error (-)</v>
          </cell>
          <cell r="AD1" t="str">
            <v>Error (+)</v>
          </cell>
          <cell r="AG1" t="str">
            <v>Bin</v>
          </cell>
          <cell r="AH1" t="str">
            <v>Profile (Avg)</v>
          </cell>
          <cell r="AI1" t="str">
            <v>Average</v>
          </cell>
          <cell r="AJ1" t="str">
            <v>Median</v>
          </cell>
          <cell r="AL1" t="str">
            <v>Profile MC Median</v>
          </cell>
          <cell r="AN1" t="str">
            <v>Profile MC Avg</v>
          </cell>
          <cell r="AO1" t="str">
            <v>Profile MC CI Low</v>
          </cell>
          <cell r="AP1" t="str">
            <v>Profile MC CI High</v>
          </cell>
        </row>
        <row r="2">
          <cell r="A2" t="str">
            <v>CGI001-qtz01-CL-fit-1-offset</v>
          </cell>
          <cell r="B2">
            <v>750</v>
          </cell>
          <cell r="C2">
            <v>8.0537892000481889E-22</v>
          </cell>
          <cell r="D2">
            <v>2100</v>
          </cell>
          <cell r="E2">
            <v>1024</v>
          </cell>
          <cell r="F2">
            <v>2.05078125</v>
          </cell>
          <cell r="H2">
            <v>1332.0011238203681</v>
          </cell>
          <cell r="I2">
            <v>1662.2644622736036</v>
          </cell>
          <cell r="J2">
            <v>2974.416324102408</v>
          </cell>
          <cell r="K2">
            <v>3159.8695757741712</v>
          </cell>
          <cell r="L2">
            <v>2981.0496736662649</v>
          </cell>
          <cell r="M2">
            <v>889.64000085570376</v>
          </cell>
          <cell r="N2">
            <v>1323.7177311251592</v>
          </cell>
          <cell r="O2">
            <v>1001.437684507216</v>
          </cell>
          <cell r="P2">
            <v>784.84610788650264</v>
          </cell>
          <cell r="Q2">
            <v>878.79171479090257</v>
          </cell>
          <cell r="R2">
            <v>784.11389198052075</v>
          </cell>
          <cell r="T2">
            <v>1325.4920287047491</v>
          </cell>
          <cell r="U2">
            <v>1500.7468213270904</v>
          </cell>
          <cell r="V2">
            <v>1323.7177311251592</v>
          </cell>
          <cell r="X2">
            <v>1307.3489996993692</v>
          </cell>
          <cell r="Z2">
            <v>1332.054413461698</v>
          </cell>
          <cell r="AA2">
            <v>383.70743232615541</v>
          </cell>
          <cell r="AB2">
            <v>2903.2998980790239</v>
          </cell>
          <cell r="AC2">
            <v>948.34698113554259</v>
          </cell>
          <cell r="AD2">
            <v>1571.2454846173259</v>
          </cell>
          <cell r="AG2">
            <v>0.1</v>
          </cell>
          <cell r="AH2">
            <v>0</v>
          </cell>
          <cell r="AI2">
            <v>0</v>
          </cell>
          <cell r="AJ2">
            <v>1</v>
          </cell>
          <cell r="AL2">
            <v>0</v>
          </cell>
          <cell r="AN2">
            <v>0</v>
          </cell>
          <cell r="AO2">
            <v>42</v>
          </cell>
          <cell r="AP2">
            <v>0</v>
          </cell>
        </row>
        <row r="3">
          <cell r="A3" t="str">
            <v>CGI001-qtz01-CL-fit-2</v>
          </cell>
          <cell r="B3">
            <v>750</v>
          </cell>
          <cell r="C3">
            <v>8.0537892000481889E-22</v>
          </cell>
          <cell r="D3">
            <v>2100</v>
          </cell>
          <cell r="E3">
            <v>1024</v>
          </cell>
          <cell r="F3">
            <v>2.05078125</v>
          </cell>
          <cell r="H3">
            <v>5170.9691160561688</v>
          </cell>
          <cell r="I3">
            <v>4795.8259814528146</v>
          </cell>
          <cell r="J3">
            <v>4567.0059176433924</v>
          </cell>
          <cell r="K3">
            <v>3727.8864278975743</v>
          </cell>
          <cell r="L3">
            <v>5643.8115402485328</v>
          </cell>
          <cell r="M3">
            <v>5376.6265909829126</v>
          </cell>
          <cell r="N3">
            <v>6011.6209541309954</v>
          </cell>
          <cell r="O3">
            <v>5523.6016385671055</v>
          </cell>
          <cell r="P3">
            <v>6269.3174949686218</v>
          </cell>
          <cell r="Q3">
            <v>5598.4867511476969</v>
          </cell>
          <cell r="R3">
            <v>5356.5297953273239</v>
          </cell>
          <cell r="T3">
            <v>5247.4316896308219</v>
          </cell>
          <cell r="U3">
            <v>5253.5368060329474</v>
          </cell>
          <cell r="V3">
            <v>5376.6265909829126</v>
          </cell>
          <cell r="X3">
            <v>5086.2311676823801</v>
          </cell>
          <cell r="Z3">
            <v>5117.758369658889</v>
          </cell>
          <cell r="AA3">
            <v>3644.7718151952804</v>
          </cell>
          <cell r="AB3">
            <v>7022.6611382616493</v>
          </cell>
          <cell r="AC3">
            <v>1472.9865544636086</v>
          </cell>
          <cell r="AD3">
            <v>1904.9027686027603</v>
          </cell>
          <cell r="AF3">
            <v>0.1</v>
          </cell>
          <cell r="AG3">
            <v>1</v>
          </cell>
          <cell r="AH3">
            <v>2</v>
          </cell>
          <cell r="AI3">
            <v>1</v>
          </cell>
          <cell r="AJ3">
            <v>2</v>
          </cell>
          <cell r="AL3">
            <v>1</v>
          </cell>
          <cell r="AN3">
            <v>1</v>
          </cell>
          <cell r="AO3">
            <v>31</v>
          </cell>
          <cell r="AP3">
            <v>1</v>
          </cell>
        </row>
        <row r="4">
          <cell r="A4" t="str">
            <v>CGI001-qtz01-CL-fit-3</v>
          </cell>
          <cell r="B4">
            <v>750</v>
          </cell>
          <cell r="C4">
            <v>8.0537892000481889E-22</v>
          </cell>
          <cell r="D4">
            <v>2100</v>
          </cell>
          <cell r="E4">
            <v>1024</v>
          </cell>
          <cell r="F4">
            <v>2.05078125</v>
          </cell>
          <cell r="H4">
            <v>897.81472526980838</v>
          </cell>
          <cell r="I4">
            <v>1246.93717062418</v>
          </cell>
          <cell r="J4">
            <v>1121.8066404477272</v>
          </cell>
          <cell r="K4">
            <v>1034.2226177471864</v>
          </cell>
          <cell r="L4">
            <v>818.42232464845358</v>
          </cell>
          <cell r="M4">
            <v>733.75470350275282</v>
          </cell>
          <cell r="N4">
            <v>915.69652679326475</v>
          </cell>
          <cell r="O4">
            <v>1143.1517675038804</v>
          </cell>
          <cell r="P4">
            <v>514.56163627745616</v>
          </cell>
          <cell r="Q4">
            <v>1245.630513122923</v>
          </cell>
          <cell r="R4">
            <v>622.00339238232618</v>
          </cell>
          <cell r="T4">
            <v>907.84233841560388</v>
          </cell>
          <cell r="U4">
            <v>919.8134996701209</v>
          </cell>
          <cell r="V4">
            <v>915.69652679326475</v>
          </cell>
          <cell r="X4">
            <v>878.91614694580335</v>
          </cell>
          <cell r="Z4">
            <v>915.87039718361336</v>
          </cell>
          <cell r="AA4">
            <v>359.94546981586808</v>
          </cell>
          <cell r="AB4">
            <v>1812.3325082202309</v>
          </cell>
          <cell r="AC4">
            <v>555.92492736774534</v>
          </cell>
          <cell r="AD4">
            <v>896.46211103661756</v>
          </cell>
          <cell r="AF4">
            <v>1</v>
          </cell>
          <cell r="AG4">
            <v>10</v>
          </cell>
          <cell r="AH4">
            <v>10</v>
          </cell>
          <cell r="AI4">
            <v>9</v>
          </cell>
          <cell r="AJ4">
            <v>12</v>
          </cell>
          <cell r="AL4">
            <v>17</v>
          </cell>
          <cell r="AN4">
            <v>7</v>
          </cell>
          <cell r="AO4">
            <v>59</v>
          </cell>
          <cell r="AP4">
            <v>0</v>
          </cell>
        </row>
        <row r="5">
          <cell r="A5" t="str">
            <v>CGI001-qtz01-CL-fit-4</v>
          </cell>
          <cell r="B5">
            <v>750</v>
          </cell>
          <cell r="C5">
            <v>8.0537892000481889E-22</v>
          </cell>
          <cell r="D5">
            <v>2100</v>
          </cell>
          <cell r="E5">
            <v>1024</v>
          </cell>
          <cell r="F5">
            <v>2.05078125</v>
          </cell>
          <cell r="H5">
            <v>359.71067765159154</v>
          </cell>
          <cell r="I5">
            <v>323.35364556425156</v>
          </cell>
          <cell r="J5">
            <v>229.24543858418156</v>
          </cell>
          <cell r="K5">
            <v>207.30847933263877</v>
          </cell>
          <cell r="L5">
            <v>208.13483812091843</v>
          </cell>
          <cell r="M5">
            <v>237.77691919466523</v>
          </cell>
          <cell r="N5">
            <v>273.38380517735231</v>
          </cell>
          <cell r="O5">
            <v>253.6443664441895</v>
          </cell>
          <cell r="P5">
            <v>243.55110874162176</v>
          </cell>
          <cell r="Q5">
            <v>541.29518359229201</v>
          </cell>
          <cell r="R5">
            <v>489.47546675101779</v>
          </cell>
          <cell r="T5">
            <v>353.91473857465934</v>
          </cell>
          <cell r="U5">
            <v>297.6896717316198</v>
          </cell>
          <cell r="V5">
            <v>253.6443664441895</v>
          </cell>
          <cell r="X5">
            <v>341.93744865109056</v>
          </cell>
          <cell r="Z5">
            <v>316.12319347664436</v>
          </cell>
          <cell r="AA5">
            <v>14.222848287502664</v>
          </cell>
          <cell r="AB5">
            <v>656.02489512221177</v>
          </cell>
          <cell r="AC5">
            <v>301.90034518914172</v>
          </cell>
          <cell r="AD5">
            <v>339.90170164556741</v>
          </cell>
          <cell r="AF5">
            <v>10</v>
          </cell>
          <cell r="AG5">
            <v>100</v>
          </cell>
          <cell r="AH5">
            <v>75</v>
          </cell>
          <cell r="AI5">
            <v>82</v>
          </cell>
          <cell r="AJ5">
            <v>79</v>
          </cell>
          <cell r="AL5">
            <v>75</v>
          </cell>
          <cell r="AN5">
            <v>79</v>
          </cell>
          <cell r="AO5">
            <v>100</v>
          </cell>
          <cell r="AP5">
            <v>15</v>
          </cell>
        </row>
        <row r="6">
          <cell r="A6" t="str">
            <v>CGI001-qtz02-CL-fit-1-offset</v>
          </cell>
          <cell r="B6">
            <v>750</v>
          </cell>
          <cell r="C6">
            <v>8.0537892000481889E-22</v>
          </cell>
          <cell r="D6">
            <v>1700</v>
          </cell>
          <cell r="E6">
            <v>1024</v>
          </cell>
          <cell r="F6">
            <v>1.66015625</v>
          </cell>
          <cell r="H6">
            <v>476.38593109094387</v>
          </cell>
          <cell r="I6">
            <v>347.11739246118589</v>
          </cell>
          <cell r="J6">
            <v>715.33041964889708</v>
          </cell>
          <cell r="K6">
            <v>576.72979740656831</v>
          </cell>
          <cell r="L6">
            <v>240.9909704856444</v>
          </cell>
          <cell r="M6">
            <v>436.29909455562353</v>
          </cell>
          <cell r="N6">
            <v>436.93387592203356</v>
          </cell>
          <cell r="O6">
            <v>318.59806746174786</v>
          </cell>
          <cell r="P6">
            <v>458.98668530740008</v>
          </cell>
          <cell r="Q6">
            <v>480.17322448236007</v>
          </cell>
          <cell r="R6">
            <v>320.2714627270289</v>
          </cell>
          <cell r="T6">
            <v>418.1726274268504</v>
          </cell>
          <cell r="U6">
            <v>428.1705679690503</v>
          </cell>
          <cell r="V6">
            <v>436.93387592203356</v>
          </cell>
          <cell r="X6">
            <v>388.85453898919434</v>
          </cell>
          <cell r="Z6">
            <v>402.86326478621976</v>
          </cell>
          <cell r="AA6">
            <v>151.80596000945857</v>
          </cell>
          <cell r="AB6">
            <v>729.93070130831791</v>
          </cell>
          <cell r="AC6">
            <v>251.05730477676119</v>
          </cell>
          <cell r="AD6">
            <v>327.06743652209815</v>
          </cell>
          <cell r="AF6">
            <v>100</v>
          </cell>
          <cell r="AG6">
            <v>1000</v>
          </cell>
          <cell r="AH6">
            <v>237</v>
          </cell>
          <cell r="AI6">
            <v>237</v>
          </cell>
          <cell r="AJ6">
            <v>232</v>
          </cell>
          <cell r="AL6">
            <v>235</v>
          </cell>
          <cell r="AN6">
            <v>238</v>
          </cell>
          <cell r="AO6">
            <v>148</v>
          </cell>
          <cell r="AP6">
            <v>221</v>
          </cell>
        </row>
        <row r="7">
          <cell r="A7" t="str">
            <v>CGI001-qtz02-CL-fit-2</v>
          </cell>
          <cell r="B7">
            <v>750</v>
          </cell>
          <cell r="C7">
            <v>8.0537892000481889E-22</v>
          </cell>
          <cell r="D7">
            <v>1700</v>
          </cell>
          <cell r="E7">
            <v>1024</v>
          </cell>
          <cell r="F7">
            <v>1.66015625</v>
          </cell>
          <cell r="H7">
            <v>667.44055265654936</v>
          </cell>
          <cell r="I7">
            <v>632.21828236269732</v>
          </cell>
          <cell r="J7">
            <v>771.7719814776101</v>
          </cell>
          <cell r="K7">
            <v>966.56367363076663</v>
          </cell>
          <cell r="L7">
            <v>1084.8026399390865</v>
          </cell>
          <cell r="M7">
            <v>929.64106202064704</v>
          </cell>
          <cell r="N7">
            <v>1075.9705814350891</v>
          </cell>
          <cell r="O7">
            <v>950.43206473305895</v>
          </cell>
          <cell r="P7">
            <v>1142.3486666072829</v>
          </cell>
          <cell r="Q7">
            <v>807.54050667135732</v>
          </cell>
          <cell r="R7">
            <v>799.14158353022515</v>
          </cell>
          <cell r="T7" t="str">
            <v xml:space="preserve"> </v>
          </cell>
          <cell r="U7">
            <v>885.82880318841694</v>
          </cell>
          <cell r="V7">
            <v>929.64106202064704</v>
          </cell>
          <cell r="X7">
            <v>899.72390519300211</v>
          </cell>
          <cell r="Z7">
            <v>897.20546008657686</v>
          </cell>
          <cell r="AA7">
            <v>534.94462723364961</v>
          </cell>
          <cell r="AB7">
            <v>1361.0329088288649</v>
          </cell>
          <cell r="AC7">
            <v>362.26083285292725</v>
          </cell>
          <cell r="AD7">
            <v>463.82744874228808</v>
          </cell>
          <cell r="AF7">
            <v>1000</v>
          </cell>
          <cell r="AG7">
            <v>10000</v>
          </cell>
          <cell r="AH7">
            <v>86</v>
          </cell>
          <cell r="AI7">
            <v>82</v>
          </cell>
          <cell r="AJ7">
            <v>85</v>
          </cell>
          <cell r="AL7">
            <v>83</v>
          </cell>
          <cell r="AN7">
            <v>86</v>
          </cell>
          <cell r="AO7">
            <v>31</v>
          </cell>
          <cell r="AP7">
            <v>163</v>
          </cell>
        </row>
        <row r="8">
          <cell r="A8" t="str">
            <v>CGI001-qtz02-CL-fit-3-offset</v>
          </cell>
          <cell r="B8">
            <v>750</v>
          </cell>
          <cell r="C8">
            <v>8.0537892000481889E-22</v>
          </cell>
          <cell r="D8">
            <v>1700</v>
          </cell>
          <cell r="E8">
            <v>1024</v>
          </cell>
          <cell r="F8">
            <v>1.66015625</v>
          </cell>
          <cell r="H8">
            <v>297.53236713756871</v>
          </cell>
          <cell r="I8">
            <v>313.48230013668262</v>
          </cell>
          <cell r="J8">
            <v>288.36596042632453</v>
          </cell>
          <cell r="K8">
            <v>353.29295519462892</v>
          </cell>
          <cell r="L8">
            <v>260.40684571937982</v>
          </cell>
          <cell r="M8">
            <v>351.67236171987366</v>
          </cell>
          <cell r="N8">
            <v>313.31718916174685</v>
          </cell>
          <cell r="O8">
            <v>376.28219943579802</v>
          </cell>
          <cell r="P8">
            <v>343.47402512261573</v>
          </cell>
          <cell r="Q8">
            <v>278.89339253452926</v>
          </cell>
          <cell r="R8">
            <v>251.07197233482677</v>
          </cell>
          <cell r="T8">
            <v>329.84104106367283</v>
          </cell>
          <cell r="U8">
            <v>310.39780441661316</v>
          </cell>
          <cell r="V8">
            <v>313.31718916174685</v>
          </cell>
          <cell r="X8">
            <v>303.05255896668433</v>
          </cell>
          <cell r="Z8">
            <v>288.12926427366733</v>
          </cell>
          <cell r="AA8">
            <v>15.579167910669765</v>
          </cell>
          <cell r="AB8">
            <v>693.18273376115474</v>
          </cell>
          <cell r="AC8">
            <v>272.55009636299758</v>
          </cell>
          <cell r="AD8">
            <v>405.0534694874874</v>
          </cell>
          <cell r="AF8">
            <v>10000</v>
          </cell>
          <cell r="AG8">
            <v>100000</v>
          </cell>
          <cell r="AH8">
            <v>0</v>
          </cell>
          <cell r="AI8">
            <v>0</v>
          </cell>
          <cell r="AJ8">
            <v>0</v>
          </cell>
          <cell r="AL8">
            <v>0</v>
          </cell>
          <cell r="AN8">
            <v>0</v>
          </cell>
          <cell r="AO8">
            <v>0</v>
          </cell>
          <cell r="AP8">
            <v>11</v>
          </cell>
        </row>
        <row r="9">
          <cell r="A9" t="str">
            <v>CGI001-qtz02-CL-fit-4-offset</v>
          </cell>
          <cell r="B9">
            <v>750</v>
          </cell>
          <cell r="C9">
            <v>8.0537892000481889E-22</v>
          </cell>
          <cell r="D9">
            <v>1700</v>
          </cell>
          <cell r="E9">
            <v>1024</v>
          </cell>
          <cell r="F9">
            <v>1.66015625</v>
          </cell>
          <cell r="H9">
            <v>1.1382443173876549</v>
          </cell>
          <cell r="I9">
            <v>0.25541299484662566</v>
          </cell>
          <cell r="J9">
            <v>0.64526911130105946</v>
          </cell>
          <cell r="K9">
            <v>8.4101951754268503E-2</v>
          </cell>
          <cell r="L9">
            <v>0.65152867018581329</v>
          </cell>
          <cell r="M9">
            <v>0.13635227771768474</v>
          </cell>
          <cell r="N9">
            <v>2.1442526839541131E-3</v>
          </cell>
          <cell r="O9">
            <v>0.92722085927188846</v>
          </cell>
          <cell r="P9">
            <v>1.0876628420428291</v>
          </cell>
          <cell r="Q9">
            <v>6.4840771910004763E-3</v>
          </cell>
          <cell r="R9">
            <v>0.32267519977600101</v>
          </cell>
          <cell r="T9">
            <v>0.1518298981742984</v>
          </cell>
          <cell r="U9">
            <v>0.35377625266832669</v>
          </cell>
          <cell r="V9">
            <v>0.32267519977600101</v>
          </cell>
          <cell r="X9">
            <v>1.1008848618220943</v>
          </cell>
          <cell r="Z9">
            <v>2.1032350063238625</v>
          </cell>
          <cell r="AA9">
            <v>1.1645040047624379E-13</v>
          </cell>
          <cell r="AB9">
            <v>34.043528522496267</v>
          </cell>
          <cell r="AC9">
            <v>2.1032350063237462</v>
          </cell>
          <cell r="AD9">
            <v>31.940293516172403</v>
          </cell>
          <cell r="AH9">
            <v>0</v>
          </cell>
          <cell r="AI9">
            <v>0</v>
          </cell>
        </row>
        <row r="10">
          <cell r="A10" t="str">
            <v>CGI001-qtz03-CL-fit-1</v>
          </cell>
          <cell r="B10">
            <v>750</v>
          </cell>
          <cell r="C10">
            <v>8.0537892000481889E-22</v>
          </cell>
          <cell r="D10">
            <v>1900</v>
          </cell>
          <cell r="E10">
            <v>1024</v>
          </cell>
          <cell r="F10">
            <v>1.85546875</v>
          </cell>
          <cell r="H10">
            <v>3574.7972357360309</v>
          </cell>
          <cell r="I10">
            <v>1888.9959048810392</v>
          </cell>
          <cell r="J10">
            <v>1803.3738794101062</v>
          </cell>
          <cell r="K10">
            <v>2137.2394442952614</v>
          </cell>
          <cell r="L10">
            <v>2022.9233145708993</v>
          </cell>
          <cell r="M10">
            <v>3226.913119253265</v>
          </cell>
          <cell r="N10">
            <v>3079.0488550854416</v>
          </cell>
          <cell r="O10">
            <v>2607.4600909878723</v>
          </cell>
          <cell r="P10">
            <v>1795.5501381309577</v>
          </cell>
          <cell r="Q10">
            <v>2500.5102495578039</v>
          </cell>
          <cell r="R10">
            <v>2392.1802001739675</v>
          </cell>
          <cell r="T10">
            <v>2406.191286732877</v>
          </cell>
          <cell r="U10">
            <v>2423.9768812320976</v>
          </cell>
          <cell r="V10">
            <v>2392.1802001739675</v>
          </cell>
          <cell r="X10">
            <v>2416.1983147316541</v>
          </cell>
          <cell r="Z10">
            <v>2357.4076174031529</v>
          </cell>
          <cell r="AA10">
            <v>1346.5200489331919</v>
          </cell>
          <cell r="AB10">
            <v>3397.45873359302</v>
          </cell>
          <cell r="AC10">
            <v>1010.887568469961</v>
          </cell>
          <cell r="AD10">
            <v>1040.0511161898671</v>
          </cell>
        </row>
        <row r="11">
          <cell r="A11" t="str">
            <v>CGI001-qtz03-CL-fit-2</v>
          </cell>
          <cell r="B11">
            <v>750</v>
          </cell>
          <cell r="C11">
            <v>8.0537892000481889E-22</v>
          </cell>
          <cell r="D11">
            <v>1900</v>
          </cell>
          <cell r="E11">
            <v>1024</v>
          </cell>
          <cell r="F11">
            <v>1.85546875</v>
          </cell>
          <cell r="H11">
            <v>700.80468991527778</v>
          </cell>
          <cell r="I11">
            <v>461.26161441848586</v>
          </cell>
          <cell r="J11">
            <v>315.66146638668982</v>
          </cell>
          <cell r="K11">
            <v>195.4490427564952</v>
          </cell>
          <cell r="L11">
            <v>203.42511413455023</v>
          </cell>
          <cell r="M11">
            <v>192.43559105728983</v>
          </cell>
          <cell r="N11">
            <v>176.30327312004403</v>
          </cell>
          <cell r="O11">
            <v>311.73240870599733</v>
          </cell>
          <cell r="P11">
            <v>322.12170333619122</v>
          </cell>
          <cell r="Q11">
            <v>344.7183705587758</v>
          </cell>
          <cell r="R11">
            <v>323.61059697990618</v>
          </cell>
          <cell r="T11">
            <v>305.61421113478525</v>
          </cell>
          <cell r="U11">
            <v>308.70207720229109</v>
          </cell>
          <cell r="V11">
            <v>315.66146638668982</v>
          </cell>
          <cell r="X11">
            <v>305.23624029240364</v>
          </cell>
          <cell r="Z11">
            <v>303.53769558649623</v>
          </cell>
          <cell r="AA11">
            <v>166.13240766409183</v>
          </cell>
          <cell r="AB11">
            <v>520.79536232284522</v>
          </cell>
          <cell r="AC11">
            <v>137.4052879224044</v>
          </cell>
          <cell r="AD11">
            <v>217.25766673634899</v>
          </cell>
        </row>
        <row r="12">
          <cell r="A12" t="str">
            <v>CGI001-qtz03-CL-fit-3</v>
          </cell>
          <cell r="B12">
            <v>750</v>
          </cell>
          <cell r="C12">
            <v>8.0537892000481889E-22</v>
          </cell>
          <cell r="D12">
            <v>1900</v>
          </cell>
          <cell r="E12">
            <v>1024</v>
          </cell>
          <cell r="F12">
            <v>1.85546875</v>
          </cell>
          <cell r="H12">
            <v>1269.5899356795715</v>
          </cell>
          <cell r="I12">
            <v>181.45056704346837</v>
          </cell>
          <cell r="J12">
            <v>197.5167530127425</v>
          </cell>
          <cell r="K12">
            <v>418.11044116082803</v>
          </cell>
          <cell r="L12">
            <v>44.290209674595353</v>
          </cell>
          <cell r="M12">
            <v>105.9165121811873</v>
          </cell>
          <cell r="N12">
            <v>1.1987145281617555</v>
          </cell>
          <cell r="O12">
            <v>5.6821757804250286</v>
          </cell>
          <cell r="P12">
            <v>177.51031769701149</v>
          </cell>
          <cell r="Q12">
            <v>319.63717943361951</v>
          </cell>
          <cell r="R12">
            <v>146.98450210786928</v>
          </cell>
          <cell r="T12">
            <v>216.39329504012682</v>
          </cell>
          <cell r="U12">
            <v>179.44830629730788</v>
          </cell>
          <cell r="V12">
            <v>177.51031769701149</v>
          </cell>
          <cell r="X12">
            <v>177.40437558215251</v>
          </cell>
          <cell r="Z12">
            <v>198.74684585611618</v>
          </cell>
          <cell r="AA12">
            <v>1.4854127462649811</v>
          </cell>
          <cell r="AB12">
            <v>1644.3248302606301</v>
          </cell>
          <cell r="AC12">
            <v>197.2614331098512</v>
          </cell>
          <cell r="AD12">
            <v>1445.5779844045139</v>
          </cell>
        </row>
        <row r="13">
          <cell r="A13" t="str">
            <v>CGI001-qtz03-CL-fit-4-offset</v>
          </cell>
          <cell r="B13">
            <v>750</v>
          </cell>
          <cell r="C13">
            <v>8.0537892000481889E-22</v>
          </cell>
          <cell r="D13">
            <v>1900</v>
          </cell>
          <cell r="E13">
            <v>1024</v>
          </cell>
          <cell r="F13">
            <v>1.85546875</v>
          </cell>
          <cell r="H13">
            <v>2.2997745260987634</v>
          </cell>
          <cell r="I13">
            <v>0.2745074500260653</v>
          </cell>
          <cell r="J13">
            <v>18.375781816041481</v>
          </cell>
          <cell r="K13">
            <v>9.0609316565967166</v>
          </cell>
          <cell r="L13">
            <v>2.1173717611575111</v>
          </cell>
          <cell r="M13">
            <v>1.8974628034395442</v>
          </cell>
          <cell r="N13">
            <v>26.573332373656736</v>
          </cell>
          <cell r="O13">
            <v>2.2078334951325833</v>
          </cell>
          <cell r="P13">
            <v>1.6848460916193837</v>
          </cell>
          <cell r="Q13">
            <v>17.953571094827264</v>
          </cell>
          <cell r="R13">
            <v>1.9531670872608858E-2</v>
          </cell>
          <cell r="T13">
            <v>2.3127564537616685</v>
          </cell>
          <cell r="U13">
            <v>4.9549235708033645</v>
          </cell>
          <cell r="V13">
            <v>2.2078334951325833</v>
          </cell>
          <cell r="X13">
            <v>2.1738457953832437</v>
          </cell>
          <cell r="Z13">
            <v>3.5809042014511565</v>
          </cell>
          <cell r="AA13">
            <v>1.7577914413635859E-9</v>
          </cell>
          <cell r="AB13">
            <v>28.224837639063203</v>
          </cell>
          <cell r="AC13">
            <v>3.5809041996933653</v>
          </cell>
          <cell r="AD13">
            <v>24.643933437612048</v>
          </cell>
        </row>
        <row r="14">
          <cell r="A14" t="str">
            <v>CGI001-qtz04-CL-fit-1-offset</v>
          </cell>
          <cell r="B14">
            <v>750</v>
          </cell>
          <cell r="C14">
            <v>8.0537892000481889E-22</v>
          </cell>
          <cell r="D14">
            <v>2050</v>
          </cell>
          <cell r="E14">
            <v>1024</v>
          </cell>
          <cell r="F14">
            <v>2.001953125</v>
          </cell>
          <cell r="H14">
            <v>922.26127182939501</v>
          </cell>
          <cell r="I14">
            <v>685.81850385825612</v>
          </cell>
          <cell r="J14">
            <v>2370.9529434063006</v>
          </cell>
          <cell r="K14">
            <v>121.27924208437759</v>
          </cell>
          <cell r="L14">
            <v>1172.5469583451061</v>
          </cell>
          <cell r="M14">
            <v>4.0368359351155854E-2</v>
          </cell>
          <cell r="N14">
            <v>731.186363292142</v>
          </cell>
          <cell r="O14">
            <v>1855.6493573600203</v>
          </cell>
          <cell r="P14">
            <v>245.77141663409989</v>
          </cell>
          <cell r="Q14">
            <v>414.54128830403636</v>
          </cell>
          <cell r="R14">
            <v>634.58707343264189</v>
          </cell>
          <cell r="T14">
            <v>750.28984933375023</v>
          </cell>
          <cell r="U14">
            <v>657.46323467183754</v>
          </cell>
          <cell r="V14">
            <v>685.81850385825612</v>
          </cell>
          <cell r="X14">
            <v>578.10151363156263</v>
          </cell>
          <cell r="Z14">
            <v>657.20519925452197</v>
          </cell>
          <cell r="AA14">
            <v>1.6111410849779788</v>
          </cell>
          <cell r="AB14">
            <v>5518.5698361033219</v>
          </cell>
          <cell r="AC14">
            <v>655.59405816954404</v>
          </cell>
          <cell r="AD14">
            <v>4861.3646368487998</v>
          </cell>
        </row>
        <row r="15">
          <cell r="A15" t="str">
            <v>CGI001-qtz04-CL-fit-2-offset</v>
          </cell>
          <cell r="B15">
            <v>750</v>
          </cell>
          <cell r="C15">
            <v>8.0537892000481889E-22</v>
          </cell>
          <cell r="D15">
            <v>2050</v>
          </cell>
          <cell r="E15">
            <v>1024</v>
          </cell>
          <cell r="F15">
            <v>2.001953125</v>
          </cell>
          <cell r="H15">
            <v>689.28869626011624</v>
          </cell>
          <cell r="I15">
            <v>1108.3476119390095</v>
          </cell>
          <cell r="J15">
            <v>445.83495416928912</v>
          </cell>
          <cell r="K15">
            <v>682.04072956798916</v>
          </cell>
          <cell r="L15">
            <v>502.29931649215888</v>
          </cell>
          <cell r="M15">
            <v>561.47935333322846</v>
          </cell>
          <cell r="N15">
            <v>253.99164375152887</v>
          </cell>
          <cell r="O15">
            <v>593.19149534218002</v>
          </cell>
          <cell r="P15">
            <v>564.31725919110465</v>
          </cell>
          <cell r="Q15">
            <v>908.40318208007034</v>
          </cell>
          <cell r="R15">
            <v>644.90640998575134</v>
          </cell>
          <cell r="T15">
            <v>609.92320729759138</v>
          </cell>
          <cell r="U15">
            <v>613.54030623461767</v>
          </cell>
          <cell r="V15">
            <v>593.19149534218002</v>
          </cell>
          <cell r="X15">
            <v>611.23227684249628</v>
          </cell>
          <cell r="Z15">
            <v>623.68242198031044</v>
          </cell>
          <cell r="AA15">
            <v>247.48269671478417</v>
          </cell>
          <cell r="AB15">
            <v>1136.2101609928318</v>
          </cell>
          <cell r="AC15">
            <v>376.19972526552624</v>
          </cell>
          <cell r="AD15">
            <v>512.52773901252135</v>
          </cell>
        </row>
        <row r="16">
          <cell r="A16" t="str">
            <v>CGI001-qtz04-CL-fit-3-offset</v>
          </cell>
          <cell r="B16">
            <v>750</v>
          </cell>
          <cell r="C16">
            <v>8.0537892000481889E-22</v>
          </cell>
          <cell r="D16">
            <v>2050</v>
          </cell>
          <cell r="E16">
            <v>1024</v>
          </cell>
          <cell r="F16">
            <v>2.001953125</v>
          </cell>
          <cell r="H16">
            <v>619.77117412503776</v>
          </cell>
          <cell r="I16">
            <v>798.79872983238567</v>
          </cell>
          <cell r="J16">
            <v>824.31578580459325</v>
          </cell>
          <cell r="K16">
            <v>1027.5002526589878</v>
          </cell>
          <cell r="L16">
            <v>912.11635439669988</v>
          </cell>
          <cell r="M16">
            <v>501.43488760959013</v>
          </cell>
          <cell r="N16">
            <v>544.12318252835871</v>
          </cell>
          <cell r="O16">
            <v>605.75527013407338</v>
          </cell>
          <cell r="P16">
            <v>706.95860735882252</v>
          </cell>
          <cell r="Q16">
            <v>544.44029832336548</v>
          </cell>
          <cell r="R16">
            <v>561.36762571217446</v>
          </cell>
          <cell r="T16">
            <v>688.14994794927202</v>
          </cell>
          <cell r="U16">
            <v>685.82782858633402</v>
          </cell>
          <cell r="V16">
            <v>619.77117412503776</v>
          </cell>
          <cell r="X16">
            <v>680.61485554636215</v>
          </cell>
          <cell r="Z16">
            <v>682.89925780004933</v>
          </cell>
          <cell r="AA16">
            <v>448.63804778539151</v>
          </cell>
          <cell r="AB16">
            <v>937.75803148015473</v>
          </cell>
          <cell r="AC16">
            <v>234.26121001465782</v>
          </cell>
          <cell r="AD16">
            <v>254.8587736801054</v>
          </cell>
        </row>
        <row r="17">
          <cell r="A17" t="str">
            <v>CGI001-qtz04-CL-fit-4-offset</v>
          </cell>
          <cell r="B17">
            <v>750</v>
          </cell>
          <cell r="C17">
            <v>8.0537892000481889E-22</v>
          </cell>
          <cell r="D17">
            <v>2050</v>
          </cell>
          <cell r="E17">
            <v>1024</v>
          </cell>
          <cell r="F17">
            <v>2.001953125</v>
          </cell>
          <cell r="H17">
            <v>3.7379850005817294</v>
          </cell>
          <cell r="I17">
            <v>21.20437496607185</v>
          </cell>
          <cell r="J17">
            <v>3.7761049238831794</v>
          </cell>
          <cell r="K17">
            <v>3.6037097511923619</v>
          </cell>
          <cell r="L17">
            <v>0.56264114586837977</v>
          </cell>
          <cell r="M17">
            <v>1.2868849585536239</v>
          </cell>
          <cell r="N17">
            <v>2.4804996691319854</v>
          </cell>
          <cell r="O17">
            <v>15.453794755175505</v>
          </cell>
          <cell r="P17">
            <v>1.3019902095426616</v>
          </cell>
          <cell r="Q17">
            <v>0.1096215460263858</v>
          </cell>
          <cell r="R17">
            <v>0.28961757961886736</v>
          </cell>
          <cell r="T17">
            <v>3.9145102930676448</v>
          </cell>
          <cell r="U17">
            <v>3.2336762084920583</v>
          </cell>
          <cell r="V17">
            <v>2.4804996691319854</v>
          </cell>
          <cell r="X17">
            <v>3.0504216750630868</v>
          </cell>
          <cell r="Z17">
            <v>3.4199699817336802</v>
          </cell>
          <cell r="AA17">
            <v>2.631397211700548E-2</v>
          </cell>
          <cell r="AB17">
            <v>31.193335233940243</v>
          </cell>
          <cell r="AC17">
            <v>3.3936560096166746</v>
          </cell>
          <cell r="AD17">
            <v>27.773365252206563</v>
          </cell>
        </row>
        <row r="18">
          <cell r="A18" t="str">
            <v>CGI001-qtz05-CL-fit-1-offset</v>
          </cell>
          <cell r="B18">
            <v>750</v>
          </cell>
          <cell r="C18">
            <v>8.0537892000481889E-22</v>
          </cell>
          <cell r="D18">
            <v>1800</v>
          </cell>
          <cell r="E18">
            <v>1024</v>
          </cell>
          <cell r="F18">
            <v>1.7578125</v>
          </cell>
          <cell r="H18">
            <v>6300.1686991858742</v>
          </cell>
          <cell r="I18">
            <v>3791.3862409898497</v>
          </cell>
          <cell r="J18">
            <v>3445.5497232688372</v>
          </cell>
          <cell r="K18">
            <v>3055.3543060571978</v>
          </cell>
          <cell r="L18">
            <v>360.93125656987473</v>
          </cell>
          <cell r="M18">
            <v>5816.6600509568161</v>
          </cell>
          <cell r="N18">
            <v>2115.1903195111622</v>
          </cell>
          <cell r="O18">
            <v>5316.4109848936787</v>
          </cell>
          <cell r="P18">
            <v>7735.3251118325616</v>
          </cell>
          <cell r="Q18">
            <v>10602.754377959469</v>
          </cell>
          <cell r="R18">
            <v>8723.8322065886405</v>
          </cell>
          <cell r="T18">
            <v>4591.5733674579569</v>
          </cell>
          <cell r="U18">
            <v>4691.1774094655739</v>
          </cell>
          <cell r="V18">
            <v>5316.4109848936787</v>
          </cell>
          <cell r="X18">
            <v>4570.6300741855266</v>
          </cell>
          <cell r="Z18">
            <v>4781.156026998271</v>
          </cell>
          <cell r="AA18">
            <v>700.81732210023881</v>
          </cell>
          <cell r="AB18">
            <v>12084.253265460589</v>
          </cell>
          <cell r="AC18">
            <v>4080.3387048980321</v>
          </cell>
          <cell r="AD18">
            <v>7303.0972384623183</v>
          </cell>
        </row>
        <row r="19">
          <cell r="A19" t="str">
            <v>CGI001-qtz05-CL-fit-2-offset</v>
          </cell>
          <cell r="B19">
            <v>750</v>
          </cell>
          <cell r="C19">
            <v>8.0537892000481889E-22</v>
          </cell>
          <cell r="D19">
            <v>1800</v>
          </cell>
          <cell r="E19">
            <v>1024</v>
          </cell>
          <cell r="F19">
            <v>1.7578125</v>
          </cell>
          <cell r="H19">
            <v>611.17104408148464</v>
          </cell>
          <cell r="I19">
            <v>1200.996524844712</v>
          </cell>
          <cell r="J19">
            <v>610.33823491239184</v>
          </cell>
          <cell r="K19">
            <v>470.83178763176335</v>
          </cell>
          <cell r="L19">
            <v>528.23202546489927</v>
          </cell>
          <cell r="M19">
            <v>1350.3121635999692</v>
          </cell>
          <cell r="N19">
            <v>721.18427781808055</v>
          </cell>
          <cell r="O19">
            <v>637.85496512234977</v>
          </cell>
          <cell r="P19">
            <v>615.0361808453298</v>
          </cell>
          <cell r="Q19">
            <v>717.89124797487852</v>
          </cell>
          <cell r="R19">
            <v>646.06353214928686</v>
          </cell>
          <cell r="T19">
            <v>696.08871676639365</v>
          </cell>
          <cell r="U19">
            <v>717.42505832316203</v>
          </cell>
          <cell r="V19">
            <v>637.85496512234977</v>
          </cell>
          <cell r="X19">
            <v>662.06630116106885</v>
          </cell>
          <cell r="Z19">
            <v>685.23504533202663</v>
          </cell>
          <cell r="AA19">
            <v>315.72179140460986</v>
          </cell>
          <cell r="AB19">
            <v>1300.2548625444929</v>
          </cell>
          <cell r="AC19">
            <v>369.51325392741677</v>
          </cell>
          <cell r="AD19">
            <v>615.01981721246625</v>
          </cell>
        </row>
        <row r="20">
          <cell r="A20" t="str">
            <v>CGI001-qtz05-CL-fit-3-offset</v>
          </cell>
          <cell r="B20">
            <v>750</v>
          </cell>
          <cell r="C20">
            <v>8.0537892000481889E-22</v>
          </cell>
          <cell r="D20">
            <v>1800</v>
          </cell>
          <cell r="E20">
            <v>1024</v>
          </cell>
          <cell r="F20">
            <v>1.7578125</v>
          </cell>
          <cell r="H20">
            <v>154.32141209044906</v>
          </cell>
          <cell r="I20">
            <v>241.77604246703365</v>
          </cell>
          <cell r="J20">
            <v>412.13567998526679</v>
          </cell>
          <cell r="K20">
            <v>166.57163020443087</v>
          </cell>
          <cell r="L20">
            <v>432.48184953995593</v>
          </cell>
          <cell r="M20">
            <v>471.90760550891406</v>
          </cell>
          <cell r="N20">
            <v>800.88922685412774</v>
          </cell>
          <cell r="O20">
            <v>361.24123765234674</v>
          </cell>
          <cell r="P20">
            <v>734.10323700741321</v>
          </cell>
          <cell r="Q20">
            <v>351.50159890704407</v>
          </cell>
          <cell r="R20">
            <v>132.9570511484402</v>
          </cell>
          <cell r="T20">
            <v>337.19344532300954</v>
          </cell>
          <cell r="U20">
            <v>358.85631777620875</v>
          </cell>
          <cell r="V20">
            <v>361.24123765234674</v>
          </cell>
          <cell r="X20">
            <v>283.70461020987619</v>
          </cell>
          <cell r="Z20">
            <v>277.43651249493928</v>
          </cell>
          <cell r="AA20">
            <v>4.1963851400438035</v>
          </cell>
          <cell r="AB20">
            <v>1110.1601563350016</v>
          </cell>
          <cell r="AC20">
            <v>273.24012735489549</v>
          </cell>
          <cell r="AD20">
            <v>832.72364384006232</v>
          </cell>
        </row>
        <row r="21">
          <cell r="A21" t="str">
            <v>CGI001-qtz05-CL-fit-4-offset</v>
          </cell>
          <cell r="B21">
            <v>750</v>
          </cell>
          <cell r="C21">
            <v>8.0537892000481889E-22</v>
          </cell>
          <cell r="D21">
            <v>1800</v>
          </cell>
          <cell r="E21">
            <v>1024</v>
          </cell>
          <cell r="F21">
            <v>1.7578125</v>
          </cell>
          <cell r="H21">
            <v>1.2154140843315736E-3</v>
          </cell>
          <cell r="I21">
            <v>0.11444102651670893</v>
          </cell>
          <cell r="J21">
            <v>1.2852530173824757</v>
          </cell>
          <cell r="K21">
            <v>8.0530589259080934</v>
          </cell>
          <cell r="L21">
            <v>5.8793711931922919E-2</v>
          </cell>
          <cell r="M21">
            <v>7.3096341686547763</v>
          </cell>
          <cell r="N21">
            <v>1.7751051119182923</v>
          </cell>
          <cell r="O21">
            <v>1.3382762526712064E-3</v>
          </cell>
          <cell r="P21">
            <v>1.524927420548265</v>
          </cell>
          <cell r="Q21">
            <v>1.6816510330518914E-2</v>
          </cell>
          <cell r="R21">
            <v>1.4177581883652115</v>
          </cell>
          <cell r="T21">
            <v>1.2272362782956083</v>
          </cell>
          <cell r="U21">
            <v>1.0394563750948382</v>
          </cell>
          <cell r="V21">
            <v>1.2852530173824757</v>
          </cell>
          <cell r="X21">
            <v>1.4653154368902925</v>
          </cell>
          <cell r="Z21">
            <v>2.1086827257956267</v>
          </cell>
          <cell r="AA21">
            <v>6.3538008894312567E-3</v>
          </cell>
          <cell r="AB21">
            <v>14.966759772946755</v>
          </cell>
          <cell r="AC21">
            <v>2.1023289249061956</v>
          </cell>
          <cell r="AD21">
            <v>12.858077047151129</v>
          </cell>
        </row>
        <row r="22">
          <cell r="A22" t="str">
            <v>CGI001-qtz06-CL-fit-1-offset</v>
          </cell>
          <cell r="B22">
            <v>750</v>
          </cell>
          <cell r="C22">
            <v>8.0537892000481889E-22</v>
          </cell>
          <cell r="D22">
            <v>1500</v>
          </cell>
          <cell r="E22">
            <v>1024</v>
          </cell>
          <cell r="F22">
            <v>1.46484375</v>
          </cell>
          <cell r="H22">
            <v>3606.6054648245822</v>
          </cell>
          <cell r="I22">
            <v>2655.539156117366</v>
          </cell>
          <cell r="J22">
            <v>3073.6970752583229</v>
          </cell>
          <cell r="K22">
            <v>3328.4863930973183</v>
          </cell>
          <cell r="L22">
            <v>2804.3424085565352</v>
          </cell>
          <cell r="M22">
            <v>3207.6948507745979</v>
          </cell>
          <cell r="N22">
            <v>3687.638448883547</v>
          </cell>
          <cell r="O22">
            <v>2544.0417335576426</v>
          </cell>
          <cell r="P22">
            <v>3153.2090482549975</v>
          </cell>
          <cell r="Q22">
            <v>2702.3176466385712</v>
          </cell>
          <cell r="R22">
            <v>2557.1391132180975</v>
          </cell>
          <cell r="T22">
            <v>2999.7302416627685</v>
          </cell>
          <cell r="U22">
            <v>3016.838712853214</v>
          </cell>
          <cell r="V22">
            <v>3073.6970752583229</v>
          </cell>
          <cell r="X22">
            <v>2956.1790068422188</v>
          </cell>
          <cell r="Z22">
            <v>2997.796284812151</v>
          </cell>
          <cell r="AA22">
            <v>2285.4057392225227</v>
          </cell>
          <cell r="AB22">
            <v>3894.0341086790531</v>
          </cell>
          <cell r="AC22">
            <v>712.39054558962835</v>
          </cell>
          <cell r="AD22">
            <v>896.23782386690209</v>
          </cell>
        </row>
        <row r="23">
          <cell r="A23" t="str">
            <v>CGI001-qtz06-CL-fit-2-offset</v>
          </cell>
          <cell r="B23">
            <v>750</v>
          </cell>
          <cell r="C23">
            <v>8.0537892000481889E-22</v>
          </cell>
          <cell r="D23">
            <v>1500</v>
          </cell>
          <cell r="E23">
            <v>1024</v>
          </cell>
          <cell r="F23">
            <v>1.46484375</v>
          </cell>
          <cell r="H23">
            <v>334.83735714213913</v>
          </cell>
          <cell r="I23">
            <v>185.33958963205814</v>
          </cell>
          <cell r="J23">
            <v>114.04018038496731</v>
          </cell>
          <cell r="K23">
            <v>60.664551312810431</v>
          </cell>
          <cell r="L23">
            <v>317.70045486024407</v>
          </cell>
          <cell r="M23">
            <v>191.42050125619832</v>
          </cell>
          <cell r="N23">
            <v>257.78594866854388</v>
          </cell>
          <cell r="O23">
            <v>248.75455650860013</v>
          </cell>
          <cell r="P23">
            <v>99.214641436586632</v>
          </cell>
          <cell r="Q23">
            <v>217.5827697967477</v>
          </cell>
          <cell r="R23">
            <v>107.05613578826163</v>
          </cell>
          <cell r="T23">
            <v>208.46109077716051</v>
          </cell>
          <cell r="U23">
            <v>183.29628011592814</v>
          </cell>
          <cell r="V23">
            <v>191.42050125619832</v>
          </cell>
          <cell r="X23">
            <v>177.53010281779163</v>
          </cell>
          <cell r="Z23">
            <v>164.32076073439706</v>
          </cell>
          <cell r="AA23">
            <v>2.4454740435747544</v>
          </cell>
          <cell r="AB23">
            <v>540.76484049965143</v>
          </cell>
          <cell r="AC23">
            <v>161.87528669082229</v>
          </cell>
          <cell r="AD23">
            <v>376.4440797652544</v>
          </cell>
        </row>
        <row r="24">
          <cell r="A24" t="str">
            <v>CGI001-qtz06-CL-fit-3-offset</v>
          </cell>
          <cell r="B24">
            <v>750</v>
          </cell>
          <cell r="C24">
            <v>8.0537892000481889E-22</v>
          </cell>
          <cell r="D24">
            <v>1500</v>
          </cell>
          <cell r="E24">
            <v>1024</v>
          </cell>
          <cell r="F24">
            <v>1.46484375</v>
          </cell>
          <cell r="H24">
            <v>95.156083487705104</v>
          </cell>
          <cell r="I24">
            <v>103.82406558897554</v>
          </cell>
          <cell r="J24">
            <v>291.62399294701515</v>
          </cell>
          <cell r="K24">
            <v>106.53692652737809</v>
          </cell>
          <cell r="L24">
            <v>202.47690433042004</v>
          </cell>
          <cell r="M24">
            <v>85.012186748167679</v>
          </cell>
          <cell r="N24">
            <v>199.48613171089178</v>
          </cell>
          <cell r="O24">
            <v>177.0236298787116</v>
          </cell>
          <cell r="P24">
            <v>241.36722147993027</v>
          </cell>
          <cell r="Q24">
            <v>61.913441822723726</v>
          </cell>
          <cell r="R24">
            <v>118.15415638410175</v>
          </cell>
          <cell r="T24">
            <v>143.45893452739668</v>
          </cell>
          <cell r="U24">
            <v>145.08396288514982</v>
          </cell>
          <cell r="V24">
            <v>118.15415638410175</v>
          </cell>
          <cell r="X24">
            <v>135.98122912037019</v>
          </cell>
          <cell r="Z24">
            <v>138.16773383158036</v>
          </cell>
          <cell r="AA24">
            <v>45.864370630553545</v>
          </cell>
          <cell r="AB24">
            <v>306.64410829697914</v>
          </cell>
          <cell r="AC24">
            <v>92.303363201026826</v>
          </cell>
          <cell r="AD24">
            <v>168.47637446539878</v>
          </cell>
        </row>
        <row r="25">
          <cell r="A25" t="str">
            <v>CGI001-qtz06-CL-fit-4-offset</v>
          </cell>
          <cell r="B25">
            <v>750</v>
          </cell>
          <cell r="C25">
            <v>8.0537892000481889E-22</v>
          </cell>
          <cell r="D25">
            <v>1500</v>
          </cell>
          <cell r="E25">
            <v>1024</v>
          </cell>
          <cell r="F25">
            <v>1.46484375</v>
          </cell>
          <cell r="H25">
            <v>67.237534624103688</v>
          </cell>
          <cell r="I25">
            <v>109.50956410524437</v>
          </cell>
          <cell r="J25">
            <v>103.04637763512784</v>
          </cell>
          <cell r="K25">
            <v>96.178357835761858</v>
          </cell>
          <cell r="L25">
            <v>83.621343358261328</v>
          </cell>
          <cell r="M25">
            <v>80.605114364110293</v>
          </cell>
          <cell r="N25">
            <v>86.604128419228658</v>
          </cell>
          <cell r="O25">
            <v>77.324618948942472</v>
          </cell>
          <cell r="P25">
            <v>104.1197906922292</v>
          </cell>
          <cell r="Q25">
            <v>83.620149963654285</v>
          </cell>
          <cell r="R25">
            <v>95.085716914963839</v>
          </cell>
          <cell r="T25">
            <v>91.381391204256857</v>
          </cell>
          <cell r="U25">
            <v>89.292796126330529</v>
          </cell>
          <cell r="V25">
            <v>86.604128419228658</v>
          </cell>
          <cell r="X25">
            <v>90.277711592026336</v>
          </cell>
          <cell r="Z25">
            <v>88.979441883008903</v>
          </cell>
          <cell r="AA25">
            <v>55.385864370450165</v>
          </cell>
          <cell r="AB25">
            <v>133.96392758824817</v>
          </cell>
          <cell r="AC25">
            <v>33.593577512558738</v>
          </cell>
          <cell r="AD25">
            <v>44.984485705239265</v>
          </cell>
        </row>
        <row r="26">
          <cell r="A26" t="str">
            <v>CGI001-qtz07-CL-fit-1</v>
          </cell>
          <cell r="B26">
            <v>750</v>
          </cell>
          <cell r="C26">
            <v>8.0537892000481889E-22</v>
          </cell>
          <cell r="D26">
            <v>1850</v>
          </cell>
          <cell r="E26">
            <v>1024</v>
          </cell>
          <cell r="F26">
            <v>1.806640625</v>
          </cell>
          <cell r="H26">
            <v>4508.9035194377539</v>
          </cell>
          <cell r="I26">
            <v>3116.2709060970587</v>
          </cell>
          <cell r="J26">
            <v>5009.2147456942575</v>
          </cell>
          <cell r="K26">
            <v>4683.064873363448</v>
          </cell>
          <cell r="L26">
            <v>4390.3831817521695</v>
          </cell>
          <cell r="M26">
            <v>4606.1650591358411</v>
          </cell>
          <cell r="N26">
            <v>5139.6281243057256</v>
          </cell>
          <cell r="O26">
            <v>5345.2996494755653</v>
          </cell>
          <cell r="P26">
            <v>5214.1377175205953</v>
          </cell>
          <cell r="Q26">
            <v>5842.6802710048532</v>
          </cell>
          <cell r="R26">
            <v>2673.8553592302733</v>
          </cell>
          <cell r="T26">
            <v>4527.3311434304242</v>
          </cell>
          <cell r="U26">
            <v>4543.591791993701</v>
          </cell>
          <cell r="V26">
            <v>4683.064873363448</v>
          </cell>
          <cell r="X26">
            <v>4570.7730831968984</v>
          </cell>
          <cell r="Z26">
            <v>4661.6251556438965</v>
          </cell>
          <cell r="AA26">
            <v>3130.6518652729019</v>
          </cell>
          <cell r="AB26">
            <v>6976.7988011978168</v>
          </cell>
          <cell r="AC26">
            <v>1530.9732903709946</v>
          </cell>
          <cell r="AD26">
            <v>2315.1736455539203</v>
          </cell>
        </row>
        <row r="27">
          <cell r="A27" t="str">
            <v>CGI001-qtz07-CL-fit-2-offset</v>
          </cell>
          <cell r="B27">
            <v>750</v>
          </cell>
          <cell r="C27">
            <v>8.0537892000481889E-22</v>
          </cell>
          <cell r="D27">
            <v>1850</v>
          </cell>
          <cell r="E27">
            <v>1024</v>
          </cell>
          <cell r="F27">
            <v>1.806640625</v>
          </cell>
          <cell r="H27">
            <v>392.72014819196738</v>
          </cell>
          <cell r="I27">
            <v>458.33615887035103</v>
          </cell>
          <cell r="J27">
            <v>506.19026389374488</v>
          </cell>
          <cell r="K27">
            <v>259.44184498493922</v>
          </cell>
          <cell r="L27">
            <v>353.78915599464267</v>
          </cell>
          <cell r="M27">
            <v>399.26389728359516</v>
          </cell>
          <cell r="N27">
            <v>422.85783796783153</v>
          </cell>
          <cell r="O27">
            <v>201.76198200831087</v>
          </cell>
          <cell r="P27">
            <v>195.35082593494016</v>
          </cell>
          <cell r="Q27">
            <v>277.8329287358788</v>
          </cell>
          <cell r="R27">
            <v>267.63343585774771</v>
          </cell>
          <cell r="T27">
            <v>339.64283217028691</v>
          </cell>
          <cell r="U27">
            <v>331.88599684014508</v>
          </cell>
          <cell r="V27">
            <v>353.78915599464267</v>
          </cell>
          <cell r="X27">
            <v>357.41731796399642</v>
          </cell>
          <cell r="Z27">
            <v>357.40710781454294</v>
          </cell>
          <cell r="AA27">
            <v>160.9800875517376</v>
          </cell>
          <cell r="AB27">
            <v>612.97901339295606</v>
          </cell>
          <cell r="AC27">
            <v>196.42702026280534</v>
          </cell>
          <cell r="AD27">
            <v>255.57190557841312</v>
          </cell>
        </row>
        <row r="28">
          <cell r="A28" t="str">
            <v>CGI001-qtz07-CL-fit-3-offset</v>
          </cell>
          <cell r="B28">
            <v>750</v>
          </cell>
          <cell r="C28">
            <v>8.0537892000481889E-22</v>
          </cell>
          <cell r="D28">
            <v>1850</v>
          </cell>
          <cell r="E28">
            <v>1024</v>
          </cell>
          <cell r="F28">
            <v>1.806640625</v>
          </cell>
          <cell r="H28">
            <v>217.28295427112874</v>
          </cell>
          <cell r="I28">
            <v>167.1595142125166</v>
          </cell>
          <cell r="J28">
            <v>108.14892661208225</v>
          </cell>
          <cell r="K28">
            <v>147.10691455720089</v>
          </cell>
          <cell r="L28">
            <v>201.42618806581677</v>
          </cell>
          <cell r="M28">
            <v>147.77460153897187</v>
          </cell>
          <cell r="N28">
            <v>128.88181822539642</v>
          </cell>
          <cell r="O28">
            <v>109.76051986463446</v>
          </cell>
          <cell r="P28">
            <v>155.3582732490118</v>
          </cell>
          <cell r="Q28">
            <v>228.40397719762714</v>
          </cell>
          <cell r="R28">
            <v>166.65734215465082</v>
          </cell>
          <cell r="T28">
            <v>160.57916200362649</v>
          </cell>
          <cell r="U28">
            <v>159.36234473895939</v>
          </cell>
          <cell r="V28">
            <v>155.3582732490118</v>
          </cell>
          <cell r="X28">
            <v>162.47207414665417</v>
          </cell>
          <cell r="Z28">
            <v>158.07164425338775</v>
          </cell>
          <cell r="AA28">
            <v>64.211608259273874</v>
          </cell>
          <cell r="AB28">
            <v>276.43566816982747</v>
          </cell>
          <cell r="AC28">
            <v>93.860035994113872</v>
          </cell>
          <cell r="AD28">
            <v>118.36402391643972</v>
          </cell>
        </row>
        <row r="29">
          <cell r="A29" t="str">
            <v>CGI001-qtz08-CL-fit-1-offset</v>
          </cell>
          <cell r="B29">
            <v>750</v>
          </cell>
          <cell r="C29">
            <v>8.0537892000481889E-22</v>
          </cell>
          <cell r="D29">
            <v>1500</v>
          </cell>
          <cell r="E29">
            <v>1024</v>
          </cell>
          <cell r="F29">
            <v>1.46484375</v>
          </cell>
          <cell r="H29">
            <v>4446.1509423222979</v>
          </cell>
          <cell r="I29">
            <v>4079.5205020705994</v>
          </cell>
          <cell r="J29">
            <v>5839.264185739049</v>
          </cell>
          <cell r="K29">
            <v>6282.8746309902326</v>
          </cell>
          <cell r="L29">
            <v>3428.4545662272008</v>
          </cell>
          <cell r="M29">
            <v>4426.2597325543875</v>
          </cell>
          <cell r="N29">
            <v>4401.7207621314228</v>
          </cell>
          <cell r="O29">
            <v>4604.1984340099734</v>
          </cell>
          <cell r="P29">
            <v>5085.9402577699757</v>
          </cell>
          <cell r="Q29">
            <v>3705.5121581104295</v>
          </cell>
          <cell r="R29">
            <v>3249.6969531615614</v>
          </cell>
          <cell r="T29">
            <v>4412.1884633282662</v>
          </cell>
          <cell r="U29">
            <v>4461.1217166702027</v>
          </cell>
          <cell r="V29">
            <v>4426.2597325543875</v>
          </cell>
          <cell r="X29">
            <v>4418.8596186307359</v>
          </cell>
          <cell r="Z29">
            <v>4468.6163569085948</v>
          </cell>
          <cell r="AA29">
            <v>2621.2576144926711</v>
          </cell>
          <cell r="AB29">
            <v>6692.5445347330624</v>
          </cell>
          <cell r="AC29">
            <v>1847.3587424159236</v>
          </cell>
          <cell r="AD29">
            <v>2223.9281778244676</v>
          </cell>
        </row>
        <row r="30">
          <cell r="A30" t="str">
            <v>CGI001-qtz08-CL-fit-2-offset</v>
          </cell>
          <cell r="B30">
            <v>750</v>
          </cell>
          <cell r="C30">
            <v>8.0537892000481889E-22</v>
          </cell>
          <cell r="D30">
            <v>1500</v>
          </cell>
          <cell r="E30">
            <v>1024</v>
          </cell>
          <cell r="F30">
            <v>1.46484375</v>
          </cell>
          <cell r="H30">
            <v>397.01080878312217</v>
          </cell>
          <cell r="I30">
            <v>540.35704485462315</v>
          </cell>
          <cell r="J30">
            <v>422.83160776923427</v>
          </cell>
          <cell r="K30">
            <v>451.19258119859853</v>
          </cell>
          <cell r="L30">
            <v>313.89425759011471</v>
          </cell>
          <cell r="M30">
            <v>275.60751095563046</v>
          </cell>
          <cell r="N30">
            <v>656.35283887085461</v>
          </cell>
          <cell r="O30">
            <v>1110.478073459994</v>
          </cell>
          <cell r="P30">
            <v>423.64567792983615</v>
          </cell>
          <cell r="Q30">
            <v>754.81048354061045</v>
          </cell>
          <cell r="R30">
            <v>630.50835653765398</v>
          </cell>
          <cell r="T30">
            <v>568.59739400125409</v>
          </cell>
          <cell r="U30">
            <v>522.34264164030913</v>
          </cell>
          <cell r="V30">
            <v>451.19258119859853</v>
          </cell>
          <cell r="X30">
            <v>551.32963271258473</v>
          </cell>
          <cell r="Z30">
            <v>539.60571259926905</v>
          </cell>
          <cell r="AA30">
            <v>193.85679719303576</v>
          </cell>
          <cell r="AB30">
            <v>1029.9142082330413</v>
          </cell>
          <cell r="AC30">
            <v>345.74891540623332</v>
          </cell>
          <cell r="AD30">
            <v>490.30849563377228</v>
          </cell>
        </row>
        <row r="31">
          <cell r="A31" t="str">
            <v>CGI001-qtz08-CL-fit-3</v>
          </cell>
          <cell r="B31">
            <v>750</v>
          </cell>
          <cell r="C31">
            <v>8.0537892000481889E-22</v>
          </cell>
          <cell r="D31">
            <v>1500</v>
          </cell>
          <cell r="E31">
            <v>1024</v>
          </cell>
          <cell r="F31">
            <v>1.46484375</v>
          </cell>
          <cell r="H31">
            <v>394.13136283101227</v>
          </cell>
          <cell r="I31">
            <v>728.48964923833375</v>
          </cell>
          <cell r="J31">
            <v>579.43839171186062</v>
          </cell>
          <cell r="K31">
            <v>290.9318778859236</v>
          </cell>
          <cell r="L31">
            <v>594.2992400581652</v>
          </cell>
          <cell r="M31">
            <v>79.035814573808267</v>
          </cell>
          <cell r="N31">
            <v>343.27422046191583</v>
          </cell>
          <cell r="O31">
            <v>0</v>
          </cell>
          <cell r="P31">
            <v>73.402724043807808</v>
          </cell>
          <cell r="Q31">
            <v>138.75426627186926</v>
          </cell>
          <cell r="R31">
            <v>93.914614892009624</v>
          </cell>
          <cell r="T31">
            <v>447.97777430433979</v>
          </cell>
          <cell r="U31">
            <v>288.33927830067466</v>
          </cell>
          <cell r="V31">
            <v>316.56213624707249</v>
          </cell>
          <cell r="X31">
            <v>248.74832102104185</v>
          </cell>
          <cell r="Z31">
            <v>337.41473065082596</v>
          </cell>
          <cell r="AA31">
            <v>0.17799863370432034</v>
          </cell>
          <cell r="AB31">
            <v>3789.30741255871</v>
          </cell>
          <cell r="AC31">
            <v>337.23673201712165</v>
          </cell>
          <cell r="AD31">
            <v>3451.8926819078843</v>
          </cell>
        </row>
        <row r="32">
          <cell r="A32" t="str">
            <v>CGI001-qtz08-CL-fit-4-offset</v>
          </cell>
          <cell r="B32">
            <v>750</v>
          </cell>
          <cell r="C32">
            <v>8.0537892000481889E-22</v>
          </cell>
          <cell r="D32">
            <v>1500</v>
          </cell>
          <cell r="E32">
            <v>1024</v>
          </cell>
          <cell r="F32">
            <v>1.46484375</v>
          </cell>
          <cell r="H32">
            <v>72.580760855548178</v>
          </cell>
          <cell r="I32">
            <v>32.729887042614372</v>
          </cell>
          <cell r="J32">
            <v>71.667500467790092</v>
          </cell>
          <cell r="K32">
            <v>26.646660243155946</v>
          </cell>
          <cell r="L32">
            <v>28.774570363571929</v>
          </cell>
          <cell r="M32">
            <v>67.808286888791073</v>
          </cell>
          <cell r="N32">
            <v>26.247969867388669</v>
          </cell>
          <cell r="O32">
            <v>63.384621979924717</v>
          </cell>
          <cell r="P32">
            <v>17.722464859046354</v>
          </cell>
          <cell r="Q32">
            <v>27.43282571216421</v>
          </cell>
          <cell r="R32">
            <v>18.627112211004192</v>
          </cell>
          <cell r="T32">
            <v>57.457802241928313</v>
          </cell>
          <cell r="U32">
            <v>38.569740108645611</v>
          </cell>
          <cell r="V32">
            <v>28.774570363571929</v>
          </cell>
          <cell r="X32">
            <v>54.722906280097646</v>
          </cell>
          <cell r="Z32">
            <v>48.23842321360457</v>
          </cell>
          <cell r="AA32">
            <v>1.7055893023630042</v>
          </cell>
          <cell r="AB32">
            <v>145.25630250273568</v>
          </cell>
          <cell r="AC32">
            <v>46.532833911241568</v>
          </cell>
          <cell r="AD32">
            <v>97.017879289131116</v>
          </cell>
        </row>
        <row r="33">
          <cell r="A33" t="str">
            <v>CGI001-qtz09-CL-fit-1-offset</v>
          </cell>
          <cell r="B33">
            <v>750</v>
          </cell>
          <cell r="C33">
            <v>8.0537892000481889E-22</v>
          </cell>
          <cell r="D33">
            <v>1500</v>
          </cell>
          <cell r="E33">
            <v>1024</v>
          </cell>
          <cell r="F33">
            <v>1.46484375</v>
          </cell>
          <cell r="H33">
            <v>574.78864251990194</v>
          </cell>
          <cell r="I33">
            <v>532.30592139626617</v>
          </cell>
          <cell r="J33">
            <v>445.00980602760109</v>
          </cell>
          <cell r="K33">
            <v>831.02146719120424</v>
          </cell>
          <cell r="L33">
            <v>442.19602408697722</v>
          </cell>
          <cell r="M33">
            <v>1065.3038134450264</v>
          </cell>
          <cell r="N33">
            <v>382.23375034882588</v>
          </cell>
          <cell r="O33">
            <v>519.23891647069104</v>
          </cell>
          <cell r="P33">
            <v>858.33027189164875</v>
          </cell>
          <cell r="Q33">
            <v>359.55861773593762</v>
          </cell>
          <cell r="R33">
            <v>545.24309048419912</v>
          </cell>
          <cell r="T33">
            <v>577.01523849676119</v>
          </cell>
          <cell r="U33">
            <v>578.5512433733428</v>
          </cell>
          <cell r="V33">
            <v>532.30592139626617</v>
          </cell>
          <cell r="X33">
            <v>599.30415636579437</v>
          </cell>
          <cell r="Z33">
            <v>588.0566953098164</v>
          </cell>
          <cell r="AA33">
            <v>273.06694719658293</v>
          </cell>
          <cell r="AB33">
            <v>1078.7825715351428</v>
          </cell>
          <cell r="AC33">
            <v>314.98974811323347</v>
          </cell>
          <cell r="AD33">
            <v>490.72587622532637</v>
          </cell>
        </row>
        <row r="34">
          <cell r="A34" t="str">
            <v>CGI001-qtz09-CL-fit-2-offset</v>
          </cell>
          <cell r="B34">
            <v>750</v>
          </cell>
          <cell r="C34">
            <v>8.0537892000481889E-22</v>
          </cell>
          <cell r="D34">
            <v>1500</v>
          </cell>
          <cell r="E34">
            <v>1024</v>
          </cell>
          <cell r="F34">
            <v>1.46484375</v>
          </cell>
          <cell r="H34">
            <v>200.58393995133775</v>
          </cell>
          <cell r="I34">
            <v>25.672166719850953</v>
          </cell>
          <cell r="J34">
            <v>180.26052780071296</v>
          </cell>
          <cell r="K34">
            <v>178.13258884725019</v>
          </cell>
          <cell r="L34">
            <v>117.63688367620615</v>
          </cell>
          <cell r="M34">
            <v>50.947124643693606</v>
          </cell>
          <cell r="N34">
            <v>303.51068800419301</v>
          </cell>
          <cell r="O34">
            <v>116.70193590681005</v>
          </cell>
          <cell r="P34">
            <v>17.410147855298231</v>
          </cell>
          <cell r="Q34">
            <v>38.803560099712548</v>
          </cell>
          <cell r="R34">
            <v>260.40013645673946</v>
          </cell>
          <cell r="T34">
            <v>140.4878299744345</v>
          </cell>
          <cell r="U34">
            <v>116.54027398591124</v>
          </cell>
          <cell r="V34">
            <v>117.63688367620615</v>
          </cell>
          <cell r="X34">
            <v>120.24589696517586</v>
          </cell>
          <cell r="Z34">
            <v>111.96105812843216</v>
          </cell>
          <cell r="AA34">
            <v>0.55379426078562344</v>
          </cell>
          <cell r="AB34">
            <v>492.97552194287624</v>
          </cell>
          <cell r="AC34">
            <v>111.40726386764653</v>
          </cell>
          <cell r="AD34">
            <v>381.01446381444407</v>
          </cell>
        </row>
        <row r="35">
          <cell r="A35" t="str">
            <v>CGI001-qtz09-CL-fit-3-offset</v>
          </cell>
          <cell r="B35">
            <v>750</v>
          </cell>
          <cell r="C35">
            <v>8.0537892000481889E-22</v>
          </cell>
          <cell r="D35">
            <v>1500</v>
          </cell>
          <cell r="E35">
            <v>1024</v>
          </cell>
          <cell r="F35">
            <v>1.46484375</v>
          </cell>
          <cell r="H35">
            <v>141.12905044265162</v>
          </cell>
          <cell r="I35">
            <v>238.87334350402168</v>
          </cell>
          <cell r="J35">
            <v>54.243425571077076</v>
          </cell>
          <cell r="K35">
            <v>101.70045014181963</v>
          </cell>
          <cell r="L35">
            <v>111.34162243998514</v>
          </cell>
          <cell r="M35">
            <v>41.306736187990857</v>
          </cell>
          <cell r="N35">
            <v>55.840160461083251</v>
          </cell>
          <cell r="O35">
            <v>73.54498683566004</v>
          </cell>
          <cell r="P35">
            <v>125.14683190722805</v>
          </cell>
          <cell r="Q35">
            <v>60.277608554882782</v>
          </cell>
          <cell r="R35">
            <v>0.99984696937382811</v>
          </cell>
          <cell r="T35">
            <v>60.634987667903395</v>
          </cell>
          <cell r="U35">
            <v>78.988503775662153</v>
          </cell>
          <cell r="V35">
            <v>73.54498683566004</v>
          </cell>
          <cell r="X35">
            <v>66.864689424776273</v>
          </cell>
          <cell r="Z35">
            <v>84.868464718814238</v>
          </cell>
          <cell r="AA35">
            <v>1.2107819436482834</v>
          </cell>
          <cell r="AB35">
            <v>613.24166192305961</v>
          </cell>
          <cell r="AC35">
            <v>83.657682775165952</v>
          </cell>
          <cell r="AD35">
            <v>528.37319720424534</v>
          </cell>
        </row>
        <row r="36">
          <cell r="A36" t="str">
            <v>CGI001-qtz10-CL-fit-1-offset</v>
          </cell>
          <cell r="B36">
            <v>750</v>
          </cell>
          <cell r="C36">
            <v>8.0537892000481889E-22</v>
          </cell>
          <cell r="D36">
            <v>2000</v>
          </cell>
          <cell r="E36">
            <v>1024</v>
          </cell>
          <cell r="F36">
            <v>1.953125</v>
          </cell>
          <cell r="H36">
            <v>885.74411423181243</v>
          </cell>
          <cell r="I36">
            <v>776.62882287026639</v>
          </cell>
          <cell r="J36">
            <v>583.99173932369899</v>
          </cell>
          <cell r="K36">
            <v>842.38616032665755</v>
          </cell>
          <cell r="L36">
            <v>463.65002814853335</v>
          </cell>
          <cell r="M36">
            <v>860.76397748133036</v>
          </cell>
          <cell r="N36">
            <v>693.66828327791188</v>
          </cell>
          <cell r="O36">
            <v>817.77858580802479</v>
          </cell>
          <cell r="P36">
            <v>1225.0177961852391</v>
          </cell>
          <cell r="Q36">
            <v>1157.6531485791354</v>
          </cell>
          <cell r="R36">
            <v>873.60098784836214</v>
          </cell>
          <cell r="T36">
            <v>833.17193481185257</v>
          </cell>
          <cell r="U36">
            <v>821.11604970093947</v>
          </cell>
          <cell r="V36">
            <v>842.38616032665755</v>
          </cell>
          <cell r="X36">
            <v>819.07117713676632</v>
          </cell>
          <cell r="Z36">
            <v>821.48509655199234</v>
          </cell>
          <cell r="AA36">
            <v>417.17274863302498</v>
          </cell>
          <cell r="AB36">
            <v>1360.4540906026102</v>
          </cell>
          <cell r="AC36">
            <v>404.31234791896736</v>
          </cell>
          <cell r="AD36">
            <v>538.96899405061788</v>
          </cell>
        </row>
        <row r="37">
          <cell r="A37" t="str">
            <v>CGI001-qtz10-CL-fit-2</v>
          </cell>
          <cell r="B37">
            <v>750</v>
          </cell>
          <cell r="C37">
            <v>8.0537892000481889E-22</v>
          </cell>
          <cell r="D37">
            <v>2000</v>
          </cell>
          <cell r="E37">
            <v>1024</v>
          </cell>
          <cell r="F37">
            <v>1.953125</v>
          </cell>
          <cell r="H37">
            <v>406.66344632527068</v>
          </cell>
          <cell r="I37">
            <v>199.79350540103746</v>
          </cell>
          <cell r="J37">
            <v>527.25522188774994</v>
          </cell>
          <cell r="K37">
            <v>233.16586834490295</v>
          </cell>
          <cell r="L37">
            <v>234.13695733486472</v>
          </cell>
          <cell r="M37">
            <v>314.51254611825601</v>
          </cell>
          <cell r="N37">
            <v>282.29761684070183</v>
          </cell>
          <cell r="O37">
            <v>387.02230744689524</v>
          </cell>
          <cell r="P37">
            <v>299.49230555049678</v>
          </cell>
          <cell r="Q37">
            <v>174.20152531613337</v>
          </cell>
          <cell r="R37">
            <v>172.40687295935095</v>
          </cell>
          <cell r="T37">
            <v>269.9591039591192</v>
          </cell>
          <cell r="U37">
            <v>284.92808146834818</v>
          </cell>
          <cell r="V37">
            <v>282.29761684070183</v>
          </cell>
          <cell r="X37">
            <v>269.36933978897156</v>
          </cell>
          <cell r="Z37">
            <v>272.36911881466455</v>
          </cell>
          <cell r="AA37">
            <v>142.1153678310047</v>
          </cell>
          <cell r="AB37">
            <v>471.37240360705658</v>
          </cell>
          <cell r="AC37">
            <v>130.25375098365984</v>
          </cell>
          <cell r="AD37">
            <v>199.00328479239204</v>
          </cell>
        </row>
        <row r="38">
          <cell r="A38" t="str">
            <v>CGI001-qtz10-CL-fit-3-offset</v>
          </cell>
          <cell r="B38">
            <v>750</v>
          </cell>
          <cell r="C38">
            <v>8.0537892000481889E-22</v>
          </cell>
          <cell r="D38">
            <v>2000</v>
          </cell>
          <cell r="E38">
            <v>1024</v>
          </cell>
          <cell r="F38">
            <v>1.953125</v>
          </cell>
          <cell r="H38">
            <v>7595.423208962532</v>
          </cell>
          <cell r="I38">
            <v>9179.5134414329477</v>
          </cell>
          <cell r="J38">
            <v>9160.1587036864494</v>
          </cell>
          <cell r="K38">
            <v>7970.7271038881236</v>
          </cell>
          <cell r="L38">
            <v>7145.8386429746724</v>
          </cell>
          <cell r="M38">
            <v>7238.6189325354899</v>
          </cell>
          <cell r="N38">
            <v>6152.0889378060128</v>
          </cell>
          <cell r="O38">
            <v>7657.1237236480374</v>
          </cell>
          <cell r="P38">
            <v>6848.6151883028861</v>
          </cell>
          <cell r="Q38">
            <v>6125.8610800653687</v>
          </cell>
          <cell r="R38">
            <v>4363.8858963559833</v>
          </cell>
          <cell r="T38">
            <v>7118.4459945228737</v>
          </cell>
          <cell r="U38">
            <v>7156.9521373159596</v>
          </cell>
          <cell r="V38">
            <v>7238.6189325354899</v>
          </cell>
          <cell r="X38">
            <v>6999.8926947439668</v>
          </cell>
          <cell r="Z38">
            <v>7136.8747954462933</v>
          </cell>
          <cell r="AA38">
            <v>4945.8232081567357</v>
          </cell>
          <cell r="AB38">
            <v>9845.7847461932179</v>
          </cell>
          <cell r="AC38">
            <v>2191.0515872895576</v>
          </cell>
          <cell r="AD38">
            <v>2708.9099507469246</v>
          </cell>
        </row>
        <row r="39">
          <cell r="A39" t="str">
            <v>CGI001-qtz10-CL-fit-4</v>
          </cell>
          <cell r="B39">
            <v>750</v>
          </cell>
          <cell r="C39">
            <v>8.0537892000481889E-22</v>
          </cell>
          <cell r="D39">
            <v>2000</v>
          </cell>
          <cell r="E39">
            <v>1024</v>
          </cell>
          <cell r="F39">
            <v>1.953125</v>
          </cell>
          <cell r="H39">
            <v>158.49819390016597</v>
          </cell>
          <cell r="I39">
            <v>177.33341545433643</v>
          </cell>
          <cell r="J39">
            <v>199.11388543943588</v>
          </cell>
          <cell r="K39">
            <v>134.65294163635315</v>
          </cell>
          <cell r="L39">
            <v>87.795621840702793</v>
          </cell>
          <cell r="M39">
            <v>126.11695253828141</v>
          </cell>
          <cell r="N39">
            <v>199.47248569202847</v>
          </cell>
          <cell r="O39">
            <v>185.19404657174738</v>
          </cell>
          <cell r="P39">
            <v>168.9526087432935</v>
          </cell>
          <cell r="Q39">
            <v>138.23313803205139</v>
          </cell>
          <cell r="R39">
            <v>70.412486606248166</v>
          </cell>
          <cell r="T39">
            <v>147.95976784052039</v>
          </cell>
          <cell r="U39">
            <v>146.40973871127369</v>
          </cell>
          <cell r="V39">
            <v>158.49819390016597</v>
          </cell>
          <cell r="X39">
            <v>145.67060213895181</v>
          </cell>
          <cell r="Z39">
            <v>145.72793171138218</v>
          </cell>
          <cell r="AA39">
            <v>61.470592467365748</v>
          </cell>
          <cell r="AB39">
            <v>276.59793978172905</v>
          </cell>
          <cell r="AC39">
            <v>84.257339244016435</v>
          </cell>
          <cell r="AD39">
            <v>130.87000807034687</v>
          </cell>
        </row>
        <row r="40">
          <cell r="A40" t="str">
            <v>CGI001-qtz10-CL-fit-5-offset</v>
          </cell>
          <cell r="B40">
            <v>750</v>
          </cell>
          <cell r="C40">
            <v>8.0537892000481889E-22</v>
          </cell>
          <cell r="D40">
            <v>2000</v>
          </cell>
          <cell r="E40">
            <v>1024</v>
          </cell>
          <cell r="F40">
            <v>1.953125</v>
          </cell>
          <cell r="H40">
            <v>30.115400254309442</v>
          </cell>
          <cell r="I40">
            <v>38.567518593124596</v>
          </cell>
          <cell r="J40">
            <v>44.912019329805446</v>
          </cell>
          <cell r="K40">
            <v>46.978742990873819</v>
          </cell>
          <cell r="L40">
            <v>32.151967969482399</v>
          </cell>
          <cell r="M40">
            <v>38.865979535982646</v>
          </cell>
          <cell r="N40">
            <v>12.781044108466332</v>
          </cell>
          <cell r="O40">
            <v>19.88312498252634</v>
          </cell>
          <cell r="P40">
            <v>23.783752355858031</v>
          </cell>
          <cell r="Q40">
            <v>22.315028586155325</v>
          </cell>
          <cell r="R40">
            <v>43.854751769095017</v>
          </cell>
          <cell r="T40">
            <v>41.851935689512523</v>
          </cell>
          <cell r="U40">
            <v>31.172365177105739</v>
          </cell>
          <cell r="V40">
            <v>32.151967969482399</v>
          </cell>
          <cell r="X40">
            <v>30.787311109053263</v>
          </cell>
          <cell r="Z40">
            <v>27.480943837535357</v>
          </cell>
          <cell r="AA40">
            <v>1.3188896080976245</v>
          </cell>
          <cell r="AB40">
            <v>98.218263807071835</v>
          </cell>
          <cell r="AC40">
            <v>26.162054229437732</v>
          </cell>
          <cell r="AD40">
            <v>70.737319969536486</v>
          </cell>
        </row>
        <row r="41">
          <cell r="A41" t="str">
            <v>CGI001-qtz11-CL-fit-1</v>
          </cell>
          <cell r="B41">
            <v>750</v>
          </cell>
          <cell r="C41">
            <v>8.0537892000481889E-22</v>
          </cell>
          <cell r="D41">
            <v>1500</v>
          </cell>
          <cell r="E41">
            <v>1024</v>
          </cell>
          <cell r="F41">
            <v>1.46484375</v>
          </cell>
          <cell r="H41">
            <v>2372.3255204754455</v>
          </cell>
          <cell r="I41">
            <v>1673.4320884589993</v>
          </cell>
          <cell r="J41">
            <v>2303.470815632134</v>
          </cell>
          <cell r="K41">
            <v>1981.7693451109481</v>
          </cell>
          <cell r="L41">
            <v>3723.8312078940644</v>
          </cell>
          <cell r="M41">
            <v>2307.6895615711628</v>
          </cell>
          <cell r="N41">
            <v>2774.544035306511</v>
          </cell>
          <cell r="O41">
            <v>2398.9928156655783</v>
          </cell>
          <cell r="P41">
            <v>1663.0828778940806</v>
          </cell>
          <cell r="Q41">
            <v>2606.6707545238069</v>
          </cell>
          <cell r="R41">
            <v>1992.427052389467</v>
          </cell>
          <cell r="T41">
            <v>2265.4502841256945</v>
          </cell>
          <cell r="U41">
            <v>2315.4805801226275</v>
          </cell>
          <cell r="V41">
            <v>2307.6895615711628</v>
          </cell>
          <cell r="X41">
            <v>2282.9368442917121</v>
          </cell>
          <cell r="Z41">
            <v>2353.032819442692</v>
          </cell>
          <cell r="AA41">
            <v>858.96449887364508</v>
          </cell>
          <cell r="AB41">
            <v>5586.3534744268391</v>
          </cell>
          <cell r="AC41">
            <v>1494.068320569047</v>
          </cell>
          <cell r="AD41">
            <v>3233.320654984147</v>
          </cell>
        </row>
        <row r="42">
          <cell r="A42" t="str">
            <v>CGI001-qtz11-CL-fit-2-offset</v>
          </cell>
          <cell r="B42">
            <v>750</v>
          </cell>
          <cell r="C42">
            <v>8.0537892000481889E-22</v>
          </cell>
          <cell r="D42">
            <v>1500</v>
          </cell>
          <cell r="E42">
            <v>1024</v>
          </cell>
          <cell r="F42">
            <v>1.46484375</v>
          </cell>
          <cell r="H42">
            <v>27.471743184451025</v>
          </cell>
          <cell r="I42">
            <v>37.173650271854342</v>
          </cell>
          <cell r="J42">
            <v>12.106418137748475</v>
          </cell>
          <cell r="K42">
            <v>58.128460856262677</v>
          </cell>
          <cell r="L42">
            <v>33.080413516178758</v>
          </cell>
          <cell r="M42">
            <v>32.298336190321088</v>
          </cell>
          <cell r="N42">
            <v>33.88743658385004</v>
          </cell>
          <cell r="O42">
            <v>60.921503793893002</v>
          </cell>
          <cell r="P42">
            <v>16.60995027679316</v>
          </cell>
          <cell r="Q42">
            <v>44.423337573559927</v>
          </cell>
          <cell r="R42">
            <v>102.44044181081773</v>
          </cell>
          <cell r="T42">
            <v>45.151116732761167</v>
          </cell>
          <cell r="U42">
            <v>38.626377020124174</v>
          </cell>
          <cell r="V42">
            <v>33.88743658385004</v>
          </cell>
          <cell r="X42">
            <v>39.652024046113574</v>
          </cell>
          <cell r="Z42">
            <v>35.554084211458303</v>
          </cell>
          <cell r="AA42">
            <v>1.2344185211205989</v>
          </cell>
          <cell r="AB42">
            <v>107.9067640731907</v>
          </cell>
          <cell r="AC42">
            <v>34.3196656903377</v>
          </cell>
          <cell r="AD42">
            <v>72.352679861732398</v>
          </cell>
        </row>
        <row r="43">
          <cell r="A43" t="str">
            <v>CGI001-qtz12-CL-fit-1</v>
          </cell>
          <cell r="B43">
            <v>750</v>
          </cell>
          <cell r="C43">
            <v>8.0537892000481889E-22</v>
          </cell>
          <cell r="D43">
            <v>2100</v>
          </cell>
          <cell r="E43">
            <v>1024</v>
          </cell>
          <cell r="F43">
            <v>2.05078125</v>
          </cell>
          <cell r="H43">
            <v>1700.0711905166563</v>
          </cell>
          <cell r="I43">
            <v>297.5707130325921</v>
          </cell>
          <cell r="J43">
            <v>2074.5197035814635</v>
          </cell>
          <cell r="K43">
            <v>1073.81108717393</v>
          </cell>
          <cell r="L43">
            <v>1242.6745307536212</v>
          </cell>
          <cell r="M43">
            <v>389.32921870812436</v>
          </cell>
          <cell r="N43">
            <v>849.18372075877335</v>
          </cell>
          <cell r="O43">
            <v>2378.696683212816</v>
          </cell>
          <cell r="P43">
            <v>3336.0636124719554</v>
          </cell>
          <cell r="Q43">
            <v>68.274661929832774</v>
          </cell>
          <cell r="R43">
            <v>362.22005257596817</v>
          </cell>
          <cell r="T43">
            <v>1665.5606718286194</v>
          </cell>
          <cell r="U43">
            <v>1040.0470340987979</v>
          </cell>
          <cell r="V43">
            <v>1073.81108717393</v>
          </cell>
          <cell r="X43">
            <v>1547.7435253591618</v>
          </cell>
          <cell r="Z43">
            <v>1804.371789414716</v>
          </cell>
          <cell r="AA43">
            <v>13.729493718253217</v>
          </cell>
          <cell r="AB43">
            <v>9921.2877457639988</v>
          </cell>
          <cell r="AC43">
            <v>1790.6422956964627</v>
          </cell>
          <cell r="AD43">
            <v>8116.9159563492831</v>
          </cell>
        </row>
        <row r="44">
          <cell r="A44" t="str">
            <v>CGI001-qtz12-CL-fit-2-offset</v>
          </cell>
          <cell r="B44">
            <v>750</v>
          </cell>
          <cell r="C44">
            <v>8.0537892000481889E-22</v>
          </cell>
          <cell r="D44">
            <v>2100</v>
          </cell>
          <cell r="E44">
            <v>1024</v>
          </cell>
          <cell r="F44">
            <v>2.05078125</v>
          </cell>
          <cell r="H44">
            <v>3135.961356506954</v>
          </cell>
          <cell r="I44">
            <v>2745.4846856292115</v>
          </cell>
          <cell r="J44">
            <v>1777.2695268761286</v>
          </cell>
          <cell r="K44">
            <v>1404.8690407172103</v>
          </cell>
          <cell r="L44">
            <v>2128.7934686935573</v>
          </cell>
          <cell r="M44">
            <v>2526.0521317939056</v>
          </cell>
          <cell r="N44">
            <v>1925.1771960820226</v>
          </cell>
          <cell r="O44">
            <v>2112.7697149506134</v>
          </cell>
          <cell r="P44">
            <v>2105.1203794798294</v>
          </cell>
          <cell r="Q44">
            <v>3410.0508577106734</v>
          </cell>
          <cell r="R44">
            <v>2156.1930851349694</v>
          </cell>
          <cell r="T44">
            <v>2352.8245865704685</v>
          </cell>
          <cell r="U44">
            <v>2277.7949821659113</v>
          </cell>
          <cell r="V44">
            <v>2128.7934686935573</v>
          </cell>
          <cell r="X44">
            <v>2263.7163911317703</v>
          </cell>
          <cell r="Z44">
            <v>2282.5195585620945</v>
          </cell>
          <cell r="AA44">
            <v>1141.5152628327889</v>
          </cell>
          <cell r="AB44">
            <v>3888.5834418865325</v>
          </cell>
          <cell r="AC44">
            <v>1141.0042957293056</v>
          </cell>
          <cell r="AD44">
            <v>1606.0638833244379</v>
          </cell>
        </row>
        <row r="45">
          <cell r="A45" t="str">
            <v>CGI001-qtz12-CL-fit-3-offset</v>
          </cell>
          <cell r="B45">
            <v>750</v>
          </cell>
          <cell r="C45">
            <v>8.0537892000481889E-22</v>
          </cell>
          <cell r="D45">
            <v>2100</v>
          </cell>
          <cell r="E45">
            <v>1024</v>
          </cell>
          <cell r="F45">
            <v>2.05078125</v>
          </cell>
          <cell r="H45">
            <v>34.8987061179823</v>
          </cell>
          <cell r="I45">
            <v>0.75238746385139899</v>
          </cell>
          <cell r="J45">
            <v>9.7376149309758991E-2</v>
          </cell>
          <cell r="K45">
            <v>120.84416694196027</v>
          </cell>
          <cell r="L45">
            <v>167.10389142963135</v>
          </cell>
          <cell r="M45">
            <v>296.41707149633265</v>
          </cell>
          <cell r="N45">
            <v>166.89125905373885</v>
          </cell>
          <cell r="O45">
            <v>338.28992338066809</v>
          </cell>
          <cell r="P45">
            <v>396.57517076578944</v>
          </cell>
          <cell r="Q45">
            <v>703.26085684509928</v>
          </cell>
          <cell r="R45">
            <v>794.32848536960648</v>
          </cell>
          <cell r="T45">
            <v>46.857293428085782</v>
          </cell>
          <cell r="U45">
            <v>196.38687038729589</v>
          </cell>
          <cell r="V45">
            <v>167.10389142963135</v>
          </cell>
          <cell r="X45">
            <v>39.839129444215217</v>
          </cell>
          <cell r="Z45">
            <v>75.165493769254027</v>
          </cell>
          <cell r="AA45">
            <v>1.1411864903815107E-9</v>
          </cell>
          <cell r="AB45">
            <v>566.53443491292762</v>
          </cell>
          <cell r="AC45">
            <v>75.165493768112839</v>
          </cell>
          <cell r="AD45">
            <v>491.36894114367362</v>
          </cell>
        </row>
        <row r="46">
          <cell r="A46" t="str">
            <v>CGI001-qtz12-CL-fit-4-offset</v>
          </cell>
          <cell r="B46">
            <v>750</v>
          </cell>
          <cell r="C46">
            <v>8.0537892000481889E-22</v>
          </cell>
          <cell r="D46">
            <v>2100</v>
          </cell>
          <cell r="E46">
            <v>1024</v>
          </cell>
          <cell r="F46">
            <v>2.05078125</v>
          </cell>
          <cell r="H46">
            <v>5.2218506508952487</v>
          </cell>
          <cell r="I46">
            <v>34.428221413955079</v>
          </cell>
          <cell r="J46">
            <v>91.59006046056642</v>
          </cell>
          <cell r="K46">
            <v>74.228425530137699</v>
          </cell>
          <cell r="L46">
            <v>24.466455952965198</v>
          </cell>
          <cell r="M46">
            <v>18.565986622955197</v>
          </cell>
          <cell r="N46">
            <v>58.255138868121023</v>
          </cell>
          <cell r="O46">
            <v>2.9056560088082222</v>
          </cell>
          <cell r="P46">
            <v>16.475754431424107</v>
          </cell>
          <cell r="Q46">
            <v>2.3916949456971524</v>
          </cell>
          <cell r="R46">
            <v>3.814120900532473</v>
          </cell>
          <cell r="T46">
            <v>44.77223690281766</v>
          </cell>
          <cell r="U46">
            <v>22.769698040711638</v>
          </cell>
          <cell r="V46">
            <v>18.565986622955197</v>
          </cell>
          <cell r="X46">
            <v>29.867772937744768</v>
          </cell>
          <cell r="Z46">
            <v>27.01109297962163</v>
          </cell>
          <cell r="AA46">
            <v>4.622826714498396E-6</v>
          </cell>
          <cell r="AB46">
            <v>121.30856084816124</v>
          </cell>
          <cell r="AC46">
            <v>27.011088356794914</v>
          </cell>
          <cell r="AD46">
            <v>94.297467868539599</v>
          </cell>
        </row>
        <row r="47">
          <cell r="A47" t="str">
            <v>CGI005-qtz01-CL-fit-1-offset</v>
          </cell>
          <cell r="B47">
            <v>750</v>
          </cell>
          <cell r="C47">
            <v>8.0537892000481889E-22</v>
          </cell>
          <cell r="D47">
            <v>1700</v>
          </cell>
          <cell r="E47">
            <v>1024</v>
          </cell>
          <cell r="F47">
            <v>1.66015625</v>
          </cell>
          <cell r="H47">
            <v>1363.8088516342623</v>
          </cell>
          <cell r="I47">
            <v>2124.4646931223542</v>
          </cell>
          <cell r="J47">
            <v>1596.8220540315331</v>
          </cell>
          <cell r="K47">
            <v>1351.4546759101263</v>
          </cell>
          <cell r="L47">
            <v>297.34036179676087</v>
          </cell>
          <cell r="M47">
            <v>605.86754003780652</v>
          </cell>
          <cell r="N47">
            <v>1250.8119511585937</v>
          </cell>
          <cell r="O47">
            <v>1947.0129158795044</v>
          </cell>
          <cell r="P47">
            <v>3058.3349374426962</v>
          </cell>
          <cell r="Q47">
            <v>1694.3177043848252</v>
          </cell>
          <cell r="R47">
            <v>1713.8615389268164</v>
          </cell>
          <cell r="T47">
            <v>1430.1936276204317</v>
          </cell>
          <cell r="U47">
            <v>1450.6191033734719</v>
          </cell>
          <cell r="V47">
            <v>1596.8220540315331</v>
          </cell>
          <cell r="X47">
            <v>1206.3832158788794</v>
          </cell>
          <cell r="Z47">
            <v>1306.9586841622684</v>
          </cell>
          <cell r="AA47">
            <v>42.650744805138885</v>
          </cell>
          <cell r="AB47">
            <v>4580.8884977335401</v>
          </cell>
          <cell r="AC47">
            <v>1264.3079393571295</v>
          </cell>
          <cell r="AD47">
            <v>3273.9298135712716</v>
          </cell>
        </row>
        <row r="48">
          <cell r="A48" t="str">
            <v>CGI005-qtz01-CL-fit-2</v>
          </cell>
          <cell r="B48">
            <v>750</v>
          </cell>
          <cell r="C48">
            <v>8.0537892000481889E-22</v>
          </cell>
          <cell r="D48">
            <v>1700</v>
          </cell>
          <cell r="E48">
            <v>1024</v>
          </cell>
          <cell r="F48">
            <v>1.66015625</v>
          </cell>
          <cell r="H48">
            <v>1972.7577154134431</v>
          </cell>
          <cell r="I48">
            <v>2319.0596323321247</v>
          </cell>
          <cell r="J48">
            <v>2062.7604122176181</v>
          </cell>
          <cell r="K48">
            <v>1006.0549737288445</v>
          </cell>
          <cell r="L48">
            <v>1213.3893064766553</v>
          </cell>
          <cell r="M48">
            <v>2408.7413807521689</v>
          </cell>
          <cell r="N48">
            <v>1780.2175455537467</v>
          </cell>
          <cell r="O48">
            <v>2750.3350875548012</v>
          </cell>
          <cell r="P48">
            <v>2990.01070362376</v>
          </cell>
          <cell r="Q48">
            <v>2185.3964348531645</v>
          </cell>
          <cell r="R48">
            <v>2886.2025706642103</v>
          </cell>
          <cell r="T48">
            <v>2037.0466461274661</v>
          </cell>
          <cell r="U48">
            <v>2094.3926068837623</v>
          </cell>
          <cell r="V48">
            <v>2185.3964348531645</v>
          </cell>
          <cell r="X48">
            <v>1847.9244863225431</v>
          </cell>
          <cell r="Z48">
            <v>1899.3967238572552</v>
          </cell>
          <cell r="AA48">
            <v>916.6912142688733</v>
          </cell>
          <cell r="AB48">
            <v>3836.7117617252825</v>
          </cell>
          <cell r="AC48">
            <v>982.70550958838191</v>
          </cell>
          <cell r="AD48">
            <v>1937.3150378680273</v>
          </cell>
        </row>
        <row r="49">
          <cell r="A49" t="str">
            <v>CGI005-qtz01-CL-fit-3-offset</v>
          </cell>
          <cell r="B49">
            <v>750</v>
          </cell>
          <cell r="C49">
            <v>8.0537892000481889E-22</v>
          </cell>
          <cell r="D49">
            <v>1700</v>
          </cell>
          <cell r="E49">
            <v>1024</v>
          </cell>
          <cell r="F49">
            <v>1.66015625</v>
          </cell>
          <cell r="H49">
            <v>1417.3778850976878</v>
          </cell>
          <cell r="I49">
            <v>1174.2266809264029</v>
          </cell>
          <cell r="J49">
            <v>835.72825923745745</v>
          </cell>
          <cell r="K49">
            <v>1302.0171622902662</v>
          </cell>
          <cell r="L49">
            <v>271.48989713218555</v>
          </cell>
          <cell r="M49">
            <v>1002.4588340185289</v>
          </cell>
          <cell r="N49">
            <v>1137.9636796208595</v>
          </cell>
          <cell r="O49">
            <v>1177.8987876902399</v>
          </cell>
          <cell r="P49">
            <v>1107.9418612712925</v>
          </cell>
          <cell r="Q49">
            <v>1378.5521547254946</v>
          </cell>
          <cell r="R49">
            <v>884.61056808600688</v>
          </cell>
          <cell r="T49">
            <v>1076.8327153940659</v>
          </cell>
          <cell r="U49">
            <v>1031.3286243889274</v>
          </cell>
          <cell r="V49">
            <v>1137.9636796208595</v>
          </cell>
          <cell r="X49">
            <v>1067.652838260967</v>
          </cell>
          <cell r="Z49">
            <v>1055.4176700275823</v>
          </cell>
          <cell r="AA49">
            <v>512.8328775714624</v>
          </cell>
          <cell r="AB49">
            <v>1744.5687554411754</v>
          </cell>
          <cell r="AC49">
            <v>542.58479245611989</v>
          </cell>
          <cell r="AD49">
            <v>689.15108541359314</v>
          </cell>
          <cell r="AY49" t="str">
            <v>why do error bars go to zero? Pattern?</v>
          </cell>
        </row>
        <row r="50">
          <cell r="A50" t="str">
            <v>CGI005-qtz01-CL-fit-4-offset</v>
          </cell>
          <cell r="B50">
            <v>750</v>
          </cell>
          <cell r="C50">
            <v>8.0537892000481889E-22</v>
          </cell>
          <cell r="D50">
            <v>1700</v>
          </cell>
          <cell r="E50">
            <v>1024</v>
          </cell>
          <cell r="F50">
            <v>1.66015625</v>
          </cell>
          <cell r="H50">
            <v>59.764570626081259</v>
          </cell>
          <cell r="I50">
            <v>58.320553072454111</v>
          </cell>
          <cell r="J50">
            <v>89.525034170026345</v>
          </cell>
          <cell r="K50">
            <v>91.522216663775893</v>
          </cell>
          <cell r="L50">
            <v>136.65737348253282</v>
          </cell>
          <cell r="M50">
            <v>86.52297436163721</v>
          </cell>
          <cell r="N50">
            <v>106.5694771283477</v>
          </cell>
          <cell r="O50">
            <v>91.248551805071543</v>
          </cell>
          <cell r="P50">
            <v>105.60442915841335</v>
          </cell>
          <cell r="Q50">
            <v>119.07008775686445</v>
          </cell>
          <cell r="R50">
            <v>90.052122801065252</v>
          </cell>
          <cell r="T50">
            <v>94.360336998189752</v>
          </cell>
          <cell r="U50">
            <v>92.756911063691874</v>
          </cell>
          <cell r="V50">
            <v>91.248551805071543</v>
          </cell>
          <cell r="X50">
            <v>94.508104346599026</v>
          </cell>
          <cell r="Z50">
            <v>91.375086146466302</v>
          </cell>
          <cell r="AA50">
            <v>22.819882654141541</v>
          </cell>
          <cell r="AB50">
            <v>170.6574669091118</v>
          </cell>
          <cell r="AC50">
            <v>68.555203492324765</v>
          </cell>
          <cell r="AD50">
            <v>79.282380762645502</v>
          </cell>
        </row>
        <row r="51">
          <cell r="A51" t="str">
            <v>CGI005-qtz01-CL-fit-5-offset</v>
          </cell>
          <cell r="B51">
            <v>750</v>
          </cell>
          <cell r="C51">
            <v>8.0537892000481889E-22</v>
          </cell>
          <cell r="D51">
            <v>1700</v>
          </cell>
          <cell r="E51">
            <v>1024</v>
          </cell>
          <cell r="F51">
            <v>1.66015625</v>
          </cell>
          <cell r="H51">
            <v>518.94234119507666</v>
          </cell>
          <cell r="I51">
            <v>258.41421752439521</v>
          </cell>
          <cell r="J51">
            <v>335.50248203829136</v>
          </cell>
          <cell r="K51">
            <v>367.64821450912581</v>
          </cell>
          <cell r="L51">
            <v>330.11242767307073</v>
          </cell>
          <cell r="M51">
            <v>438.77253811027043</v>
          </cell>
          <cell r="N51">
            <v>465.1087085272527</v>
          </cell>
          <cell r="O51">
            <v>294.32124310076011</v>
          </cell>
          <cell r="P51">
            <v>580.69529102597403</v>
          </cell>
          <cell r="Q51">
            <v>451.32526182297443</v>
          </cell>
          <cell r="R51">
            <v>1108.8557776964053</v>
          </cell>
          <cell r="T51">
            <v>428.33134478149157</v>
          </cell>
          <cell r="U51">
            <v>447.99972959736198</v>
          </cell>
          <cell r="V51">
            <v>438.77253811027043</v>
          </cell>
          <cell r="X51">
            <v>392.19933493556044</v>
          </cell>
          <cell r="Z51">
            <v>419.75867788100334</v>
          </cell>
          <cell r="AA51">
            <v>178.31347842681541</v>
          </cell>
          <cell r="AB51">
            <v>885.13876352370517</v>
          </cell>
          <cell r="AC51">
            <v>241.44519945418793</v>
          </cell>
          <cell r="AD51">
            <v>465.38008564270183</v>
          </cell>
        </row>
        <row r="52">
          <cell r="A52" t="str">
            <v>CGI005-qtz03-CL-fit-1-offset</v>
          </cell>
          <cell r="B52">
            <v>750</v>
          </cell>
          <cell r="C52">
            <v>8.0537892000481889E-22</v>
          </cell>
          <cell r="D52">
            <v>1400</v>
          </cell>
          <cell r="E52">
            <v>1024</v>
          </cell>
          <cell r="F52">
            <v>1.3671875</v>
          </cell>
          <cell r="H52">
            <v>3664.9424785072297</v>
          </cell>
          <cell r="I52">
            <v>2503.7909451528863</v>
          </cell>
          <cell r="J52">
            <v>4569.0265644678175</v>
          </cell>
          <cell r="K52">
            <v>1799.0859180569394</v>
          </cell>
          <cell r="L52">
            <v>3751.4569436106331</v>
          </cell>
          <cell r="M52">
            <v>3353.1915414746936</v>
          </cell>
          <cell r="N52">
            <v>4587.6069855470842</v>
          </cell>
          <cell r="O52">
            <v>1384.5879015169407</v>
          </cell>
          <cell r="P52">
            <v>1912.3250192525747</v>
          </cell>
          <cell r="Q52">
            <v>1689.11586031876</v>
          </cell>
          <cell r="R52">
            <v>2884.6113626831911</v>
          </cell>
          <cell r="T52">
            <v>2782.6145896069288</v>
          </cell>
          <cell r="U52">
            <v>2811.1421532982044</v>
          </cell>
          <cell r="V52">
            <v>2884.6113626831911</v>
          </cell>
          <cell r="X52">
            <v>2736.6951074072472</v>
          </cell>
          <cell r="Z52">
            <v>2848.9086237129536</v>
          </cell>
          <cell r="AA52">
            <v>1305.9290135118156</v>
          </cell>
          <cell r="AB52">
            <v>5581.415625357954</v>
          </cell>
          <cell r="AC52">
            <v>1542.979610201138</v>
          </cell>
          <cell r="AD52">
            <v>2732.5070016450004</v>
          </cell>
        </row>
        <row r="53">
          <cell r="A53" t="str">
            <v>CGI005-qtz03-CL-fit-2-offset</v>
          </cell>
          <cell r="B53">
            <v>750</v>
          </cell>
          <cell r="C53">
            <v>8.0537892000481889E-22</v>
          </cell>
          <cell r="D53">
            <v>1400</v>
          </cell>
          <cell r="E53">
            <v>1024</v>
          </cell>
          <cell r="F53">
            <v>1.3671875</v>
          </cell>
          <cell r="H53">
            <v>1504.3515556904363</v>
          </cell>
          <cell r="I53">
            <v>1215.1416858851314</v>
          </cell>
          <cell r="J53">
            <v>1299.4939471770799</v>
          </cell>
          <cell r="K53">
            <v>1368.907859681183</v>
          </cell>
          <cell r="L53">
            <v>1060.8848358690666</v>
          </cell>
          <cell r="M53">
            <v>1527.8399620427836</v>
          </cell>
          <cell r="N53">
            <v>1226.3503548825083</v>
          </cell>
          <cell r="O53">
            <v>1170.1311283327625</v>
          </cell>
          <cell r="P53">
            <v>1268.3241702090972</v>
          </cell>
          <cell r="Q53">
            <v>1013.3373718141364</v>
          </cell>
          <cell r="R53">
            <v>1233.7483902782271</v>
          </cell>
          <cell r="T53">
            <v>1268.7792852621953</v>
          </cell>
          <cell r="U53">
            <v>1257.9831678913829</v>
          </cell>
          <cell r="V53">
            <v>1233.7483902782271</v>
          </cell>
          <cell r="X53">
            <v>1263.0777231753291</v>
          </cell>
          <cell r="Z53">
            <v>1264.2684576857339</v>
          </cell>
          <cell r="AA53">
            <v>962.45496201291269</v>
          </cell>
          <cell r="AB53">
            <v>1640.0667529946902</v>
          </cell>
          <cell r="AC53">
            <v>301.8134956728212</v>
          </cell>
          <cell r="AD53">
            <v>375.79829530895631</v>
          </cell>
        </row>
        <row r="54">
          <cell r="A54" t="str">
            <v>CGI005-qtz03-CL-fit-3</v>
          </cell>
          <cell r="B54">
            <v>750</v>
          </cell>
          <cell r="C54">
            <v>8.0537892000481889E-22</v>
          </cell>
          <cell r="D54">
            <v>1400</v>
          </cell>
          <cell r="E54">
            <v>1024</v>
          </cell>
          <cell r="F54">
            <v>1.3671875</v>
          </cell>
          <cell r="H54">
            <v>1863.0637655162795</v>
          </cell>
          <cell r="I54">
            <v>1463.7207436090816</v>
          </cell>
          <cell r="J54">
            <v>1231.7996897500923</v>
          </cell>
          <cell r="K54">
            <v>1269.5953156973517</v>
          </cell>
          <cell r="L54">
            <v>1749.9225980464264</v>
          </cell>
          <cell r="M54">
            <v>1428.8041060993942</v>
          </cell>
          <cell r="N54">
            <v>1866.9026675364155</v>
          </cell>
          <cell r="O54">
            <v>1508.5954651122217</v>
          </cell>
          <cell r="P54">
            <v>1208.7093749812759</v>
          </cell>
          <cell r="Q54">
            <v>1502.1727819786342</v>
          </cell>
          <cell r="R54">
            <v>1572.6234684685976</v>
          </cell>
          <cell r="T54">
            <v>1509.1397097239083</v>
          </cell>
          <cell r="U54">
            <v>1506.9275495511076</v>
          </cell>
          <cell r="V54">
            <v>1502.1727819786342</v>
          </cell>
          <cell r="X54">
            <v>1500.3611041852664</v>
          </cell>
          <cell r="Z54">
            <v>1520.9932709451339</v>
          </cell>
          <cell r="AA54">
            <v>1011.2361252281323</v>
          </cell>
          <cell r="AB54">
            <v>2220.5927945059375</v>
          </cell>
          <cell r="AC54">
            <v>509.75714571700155</v>
          </cell>
          <cell r="AD54">
            <v>699.59952356080362</v>
          </cell>
        </row>
        <row r="55">
          <cell r="A55" t="str">
            <v>CGI005-qtz03-CL-fit-4-offset</v>
          </cell>
          <cell r="B55">
            <v>750</v>
          </cell>
          <cell r="C55">
            <v>8.0537892000481889E-22</v>
          </cell>
          <cell r="D55">
            <v>1400</v>
          </cell>
          <cell r="E55">
            <v>1024</v>
          </cell>
          <cell r="F55">
            <v>1.3671875</v>
          </cell>
          <cell r="H55">
            <v>1009.0873934107525</v>
          </cell>
          <cell r="I55">
            <v>1227.0384039422131</v>
          </cell>
          <cell r="J55">
            <v>893.94971385192923</v>
          </cell>
          <cell r="K55">
            <v>1160.3344126841282</v>
          </cell>
          <cell r="L55">
            <v>827.64558455317842</v>
          </cell>
          <cell r="M55">
            <v>1316.0423758970301</v>
          </cell>
          <cell r="N55">
            <v>871.36232959831193</v>
          </cell>
          <cell r="O55">
            <v>1449.5996555870568</v>
          </cell>
          <cell r="P55">
            <v>1225.7920838157586</v>
          </cell>
          <cell r="Q55">
            <v>1005.2018553689906</v>
          </cell>
          <cell r="R55">
            <v>923.69565533522757</v>
          </cell>
          <cell r="T55">
            <v>1088.8223994043344</v>
          </cell>
          <cell r="U55">
            <v>1074.08201409498</v>
          </cell>
          <cell r="V55">
            <v>1009.0873934107525</v>
          </cell>
          <cell r="X55">
            <v>1061.0680384869613</v>
          </cell>
          <cell r="Z55">
            <v>1066.234236395863</v>
          </cell>
          <cell r="AA55">
            <v>702.32342211048069</v>
          </cell>
          <cell r="AB55">
            <v>1577.0232578763566</v>
          </cell>
          <cell r="AC55">
            <v>363.91081428538234</v>
          </cell>
          <cell r="AD55">
            <v>510.7890214804936</v>
          </cell>
        </row>
        <row r="56">
          <cell r="A56" t="str">
            <v>CGI005-qtz03-CL-fit-5-offset</v>
          </cell>
          <cell r="B56">
            <v>750</v>
          </cell>
          <cell r="C56">
            <v>8.0537892000481889E-22</v>
          </cell>
          <cell r="D56">
            <v>1400</v>
          </cell>
          <cell r="E56">
            <v>1024</v>
          </cell>
          <cell r="F56">
            <v>1.3671875</v>
          </cell>
          <cell r="H56">
            <v>89.876215478860118</v>
          </cell>
          <cell r="I56">
            <v>43.548632350975673</v>
          </cell>
          <cell r="J56">
            <v>41.689822555740299</v>
          </cell>
          <cell r="K56">
            <v>59.796523966160478</v>
          </cell>
          <cell r="L56">
            <v>53.260132447670067</v>
          </cell>
          <cell r="M56">
            <v>97.371078240901952</v>
          </cell>
          <cell r="N56">
            <v>62.490441536117629</v>
          </cell>
          <cell r="O56">
            <v>75.602401623504136</v>
          </cell>
          <cell r="P56">
            <v>130.52069804065644</v>
          </cell>
          <cell r="Q56">
            <v>67.523325774277779</v>
          </cell>
          <cell r="R56">
            <v>57.802437984666504</v>
          </cell>
          <cell r="T56">
            <v>71.711651709751195</v>
          </cell>
          <cell r="U56">
            <v>68.858815678370064</v>
          </cell>
          <cell r="V56">
            <v>62.490441536117629</v>
          </cell>
          <cell r="X56">
            <v>63.613135530635837</v>
          </cell>
          <cell r="Z56">
            <v>65.665369687152335</v>
          </cell>
          <cell r="AA56">
            <v>19.877780253744245</v>
          </cell>
          <cell r="AB56">
            <v>145.56281956948578</v>
          </cell>
          <cell r="AC56">
            <v>45.787589433408087</v>
          </cell>
          <cell r="AD56">
            <v>79.897449882333447</v>
          </cell>
        </row>
        <row r="57">
          <cell r="A57" t="str">
            <v>CGI005-qtz03-CL-fit-6-offset</v>
          </cell>
          <cell r="B57">
            <v>750</v>
          </cell>
          <cell r="C57">
            <v>8.0537892000481889E-22</v>
          </cell>
          <cell r="D57">
            <v>1400</v>
          </cell>
          <cell r="E57">
            <v>1024</v>
          </cell>
          <cell r="F57">
            <v>1.3671875</v>
          </cell>
          <cell r="H57">
            <v>58.943221267861972</v>
          </cell>
          <cell r="I57">
            <v>43.106277662573987</v>
          </cell>
          <cell r="J57">
            <v>55.774859732530054</v>
          </cell>
          <cell r="K57">
            <v>5.9566247978035776</v>
          </cell>
          <cell r="L57">
            <v>19.10530444772057</v>
          </cell>
          <cell r="M57">
            <v>28.630416064336838</v>
          </cell>
          <cell r="N57">
            <v>2.0596596235733671</v>
          </cell>
          <cell r="O57">
            <v>6.1235695301855323E-3</v>
          </cell>
          <cell r="P57">
            <v>2.7726688426946617E-3</v>
          </cell>
          <cell r="Q57">
            <v>11.335954909456497</v>
          </cell>
          <cell r="R57">
            <v>32.254700884821332</v>
          </cell>
          <cell r="T57">
            <v>27.085483107948789</v>
          </cell>
          <cell r="U57">
            <v>16.355287343313172</v>
          </cell>
          <cell r="V57">
            <v>19.10530444772057</v>
          </cell>
          <cell r="X57">
            <v>24.001468810950314</v>
          </cell>
          <cell r="Z57">
            <v>21.518984679198322</v>
          </cell>
          <cell r="AA57">
            <v>0.38878797160418566</v>
          </cell>
          <cell r="AB57">
            <v>79.082268937635249</v>
          </cell>
          <cell r="AC57">
            <v>21.130196707594138</v>
          </cell>
          <cell r="AD57">
            <v>57.563284258436923</v>
          </cell>
        </row>
        <row r="58">
          <cell r="A58" t="str">
            <v>CGI005-qtz04-CL-fit-1-offset</v>
          </cell>
          <cell r="B58">
            <v>750</v>
          </cell>
          <cell r="C58">
            <v>8.0537892000481889E-22</v>
          </cell>
          <cell r="D58">
            <v>1900</v>
          </cell>
          <cell r="E58">
            <v>1024</v>
          </cell>
          <cell r="F58">
            <v>1.85546875</v>
          </cell>
          <cell r="H58">
            <v>654.64695740264585</v>
          </cell>
          <cell r="I58">
            <v>569.22707622576479</v>
          </cell>
          <cell r="J58">
            <v>559.90789517235714</v>
          </cell>
          <cell r="K58">
            <v>552.65528769621017</v>
          </cell>
          <cell r="L58">
            <v>435.55718841457184</v>
          </cell>
          <cell r="M58">
            <v>616.3007550889871</v>
          </cell>
          <cell r="N58">
            <v>580.81378741846015</v>
          </cell>
          <cell r="O58">
            <v>799.21219492463752</v>
          </cell>
          <cell r="P58">
            <v>977.66826802140554</v>
          </cell>
          <cell r="Q58">
            <v>770.97813019649516</v>
          </cell>
          <cell r="R58">
            <v>884.83765870164768</v>
          </cell>
          <cell r="T58">
            <v>650.28611169784813</v>
          </cell>
          <cell r="U58">
            <v>664.05437504132556</v>
          </cell>
          <cell r="V58">
            <v>616.3007550889871</v>
          </cell>
          <cell r="X58">
            <v>628.87480058563312</v>
          </cell>
          <cell r="Z58">
            <v>631.77293164761738</v>
          </cell>
          <cell r="AA58">
            <v>377.01124406894252</v>
          </cell>
          <cell r="AB58">
            <v>959.08398041104954</v>
          </cell>
          <cell r="AC58">
            <v>254.76168757867487</v>
          </cell>
          <cell r="AD58">
            <v>327.31104876343215</v>
          </cell>
        </row>
        <row r="59">
          <cell r="A59" t="str">
            <v>CGI005-qtz04-CL-fit-2-offset</v>
          </cell>
          <cell r="B59">
            <v>750</v>
          </cell>
          <cell r="C59">
            <v>8.0537892000481889E-22</v>
          </cell>
          <cell r="D59">
            <v>1900</v>
          </cell>
          <cell r="E59">
            <v>1024</v>
          </cell>
          <cell r="F59">
            <v>1.85546875</v>
          </cell>
          <cell r="H59">
            <v>1035.4827778185172</v>
          </cell>
          <cell r="I59">
            <v>1264.9904758046694</v>
          </cell>
          <cell r="J59">
            <v>1497.2384477242483</v>
          </cell>
          <cell r="K59">
            <v>1393.2649702746842</v>
          </cell>
          <cell r="L59">
            <v>911.09656085473364</v>
          </cell>
          <cell r="M59">
            <v>1084.7215017371009</v>
          </cell>
          <cell r="N59">
            <v>812.84441196861144</v>
          </cell>
          <cell r="O59">
            <v>913.76134689931541</v>
          </cell>
          <cell r="P59">
            <v>795.92966725471365</v>
          </cell>
          <cell r="Q59">
            <v>956.77970571312778</v>
          </cell>
          <cell r="R59">
            <v>1170.641699647203</v>
          </cell>
          <cell r="T59">
            <v>1063.4729606707886</v>
          </cell>
          <cell r="U59">
            <v>1065.0335809476808</v>
          </cell>
          <cell r="V59">
            <v>1035.4827778185172</v>
          </cell>
          <cell r="X59">
            <v>1070.1480464009217</v>
          </cell>
          <cell r="Z59">
            <v>1071.5348571383852</v>
          </cell>
          <cell r="AA59">
            <v>785.3725239645845</v>
          </cell>
          <cell r="AB59">
            <v>1479.2693130157206</v>
          </cell>
          <cell r="AC59">
            <v>286.16233317380068</v>
          </cell>
          <cell r="AD59">
            <v>407.73445587733545</v>
          </cell>
        </row>
        <row r="60">
          <cell r="A60" t="str">
            <v>CGI005-qtz04-CL-fit-3</v>
          </cell>
          <cell r="B60">
            <v>750</v>
          </cell>
          <cell r="C60">
            <v>8.0537892000481889E-22</v>
          </cell>
          <cell r="D60">
            <v>1900</v>
          </cell>
          <cell r="E60">
            <v>1024</v>
          </cell>
          <cell r="F60">
            <v>1.85546875</v>
          </cell>
          <cell r="H60">
            <v>115.30273882672243</v>
          </cell>
          <cell r="I60">
            <v>174.17580824538973</v>
          </cell>
          <cell r="J60">
            <v>258.90098860502155</v>
          </cell>
          <cell r="K60">
            <v>245.5635186036489</v>
          </cell>
          <cell r="L60">
            <v>157.74013711383404</v>
          </cell>
          <cell r="M60">
            <v>191.02019395868749</v>
          </cell>
          <cell r="N60">
            <v>171.90526832154438</v>
          </cell>
          <cell r="O60">
            <v>211.35314967602139</v>
          </cell>
          <cell r="P60">
            <v>151.34238881416348</v>
          </cell>
          <cell r="Q60">
            <v>134.5517475162934</v>
          </cell>
          <cell r="R60">
            <v>220.16372281457922</v>
          </cell>
          <cell r="T60">
            <v>181.55905767815133</v>
          </cell>
          <cell r="U60">
            <v>182.16596526619603</v>
          </cell>
          <cell r="V60">
            <v>174.17580824538973</v>
          </cell>
          <cell r="X60">
            <v>181.38877703579217</v>
          </cell>
          <cell r="Z60">
            <v>186.15287265730228</v>
          </cell>
          <cell r="AA60">
            <v>74.469569172731411</v>
          </cell>
          <cell r="AB60">
            <v>352.3041967439687</v>
          </cell>
          <cell r="AC60">
            <v>111.68330348457087</v>
          </cell>
          <cell r="AD60">
            <v>166.15132408666642</v>
          </cell>
        </row>
        <row r="61">
          <cell r="A61" t="str">
            <v>CGI005-qtz04-CL-fit-4-offset</v>
          </cell>
          <cell r="B61">
            <v>750</v>
          </cell>
          <cell r="C61">
            <v>8.0537892000481889E-22</v>
          </cell>
          <cell r="D61">
            <v>1900</v>
          </cell>
          <cell r="E61">
            <v>1024</v>
          </cell>
          <cell r="F61">
            <v>1.85546875</v>
          </cell>
          <cell r="H61">
            <v>192.43417257284216</v>
          </cell>
          <cell r="I61">
            <v>278.56878441837711</v>
          </cell>
          <cell r="J61">
            <v>424.48087329592209</v>
          </cell>
          <cell r="K61">
            <v>528.99435482549563</v>
          </cell>
          <cell r="L61">
            <v>337.19801389766849</v>
          </cell>
          <cell r="M61">
            <v>185.52223341387531</v>
          </cell>
          <cell r="N61">
            <v>384.26708739087479</v>
          </cell>
          <cell r="O61">
            <v>318.43851216820815</v>
          </cell>
          <cell r="P61">
            <v>288.99958757148232</v>
          </cell>
          <cell r="Q61">
            <v>168.18294864787845</v>
          </cell>
          <cell r="R61">
            <v>233.32661251650424</v>
          </cell>
          <cell r="T61">
            <v>295.6724632772893</v>
          </cell>
          <cell r="U61">
            <v>294.71524183404921</v>
          </cell>
          <cell r="V61">
            <v>288.99958757148232</v>
          </cell>
          <cell r="X61">
            <v>278.72808959499946</v>
          </cell>
          <cell r="Z61">
            <v>288.61399668584215</v>
          </cell>
          <cell r="AA61">
            <v>100.5320286715946</v>
          </cell>
          <cell r="AB61">
            <v>746.15139019184437</v>
          </cell>
          <cell r="AC61">
            <v>188.08196801424754</v>
          </cell>
          <cell r="AD61">
            <v>457.53739350600222</v>
          </cell>
        </row>
        <row r="62">
          <cell r="A62" t="str">
            <v>CGI005-qtz04-CL-fit-5-offset</v>
          </cell>
          <cell r="B62">
            <v>750</v>
          </cell>
          <cell r="C62">
            <v>8.0537892000481889E-22</v>
          </cell>
          <cell r="D62">
            <v>1900</v>
          </cell>
          <cell r="E62">
            <v>1024</v>
          </cell>
          <cell r="F62">
            <v>1.85546875</v>
          </cell>
          <cell r="H62">
            <v>124.4483809218935</v>
          </cell>
          <cell r="I62">
            <v>191.20156859896363</v>
          </cell>
          <cell r="J62">
            <v>149.54362160806554</v>
          </cell>
          <cell r="K62">
            <v>180.91408856750502</v>
          </cell>
          <cell r="L62">
            <v>234.21066459195492</v>
          </cell>
          <cell r="M62">
            <v>144.61185242911466</v>
          </cell>
          <cell r="N62">
            <v>175.18998977807325</v>
          </cell>
          <cell r="O62">
            <v>196.2048120581249</v>
          </cell>
          <cell r="P62">
            <v>258.56238987173043</v>
          </cell>
          <cell r="Q62">
            <v>141.85193223170143</v>
          </cell>
          <cell r="R62">
            <v>251.21248432768618</v>
          </cell>
          <cell r="T62">
            <v>192.45285892158029</v>
          </cell>
          <cell r="U62">
            <v>183.66365483464057</v>
          </cell>
          <cell r="V62">
            <v>180.91408856750502</v>
          </cell>
          <cell r="X62">
            <v>189.99342803516473</v>
          </cell>
          <cell r="Z62">
            <v>195.82554426334272</v>
          </cell>
          <cell r="AA62">
            <v>86.821748160203825</v>
          </cell>
          <cell r="AB62">
            <v>380.8268299211249</v>
          </cell>
          <cell r="AC62">
            <v>109.0037961031389</v>
          </cell>
          <cell r="AD62">
            <v>185.00128565778218</v>
          </cell>
        </row>
        <row r="63">
          <cell r="A63" t="str">
            <v>CGI005-qtz05-CL-fit-1-offset</v>
          </cell>
          <cell r="B63">
            <v>750</v>
          </cell>
          <cell r="C63">
            <v>8.0537892000481889E-22</v>
          </cell>
          <cell r="D63">
            <v>1900</v>
          </cell>
          <cell r="E63">
            <v>1024</v>
          </cell>
          <cell r="F63">
            <v>1.85546875</v>
          </cell>
          <cell r="H63">
            <v>491.94107312410006</v>
          </cell>
          <cell r="I63">
            <v>1.4338269934908952</v>
          </cell>
          <cell r="J63">
            <v>948.33724287296855</v>
          </cell>
          <cell r="K63">
            <v>2.9435163403302878</v>
          </cell>
          <cell r="L63">
            <v>1322.5300023166396</v>
          </cell>
          <cell r="M63">
            <v>17.367260938951059</v>
          </cell>
          <cell r="N63">
            <v>183.91723961036067</v>
          </cell>
          <cell r="O63">
            <v>338.94056472250406</v>
          </cell>
          <cell r="P63">
            <v>2410.5607159043097</v>
          </cell>
          <cell r="Q63">
            <v>527.72401579758309</v>
          </cell>
          <cell r="R63">
            <v>7.2347185048394339E-2</v>
          </cell>
          <cell r="T63">
            <v>467.01251664669428</v>
          </cell>
          <cell r="U63">
            <v>333.00463458672408</v>
          </cell>
          <cell r="V63">
            <v>338.94056472250406</v>
          </cell>
          <cell r="X63">
            <v>371.50080882068931</v>
          </cell>
          <cell r="Z63">
            <v>378.08509833138953</v>
          </cell>
          <cell r="AA63">
            <v>2.4935397482857091E-9</v>
          </cell>
          <cell r="AB63">
            <v>1612.0882505144712</v>
          </cell>
          <cell r="AC63">
            <v>378.08509832889598</v>
          </cell>
          <cell r="AD63">
            <v>1234.0031521830815</v>
          </cell>
        </row>
        <row r="64">
          <cell r="A64" t="str">
            <v>CGI005-qtz05-CL-fit-2-offset</v>
          </cell>
          <cell r="B64">
            <v>750</v>
          </cell>
          <cell r="C64">
            <v>8.0537892000481889E-22</v>
          </cell>
          <cell r="D64">
            <v>1900</v>
          </cell>
          <cell r="E64">
            <v>1024</v>
          </cell>
          <cell r="F64">
            <v>1.85546875</v>
          </cell>
          <cell r="H64">
            <v>1747.1944981492575</v>
          </cell>
          <cell r="I64">
            <v>949.3862437895101</v>
          </cell>
          <cell r="J64">
            <v>871.17090034472039</v>
          </cell>
          <cell r="K64">
            <v>2392.671649245221</v>
          </cell>
          <cell r="L64">
            <v>1640.3823175910452</v>
          </cell>
          <cell r="M64">
            <v>979.78708079319154</v>
          </cell>
          <cell r="N64">
            <v>1474.4631442688253</v>
          </cell>
          <cell r="O64">
            <v>960.15639848184958</v>
          </cell>
          <cell r="P64">
            <v>1913.685930951674</v>
          </cell>
          <cell r="Q64">
            <v>4353.3036552428839</v>
          </cell>
          <cell r="R64">
            <v>2518.6872670623134</v>
          </cell>
          <cell r="T64">
            <v>1521.0428426547403</v>
          </cell>
          <cell r="U64">
            <v>1689.5255101853772</v>
          </cell>
          <cell r="V64">
            <v>1640.3823175910452</v>
          </cell>
          <cell r="X64">
            <v>1628.4408333950937</v>
          </cell>
          <cell r="Z64">
            <v>1754.3745334940584</v>
          </cell>
          <cell r="AA64">
            <v>85.693039371994473</v>
          </cell>
          <cell r="AB64">
            <v>7876.1273877424555</v>
          </cell>
          <cell r="AC64">
            <v>1668.6814941220639</v>
          </cell>
          <cell r="AD64">
            <v>6121.7528542483969</v>
          </cell>
        </row>
        <row r="65">
          <cell r="A65" t="str">
            <v>CGI005-qtz05-CL-fit-3-offset</v>
          </cell>
          <cell r="B65">
            <v>750</v>
          </cell>
          <cell r="C65">
            <v>8.0537892000481889E-22</v>
          </cell>
          <cell r="D65">
            <v>1900</v>
          </cell>
          <cell r="E65">
            <v>1024</v>
          </cell>
          <cell r="F65">
            <v>1.85546875</v>
          </cell>
          <cell r="H65">
            <v>735.51873699773876</v>
          </cell>
          <cell r="I65">
            <v>7.7463599217617816</v>
          </cell>
          <cell r="J65">
            <v>1397.6286154240881</v>
          </cell>
          <cell r="K65">
            <v>865.85930354418485</v>
          </cell>
          <cell r="L65">
            <v>1535.840957655467</v>
          </cell>
          <cell r="M65">
            <v>1582.1612300973111</v>
          </cell>
          <cell r="N65">
            <v>780.07076168723279</v>
          </cell>
          <cell r="O65">
            <v>0</v>
          </cell>
          <cell r="P65">
            <v>2588.4394021812604</v>
          </cell>
          <cell r="Q65">
            <v>1486.7093770406243</v>
          </cell>
          <cell r="R65">
            <v>1259.0019202129874</v>
          </cell>
          <cell r="T65">
            <v>1356.3490343511378</v>
          </cell>
          <cell r="U65">
            <v>1079.2997348362946</v>
          </cell>
          <cell r="V65">
            <v>1327.4104346126562</v>
          </cell>
          <cell r="X65">
            <v>1293.0997912740211</v>
          </cell>
          <cell r="Z65">
            <v>1376.2136315744076</v>
          </cell>
          <cell r="AA65">
            <v>334.31659612351245</v>
          </cell>
          <cell r="AB65">
            <v>4776.8191420442308</v>
          </cell>
          <cell r="AC65">
            <v>1041.8970354508951</v>
          </cell>
          <cell r="AD65">
            <v>3400.6055104698235</v>
          </cell>
        </row>
        <row r="66">
          <cell r="A66" t="str">
            <v>CGI005-qtz06-CL-fit-1-offset</v>
          </cell>
          <cell r="B66">
            <v>750</v>
          </cell>
          <cell r="C66">
            <v>8.0537892000481889E-22</v>
          </cell>
          <cell r="D66">
            <v>2050</v>
          </cell>
          <cell r="E66">
            <v>1024</v>
          </cell>
          <cell r="F66">
            <v>2.001953125</v>
          </cell>
          <cell r="H66">
            <v>5148.9788709077829</v>
          </cell>
          <cell r="I66">
            <v>3995.7952012641053</v>
          </cell>
          <cell r="J66">
            <v>6769.5253703864018</v>
          </cell>
          <cell r="K66">
            <v>5122.5597541339384</v>
          </cell>
          <cell r="L66">
            <v>4060.6460796073193</v>
          </cell>
          <cell r="M66">
            <v>4250.2996423091645</v>
          </cell>
          <cell r="N66">
            <v>6026.4135807957382</v>
          </cell>
          <cell r="O66">
            <v>5906.8585352940527</v>
          </cell>
          <cell r="P66">
            <v>3575.4538173126434</v>
          </cell>
          <cell r="Q66">
            <v>6680.6639875486153</v>
          </cell>
          <cell r="R66">
            <v>4309.5024418696776</v>
          </cell>
          <cell r="T66">
            <v>5003.6462012146449</v>
          </cell>
          <cell r="U66">
            <v>5020.349750161874</v>
          </cell>
          <cell r="V66">
            <v>5122.5597541339384</v>
          </cell>
          <cell r="X66">
            <v>5036.5919525179279</v>
          </cell>
          <cell r="Z66">
            <v>5064.2790352963539</v>
          </cell>
          <cell r="AA66">
            <v>3527.9263178103333</v>
          </cell>
          <cell r="AB66">
            <v>6962.6758880849193</v>
          </cell>
          <cell r="AC66">
            <v>1536.3527174860205</v>
          </cell>
          <cell r="AD66">
            <v>1898.3968527885654</v>
          </cell>
        </row>
        <row r="67">
          <cell r="A67" t="str">
            <v>CGI005-qtz06-CL-fit-2-offset</v>
          </cell>
          <cell r="B67">
            <v>750</v>
          </cell>
          <cell r="C67">
            <v>8.0537892000481889E-22</v>
          </cell>
          <cell r="D67">
            <v>2050</v>
          </cell>
          <cell r="E67">
            <v>1024</v>
          </cell>
          <cell r="F67">
            <v>2.001953125</v>
          </cell>
          <cell r="H67">
            <v>1544.8831492228676</v>
          </cell>
          <cell r="I67">
            <v>1497.891616812105</v>
          </cell>
          <cell r="J67">
            <v>1742.1325535028759</v>
          </cell>
          <cell r="K67">
            <v>1448.7780951874433</v>
          </cell>
          <cell r="L67">
            <v>1321.836013840365</v>
          </cell>
          <cell r="M67">
            <v>1468.9304147676824</v>
          </cell>
          <cell r="N67">
            <v>1350.1249716795555</v>
          </cell>
          <cell r="O67">
            <v>1274.2116602200717</v>
          </cell>
          <cell r="P67">
            <v>1649.4533546025136</v>
          </cell>
          <cell r="Q67">
            <v>1898.7409989625612</v>
          </cell>
          <cell r="R67">
            <v>1493.9985798659809</v>
          </cell>
          <cell r="T67">
            <v>1523.1858433713887</v>
          </cell>
          <cell r="U67">
            <v>1512.314798726122</v>
          </cell>
          <cell r="V67">
            <v>1493.9985798659809</v>
          </cell>
          <cell r="X67">
            <v>1498.4678808589056</v>
          </cell>
          <cell r="Z67">
            <v>1503.2793801574458</v>
          </cell>
          <cell r="AA67">
            <v>1032.9868260285527</v>
          </cell>
          <cell r="AB67">
            <v>2073.4921910339131</v>
          </cell>
          <cell r="AC67">
            <v>470.29255412889302</v>
          </cell>
          <cell r="AD67">
            <v>570.2128108764673</v>
          </cell>
        </row>
        <row r="68">
          <cell r="A68" t="str">
            <v>CGI005-qtz06-CL-fit-3-offset</v>
          </cell>
          <cell r="B68">
            <v>750</v>
          </cell>
          <cell r="C68">
            <v>8.0537892000481889E-22</v>
          </cell>
          <cell r="D68">
            <v>2050</v>
          </cell>
          <cell r="E68">
            <v>1024</v>
          </cell>
          <cell r="F68">
            <v>2.001953125</v>
          </cell>
          <cell r="H68">
            <v>787.14035232604476</v>
          </cell>
          <cell r="I68">
            <v>955.62771821928322</v>
          </cell>
          <cell r="J68">
            <v>1262.1040353891742</v>
          </cell>
          <cell r="K68">
            <v>923.26818515645277</v>
          </cell>
          <cell r="L68">
            <v>1310.4646600948097</v>
          </cell>
          <cell r="M68">
            <v>1677.9353614508875</v>
          </cell>
          <cell r="N68">
            <v>1092.040194045956</v>
          </cell>
          <cell r="O68">
            <v>572.42901825518584</v>
          </cell>
          <cell r="P68">
            <v>952.0975332793289</v>
          </cell>
          <cell r="Q68">
            <v>451.51824922039543</v>
          </cell>
          <cell r="R68">
            <v>1132.7733565786843</v>
          </cell>
          <cell r="T68">
            <v>979.73186428674558</v>
          </cell>
          <cell r="U68">
            <v>982.40580496582447</v>
          </cell>
          <cell r="V68">
            <v>955.62771821928322</v>
          </cell>
          <cell r="X68">
            <v>1027.7863111246618</v>
          </cell>
          <cell r="Z68">
            <v>1050.0103118998134</v>
          </cell>
          <cell r="AA68">
            <v>468.04450976886977</v>
          </cell>
          <cell r="AB68">
            <v>2142.1868510386794</v>
          </cell>
          <cell r="AC68">
            <v>581.96580213094353</v>
          </cell>
          <cell r="AD68">
            <v>1092.176539138866</v>
          </cell>
        </row>
        <row r="69">
          <cell r="A69" t="str">
            <v>CGI005-qtz06-CL-fit-4</v>
          </cell>
          <cell r="B69">
            <v>750</v>
          </cell>
          <cell r="C69">
            <v>8.0537892000481889E-22</v>
          </cell>
          <cell r="D69">
            <v>2050</v>
          </cell>
          <cell r="E69">
            <v>1024</v>
          </cell>
          <cell r="F69">
            <v>2.001953125</v>
          </cell>
          <cell r="H69">
            <v>44.463247783023512</v>
          </cell>
          <cell r="I69">
            <v>145.50281325898152</v>
          </cell>
          <cell r="J69">
            <v>50.478732700502448</v>
          </cell>
          <cell r="K69">
            <v>31.010438807369503</v>
          </cell>
          <cell r="L69">
            <v>53.622384947005436</v>
          </cell>
          <cell r="M69">
            <v>86.416708678004696</v>
          </cell>
          <cell r="N69">
            <v>1.1742671885982936</v>
          </cell>
          <cell r="O69">
            <v>54.284702505106672</v>
          </cell>
          <cell r="P69">
            <v>95.084988716309454</v>
          </cell>
          <cell r="Q69">
            <v>82.98857587359818</v>
          </cell>
          <cell r="R69">
            <v>83.408439979743747</v>
          </cell>
          <cell r="T69">
            <v>76.982902288883167</v>
          </cell>
          <cell r="U69">
            <v>58.965776970534996</v>
          </cell>
          <cell r="V69">
            <v>54.284702505106672</v>
          </cell>
          <cell r="X69">
            <v>70.873284512373871</v>
          </cell>
          <cell r="Z69">
            <v>70.957723794992717</v>
          </cell>
          <cell r="AA69">
            <v>2.4365157233798489</v>
          </cell>
          <cell r="AB69">
            <v>241.22300818500079</v>
          </cell>
          <cell r="AC69">
            <v>68.521208071612861</v>
          </cell>
          <cell r="AD69">
            <v>170.26528439000808</v>
          </cell>
        </row>
        <row r="70">
          <cell r="A70" t="str">
            <v>CGI005-qtz07-CL-fit-1-offset</v>
          </cell>
          <cell r="B70">
            <v>750</v>
          </cell>
          <cell r="C70">
            <v>8.0537892000481889E-22</v>
          </cell>
          <cell r="D70">
            <v>2100</v>
          </cell>
          <cell r="E70">
            <v>1024</v>
          </cell>
          <cell r="F70">
            <v>2.05078125</v>
          </cell>
          <cell r="H70">
            <v>1107.409411404625</v>
          </cell>
          <cell r="I70">
            <v>1040.8647518531466</v>
          </cell>
          <cell r="J70">
            <v>1495.2586783881168</v>
          </cell>
          <cell r="K70">
            <v>1751.3527957384658</v>
          </cell>
          <cell r="L70">
            <v>1789.5390312170105</v>
          </cell>
          <cell r="M70">
            <v>1530.9142297335052</v>
          </cell>
          <cell r="N70">
            <v>1241.263251512443</v>
          </cell>
          <cell r="O70">
            <v>865.49366479263392</v>
          </cell>
          <cell r="P70">
            <v>1084.7768357342688</v>
          </cell>
          <cell r="Q70">
            <v>694.01453286711705</v>
          </cell>
          <cell r="R70">
            <v>994.2565400907298</v>
          </cell>
          <cell r="T70">
            <v>1222.283294248735</v>
          </cell>
          <cell r="U70">
            <v>1211.9928303383438</v>
          </cell>
          <cell r="V70">
            <v>1107.409411404625</v>
          </cell>
          <cell r="X70">
            <v>1188.3557821131858</v>
          </cell>
          <cell r="Z70">
            <v>1193.2420413989228</v>
          </cell>
          <cell r="AA70">
            <v>854.15804928979946</v>
          </cell>
          <cell r="AB70">
            <v>1653.3732166802426</v>
          </cell>
          <cell r="AC70">
            <v>339.0839921091233</v>
          </cell>
          <cell r="AD70">
            <v>460.13117528131988</v>
          </cell>
        </row>
        <row r="71">
          <cell r="A71" t="str">
            <v>CGI005-qtz07-CL-fit-2-offset</v>
          </cell>
          <cell r="B71">
            <v>750</v>
          </cell>
          <cell r="C71">
            <v>8.0537892000481889E-22</v>
          </cell>
          <cell r="D71">
            <v>2100</v>
          </cell>
          <cell r="E71">
            <v>1024</v>
          </cell>
          <cell r="F71">
            <v>2.05078125</v>
          </cell>
          <cell r="H71">
            <v>44.710959275795354</v>
          </cell>
          <cell r="I71">
            <v>56.38400475865047</v>
          </cell>
          <cell r="J71">
            <v>139.14226495361055</v>
          </cell>
          <cell r="K71">
            <v>137.66397035858228</v>
          </cell>
          <cell r="L71">
            <v>109.75217392227511</v>
          </cell>
          <cell r="M71">
            <v>79.513445782479806</v>
          </cell>
          <cell r="N71">
            <v>89.19672174198179</v>
          </cell>
          <cell r="O71">
            <v>106.41817436311975</v>
          </cell>
          <cell r="P71">
            <v>123.36278735217104</v>
          </cell>
          <cell r="Q71">
            <v>81.939641821291374</v>
          </cell>
          <cell r="R71">
            <v>105.04320867457332</v>
          </cell>
          <cell r="T71">
            <v>97.893054181195922</v>
          </cell>
          <cell r="U71">
            <v>95.126417786829435</v>
          </cell>
          <cell r="V71">
            <v>105.04320867457332</v>
          </cell>
          <cell r="X71">
            <v>96.515650003915326</v>
          </cell>
          <cell r="Z71">
            <v>91.268634581833538</v>
          </cell>
          <cell r="AA71">
            <v>13.987920593934245</v>
          </cell>
          <cell r="AB71">
            <v>187.84540864428055</v>
          </cell>
          <cell r="AC71">
            <v>77.28071398789929</v>
          </cell>
          <cell r="AD71">
            <v>96.576774062447015</v>
          </cell>
        </row>
        <row r="72">
          <cell r="A72" t="str">
            <v>CGI005-qtz07-CL-fit-3-offset</v>
          </cell>
          <cell r="B72">
            <v>750</v>
          </cell>
          <cell r="C72">
            <v>8.0537892000481889E-22</v>
          </cell>
          <cell r="D72">
            <v>2100</v>
          </cell>
          <cell r="E72">
            <v>1024</v>
          </cell>
          <cell r="F72">
            <v>2.05078125</v>
          </cell>
          <cell r="H72">
            <v>118.38736976567765</v>
          </cell>
          <cell r="I72">
            <v>15.323511320388866</v>
          </cell>
          <cell r="J72">
            <v>240.95698452829379</v>
          </cell>
          <cell r="K72">
            <v>161.02322955302688</v>
          </cell>
          <cell r="L72">
            <v>27.635017360207698</v>
          </cell>
          <cell r="M72">
            <v>32.63410799422924</v>
          </cell>
          <cell r="N72">
            <v>44.185364367279938</v>
          </cell>
          <cell r="O72">
            <v>503.77552119700857</v>
          </cell>
          <cell r="P72">
            <v>265.66703191845244</v>
          </cell>
          <cell r="Q72">
            <v>117.50848513300816</v>
          </cell>
          <cell r="R72">
            <v>248.17851555782366</v>
          </cell>
          <cell r="T72">
            <v>157.44914327129226</v>
          </cell>
          <cell r="U72">
            <v>131.12788969766635</v>
          </cell>
          <cell r="V72">
            <v>118.38736976567765</v>
          </cell>
          <cell r="X72">
            <v>139.24652155838174</v>
          </cell>
          <cell r="Z72">
            <v>129.85420956478831</v>
          </cell>
          <cell r="AA72">
            <v>2.6128931570465701</v>
          </cell>
          <cell r="AB72">
            <v>407.05201459172446</v>
          </cell>
          <cell r="AC72">
            <v>127.24131640774173</v>
          </cell>
          <cell r="AD72">
            <v>277.19780502693618</v>
          </cell>
        </row>
        <row r="73">
          <cell r="A73" t="str">
            <v>CGI005-qtz07-CL-fit-4-offset</v>
          </cell>
          <cell r="B73">
            <v>750</v>
          </cell>
          <cell r="C73">
            <v>8.0537892000481889E-22</v>
          </cell>
          <cell r="D73">
            <v>2100</v>
          </cell>
          <cell r="E73">
            <v>1024</v>
          </cell>
          <cell r="F73">
            <v>2.05078125</v>
          </cell>
          <cell r="H73">
            <v>87.184287229138164</v>
          </cell>
          <cell r="I73">
            <v>455.51064237086212</v>
          </cell>
          <cell r="J73">
            <v>118.29206932508305</v>
          </cell>
          <cell r="K73">
            <v>875.56319191843545</v>
          </cell>
          <cell r="L73">
            <v>664.78541312636196</v>
          </cell>
          <cell r="M73">
            <v>662.43710005537309</v>
          </cell>
          <cell r="N73">
            <v>584.12325103254295</v>
          </cell>
          <cell r="O73">
            <v>2164.8647381258911</v>
          </cell>
          <cell r="P73">
            <v>846.04568957857202</v>
          </cell>
          <cell r="Q73">
            <v>157.95915226286897</v>
          </cell>
          <cell r="R73">
            <v>101.39312275603901</v>
          </cell>
          <cell r="T73">
            <v>457.74157591121451</v>
          </cell>
          <cell r="U73">
            <v>496.43314091462486</v>
          </cell>
          <cell r="V73">
            <v>584.12325103254295</v>
          </cell>
          <cell r="X73">
            <v>426.14698520121573</v>
          </cell>
          <cell r="Z73">
            <v>484.20822505345558</v>
          </cell>
          <cell r="AA73">
            <v>19.585049907754151</v>
          </cell>
          <cell r="AB73">
            <v>1809.7710407767086</v>
          </cell>
          <cell r="AC73">
            <v>464.62317514570145</v>
          </cell>
          <cell r="AD73">
            <v>1325.5628157232529</v>
          </cell>
        </row>
        <row r="74">
          <cell r="A74" t="str">
            <v>CGI005-qtz08-CL-fit-1-offset</v>
          </cell>
          <cell r="B74">
            <v>750</v>
          </cell>
          <cell r="C74">
            <v>8.0537892000481889E-22</v>
          </cell>
          <cell r="D74">
            <v>1900</v>
          </cell>
          <cell r="E74">
            <v>1024</v>
          </cell>
          <cell r="F74">
            <v>1.85546875</v>
          </cell>
          <cell r="H74">
            <v>298.56667875500619</v>
          </cell>
          <cell r="I74">
            <v>396.90592684894989</v>
          </cell>
          <cell r="J74">
            <v>590.16826575555149</v>
          </cell>
          <cell r="K74">
            <v>319.65579272996013</v>
          </cell>
          <cell r="L74">
            <v>1000.818840291418</v>
          </cell>
          <cell r="M74">
            <v>358.47331157869155</v>
          </cell>
          <cell r="N74">
            <v>697.48127450054153</v>
          </cell>
          <cell r="O74">
            <v>498.60080479577641</v>
          </cell>
          <cell r="P74">
            <v>759.84952033436605</v>
          </cell>
          <cell r="Q74">
            <v>543.29933919446307</v>
          </cell>
          <cell r="R74">
            <v>504.75126454161455</v>
          </cell>
          <cell r="T74">
            <v>512.07928535126803</v>
          </cell>
          <cell r="U74">
            <v>524.92247833150282</v>
          </cell>
          <cell r="V74">
            <v>504.75126454161455</v>
          </cell>
          <cell r="X74">
            <v>488.56259056767698</v>
          </cell>
          <cell r="Z74">
            <v>483.77429896831524</v>
          </cell>
          <cell r="AA74">
            <v>99.623280928757353</v>
          </cell>
          <cell r="AB74">
            <v>1159.0555097687306</v>
          </cell>
          <cell r="AC74">
            <v>384.15101803955787</v>
          </cell>
          <cell r="AD74">
            <v>675.28121080041547</v>
          </cell>
        </row>
        <row r="75">
          <cell r="A75" t="str">
            <v>CGI005-qtz08-CL-fit-2-offset</v>
          </cell>
          <cell r="B75">
            <v>750</v>
          </cell>
          <cell r="C75">
            <v>8.0537892000481889E-22</v>
          </cell>
          <cell r="D75">
            <v>1900</v>
          </cell>
          <cell r="E75">
            <v>1024</v>
          </cell>
          <cell r="F75">
            <v>1.85546875</v>
          </cell>
          <cell r="H75">
            <v>283.96397487281286</v>
          </cell>
          <cell r="I75">
            <v>230.34255955901676</v>
          </cell>
          <cell r="J75">
            <v>173.4241982528219</v>
          </cell>
          <cell r="K75">
            <v>302.96191040666508</v>
          </cell>
          <cell r="L75">
            <v>188.50821913664015</v>
          </cell>
          <cell r="M75">
            <v>183.69700122046427</v>
          </cell>
          <cell r="N75">
            <v>149.90064244301601</v>
          </cell>
          <cell r="O75">
            <v>306.39428038315594</v>
          </cell>
          <cell r="P75">
            <v>347.63781020755346</v>
          </cell>
          <cell r="Q75">
            <v>304.44266929851818</v>
          </cell>
          <cell r="R75">
            <v>244.36434045648153</v>
          </cell>
          <cell r="T75">
            <v>246.81421166216847</v>
          </cell>
          <cell r="U75">
            <v>242.67820493052301</v>
          </cell>
          <cell r="V75">
            <v>244.36434045648153</v>
          </cell>
          <cell r="X75">
            <v>246.93869211689235</v>
          </cell>
          <cell r="Z75">
            <v>252.39290631738979</v>
          </cell>
          <cell r="AA75">
            <v>119.02414967859951</v>
          </cell>
          <cell r="AB75">
            <v>478.67924945915451</v>
          </cell>
          <cell r="AC75">
            <v>133.36875663879027</v>
          </cell>
          <cell r="AD75">
            <v>226.28634314176472</v>
          </cell>
        </row>
        <row r="76">
          <cell r="A76" t="str">
            <v>CGI005-qtz08-CL-fit-3</v>
          </cell>
          <cell r="B76">
            <v>750</v>
          </cell>
          <cell r="C76">
            <v>8.0537892000481889E-22</v>
          </cell>
          <cell r="D76">
            <v>1900</v>
          </cell>
          <cell r="E76">
            <v>1024</v>
          </cell>
          <cell r="F76">
            <v>1.85546875</v>
          </cell>
          <cell r="H76">
            <v>172.79345532098566</v>
          </cell>
          <cell r="I76">
            <v>83.403492804168678</v>
          </cell>
          <cell r="J76">
            <v>2.3815260045059956</v>
          </cell>
          <cell r="K76">
            <v>113.08601756096373</v>
          </cell>
          <cell r="L76">
            <v>100.85904540056897</v>
          </cell>
          <cell r="M76">
            <v>161.67804396754215</v>
          </cell>
          <cell r="N76">
            <v>4.4190663303199599E-3</v>
          </cell>
          <cell r="O76">
            <v>24.752043964817318</v>
          </cell>
          <cell r="P76">
            <v>41.235768163352347</v>
          </cell>
          <cell r="Q76">
            <v>39.123328662653272</v>
          </cell>
          <cell r="R76">
            <v>173.9296160728517</v>
          </cell>
          <cell r="T76">
            <v>99.722184617980133</v>
          </cell>
          <cell r="U76">
            <v>64.173807617197468</v>
          </cell>
          <cell r="V76">
            <v>83.403492804168678</v>
          </cell>
          <cell r="X76">
            <v>90.632816459662706</v>
          </cell>
          <cell r="Z76">
            <v>85.07086899735441</v>
          </cell>
          <cell r="AA76">
            <v>5.9829201905634228E-4</v>
          </cell>
          <cell r="AB76">
            <v>295.16057775863027</v>
          </cell>
          <cell r="AC76">
            <v>85.070270705335346</v>
          </cell>
          <cell r="AD76">
            <v>210.08970876127586</v>
          </cell>
        </row>
        <row r="77">
          <cell r="A77" t="str">
            <v>CGI005-qtz08-CL-fit-4-offset</v>
          </cell>
          <cell r="B77">
            <v>750</v>
          </cell>
          <cell r="C77">
            <v>8.0537892000481889E-22</v>
          </cell>
          <cell r="D77">
            <v>1900</v>
          </cell>
          <cell r="E77">
            <v>1024</v>
          </cell>
          <cell r="F77">
            <v>1.85546875</v>
          </cell>
          <cell r="H77">
            <v>125.54052243865904</v>
          </cell>
          <cell r="I77">
            <v>221.00332900500499</v>
          </cell>
          <cell r="J77">
            <v>144.16387017043579</v>
          </cell>
          <cell r="K77">
            <v>57.46982300379684</v>
          </cell>
          <cell r="L77">
            <v>130.29329536662263</v>
          </cell>
          <cell r="M77">
            <v>175.08312458926849</v>
          </cell>
          <cell r="N77">
            <v>359.69088049799376</v>
          </cell>
          <cell r="O77">
            <v>172.21164815458349</v>
          </cell>
          <cell r="P77">
            <v>22.185275859799923</v>
          </cell>
          <cell r="Q77">
            <v>152.57868685577671</v>
          </cell>
          <cell r="R77">
            <v>90.720460584190519</v>
          </cell>
          <cell r="T77">
            <v>171.06951904872565</v>
          </cell>
          <cell r="U77">
            <v>137.48729842451007</v>
          </cell>
          <cell r="V77">
            <v>144.16387017043579</v>
          </cell>
          <cell r="X77">
            <v>154.42751430732574</v>
          </cell>
          <cell r="Z77">
            <v>159.91374683723345</v>
          </cell>
          <cell r="AA77">
            <v>2.5372940015995815</v>
          </cell>
          <cell r="AB77">
            <v>656.66471907669438</v>
          </cell>
          <cell r="AC77">
            <v>157.37645283563387</v>
          </cell>
          <cell r="AD77">
            <v>496.75097223946091</v>
          </cell>
        </row>
        <row r="78">
          <cell r="A78" t="str">
            <v>CGI005-qtz08-CL-fit-5-offset</v>
          </cell>
          <cell r="B78">
            <v>750</v>
          </cell>
          <cell r="C78">
            <v>8.0537892000481889E-22</v>
          </cell>
          <cell r="D78">
            <v>1900</v>
          </cell>
          <cell r="E78">
            <v>1024</v>
          </cell>
          <cell r="F78">
            <v>1.85546875</v>
          </cell>
          <cell r="H78">
            <v>43.240626429155469</v>
          </cell>
          <cell r="I78">
            <v>1.513891544773954</v>
          </cell>
          <cell r="J78">
            <v>0.44560292597908852</v>
          </cell>
          <cell r="K78">
            <v>54.14734150949991</v>
          </cell>
          <cell r="L78">
            <v>24.61026973056293</v>
          </cell>
          <cell r="M78">
            <v>16.709373050237982</v>
          </cell>
          <cell r="N78">
            <v>42.957425074072681</v>
          </cell>
          <cell r="O78">
            <v>2.0633864166124352</v>
          </cell>
          <cell r="P78">
            <v>154.66753918182263</v>
          </cell>
          <cell r="Q78">
            <v>46.158345179990143</v>
          </cell>
          <cell r="R78">
            <v>55.20367967399757</v>
          </cell>
          <cell r="T78">
            <v>51.520221013946767</v>
          </cell>
          <cell r="U78">
            <v>29.289608622031089</v>
          </cell>
          <cell r="V78">
            <v>42.957425074072681</v>
          </cell>
          <cell r="X78">
            <v>39.40493786955944</v>
          </cell>
          <cell r="Z78">
            <v>39.783261960614468</v>
          </cell>
          <cell r="AA78">
            <v>0.76483881422896827</v>
          </cell>
          <cell r="AB78">
            <v>250.19677757927568</v>
          </cell>
          <cell r="AC78">
            <v>39.018423146385501</v>
          </cell>
          <cell r="AD78">
            <v>210.41351561866122</v>
          </cell>
        </row>
        <row r="79">
          <cell r="A79" t="str">
            <v>CGI005-qtz08-CL-fit-6-offset</v>
          </cell>
          <cell r="B79">
            <v>750</v>
          </cell>
          <cell r="C79">
            <v>8.0537892000481889E-22</v>
          </cell>
          <cell r="D79">
            <v>1900</v>
          </cell>
          <cell r="E79">
            <v>1024</v>
          </cell>
          <cell r="F79">
            <v>1.85546875</v>
          </cell>
          <cell r="H79">
            <v>15.158941148262398</v>
          </cell>
          <cell r="I79">
            <v>53.696746534812448</v>
          </cell>
          <cell r="J79">
            <v>20.598350234672051</v>
          </cell>
          <cell r="K79">
            <v>33.515220282316569</v>
          </cell>
          <cell r="L79">
            <v>33.265919806922945</v>
          </cell>
          <cell r="M79">
            <v>34.544272387376076</v>
          </cell>
          <cell r="N79">
            <v>16.628128638439197</v>
          </cell>
          <cell r="O79">
            <v>72.575041275043432</v>
          </cell>
          <cell r="P79">
            <v>42.152607648523791</v>
          </cell>
          <cell r="Q79">
            <v>39.557047933858016</v>
          </cell>
          <cell r="R79">
            <v>19.364966927455406</v>
          </cell>
          <cell r="T79">
            <v>38.788276923830239</v>
          </cell>
          <cell r="U79">
            <v>32.774057713471642</v>
          </cell>
          <cell r="V79">
            <v>33.515220282316569</v>
          </cell>
          <cell r="X79">
            <v>29.35314299490534</v>
          </cell>
          <cell r="Z79">
            <v>29.238004675506915</v>
          </cell>
          <cell r="AA79">
            <v>0.36777925427952923</v>
          </cell>
          <cell r="AB79">
            <v>103.12051725328907</v>
          </cell>
          <cell r="AC79">
            <v>28.870225421227385</v>
          </cell>
          <cell r="AD79">
            <v>73.882512577782151</v>
          </cell>
        </row>
        <row r="80">
          <cell r="A80" t="str">
            <v>CGI005-qtz09-CL-fit-1-offset</v>
          </cell>
          <cell r="B80">
            <v>750</v>
          </cell>
          <cell r="C80">
            <v>8.0537892000481889E-22</v>
          </cell>
          <cell r="D80">
            <v>2400</v>
          </cell>
          <cell r="E80">
            <v>1024</v>
          </cell>
          <cell r="F80">
            <v>2.34375</v>
          </cell>
          <cell r="H80">
            <v>0</v>
          </cell>
          <cell r="I80">
            <v>146.43465262599196</v>
          </cell>
          <cell r="J80">
            <v>1969.9669160002154</v>
          </cell>
          <cell r="K80">
            <v>530.3504026903878</v>
          </cell>
          <cell r="L80">
            <v>1.2479735914535817</v>
          </cell>
          <cell r="M80">
            <v>58.540782231997213</v>
          </cell>
          <cell r="N80">
            <v>7.8137447588248463</v>
          </cell>
          <cell r="O80">
            <v>1606.2762820400524</v>
          </cell>
          <cell r="P80">
            <v>615.31513829933181</v>
          </cell>
          <cell r="Q80">
            <v>254.33351808759909</v>
          </cell>
          <cell r="R80">
            <v>9.1607780188672514</v>
          </cell>
          <cell r="T80">
            <v>534.05053523415859</v>
          </cell>
          <cell r="U80">
            <v>306.02860939977109</v>
          </cell>
          <cell r="V80">
            <v>196.68458173233716</v>
          </cell>
          <cell r="X80">
            <v>603.81859461761167</v>
          </cell>
          <cell r="Z80">
            <v>6152.7548005293747</v>
          </cell>
          <cell r="AA80">
            <v>7.5640681539818302E-2</v>
          </cell>
          <cell r="AB80">
            <v>222678.2461332464</v>
          </cell>
          <cell r="AC80">
            <v>6152.6791598478349</v>
          </cell>
          <cell r="AD80">
            <v>216525.49133271704</v>
          </cell>
        </row>
        <row r="81">
          <cell r="A81" t="str">
            <v>CGI005-qtz09-CL-fit-2-offset</v>
          </cell>
          <cell r="B81">
            <v>750</v>
          </cell>
          <cell r="C81">
            <v>8.0537892000481889E-22</v>
          </cell>
          <cell r="D81">
            <v>2400</v>
          </cell>
          <cell r="E81">
            <v>1024</v>
          </cell>
          <cell r="F81">
            <v>2.34375</v>
          </cell>
          <cell r="H81">
            <v>818.21434798308189</v>
          </cell>
          <cell r="I81">
            <v>759.76829411701635</v>
          </cell>
          <cell r="J81">
            <v>1289.5626982012625</v>
          </cell>
          <cell r="K81">
            <v>1626.166536094167</v>
          </cell>
          <cell r="L81">
            <v>961.96796731391589</v>
          </cell>
          <cell r="M81">
            <v>1405.2559955790505</v>
          </cell>
          <cell r="N81">
            <v>471.29913068230695</v>
          </cell>
          <cell r="O81">
            <v>1428.8679248095377</v>
          </cell>
          <cell r="P81">
            <v>1449.3011755274604</v>
          </cell>
          <cell r="Q81">
            <v>3074.2185800064253</v>
          </cell>
          <cell r="R81">
            <v>2008.1348714639525</v>
          </cell>
          <cell r="T81">
            <v>1336.1112640467093</v>
          </cell>
          <cell r="U81">
            <v>1314.0247184844175</v>
          </cell>
          <cell r="V81">
            <v>1405.2559955790505</v>
          </cell>
          <cell r="X81">
            <v>1279.5268373664387</v>
          </cell>
          <cell r="Z81">
            <v>1271.8858788726498</v>
          </cell>
          <cell r="AA81">
            <v>393.93898117595262</v>
          </cell>
          <cell r="AB81">
            <v>2510.1352741350097</v>
          </cell>
          <cell r="AC81">
            <v>877.94689769669708</v>
          </cell>
          <cell r="AD81">
            <v>1238.2493952623599</v>
          </cell>
        </row>
        <row r="82">
          <cell r="A82" t="str">
            <v>CGI005-qtz09-CL-fit-3-offset</v>
          </cell>
          <cell r="B82">
            <v>750</v>
          </cell>
          <cell r="C82">
            <v>8.0537892000481889E-22</v>
          </cell>
          <cell r="D82">
            <v>2400</v>
          </cell>
          <cell r="E82">
            <v>1024</v>
          </cell>
          <cell r="F82">
            <v>2.34375</v>
          </cell>
          <cell r="H82">
            <v>1013.2500797479555</v>
          </cell>
          <cell r="I82">
            <v>506.77754855262964</v>
          </cell>
          <cell r="J82">
            <v>777.94560332870788</v>
          </cell>
          <cell r="K82">
            <v>811.77584952143502</v>
          </cell>
          <cell r="L82">
            <v>1104.8143151657143</v>
          </cell>
          <cell r="M82">
            <v>889.95134815858262</v>
          </cell>
          <cell r="N82">
            <v>1180.7254995236221</v>
          </cell>
          <cell r="O82">
            <v>1265.5482528503917</v>
          </cell>
          <cell r="P82">
            <v>1295.8190979985661</v>
          </cell>
          <cell r="Q82">
            <v>1075.6129615269083</v>
          </cell>
          <cell r="R82">
            <v>2780.8324947471883</v>
          </cell>
          <cell r="T82">
            <v>1036.1049343423442</v>
          </cell>
          <cell r="U82">
            <v>1102.6101978135812</v>
          </cell>
          <cell r="V82">
            <v>1075.6129615269083</v>
          </cell>
          <cell r="X82">
            <v>1045.4435087016532</v>
          </cell>
          <cell r="Z82">
            <v>1065.2537916881188</v>
          </cell>
          <cell r="AA82">
            <v>289.54791567722526</v>
          </cell>
          <cell r="AB82">
            <v>2491.9160547993301</v>
          </cell>
          <cell r="AC82">
            <v>775.70587601089346</v>
          </cell>
          <cell r="AD82">
            <v>1426.6622631112114</v>
          </cell>
        </row>
        <row r="83">
          <cell r="A83" t="str">
            <v>CGI005-qtz09-CL-fit-4-offset</v>
          </cell>
          <cell r="B83">
            <v>750</v>
          </cell>
          <cell r="C83">
            <v>8.0537892000481889E-22</v>
          </cell>
          <cell r="D83">
            <v>2400</v>
          </cell>
          <cell r="E83">
            <v>1024</v>
          </cell>
          <cell r="F83">
            <v>2.34375</v>
          </cell>
          <cell r="H83">
            <v>345.08115954073759</v>
          </cell>
          <cell r="I83">
            <v>402.74676021785211</v>
          </cell>
          <cell r="J83">
            <v>246.79267879209843</v>
          </cell>
          <cell r="K83">
            <v>589.95547883380425</v>
          </cell>
          <cell r="L83">
            <v>699.96811045682955</v>
          </cell>
          <cell r="M83">
            <v>523.20865832027016</v>
          </cell>
          <cell r="N83">
            <v>565.83206448910448</v>
          </cell>
          <cell r="O83">
            <v>475.4055843418364</v>
          </cell>
          <cell r="P83">
            <v>487.55750797061296</v>
          </cell>
          <cell r="Q83">
            <v>421.36778747694217</v>
          </cell>
          <cell r="R83">
            <v>298.3228535239619</v>
          </cell>
          <cell r="T83">
            <v>485.02503934445559</v>
          </cell>
          <cell r="U83">
            <v>450.38566815886458</v>
          </cell>
          <cell r="V83">
            <v>475.4055843418364</v>
          </cell>
          <cell r="X83">
            <v>448.33907266379396</v>
          </cell>
          <cell r="Z83">
            <v>429.61424810393623</v>
          </cell>
          <cell r="AA83">
            <v>128.42275195791126</v>
          </cell>
          <cell r="AB83">
            <v>836.94768650315928</v>
          </cell>
          <cell r="AC83">
            <v>301.19149614602497</v>
          </cell>
          <cell r="AD83">
            <v>407.33343839922304</v>
          </cell>
        </row>
        <row r="84">
          <cell r="A84" t="str">
            <v>CGI005-qtz09-CL-fit-5-offset</v>
          </cell>
          <cell r="B84">
            <v>750</v>
          </cell>
          <cell r="C84">
            <v>8.0537892000481889E-22</v>
          </cell>
          <cell r="D84">
            <v>2400</v>
          </cell>
          <cell r="E84">
            <v>1024</v>
          </cell>
          <cell r="F84">
            <v>2.34375</v>
          </cell>
          <cell r="H84">
            <v>277.03838064460456</v>
          </cell>
          <cell r="I84">
            <v>249.8824412307726</v>
          </cell>
          <cell r="J84">
            <v>490.48678367839813</v>
          </cell>
          <cell r="K84">
            <v>304.05746368509904</v>
          </cell>
          <cell r="L84">
            <v>312.39697130086648</v>
          </cell>
          <cell r="M84">
            <v>227.63589177892953</v>
          </cell>
          <cell r="N84">
            <v>110.79821476888115</v>
          </cell>
          <cell r="O84">
            <v>159.48118932915358</v>
          </cell>
          <cell r="P84">
            <v>227.29968935024482</v>
          </cell>
          <cell r="Q84">
            <v>208.37816625852065</v>
          </cell>
          <cell r="R84">
            <v>223.51416373171773</v>
          </cell>
          <cell r="T84">
            <v>265.70256398575833</v>
          </cell>
          <cell r="U84">
            <v>245.67855938827077</v>
          </cell>
          <cell r="V84">
            <v>227.63589177892953</v>
          </cell>
          <cell r="X84">
            <v>264.03739733760648</v>
          </cell>
          <cell r="Z84">
            <v>254.69192031314094</v>
          </cell>
          <cell r="AA84">
            <v>26.261608390275413</v>
          </cell>
          <cell r="AB84">
            <v>585.37479684850121</v>
          </cell>
          <cell r="AC84">
            <v>228.43031192286554</v>
          </cell>
          <cell r="AD84">
            <v>330.68287653536026</v>
          </cell>
        </row>
        <row r="85">
          <cell r="A85" t="str">
            <v>CGI005-qtz10-CL-fit-1</v>
          </cell>
          <cell r="B85">
            <v>750</v>
          </cell>
          <cell r="C85">
            <v>8.0537892000481889E-22</v>
          </cell>
          <cell r="D85">
            <v>2100</v>
          </cell>
          <cell r="E85">
            <v>1024</v>
          </cell>
          <cell r="F85">
            <v>2.05078125</v>
          </cell>
          <cell r="H85">
            <v>6434.6426229376166</v>
          </cell>
          <cell r="I85">
            <v>8661.9696523441617</v>
          </cell>
          <cell r="J85">
            <v>7871.6878165376393</v>
          </cell>
          <cell r="K85">
            <v>8826.0432105340715</v>
          </cell>
          <cell r="L85">
            <v>7778.7049131198592</v>
          </cell>
          <cell r="M85">
            <v>7429.188665096066</v>
          </cell>
          <cell r="N85">
            <v>7783.8468146017785</v>
          </cell>
          <cell r="O85">
            <v>7651.246355199929</v>
          </cell>
          <cell r="P85">
            <v>7586.4011383811785</v>
          </cell>
          <cell r="Q85">
            <v>7755.721075064419</v>
          </cell>
          <cell r="R85">
            <v>8213.6924880780971</v>
          </cell>
          <cell r="T85">
            <v>7804.1325358824952</v>
          </cell>
          <cell r="U85">
            <v>7805.5402006705517</v>
          </cell>
          <cell r="V85">
            <v>7778.7049131198592</v>
          </cell>
          <cell r="X85">
            <v>7766.7716820843198</v>
          </cell>
          <cell r="Z85">
            <v>7745.4021926207606</v>
          </cell>
          <cell r="AA85">
            <v>6594.2282321769972</v>
          </cell>
          <cell r="AB85">
            <v>9233.2194363716371</v>
          </cell>
          <cell r="AC85">
            <v>1151.1739604437635</v>
          </cell>
          <cell r="AD85">
            <v>1487.8172437508765</v>
          </cell>
        </row>
        <row r="86">
          <cell r="A86" t="str">
            <v>CGI005-qtz10-CL-fit-2</v>
          </cell>
          <cell r="B86">
            <v>750</v>
          </cell>
          <cell r="C86">
            <v>8.0537892000481889E-22</v>
          </cell>
          <cell r="D86">
            <v>2100</v>
          </cell>
          <cell r="E86">
            <v>1024</v>
          </cell>
          <cell r="F86">
            <v>2.05078125</v>
          </cell>
          <cell r="H86">
            <v>1489.0747960825352</v>
          </cell>
          <cell r="I86">
            <v>1288.6206639456582</v>
          </cell>
          <cell r="J86">
            <v>1394.5236482364573</v>
          </cell>
          <cell r="K86">
            <v>1438.9791332784623</v>
          </cell>
          <cell r="L86">
            <v>2041.1689547723047</v>
          </cell>
          <cell r="M86">
            <v>1550.0019146132629</v>
          </cell>
          <cell r="N86">
            <v>1613.0620362552645</v>
          </cell>
          <cell r="O86">
            <v>1564.8623574420114</v>
          </cell>
          <cell r="P86">
            <v>1363.9566932352641</v>
          </cell>
          <cell r="Q86">
            <v>1712.704760284513</v>
          </cell>
          <cell r="R86">
            <v>2037.4705081805539</v>
          </cell>
          <cell r="T86">
            <v>1583.7992912810607</v>
          </cell>
          <cell r="U86">
            <v>1581.7882010313338</v>
          </cell>
          <cell r="V86">
            <v>1550.0019146132629</v>
          </cell>
          <cell r="X86">
            <v>1585.5798632328615</v>
          </cell>
          <cell r="Z86">
            <v>1603.3905455377133</v>
          </cell>
          <cell r="AA86">
            <v>1242.1057964885865</v>
          </cell>
          <cell r="AB86">
            <v>2137.6208416752797</v>
          </cell>
          <cell r="AC86">
            <v>361.28474904912673</v>
          </cell>
          <cell r="AD86">
            <v>534.23029613756648</v>
          </cell>
        </row>
        <row r="87">
          <cell r="A87" t="str">
            <v>CGI005-qtz10-CL-fit-3-offset</v>
          </cell>
          <cell r="B87">
            <v>750</v>
          </cell>
          <cell r="C87">
            <v>8.0537892000481889E-22</v>
          </cell>
          <cell r="D87">
            <v>2100</v>
          </cell>
          <cell r="E87">
            <v>1024</v>
          </cell>
          <cell r="F87">
            <v>2.05078125</v>
          </cell>
          <cell r="H87">
            <v>2494.9868893643938</v>
          </cell>
          <cell r="I87">
            <v>2799.1136496500703</v>
          </cell>
          <cell r="J87">
            <v>3109.8187859180489</v>
          </cell>
          <cell r="K87">
            <v>3091.0425496029829</v>
          </cell>
          <cell r="L87">
            <v>2406.2471219089339</v>
          </cell>
          <cell r="M87">
            <v>1373.4329453832383</v>
          </cell>
          <cell r="N87">
            <v>2011.725062508109</v>
          </cell>
          <cell r="O87">
            <v>1014.7916681173392</v>
          </cell>
          <cell r="P87">
            <v>669.91596589057895</v>
          </cell>
          <cell r="Q87">
            <v>2001.7307793198634</v>
          </cell>
          <cell r="R87">
            <v>1460.2240883494508</v>
          </cell>
          <cell r="T87">
            <v>2079.8636247274139</v>
          </cell>
          <cell r="U87">
            <v>1951.0461618242045</v>
          </cell>
          <cell r="V87">
            <v>2011.725062508109</v>
          </cell>
          <cell r="X87">
            <v>2070.0319965931617</v>
          </cell>
          <cell r="Z87">
            <v>2091.4235940568624</v>
          </cell>
          <cell r="AA87">
            <v>935.78415741277718</v>
          </cell>
          <cell r="AB87">
            <v>3839.5769497854089</v>
          </cell>
          <cell r="AC87">
            <v>1155.6394366440852</v>
          </cell>
          <cell r="AD87">
            <v>1748.1533557285466</v>
          </cell>
        </row>
        <row r="88">
          <cell r="A88" t="str">
            <v>CGI005-qtz10-CL-fit-4-offset</v>
          </cell>
          <cell r="B88">
            <v>750</v>
          </cell>
          <cell r="C88">
            <v>8.0537892000481889E-22</v>
          </cell>
          <cell r="D88">
            <v>2100</v>
          </cell>
          <cell r="E88">
            <v>1024</v>
          </cell>
          <cell r="F88">
            <v>2.05078125</v>
          </cell>
          <cell r="H88">
            <v>433.14837848586609</v>
          </cell>
          <cell r="I88">
            <v>502.04023269909732</v>
          </cell>
          <cell r="J88">
            <v>446.25975423949751</v>
          </cell>
          <cell r="K88">
            <v>356.60114118530868</v>
          </cell>
          <cell r="L88">
            <v>650.36735860868384</v>
          </cell>
          <cell r="M88">
            <v>715.20176831345975</v>
          </cell>
          <cell r="N88">
            <v>474.4292788920884</v>
          </cell>
          <cell r="O88">
            <v>499.73046453014121</v>
          </cell>
          <cell r="P88">
            <v>482.22398017455004</v>
          </cell>
          <cell r="Q88">
            <v>689.58975026969995</v>
          </cell>
          <cell r="R88">
            <v>539.02440987624971</v>
          </cell>
          <cell r="T88">
            <v>531.79685077549652</v>
          </cell>
          <cell r="U88">
            <v>520.85764375065821</v>
          </cell>
          <cell r="V88">
            <v>499.73046453014121</v>
          </cell>
          <cell r="X88">
            <v>522.39473788326825</v>
          </cell>
          <cell r="Z88">
            <v>526.15806064179185</v>
          </cell>
          <cell r="AA88">
            <v>318.6014230136152</v>
          </cell>
          <cell r="AB88">
            <v>768.66923975565464</v>
          </cell>
          <cell r="AC88">
            <v>207.55663762817665</v>
          </cell>
          <cell r="AD88">
            <v>242.5111791138628</v>
          </cell>
        </row>
        <row r="89">
          <cell r="A89" t="str">
            <v>CGI005-qtz10-CL-fit-5-offset</v>
          </cell>
          <cell r="B89">
            <v>750</v>
          </cell>
          <cell r="C89">
            <v>8.0537892000481889E-22</v>
          </cell>
          <cell r="D89">
            <v>2100</v>
          </cell>
          <cell r="E89">
            <v>1024</v>
          </cell>
          <cell r="F89">
            <v>2.05078125</v>
          </cell>
          <cell r="H89">
            <v>275.39598115033425</v>
          </cell>
          <cell r="I89">
            <v>267.67913423877849</v>
          </cell>
          <cell r="J89">
            <v>53.928634801281476</v>
          </cell>
          <cell r="K89">
            <v>236.31387932084567</v>
          </cell>
          <cell r="L89">
            <v>277.80820804390345</v>
          </cell>
          <cell r="M89">
            <v>452.69859977779248</v>
          </cell>
          <cell r="N89">
            <v>436.10704195228544</v>
          </cell>
          <cell r="O89">
            <v>271.53355829582853</v>
          </cell>
          <cell r="P89">
            <v>241.59483868205282</v>
          </cell>
          <cell r="Q89">
            <v>477.95389405205384</v>
          </cell>
          <cell r="R89">
            <v>324.75433783710434</v>
          </cell>
          <cell r="T89">
            <v>313.93086056260915</v>
          </cell>
          <cell r="U89">
            <v>287.16150243494837</v>
          </cell>
          <cell r="V89">
            <v>275.39598115033425</v>
          </cell>
          <cell r="X89">
            <v>295.24552491796589</v>
          </cell>
          <cell r="Z89">
            <v>296.23637482160836</v>
          </cell>
          <cell r="AA89">
            <v>50.119903227438428</v>
          </cell>
          <cell r="AB89">
            <v>870.17939151648636</v>
          </cell>
          <cell r="AC89">
            <v>246.11647159416992</v>
          </cell>
          <cell r="AD89">
            <v>573.943016694878</v>
          </cell>
        </row>
        <row r="90">
          <cell r="A90" t="str">
            <v>CGI005-qtz10-CL-fit-6-offset</v>
          </cell>
          <cell r="B90">
            <v>750</v>
          </cell>
          <cell r="C90">
            <v>8.0537892000481889E-22</v>
          </cell>
          <cell r="D90">
            <v>2100</v>
          </cell>
          <cell r="E90">
            <v>1024</v>
          </cell>
          <cell r="F90">
            <v>2.05078125</v>
          </cell>
          <cell r="H90">
            <v>31.636457169162391</v>
          </cell>
          <cell r="I90">
            <v>2.2472598672107704</v>
          </cell>
          <cell r="J90">
            <v>152.31874544776599</v>
          </cell>
          <cell r="K90">
            <v>4.9893523661250778E-2</v>
          </cell>
          <cell r="L90">
            <v>267.44223133183738</v>
          </cell>
          <cell r="M90">
            <v>24.671569808505897</v>
          </cell>
          <cell r="N90">
            <v>250.61397885614241</v>
          </cell>
          <cell r="O90">
            <v>180.88561347010813</v>
          </cell>
          <cell r="P90">
            <v>36.674812038996208</v>
          </cell>
          <cell r="Q90">
            <v>368.88702707362177</v>
          </cell>
          <cell r="R90">
            <v>428.70286598904005</v>
          </cell>
          <cell r="T90">
            <v>150.06086963810742</v>
          </cell>
          <cell r="U90">
            <v>111.70040311725381</v>
          </cell>
          <cell r="V90">
            <v>152.31874544776599</v>
          </cell>
          <cell r="X90">
            <v>109.17654050824801</v>
          </cell>
          <cell r="Z90">
            <v>116.9358255069755</v>
          </cell>
          <cell r="AA90">
            <v>0.34145073809834964</v>
          </cell>
          <cell r="AB90">
            <v>695.83020065500909</v>
          </cell>
          <cell r="AC90">
            <v>116.59437476887716</v>
          </cell>
          <cell r="AD90">
            <v>578.89437514803353</v>
          </cell>
        </row>
        <row r="91">
          <cell r="A91" t="str">
            <v>CGI005-qtz11-CL-fit-1-offset</v>
          </cell>
          <cell r="B91">
            <v>750</v>
          </cell>
          <cell r="C91">
            <v>8.0537892000481889E-22</v>
          </cell>
          <cell r="D91">
            <v>2300</v>
          </cell>
          <cell r="E91">
            <v>1024</v>
          </cell>
          <cell r="F91">
            <v>2.24609375</v>
          </cell>
          <cell r="H91">
            <v>1264.8144034307552</v>
          </cell>
          <cell r="I91">
            <v>1438.173083143095</v>
          </cell>
          <cell r="J91">
            <v>1536.4092755625384</v>
          </cell>
          <cell r="K91">
            <v>1481.3147853935004</v>
          </cell>
          <cell r="L91">
            <v>1076.2183493426646</v>
          </cell>
          <cell r="M91">
            <v>1360.9249480567059</v>
          </cell>
          <cell r="N91">
            <v>1110.5159129132783</v>
          </cell>
          <cell r="O91">
            <v>1271.7054103182661</v>
          </cell>
          <cell r="P91">
            <v>1222.8614327584237</v>
          </cell>
          <cell r="Q91">
            <v>1111.0079703695399</v>
          </cell>
          <cell r="R91">
            <v>1082.2818589318035</v>
          </cell>
          <cell r="T91">
            <v>1263.0910638768971</v>
          </cell>
          <cell r="U91">
            <v>1263.8253289851157</v>
          </cell>
          <cell r="V91">
            <v>1264.8144034307552</v>
          </cell>
          <cell r="X91">
            <v>1251.9048929646997</v>
          </cell>
          <cell r="Z91">
            <v>1240.1627060585568</v>
          </cell>
          <cell r="AA91">
            <v>953.22606009968945</v>
          </cell>
          <cell r="AB91">
            <v>1612.3804160307227</v>
          </cell>
          <cell r="AC91">
            <v>286.9366459588673</v>
          </cell>
          <cell r="AD91">
            <v>372.21770997216595</v>
          </cell>
        </row>
        <row r="92">
          <cell r="A92" t="str">
            <v>CGI005-qtz11-CL-fit-2-offset</v>
          </cell>
          <cell r="B92">
            <v>750</v>
          </cell>
          <cell r="C92">
            <v>8.0537892000481889E-22</v>
          </cell>
          <cell r="D92">
            <v>2300</v>
          </cell>
          <cell r="E92">
            <v>1024</v>
          </cell>
          <cell r="F92">
            <v>2.24609375</v>
          </cell>
          <cell r="H92">
            <v>645.61125998534635</v>
          </cell>
          <cell r="I92">
            <v>1333.4703854314646</v>
          </cell>
          <cell r="J92">
            <v>1482.2716985389854</v>
          </cell>
          <cell r="K92">
            <v>450.98210671609979</v>
          </cell>
          <cell r="L92">
            <v>986.00509421725326</v>
          </cell>
          <cell r="M92">
            <v>1060.6840182214673</v>
          </cell>
          <cell r="N92">
            <v>966.61943242575796</v>
          </cell>
          <cell r="O92">
            <v>1469.6359525966391</v>
          </cell>
          <cell r="P92">
            <v>2083.2273573401685</v>
          </cell>
          <cell r="Q92">
            <v>1538.792698413263</v>
          </cell>
          <cell r="R92">
            <v>1381.9546362600113</v>
          </cell>
          <cell r="T92">
            <v>1172.1738377215638</v>
          </cell>
          <cell r="U92">
            <v>1175.2548883255106</v>
          </cell>
          <cell r="V92">
            <v>1333.4703854314646</v>
          </cell>
          <cell r="X92">
            <v>1163.1586557171352</v>
          </cell>
          <cell r="Z92">
            <v>1170.5619195694451</v>
          </cell>
          <cell r="AA92">
            <v>531.6774639754027</v>
          </cell>
          <cell r="AB92">
            <v>2149.7156992068976</v>
          </cell>
          <cell r="AC92">
            <v>638.88445559404238</v>
          </cell>
          <cell r="AD92">
            <v>979.15377963745254</v>
          </cell>
        </row>
        <row r="93">
          <cell r="A93" t="str">
            <v>CGI005-qtz11-CL-fit-3</v>
          </cell>
          <cell r="B93">
            <v>750</v>
          </cell>
          <cell r="C93">
            <v>8.0537892000481889E-22</v>
          </cell>
          <cell r="D93">
            <v>2300</v>
          </cell>
          <cell r="E93">
            <v>1024</v>
          </cell>
          <cell r="F93">
            <v>2.24609375</v>
          </cell>
          <cell r="H93">
            <v>140.97415230563618</v>
          </cell>
          <cell r="I93">
            <v>143.77246072704517</v>
          </cell>
          <cell r="J93">
            <v>166.52691585274198</v>
          </cell>
          <cell r="K93">
            <v>81.281069032411963</v>
          </cell>
          <cell r="L93">
            <v>113.43335928616662</v>
          </cell>
          <cell r="M93">
            <v>156.0119512730098</v>
          </cell>
          <cell r="N93">
            <v>158.28117050905325</v>
          </cell>
          <cell r="O93">
            <v>160.47775925654412</v>
          </cell>
          <cell r="P93">
            <v>199.01682557702912</v>
          </cell>
          <cell r="Q93">
            <v>116.26863848934643</v>
          </cell>
          <cell r="R93">
            <v>165.20095236686811</v>
          </cell>
          <cell r="T93">
            <v>144.03494697084921</v>
          </cell>
          <cell r="U93">
            <v>143.81903132517749</v>
          </cell>
          <cell r="V93">
            <v>156.0119512730098</v>
          </cell>
          <cell r="X93">
            <v>140.35223403469129</v>
          </cell>
          <cell r="Z93">
            <v>141.12043820203482</v>
          </cell>
          <cell r="AA93">
            <v>89.818555312275109</v>
          </cell>
          <cell r="AB93">
            <v>209.85081927816859</v>
          </cell>
          <cell r="AC93">
            <v>51.30188288975971</v>
          </cell>
          <cell r="AD93">
            <v>68.730381076133767</v>
          </cell>
        </row>
        <row r="94">
          <cell r="A94" t="str">
            <v>CGI005-qtz11-CL-fit-4-offset</v>
          </cell>
          <cell r="B94">
            <v>750</v>
          </cell>
          <cell r="C94">
            <v>8.0537892000481889E-22</v>
          </cell>
          <cell r="D94">
            <v>2300</v>
          </cell>
          <cell r="E94">
            <v>1024</v>
          </cell>
          <cell r="F94">
            <v>2.24609375</v>
          </cell>
          <cell r="H94">
            <v>115.88356539849103</v>
          </cell>
          <cell r="I94">
            <v>25.732176646116258</v>
          </cell>
          <cell r="J94">
            <v>96.654014032880951</v>
          </cell>
          <cell r="K94">
            <v>1.0996067129578995</v>
          </cell>
          <cell r="L94">
            <v>73.952816755095014</v>
          </cell>
          <cell r="M94">
            <v>74.572662984732133</v>
          </cell>
          <cell r="N94">
            <v>36.267639833987182</v>
          </cell>
          <cell r="O94">
            <v>61.939501760166046</v>
          </cell>
          <cell r="P94">
            <v>51.161957756784147</v>
          </cell>
          <cell r="Q94">
            <v>74.276330291959397</v>
          </cell>
          <cell r="R94">
            <v>47.499485501295759</v>
          </cell>
          <cell r="T94">
            <v>72.396042285981352</v>
          </cell>
          <cell r="U94">
            <v>53.566675808590851</v>
          </cell>
          <cell r="V94">
            <v>61.939501760166046</v>
          </cell>
          <cell r="X94">
            <v>65.609914074364355</v>
          </cell>
          <cell r="Z94">
            <v>62.18684293796565</v>
          </cell>
          <cell r="AA94">
            <v>1.7399195951910151</v>
          </cell>
          <cell r="AB94">
            <v>243.26640518789625</v>
          </cell>
          <cell r="AC94">
            <v>60.446923342774639</v>
          </cell>
          <cell r="AD94">
            <v>181.0795622499306</v>
          </cell>
        </row>
        <row r="95">
          <cell r="A95" t="str">
            <v>CGI005-qtz12-CL-fit-1-offset</v>
          </cell>
          <cell r="B95">
            <v>750</v>
          </cell>
          <cell r="C95">
            <v>8.0537892000481889E-22</v>
          </cell>
          <cell r="D95">
            <v>2700</v>
          </cell>
          <cell r="E95">
            <v>1024</v>
          </cell>
          <cell r="F95">
            <v>2.63671875</v>
          </cell>
          <cell r="H95">
            <v>1555.0107055542717</v>
          </cell>
          <cell r="I95">
            <v>2344.4666496252225</v>
          </cell>
          <cell r="J95">
            <v>315.26907652618576</v>
          </cell>
          <cell r="K95">
            <v>703.09245389786236</v>
          </cell>
          <cell r="L95">
            <v>1348.944905072027</v>
          </cell>
          <cell r="M95">
            <v>1148.3968006994821</v>
          </cell>
          <cell r="N95">
            <v>253.76362135884779</v>
          </cell>
          <cell r="O95">
            <v>200.73974108145612</v>
          </cell>
          <cell r="P95">
            <v>1125.4198265562359</v>
          </cell>
          <cell r="Q95">
            <v>710.84076040885964</v>
          </cell>
          <cell r="R95">
            <v>859.88724603290268</v>
          </cell>
          <cell r="T95">
            <v>979.32523498653973</v>
          </cell>
          <cell r="U95">
            <v>858.87333188377602</v>
          </cell>
          <cell r="V95">
            <v>859.88724603290268</v>
          </cell>
          <cell r="X95">
            <v>990.69142451996947</v>
          </cell>
          <cell r="Z95">
            <v>995.37310369193312</v>
          </cell>
          <cell r="AA95">
            <v>109.79357094625874</v>
          </cell>
          <cell r="AB95">
            <v>2781.9970633480184</v>
          </cell>
          <cell r="AC95">
            <v>885.57953274567444</v>
          </cell>
          <cell r="AD95">
            <v>1786.6239596560854</v>
          </cell>
        </row>
        <row r="96">
          <cell r="A96" t="str">
            <v>CGI005-qtz12-CL-fit-2-offset</v>
          </cell>
          <cell r="B96">
            <v>750</v>
          </cell>
          <cell r="C96">
            <v>8.0537892000481889E-22</v>
          </cell>
          <cell r="D96">
            <v>2700</v>
          </cell>
          <cell r="E96">
            <v>1024</v>
          </cell>
          <cell r="F96">
            <v>2.63671875</v>
          </cell>
          <cell r="H96">
            <v>1191.9524085542253</v>
          </cell>
          <cell r="I96">
            <v>996.08868185813776</v>
          </cell>
          <cell r="J96">
            <v>2156.9913127593609</v>
          </cell>
          <cell r="K96">
            <v>4468.2289347750311</v>
          </cell>
          <cell r="L96">
            <v>1271.8034868992088</v>
          </cell>
          <cell r="M96">
            <v>2505.6073547542023</v>
          </cell>
          <cell r="N96">
            <v>975.31152385544738</v>
          </cell>
          <cell r="O96">
            <v>1134.4920309253398</v>
          </cell>
          <cell r="P96">
            <v>1582.1603730101845</v>
          </cell>
          <cell r="Q96">
            <v>1089.058595250599</v>
          </cell>
          <cell r="R96">
            <v>1287.8481184233679</v>
          </cell>
          <cell r="T96">
            <v>1483.9873447778273</v>
          </cell>
          <cell r="U96">
            <v>1590.3290782955721</v>
          </cell>
          <cell r="V96">
            <v>1271.8034868992088</v>
          </cell>
          <cell r="X96">
            <v>1430.5944355015454</v>
          </cell>
          <cell r="Z96">
            <v>1556.2877103135088</v>
          </cell>
          <cell r="AA96">
            <v>588.56860945732387</v>
          </cell>
          <cell r="AB96">
            <v>4626.8319560544278</v>
          </cell>
          <cell r="AC96">
            <v>967.71910085618492</v>
          </cell>
          <cell r="AD96">
            <v>3070.544245740919</v>
          </cell>
        </row>
        <row r="97">
          <cell r="A97" t="str">
            <v>CGI005-qtz12-CL-fit-3</v>
          </cell>
          <cell r="B97">
            <v>750</v>
          </cell>
          <cell r="C97">
            <v>8.0537892000481889E-22</v>
          </cell>
          <cell r="D97">
            <v>2700</v>
          </cell>
          <cell r="E97">
            <v>1024</v>
          </cell>
          <cell r="F97">
            <v>2.63671875</v>
          </cell>
          <cell r="H97">
            <v>1392.8332323421953</v>
          </cell>
          <cell r="I97">
            <v>987.4240947182725</v>
          </cell>
          <cell r="J97">
            <v>1604.8094315116664</v>
          </cell>
          <cell r="K97">
            <v>1543.7823778539462</v>
          </cell>
          <cell r="L97">
            <v>2143.4079326944534</v>
          </cell>
          <cell r="M97">
            <v>505.86806689658931</v>
          </cell>
          <cell r="N97">
            <v>497.07335627248489</v>
          </cell>
          <cell r="O97">
            <v>369.82808693078869</v>
          </cell>
          <cell r="P97">
            <v>561.05649834971848</v>
          </cell>
          <cell r="Q97">
            <v>2079.4084156301983</v>
          </cell>
          <cell r="R97">
            <v>1476.9805858077598</v>
          </cell>
          <cell r="T97">
            <v>1225.6294664759512</v>
          </cell>
          <cell r="U97">
            <v>1107.8503380717009</v>
          </cell>
          <cell r="V97">
            <v>1392.8332323421953</v>
          </cell>
          <cell r="X97">
            <v>1190.9765919149409</v>
          </cell>
          <cell r="Z97">
            <v>1287.0529945926205</v>
          </cell>
          <cell r="AA97">
            <v>206.41736739255288</v>
          </cell>
          <cell r="AB97">
            <v>3767.7531544195131</v>
          </cell>
          <cell r="AC97">
            <v>1080.6356272000676</v>
          </cell>
          <cell r="AD97">
            <v>2480.7001598268926</v>
          </cell>
        </row>
        <row r="98">
          <cell r="A98" t="str">
            <v>CGI005-qtz12-CL-fit-4-offset</v>
          </cell>
          <cell r="B98">
            <v>750</v>
          </cell>
          <cell r="C98">
            <v>8.0537892000481889E-22</v>
          </cell>
          <cell r="D98">
            <v>2700</v>
          </cell>
          <cell r="E98">
            <v>1024</v>
          </cell>
          <cell r="F98">
            <v>2.63671875</v>
          </cell>
          <cell r="H98">
            <v>103.3081404275043</v>
          </cell>
          <cell r="I98">
            <v>105.14450680889313</v>
          </cell>
          <cell r="J98">
            <v>132.57079664874851</v>
          </cell>
          <cell r="K98">
            <v>125.72165921016584</v>
          </cell>
          <cell r="L98">
            <v>171.12415510760715</v>
          </cell>
          <cell r="M98">
            <v>167.25096706782051</v>
          </cell>
          <cell r="N98">
            <v>122.10830640208974</v>
          </cell>
          <cell r="O98">
            <v>84.468882522938685</v>
          </cell>
          <cell r="P98">
            <v>114.06838150578599</v>
          </cell>
          <cell r="Q98">
            <v>149.21990017046917</v>
          </cell>
          <cell r="R98">
            <v>168.86131021687379</v>
          </cell>
          <cell r="T98">
            <v>152.28790225562818</v>
          </cell>
          <cell r="U98">
            <v>129.73215665495309</v>
          </cell>
          <cell r="V98">
            <v>125.72165921016584</v>
          </cell>
          <cell r="X98">
            <v>143.20252966908811</v>
          </cell>
          <cell r="Z98">
            <v>139.46194757571331</v>
          </cell>
          <cell r="AA98">
            <v>9.057927761227754</v>
          </cell>
          <cell r="AB98">
            <v>288.38511568453157</v>
          </cell>
          <cell r="AC98">
            <v>130.40401981448557</v>
          </cell>
          <cell r="AD98">
            <v>148.92316810881826</v>
          </cell>
        </row>
        <row r="99">
          <cell r="A99" t="str">
            <v>CGI008-qtz01-CL-fit-1-offset</v>
          </cell>
          <cell r="B99">
            <v>750</v>
          </cell>
          <cell r="C99">
            <v>8.0537892000481889E-22</v>
          </cell>
          <cell r="D99">
            <v>1500</v>
          </cell>
          <cell r="E99">
            <v>1024</v>
          </cell>
          <cell r="F99">
            <v>1.46484375</v>
          </cell>
          <cell r="H99">
            <v>208.08696443530187</v>
          </cell>
          <cell r="I99">
            <v>199.32476356584826</v>
          </cell>
          <cell r="J99">
            <v>54.035427365792501</v>
          </cell>
          <cell r="K99">
            <v>51.371901732490514</v>
          </cell>
          <cell r="L99">
            <v>134.89946539276175</v>
          </cell>
          <cell r="M99">
            <v>130.81636649209733</v>
          </cell>
          <cell r="N99">
            <v>506.99839097047584</v>
          </cell>
          <cell r="O99">
            <v>525.80767521994676</v>
          </cell>
          <cell r="P99">
            <v>749.6424306595834</v>
          </cell>
          <cell r="Q99">
            <v>362.78080763065208</v>
          </cell>
          <cell r="R99">
            <v>236.76489605126196</v>
          </cell>
          <cell r="T99">
            <v>236.0312058732525</v>
          </cell>
          <cell r="U99">
            <v>248.41936420583974</v>
          </cell>
          <cell r="V99">
            <v>208.08696443530187</v>
          </cell>
          <cell r="X99">
            <v>227.37712557037401</v>
          </cell>
          <cell r="Z99">
            <v>250.1094831239451</v>
          </cell>
          <cell r="AA99">
            <v>55.008598973257264</v>
          </cell>
          <cell r="AB99">
            <v>845.46468611340811</v>
          </cell>
          <cell r="AC99">
            <v>195.10088415068782</v>
          </cell>
          <cell r="AD99">
            <v>595.35520298946301</v>
          </cell>
        </row>
        <row r="100">
          <cell r="A100" t="str">
            <v>CGI008-qtz01-CL-fit-2-offset</v>
          </cell>
          <cell r="B100">
            <v>750</v>
          </cell>
          <cell r="C100">
            <v>8.0537892000481889E-22</v>
          </cell>
          <cell r="D100">
            <v>1500</v>
          </cell>
          <cell r="E100">
            <v>1024</v>
          </cell>
          <cell r="F100">
            <v>1.46484375</v>
          </cell>
          <cell r="H100">
            <v>326.00979608699669</v>
          </cell>
          <cell r="I100">
            <v>81.024737992954201</v>
          </cell>
          <cell r="J100">
            <v>885.63266096751579</v>
          </cell>
          <cell r="K100">
            <v>204.24637879721971</v>
          </cell>
          <cell r="L100">
            <v>16.649707909142595</v>
          </cell>
          <cell r="M100">
            <v>1775.4623886330833</v>
          </cell>
          <cell r="N100">
            <v>256.12010894028816</v>
          </cell>
          <cell r="O100">
            <v>767.61237578742225</v>
          </cell>
          <cell r="P100">
            <v>843.7829198027116</v>
          </cell>
          <cell r="Q100">
            <v>803.41357148868121</v>
          </cell>
          <cell r="R100">
            <v>335.17556283347574</v>
          </cell>
          <cell r="T100">
            <v>413.40613967190785</v>
          </cell>
          <cell r="U100">
            <v>463.16784842349591</v>
          </cell>
          <cell r="V100">
            <v>335.17556283347574</v>
          </cell>
          <cell r="X100">
            <v>424.04966736226976</v>
          </cell>
          <cell r="Z100">
            <v>403.53933113582457</v>
          </cell>
          <cell r="AA100">
            <v>0.94095591880140683</v>
          </cell>
          <cell r="AB100">
            <v>1890.1743757014565</v>
          </cell>
          <cell r="AC100">
            <v>402.59837521702315</v>
          </cell>
          <cell r="AD100">
            <v>1486.6350445656319</v>
          </cell>
        </row>
        <row r="101">
          <cell r="A101" t="str">
            <v>CGI008-qtz01-CL-fit-3-offset</v>
          </cell>
          <cell r="B101">
            <v>750</v>
          </cell>
          <cell r="C101">
            <v>8.0537892000481889E-22</v>
          </cell>
          <cell r="D101">
            <v>1500</v>
          </cell>
          <cell r="E101">
            <v>1024</v>
          </cell>
          <cell r="F101">
            <v>1.46484375</v>
          </cell>
          <cell r="H101">
            <v>327.03584462879576</v>
          </cell>
          <cell r="I101">
            <v>681.37137532590691</v>
          </cell>
          <cell r="J101">
            <v>312.36310249376982</v>
          </cell>
          <cell r="K101">
            <v>450.73715612359302</v>
          </cell>
          <cell r="L101">
            <v>477.57247680881295</v>
          </cell>
          <cell r="M101">
            <v>373.76656117053932</v>
          </cell>
          <cell r="N101">
            <v>1489.5333248852614</v>
          </cell>
          <cell r="O101">
            <v>749.35078231964235</v>
          </cell>
          <cell r="P101">
            <v>888.13576605925209</v>
          </cell>
          <cell r="Q101">
            <v>979.76014207451408</v>
          </cell>
          <cell r="R101">
            <v>433.39659290096972</v>
          </cell>
          <cell r="T101">
            <v>585.3273947720063</v>
          </cell>
          <cell r="U101">
            <v>612.19228951407638</v>
          </cell>
          <cell r="V101">
            <v>477.57247680881295</v>
          </cell>
          <cell r="X101">
            <v>602.9999120351905</v>
          </cell>
          <cell r="Z101">
            <v>579.39145564670775</v>
          </cell>
          <cell r="AA101">
            <v>185.05423009567028</v>
          </cell>
          <cell r="AB101">
            <v>1134.2937857961126</v>
          </cell>
          <cell r="AC101">
            <v>394.33722555103748</v>
          </cell>
          <cell r="AD101">
            <v>554.90233014940486</v>
          </cell>
        </row>
        <row r="102">
          <cell r="A102" t="str">
            <v>CGI008-qtz01-CL-fit-4-offset</v>
          </cell>
          <cell r="B102">
            <v>750</v>
          </cell>
          <cell r="C102">
            <v>8.0537892000481889E-22</v>
          </cell>
          <cell r="D102">
            <v>1500</v>
          </cell>
          <cell r="E102">
            <v>1024</v>
          </cell>
          <cell r="F102">
            <v>1.46484375</v>
          </cell>
          <cell r="H102">
            <v>4.842502941829834E-4</v>
          </cell>
          <cell r="I102">
            <v>3.4735834634480005</v>
          </cell>
          <cell r="J102">
            <v>6.3106712535689606</v>
          </cell>
          <cell r="K102">
            <v>87.706379837275108</v>
          </cell>
          <cell r="L102">
            <v>64.804268676147146</v>
          </cell>
          <cell r="M102">
            <v>123.1860322173634</v>
          </cell>
          <cell r="N102">
            <v>42.186843437577295</v>
          </cell>
          <cell r="O102">
            <v>18.908352366220548</v>
          </cell>
          <cell r="P102">
            <v>5.4232339672613712E-4</v>
          </cell>
          <cell r="Q102">
            <v>175.06720532066618</v>
          </cell>
          <cell r="R102">
            <v>264.80819740911255</v>
          </cell>
          <cell r="T102">
            <v>111.46841156395654</v>
          </cell>
          <cell r="U102">
            <v>44.3835650177639</v>
          </cell>
          <cell r="V102">
            <v>42.186843437577295</v>
          </cell>
          <cell r="X102">
            <v>78.751440894639799</v>
          </cell>
          <cell r="Z102">
            <v>73.787801490995136</v>
          </cell>
          <cell r="AA102">
            <v>9.3358262296760058E-2</v>
          </cell>
          <cell r="AB102">
            <v>341.33154044227939</v>
          </cell>
          <cell r="AC102">
            <v>73.694443228698375</v>
          </cell>
          <cell r="AD102">
            <v>267.54373895128424</v>
          </cell>
        </row>
        <row r="103">
          <cell r="A103" t="str">
            <v>CGI008-qtz01-CL-fit-5-offset</v>
          </cell>
          <cell r="B103">
            <v>750</v>
          </cell>
          <cell r="C103">
            <v>8.0537892000481889E-22</v>
          </cell>
          <cell r="D103">
            <v>1500</v>
          </cell>
          <cell r="E103">
            <v>1024</v>
          </cell>
          <cell r="F103">
            <v>1.46484375</v>
          </cell>
          <cell r="H103">
            <v>39.463599063120377</v>
          </cell>
          <cell r="I103">
            <v>23.469959926233301</v>
          </cell>
          <cell r="J103">
            <v>33.013681152496623</v>
          </cell>
          <cell r="K103">
            <v>21.704623107955644</v>
          </cell>
          <cell r="L103">
            <v>13.777970963411809</v>
          </cell>
          <cell r="M103">
            <v>10.441262031130352</v>
          </cell>
          <cell r="N103">
            <v>18.90312776339286</v>
          </cell>
          <cell r="O103">
            <v>18.599960450580109</v>
          </cell>
          <cell r="P103">
            <v>8.6255587454393368</v>
          </cell>
          <cell r="Q103">
            <v>30.066457159741759</v>
          </cell>
          <cell r="R103">
            <v>18.201535059375459</v>
          </cell>
          <cell r="T103">
            <v>23.228978230519935</v>
          </cell>
          <cell r="U103">
            <v>20.51382523026513</v>
          </cell>
          <cell r="V103">
            <v>18.90312776339286</v>
          </cell>
          <cell r="X103">
            <v>22.611902556875982</v>
          </cell>
          <cell r="Z103">
            <v>22.947955255301263</v>
          </cell>
          <cell r="AA103">
            <v>1.0800936278943969</v>
          </cell>
          <cell r="AB103">
            <v>61.868233908320498</v>
          </cell>
          <cell r="AC103">
            <v>21.867861627406867</v>
          </cell>
          <cell r="AD103">
            <v>38.920278653019238</v>
          </cell>
        </row>
        <row r="104">
          <cell r="A104" t="str">
            <v>CGI008-qtz02-CL-fit-1-offset</v>
          </cell>
          <cell r="B104">
            <v>750</v>
          </cell>
          <cell r="C104">
            <v>8.0537892000481889E-22</v>
          </cell>
          <cell r="D104">
            <v>2400</v>
          </cell>
          <cell r="E104">
            <v>1024</v>
          </cell>
          <cell r="F104">
            <v>2.34375</v>
          </cell>
          <cell r="H104">
            <v>3801.8249369644032</v>
          </cell>
          <cell r="I104">
            <v>2333.371053501754</v>
          </cell>
          <cell r="J104">
            <v>1873.3103077068274</v>
          </cell>
          <cell r="K104">
            <v>5092.9884167238515</v>
          </cell>
          <cell r="L104">
            <v>2328.7196645992972</v>
          </cell>
          <cell r="M104">
            <v>1743.1257962200043</v>
          </cell>
          <cell r="N104">
            <v>2.5873565399989218</v>
          </cell>
          <cell r="O104">
            <v>3.8908953691044559</v>
          </cell>
          <cell r="P104">
            <v>2309.0349969408453</v>
          </cell>
          <cell r="Q104">
            <v>1309.0398329660593</v>
          </cell>
          <cell r="R104">
            <v>502.44685987886925</v>
          </cell>
          <cell r="T104">
            <v>2564.7722498949697</v>
          </cell>
          <cell r="U104">
            <v>1491.7001864902325</v>
          </cell>
          <cell r="V104">
            <v>1873.3103077068274</v>
          </cell>
          <cell r="X104">
            <v>2353.3480527873066</v>
          </cell>
          <cell r="Z104">
            <v>2513.3145608067694</v>
          </cell>
          <cell r="AA104">
            <v>146.50656035527908</v>
          </cell>
          <cell r="AB104">
            <v>8004.3606151797658</v>
          </cell>
          <cell r="AC104">
            <v>2366.8080004514904</v>
          </cell>
          <cell r="AD104">
            <v>5491.0460543729969</v>
          </cell>
        </row>
        <row r="105">
          <cell r="A105" t="str">
            <v>CGI008-qtz02-CL-fit-2-offset</v>
          </cell>
          <cell r="B105">
            <v>750</v>
          </cell>
          <cell r="C105">
            <v>8.0537892000481889E-22</v>
          </cell>
          <cell r="D105">
            <v>2400</v>
          </cell>
          <cell r="E105">
            <v>1024</v>
          </cell>
          <cell r="F105">
            <v>2.34375</v>
          </cell>
          <cell r="H105">
            <v>6113.476371418571</v>
          </cell>
          <cell r="I105">
            <v>745.04336652794939</v>
          </cell>
          <cell r="J105">
            <v>2815.9478944671891</v>
          </cell>
          <cell r="K105">
            <v>840.76598387969761</v>
          </cell>
          <cell r="L105">
            <v>0</v>
          </cell>
          <cell r="M105">
            <v>3732.6456625857336</v>
          </cell>
          <cell r="N105">
            <v>22.017651023743735</v>
          </cell>
          <cell r="O105">
            <v>4.2953345500412192</v>
          </cell>
          <cell r="P105">
            <v>0.33728771599980911</v>
          </cell>
          <cell r="Q105">
            <v>1900.0910145615992</v>
          </cell>
          <cell r="R105">
            <v>3.2158633918051742</v>
          </cell>
          <cell r="T105">
            <v>1727.7870477682618</v>
          </cell>
          <cell r="U105">
            <v>908.23849524469279</v>
          </cell>
          <cell r="V105">
            <v>792.18176508106512</v>
          </cell>
          <cell r="X105">
            <v>1068.8707847530984</v>
          </cell>
          <cell r="Z105">
            <v>1153.8528213644961</v>
          </cell>
          <cell r="AA105">
            <v>2.9125773886484145</v>
          </cell>
          <cell r="AB105">
            <v>5522.3280927506312</v>
          </cell>
          <cell r="AC105">
            <v>1150.9402439758476</v>
          </cell>
          <cell r="AD105">
            <v>4368.4752713861353</v>
          </cell>
        </row>
        <row r="106">
          <cell r="A106" t="str">
            <v>CGI008-qtz02-CL-fit-3-offset</v>
          </cell>
          <cell r="B106">
            <v>750</v>
          </cell>
          <cell r="C106">
            <v>8.0537892000481889E-22</v>
          </cell>
          <cell r="D106">
            <v>2400</v>
          </cell>
          <cell r="E106">
            <v>1024</v>
          </cell>
          <cell r="F106">
            <v>2.34375</v>
          </cell>
          <cell r="H106">
            <v>236.57679222997075</v>
          </cell>
          <cell r="I106">
            <v>257.44953998022521</v>
          </cell>
          <cell r="J106">
            <v>417.66704533903032</v>
          </cell>
          <cell r="K106">
            <v>310.02799585607562</v>
          </cell>
          <cell r="L106">
            <v>309.22945536170761</v>
          </cell>
          <cell r="M106">
            <v>115.91004330505329</v>
          </cell>
          <cell r="N106">
            <v>464.90519735713599</v>
          </cell>
          <cell r="O106">
            <v>470.65381196344782</v>
          </cell>
          <cell r="P106">
            <v>281.27134928823511</v>
          </cell>
          <cell r="Q106">
            <v>107.56470344444482</v>
          </cell>
          <cell r="R106">
            <v>419.31061056312313</v>
          </cell>
          <cell r="T106">
            <v>274.46111768251075</v>
          </cell>
          <cell r="U106">
            <v>294.27112078374563</v>
          </cell>
          <cell r="V106">
            <v>309.22945536170761</v>
          </cell>
          <cell r="X106">
            <v>278.26298625221892</v>
          </cell>
          <cell r="Z106">
            <v>288.08736835642111</v>
          </cell>
          <cell r="AA106">
            <v>101.5722248350088</v>
          </cell>
          <cell r="AB106">
            <v>690.69567308967601</v>
          </cell>
          <cell r="AC106">
            <v>186.51514352141231</v>
          </cell>
          <cell r="AD106">
            <v>402.6083047332549</v>
          </cell>
        </row>
        <row r="107">
          <cell r="A107" t="str">
            <v>CGI008-qtz02-CL-fit-4-offset</v>
          </cell>
          <cell r="B107">
            <v>750</v>
          </cell>
          <cell r="C107">
            <v>8.0537892000481889E-22</v>
          </cell>
          <cell r="D107">
            <v>2400</v>
          </cell>
          <cell r="E107">
            <v>1024</v>
          </cell>
          <cell r="F107">
            <v>2.34375</v>
          </cell>
          <cell r="H107">
            <v>2.8159088157038585</v>
          </cell>
          <cell r="I107">
            <v>1.3670177350831421</v>
          </cell>
          <cell r="J107">
            <v>3.776643851915483</v>
          </cell>
          <cell r="K107">
            <v>14.528167277084288</v>
          </cell>
          <cell r="L107">
            <v>0.20827725609706255</v>
          </cell>
          <cell r="M107">
            <v>450.5542148870353</v>
          </cell>
          <cell r="N107">
            <v>339.63379120055089</v>
          </cell>
          <cell r="O107">
            <v>217.61471730146874</v>
          </cell>
          <cell r="P107">
            <v>4.1418489221872372</v>
          </cell>
          <cell r="Q107">
            <v>4.1696927352181737E-3</v>
          </cell>
          <cell r="R107">
            <v>5.322528170945346</v>
          </cell>
          <cell r="T107">
            <v>6.5836890368484342</v>
          </cell>
          <cell r="U107">
            <v>38.071765053692822</v>
          </cell>
          <cell r="V107">
            <v>4.1418489221872372</v>
          </cell>
          <cell r="X107">
            <v>5.9072275269078593</v>
          </cell>
          <cell r="Z107">
            <v>16.049839517767381</v>
          </cell>
          <cell r="AA107">
            <v>0.58332867076868899</v>
          </cell>
          <cell r="AB107">
            <v>711.21075188317627</v>
          </cell>
          <cell r="AC107">
            <v>15.466510846998693</v>
          </cell>
          <cell r="AD107">
            <v>695.16091236540888</v>
          </cell>
        </row>
        <row r="108">
          <cell r="A108" t="str">
            <v>CGI008-qtz03-CL-fit-1-offset</v>
          </cell>
          <cell r="B108">
            <v>750</v>
          </cell>
          <cell r="C108">
            <v>8.0537892000481889E-22</v>
          </cell>
          <cell r="D108">
            <v>2800</v>
          </cell>
          <cell r="E108">
            <v>1024</v>
          </cell>
          <cell r="F108">
            <v>2.734375</v>
          </cell>
          <cell r="H108">
            <v>1079.3626734219815</v>
          </cell>
          <cell r="I108">
            <v>958.29015069339266</v>
          </cell>
          <cell r="J108">
            <v>1576.7428467336786</v>
          </cell>
          <cell r="K108">
            <v>917.75095426917233</v>
          </cell>
          <cell r="L108">
            <v>3.2751047787787351</v>
          </cell>
          <cell r="M108">
            <v>1869.0348651771521</v>
          </cell>
          <cell r="N108">
            <v>981.01885404030065</v>
          </cell>
          <cell r="O108">
            <v>611.59294177430945</v>
          </cell>
          <cell r="P108">
            <v>1563.4454835288902</v>
          </cell>
          <cell r="Q108">
            <v>1212.6946111643483</v>
          </cell>
          <cell r="R108">
            <v>597.25676854101175</v>
          </cell>
          <cell r="T108">
            <v>1057.2173503612466</v>
          </cell>
          <cell r="U108">
            <v>920.3460393153789</v>
          </cell>
          <cell r="V108">
            <v>981.01885404030065</v>
          </cell>
          <cell r="X108">
            <v>995.25175967748839</v>
          </cell>
          <cell r="Z108">
            <v>983.83849215114151</v>
          </cell>
          <cell r="AA108">
            <v>35.28617033164317</v>
          </cell>
          <cell r="AB108">
            <v>3051.3905819775719</v>
          </cell>
          <cell r="AC108">
            <v>948.55232181949839</v>
          </cell>
          <cell r="AD108">
            <v>2067.5520898264303</v>
          </cell>
        </row>
        <row r="109">
          <cell r="A109" t="str">
            <v>CGI008-qtz03-CL-fit-2-offset</v>
          </cell>
          <cell r="B109">
            <v>750</v>
          </cell>
          <cell r="C109">
            <v>8.0537892000481889E-22</v>
          </cell>
          <cell r="D109">
            <v>2800</v>
          </cell>
          <cell r="E109">
            <v>1024</v>
          </cell>
          <cell r="F109">
            <v>2.734375</v>
          </cell>
          <cell r="H109">
            <v>467.43661712741869</v>
          </cell>
          <cell r="I109">
            <v>1214.1443069079601</v>
          </cell>
          <cell r="J109">
            <v>1.5226743960663134</v>
          </cell>
          <cell r="K109">
            <v>0.52307191300029665</v>
          </cell>
          <cell r="L109">
            <v>326.89399624901347</v>
          </cell>
          <cell r="M109">
            <v>108.08362652935942</v>
          </cell>
          <cell r="N109">
            <v>260.94043802955252</v>
          </cell>
          <cell r="O109">
            <v>2.4888390902039692</v>
          </cell>
          <cell r="P109">
            <v>1079.2343325053735</v>
          </cell>
          <cell r="Q109">
            <v>1197.4888435648936</v>
          </cell>
          <cell r="R109">
            <v>125.12254750624932</v>
          </cell>
          <cell r="T109">
            <v>584.87727564581121</v>
          </cell>
          <cell r="U109">
            <v>277.59233527494121</v>
          </cell>
          <cell r="V109">
            <v>260.94043802955252</v>
          </cell>
          <cell r="X109">
            <v>608.66401798291724</v>
          </cell>
          <cell r="Z109">
            <v>694.85349494659113</v>
          </cell>
          <cell r="AA109">
            <v>3.7174013165166748</v>
          </cell>
          <cell r="AB109">
            <v>4306.8313365886588</v>
          </cell>
          <cell r="AC109">
            <v>691.13609363007447</v>
          </cell>
          <cell r="AD109">
            <v>3611.9778416420677</v>
          </cell>
        </row>
        <row r="110">
          <cell r="A110" t="str">
            <v>CGI008-qtz03-CL-fit-3-offset</v>
          </cell>
          <cell r="B110">
            <v>750</v>
          </cell>
          <cell r="C110">
            <v>8.0537892000481889E-22</v>
          </cell>
          <cell r="D110">
            <v>2800</v>
          </cell>
          <cell r="E110">
            <v>1024</v>
          </cell>
          <cell r="F110">
            <v>2.734375</v>
          </cell>
          <cell r="H110">
            <v>897.74913010715932</v>
          </cell>
          <cell r="I110">
            <v>140.16296065863253</v>
          </cell>
          <cell r="J110">
            <v>59.16512849607701</v>
          </cell>
          <cell r="K110">
            <v>459.90105881824843</v>
          </cell>
          <cell r="L110">
            <v>243.28737569440813</v>
          </cell>
          <cell r="M110">
            <v>236.62037208541551</v>
          </cell>
          <cell r="N110">
            <v>285.93349208497244</v>
          </cell>
          <cell r="O110">
            <v>306.08274894845903</v>
          </cell>
          <cell r="P110">
            <v>423.44700963844707</v>
          </cell>
          <cell r="Q110">
            <v>261.45923264487612</v>
          </cell>
          <cell r="R110">
            <v>419.10491473028122</v>
          </cell>
          <cell r="T110">
            <v>221.50219404204364</v>
          </cell>
          <cell r="U110">
            <v>309.5782947648799</v>
          </cell>
          <cell r="V110">
            <v>285.93349208497244</v>
          </cell>
          <cell r="X110">
            <v>208.47935355531271</v>
          </cell>
          <cell r="Z110">
            <v>209.26388537331695</v>
          </cell>
          <cell r="AA110">
            <v>42.95062956873506</v>
          </cell>
          <cell r="AB110">
            <v>549.1443838390984</v>
          </cell>
          <cell r="AC110">
            <v>166.3132558045819</v>
          </cell>
          <cell r="AD110">
            <v>339.88049846578144</v>
          </cell>
        </row>
        <row r="111">
          <cell r="A111" t="str">
            <v>CGI008-qtz03-CL-fit-4-offset</v>
          </cell>
          <cell r="B111">
            <v>750</v>
          </cell>
          <cell r="C111">
            <v>8.0537892000481889E-22</v>
          </cell>
          <cell r="D111">
            <v>2800</v>
          </cell>
          <cell r="E111">
            <v>1024</v>
          </cell>
          <cell r="F111">
            <v>2.734375</v>
          </cell>
          <cell r="H111">
            <v>2.2324837135387931E-3</v>
          </cell>
          <cell r="I111">
            <v>38.921672453465867</v>
          </cell>
          <cell r="J111">
            <v>393.13516096749549</v>
          </cell>
          <cell r="K111">
            <v>715.43722849969799</v>
          </cell>
          <cell r="L111">
            <v>29.625377009252304</v>
          </cell>
          <cell r="M111">
            <v>21.369871318987833</v>
          </cell>
          <cell r="N111">
            <v>31.54600912645822</v>
          </cell>
          <cell r="O111">
            <v>0.1654604393469675</v>
          </cell>
          <cell r="P111">
            <v>2.6734538304221926</v>
          </cell>
          <cell r="Q111">
            <v>51.696878680799877</v>
          </cell>
          <cell r="R111">
            <v>108.71467664541871</v>
          </cell>
          <cell r="T111">
            <v>3.3020878494426147</v>
          </cell>
          <cell r="U111">
            <v>64.294231260246804</v>
          </cell>
          <cell r="V111">
            <v>31.54600912645822</v>
          </cell>
          <cell r="X111">
            <v>3.0361956899290936</v>
          </cell>
          <cell r="Z111">
            <v>22.239957507774591</v>
          </cell>
          <cell r="AA111">
            <v>1.8851388024224498E-13</v>
          </cell>
          <cell r="AB111">
            <v>1804.0150187986267</v>
          </cell>
          <cell r="AC111">
            <v>22.239957507774403</v>
          </cell>
          <cell r="AD111">
            <v>1781.7750612908521</v>
          </cell>
        </row>
        <row r="112">
          <cell r="A112" t="str">
            <v>CGI008-qtz04-CL-fit-1-offset</v>
          </cell>
          <cell r="B112">
            <v>750</v>
          </cell>
          <cell r="C112">
            <v>8.0537892000481889E-22</v>
          </cell>
          <cell r="D112">
            <v>2700</v>
          </cell>
          <cell r="E112">
            <v>1024</v>
          </cell>
          <cell r="F112">
            <v>2.63671875</v>
          </cell>
          <cell r="H112">
            <v>7.5440591958878384E-14</v>
          </cell>
          <cell r="I112">
            <v>0.70145736936083558</v>
          </cell>
          <cell r="J112">
            <v>140.74814981086931</v>
          </cell>
          <cell r="K112">
            <v>803.52820295626907</v>
          </cell>
          <cell r="L112">
            <v>0.11059000573454707</v>
          </cell>
          <cell r="M112">
            <v>98.029561841944144</v>
          </cell>
          <cell r="N112">
            <v>4.0803131160777699</v>
          </cell>
          <cell r="O112">
            <v>4.5395826549271746E-2</v>
          </cell>
          <cell r="P112">
            <v>79.216582427877299</v>
          </cell>
          <cell r="Q112">
            <v>185.78135690359932</v>
          </cell>
          <cell r="R112">
            <v>366.04328137277224</v>
          </cell>
          <cell r="T112">
            <v>90.358654548507189</v>
          </cell>
          <cell r="U112">
            <v>74.865295950931369</v>
          </cell>
          <cell r="V112">
            <v>79.216582427877299</v>
          </cell>
          <cell r="X112">
            <v>16.323452575343961</v>
          </cell>
          <cell r="Z112">
            <v>54.466705183105944</v>
          </cell>
          <cell r="AA112">
            <v>4.886357980331063E-13</v>
          </cell>
          <cell r="AB112">
            <v>699.21800601462644</v>
          </cell>
          <cell r="AC112">
            <v>54.466705183105454</v>
          </cell>
          <cell r="AD112">
            <v>644.75130083152044</v>
          </cell>
        </row>
        <row r="113">
          <cell r="A113" t="str">
            <v>CGI008-qtz04-CL-fit-2-offset</v>
          </cell>
          <cell r="B113">
            <v>750</v>
          </cell>
          <cell r="C113">
            <v>8.0537892000481889E-22</v>
          </cell>
          <cell r="D113">
            <v>2700</v>
          </cell>
          <cell r="E113">
            <v>1024</v>
          </cell>
          <cell r="F113">
            <v>2.63671875</v>
          </cell>
          <cell r="H113">
            <v>1176.5985841122836</v>
          </cell>
          <cell r="I113">
            <v>5626.1783961902674</v>
          </cell>
          <cell r="J113">
            <v>200.86129297858798</v>
          </cell>
          <cell r="K113">
            <v>4404.2532698714049</v>
          </cell>
          <cell r="L113">
            <v>1321.7435389098848</v>
          </cell>
          <cell r="M113">
            <v>2473.1714342271434</v>
          </cell>
          <cell r="N113">
            <v>448.19488354268447</v>
          </cell>
          <cell r="O113">
            <v>4292.1152448410376</v>
          </cell>
          <cell r="P113">
            <v>215.53481731555362</v>
          </cell>
          <cell r="Q113">
            <v>3465.326970046056</v>
          </cell>
          <cell r="R113">
            <v>1548.9480195843171</v>
          </cell>
          <cell r="T113">
            <v>1584.304729261074</v>
          </cell>
          <cell r="U113">
            <v>1868.7777397731777</v>
          </cell>
          <cell r="V113">
            <v>1548.9480195843171</v>
          </cell>
          <cell r="X113">
            <v>1511.1097524618699</v>
          </cell>
          <cell r="Z113">
            <v>1520.7328357146077</v>
          </cell>
          <cell r="AA113">
            <v>128.32643861453249</v>
          </cell>
          <cell r="AB113">
            <v>4426.7308014952741</v>
          </cell>
          <cell r="AC113">
            <v>1392.4063971000753</v>
          </cell>
          <cell r="AD113">
            <v>2905.9979657806662</v>
          </cell>
        </row>
        <row r="114">
          <cell r="A114" t="str">
            <v>CGI008-qtz04-CL-fit-3-offset</v>
          </cell>
          <cell r="B114">
            <v>750</v>
          </cell>
          <cell r="C114">
            <v>8.0537892000481889E-22</v>
          </cell>
          <cell r="D114">
            <v>2700</v>
          </cell>
          <cell r="E114">
            <v>1024</v>
          </cell>
          <cell r="F114">
            <v>2.63671875</v>
          </cell>
          <cell r="H114">
            <v>4020.0925376343744</v>
          </cell>
          <cell r="I114">
            <v>2614.6114751306459</v>
          </cell>
          <cell r="J114">
            <v>2487.3861519537459</v>
          </cell>
          <cell r="K114">
            <v>701.51343861121359</v>
          </cell>
          <cell r="L114">
            <v>954.4166583935114</v>
          </cell>
          <cell r="M114">
            <v>3602.2179060030853</v>
          </cell>
          <cell r="N114">
            <v>2021.9123748391034</v>
          </cell>
          <cell r="O114">
            <v>2381.6466153012448</v>
          </cell>
          <cell r="P114">
            <v>2225.3963490023602</v>
          </cell>
          <cell r="Q114">
            <v>379.72589428624991</v>
          </cell>
          <cell r="R114">
            <v>227.36475021136062</v>
          </cell>
          <cell r="T114">
            <v>1777.0695535779325</v>
          </cell>
          <cell r="U114">
            <v>1728.4161166327349</v>
          </cell>
          <cell r="V114">
            <v>2225.3963490023602</v>
          </cell>
          <cell r="X114">
            <v>1919.1456748092044</v>
          </cell>
          <cell r="Z114">
            <v>1924.5305824243542</v>
          </cell>
          <cell r="AA114">
            <v>195.63050778094006</v>
          </cell>
          <cell r="AB114">
            <v>5174.8045631902369</v>
          </cell>
          <cell r="AC114">
            <v>1728.9000746434142</v>
          </cell>
          <cell r="AD114">
            <v>3250.2739807658827</v>
          </cell>
        </row>
        <row r="115">
          <cell r="A115" t="str">
            <v>CGI008-qtz05-CL-fit-1-offset</v>
          </cell>
          <cell r="B115">
            <v>750</v>
          </cell>
          <cell r="C115">
            <v>8.0537892000481889E-22</v>
          </cell>
          <cell r="D115">
            <v>1450</v>
          </cell>
          <cell r="E115">
            <v>1024</v>
          </cell>
          <cell r="F115">
            <v>1.416015625</v>
          </cell>
          <cell r="H115">
            <v>256.28048411473463</v>
          </cell>
          <cell r="I115">
            <v>246.13051942710456</v>
          </cell>
          <cell r="J115">
            <v>306.64128324134145</v>
          </cell>
          <cell r="K115">
            <v>125.32878464549664</v>
          </cell>
          <cell r="L115">
            <v>375.70980746412079</v>
          </cell>
          <cell r="M115">
            <v>278.23406256132324</v>
          </cell>
          <cell r="N115">
            <v>152.20113591669931</v>
          </cell>
          <cell r="O115">
            <v>158.23271989662729</v>
          </cell>
          <cell r="P115">
            <v>26.23275572995373</v>
          </cell>
          <cell r="Q115">
            <v>136.29540878823045</v>
          </cell>
          <cell r="R115">
            <v>138.49344972481884</v>
          </cell>
          <cell r="T115">
            <v>183.49011381901613</v>
          </cell>
          <cell r="U115">
            <v>185.82107560066737</v>
          </cell>
          <cell r="V115">
            <v>158.23271989662729</v>
          </cell>
          <cell r="X115">
            <v>170.81892679572459</v>
          </cell>
          <cell r="Z115">
            <v>167.98815274263879</v>
          </cell>
          <cell r="AA115">
            <v>26.939170237543394</v>
          </cell>
          <cell r="AB115">
            <v>366.83857975951867</v>
          </cell>
          <cell r="AC115">
            <v>141.04898250509541</v>
          </cell>
          <cell r="AD115">
            <v>198.85042701687988</v>
          </cell>
        </row>
        <row r="116">
          <cell r="A116" t="str">
            <v>CGI008-qtz05-CL-fit-2-offset</v>
          </cell>
          <cell r="B116">
            <v>750</v>
          </cell>
          <cell r="C116">
            <v>8.0537892000481889E-22</v>
          </cell>
          <cell r="D116">
            <v>1450</v>
          </cell>
          <cell r="E116">
            <v>1024</v>
          </cell>
          <cell r="F116">
            <v>1.416015625</v>
          </cell>
          <cell r="H116">
            <v>383.52331531716851</v>
          </cell>
          <cell r="I116">
            <v>143.68455914124033</v>
          </cell>
          <cell r="J116">
            <v>181.45158383002016</v>
          </cell>
          <cell r="K116">
            <v>22.915784478749572</v>
          </cell>
          <cell r="L116">
            <v>189.22427495563409</v>
          </cell>
          <cell r="M116">
            <v>277.90819445724327</v>
          </cell>
          <cell r="N116">
            <v>466.93951493411259</v>
          </cell>
          <cell r="O116">
            <v>162.19728215987433</v>
          </cell>
          <cell r="P116">
            <v>1.4876505315695134</v>
          </cell>
          <cell r="Q116">
            <v>127.56889238385531</v>
          </cell>
          <cell r="R116">
            <v>81.411447200697495</v>
          </cell>
          <cell r="T116">
            <v>161.93600822394529</v>
          </cell>
          <cell r="U116">
            <v>153.16563668341098</v>
          </cell>
          <cell r="V116">
            <v>162.19728215987433</v>
          </cell>
          <cell r="X116">
            <v>153.54215186967039</v>
          </cell>
          <cell r="Z116">
            <v>167.29516171131021</v>
          </cell>
          <cell r="AA116">
            <v>8.4491499410138129</v>
          </cell>
          <cell r="AB116">
            <v>812.02146022389218</v>
          </cell>
          <cell r="AC116">
            <v>158.8460117702964</v>
          </cell>
          <cell r="AD116">
            <v>644.72629851258193</v>
          </cell>
        </row>
        <row r="117">
          <cell r="A117" t="str">
            <v>CGI008-qtz05-CL-fit-3-offset</v>
          </cell>
          <cell r="B117">
            <v>750</v>
          </cell>
          <cell r="C117">
            <v>8.0537892000481889E-22</v>
          </cell>
          <cell r="D117">
            <v>1450</v>
          </cell>
          <cell r="E117">
            <v>1024</v>
          </cell>
          <cell r="F117">
            <v>1.416015625</v>
          </cell>
          <cell r="H117">
            <v>290.98718428407608</v>
          </cell>
          <cell r="I117">
            <v>181.18597319117393</v>
          </cell>
          <cell r="J117">
            <v>138.72609452401548</v>
          </cell>
          <cell r="K117">
            <v>39.785518400442925</v>
          </cell>
          <cell r="L117">
            <v>19.617228244816367</v>
          </cell>
          <cell r="M117">
            <v>145.04736874924265</v>
          </cell>
          <cell r="N117">
            <v>98.520887839776833</v>
          </cell>
          <cell r="O117">
            <v>94.090359174222101</v>
          </cell>
          <cell r="P117">
            <v>325.6338366752932</v>
          </cell>
          <cell r="Q117">
            <v>132.87263175781027</v>
          </cell>
          <cell r="R117">
            <v>32.036325060341468</v>
          </cell>
          <cell r="T117">
            <v>127.48092624616947</v>
          </cell>
          <cell r="U117">
            <v>118.88051181091238</v>
          </cell>
          <cell r="V117">
            <v>132.87263175781027</v>
          </cell>
          <cell r="X117">
            <v>135.23507419688707</v>
          </cell>
          <cell r="Z117">
            <v>135.55745759809673</v>
          </cell>
          <cell r="AA117">
            <v>10.605516043111459</v>
          </cell>
          <cell r="AB117">
            <v>403.30850114147751</v>
          </cell>
          <cell r="AC117">
            <v>124.95194155498527</v>
          </cell>
          <cell r="AD117">
            <v>267.75104354338077</v>
          </cell>
        </row>
        <row r="118">
          <cell r="A118" t="str">
            <v>CGI008-qtz05-CL-fit-4-offset</v>
          </cell>
          <cell r="B118">
            <v>750</v>
          </cell>
          <cell r="C118">
            <v>8.0537892000481889E-22</v>
          </cell>
          <cell r="D118">
            <v>1450</v>
          </cell>
          <cell r="E118">
            <v>1024</v>
          </cell>
          <cell r="F118">
            <v>1.416015625</v>
          </cell>
          <cell r="H118">
            <v>79.098716835813264</v>
          </cell>
          <cell r="I118">
            <v>52.226976771374993</v>
          </cell>
          <cell r="J118">
            <v>52.381981700691483</v>
          </cell>
          <cell r="K118">
            <v>56.44948505062613</v>
          </cell>
          <cell r="L118">
            <v>30.811866102263338</v>
          </cell>
          <cell r="M118">
            <v>54.701438724149511</v>
          </cell>
          <cell r="N118">
            <v>57.434851908370476</v>
          </cell>
          <cell r="O118">
            <v>90.241833153045945</v>
          </cell>
          <cell r="P118">
            <v>117.82792438004374</v>
          </cell>
          <cell r="Q118">
            <v>115.72123436778965</v>
          </cell>
          <cell r="R118">
            <v>51.546982672978324</v>
          </cell>
          <cell r="T118">
            <v>67.352407441643976</v>
          </cell>
          <cell r="U118">
            <v>66.479252713977829</v>
          </cell>
          <cell r="V118">
            <v>56.44948505062613</v>
          </cell>
          <cell r="X118">
            <v>68.755979169225142</v>
          </cell>
          <cell r="Z118">
            <v>66.196217206270717</v>
          </cell>
          <cell r="AA118">
            <v>10.028638230334296</v>
          </cell>
          <cell r="AB118">
            <v>141.93437120799567</v>
          </cell>
          <cell r="AC118">
            <v>56.167578975936422</v>
          </cell>
          <cell r="AD118">
            <v>75.738154001724951</v>
          </cell>
        </row>
        <row r="119">
          <cell r="A119" t="str">
            <v>CGI008-qtz06-CL-fit-1-offset</v>
          </cell>
          <cell r="B119">
            <v>750</v>
          </cell>
          <cell r="C119">
            <v>8.0537892000481889E-22</v>
          </cell>
          <cell r="D119">
            <v>1900</v>
          </cell>
          <cell r="E119">
            <v>1024</v>
          </cell>
          <cell r="F119">
            <v>1.85546875</v>
          </cell>
          <cell r="H119">
            <v>1743.0874188306807</v>
          </cell>
          <cell r="I119">
            <v>3137.9586986746613</v>
          </cell>
          <cell r="J119">
            <v>5095.6041418276473</v>
          </cell>
          <cell r="K119">
            <v>5221.1827261776307</v>
          </cell>
          <cell r="L119">
            <v>3323.5683868364981</v>
          </cell>
          <cell r="M119">
            <v>4425.372015296216</v>
          </cell>
          <cell r="N119">
            <v>4961.2012216707772</v>
          </cell>
          <cell r="O119">
            <v>2064.0187072391823</v>
          </cell>
          <cell r="P119">
            <v>4601.7316536287663</v>
          </cell>
          <cell r="Q119">
            <v>3669.3507372952786</v>
          </cell>
          <cell r="R119">
            <v>1454.0268807764523</v>
          </cell>
          <cell r="T119">
            <v>3526.9817186878245</v>
          </cell>
          <cell r="U119">
            <v>3470.2071615010655</v>
          </cell>
          <cell r="V119">
            <v>3669.3507372952786</v>
          </cell>
          <cell r="X119">
            <v>3248.8059748044839</v>
          </cell>
          <cell r="Z119">
            <v>3441.9577186154966</v>
          </cell>
          <cell r="AA119">
            <v>1379.7753239893132</v>
          </cell>
          <cell r="AB119">
            <v>7695.0062538680004</v>
          </cell>
          <cell r="AC119">
            <v>2062.1823946261834</v>
          </cell>
          <cell r="AD119">
            <v>4253.0485352525038</v>
          </cell>
        </row>
        <row r="120">
          <cell r="A120" t="str">
            <v>CGI008-qtz06-CL-fit-2-offset</v>
          </cell>
          <cell r="B120">
            <v>750</v>
          </cell>
          <cell r="C120">
            <v>8.0537892000481889E-22</v>
          </cell>
          <cell r="D120">
            <v>1900</v>
          </cell>
          <cell r="E120">
            <v>1024</v>
          </cell>
          <cell r="F120">
            <v>1.85546875</v>
          </cell>
          <cell r="H120">
            <v>1925.1447270271092</v>
          </cell>
          <cell r="I120">
            <v>1137.7322495905346</v>
          </cell>
          <cell r="J120">
            <v>1106.6206324783204</v>
          </cell>
          <cell r="K120">
            <v>1024.6702171881352</v>
          </cell>
          <cell r="L120">
            <v>1835.8799140089143</v>
          </cell>
          <cell r="M120">
            <v>1237.414627491451</v>
          </cell>
          <cell r="N120">
            <v>1348.3579162675187</v>
          </cell>
          <cell r="O120">
            <v>1422.6888374733276</v>
          </cell>
          <cell r="P120">
            <v>988.04105113969092</v>
          </cell>
          <cell r="Q120">
            <v>774.80214950028153</v>
          </cell>
          <cell r="R120">
            <v>1170.8816354896917</v>
          </cell>
          <cell r="T120">
            <v>1235.2363365036181</v>
          </cell>
          <cell r="U120">
            <v>1249.5086605191291</v>
          </cell>
          <cell r="V120">
            <v>1170.8816354896917</v>
          </cell>
          <cell r="X120">
            <v>1200.2174015912735</v>
          </cell>
          <cell r="Z120">
            <v>1235.3683459157264</v>
          </cell>
          <cell r="AA120">
            <v>680.91109527122251</v>
          </cell>
          <cell r="AB120">
            <v>1985.0976536487769</v>
          </cell>
          <cell r="AC120">
            <v>554.45725064450392</v>
          </cell>
          <cell r="AD120">
            <v>749.72930773305052</v>
          </cell>
        </row>
        <row r="121">
          <cell r="A121" t="str">
            <v>CGI008-qtz06-CL-fit-3-offset</v>
          </cell>
          <cell r="B121">
            <v>750</v>
          </cell>
          <cell r="C121">
            <v>8.0537892000481889E-22</v>
          </cell>
          <cell r="D121">
            <v>1900</v>
          </cell>
          <cell r="E121">
            <v>1024</v>
          </cell>
          <cell r="F121">
            <v>1.85546875</v>
          </cell>
          <cell r="H121">
            <v>3521.0294807382529</v>
          </cell>
          <cell r="I121">
            <v>900.25046951192132</v>
          </cell>
          <cell r="J121">
            <v>1318.2642813276211</v>
          </cell>
          <cell r="K121">
            <v>1539.7148053463043</v>
          </cell>
          <cell r="L121">
            <v>130.89548202238137</v>
          </cell>
          <cell r="M121">
            <v>1397.9599481544553</v>
          </cell>
          <cell r="N121">
            <v>1316.6355467812166</v>
          </cell>
          <cell r="O121">
            <v>1091.5405358313121</v>
          </cell>
          <cell r="P121">
            <v>2870.4792690194622</v>
          </cell>
          <cell r="Q121">
            <v>1491.861173928778</v>
          </cell>
          <cell r="R121">
            <v>629.17671575128384</v>
          </cell>
          <cell r="T121">
            <v>1437.9775124857777</v>
          </cell>
          <cell r="U121">
            <v>1324.4876155482709</v>
          </cell>
          <cell r="V121">
            <v>1318.2642813276211</v>
          </cell>
          <cell r="X121">
            <v>1395.724244987503</v>
          </cell>
          <cell r="Z121">
            <v>1940.0887897037637</v>
          </cell>
          <cell r="AA121">
            <v>153.67267791015161</v>
          </cell>
          <cell r="AB121">
            <v>9911.8524057164559</v>
          </cell>
          <cell r="AC121">
            <v>1786.4161117936121</v>
          </cell>
          <cell r="AD121">
            <v>7971.7636160126922</v>
          </cell>
        </row>
        <row r="122">
          <cell r="A122" t="str">
            <v>CGI008-qtz06-CL-fit-4-offset</v>
          </cell>
          <cell r="B122">
            <v>750</v>
          </cell>
          <cell r="C122">
            <v>8.0537892000481889E-22</v>
          </cell>
          <cell r="D122">
            <v>1900</v>
          </cell>
          <cell r="E122">
            <v>1024</v>
          </cell>
          <cell r="F122">
            <v>1.85546875</v>
          </cell>
          <cell r="H122">
            <v>3.1617410052653385</v>
          </cell>
          <cell r="I122">
            <v>2.5228010372012739</v>
          </cell>
          <cell r="J122">
            <v>424.73363593226759</v>
          </cell>
          <cell r="K122">
            <v>243.34858478050214</v>
          </cell>
          <cell r="L122">
            <v>110.83065697209312</v>
          </cell>
          <cell r="M122">
            <v>800.28609510813692</v>
          </cell>
          <cell r="N122">
            <v>19.336070130900175</v>
          </cell>
          <cell r="O122">
            <v>451.33184826428987</v>
          </cell>
          <cell r="P122">
            <v>304.0315900159332</v>
          </cell>
          <cell r="Q122">
            <v>1189.366956349455</v>
          </cell>
          <cell r="R122">
            <v>1304.6978563196221</v>
          </cell>
          <cell r="T122">
            <v>350.58881014611165</v>
          </cell>
          <cell r="U122">
            <v>304.90956909963353</v>
          </cell>
          <cell r="V122">
            <v>304.0315900159332</v>
          </cell>
          <cell r="X122">
            <v>316.5851152675047</v>
          </cell>
          <cell r="Z122">
            <v>318.70920401717927</v>
          </cell>
          <cell r="AA122">
            <v>0.22064963277259694</v>
          </cell>
          <cell r="AB122">
            <v>1962.7989026040673</v>
          </cell>
          <cell r="AC122">
            <v>318.48855438440665</v>
          </cell>
          <cell r="AD122">
            <v>1644.0896985868881</v>
          </cell>
        </row>
        <row r="123">
          <cell r="A123" t="str">
            <v>CGI008-qtz07-CL-fit-1-offset</v>
          </cell>
          <cell r="B123">
            <v>750</v>
          </cell>
          <cell r="C123">
            <v>8.0537892000481889E-22</v>
          </cell>
          <cell r="D123">
            <v>1900</v>
          </cell>
          <cell r="E123">
            <v>1024</v>
          </cell>
          <cell r="F123">
            <v>1.85546875</v>
          </cell>
          <cell r="H123">
            <v>913.41552518378558</v>
          </cell>
          <cell r="I123">
            <v>1055.4675937094855</v>
          </cell>
          <cell r="J123">
            <v>161.76333244659284</v>
          </cell>
          <cell r="K123">
            <v>433.20092613200785</v>
          </cell>
          <cell r="L123">
            <v>730.36147081216961</v>
          </cell>
          <cell r="M123">
            <v>1060.8113092240542</v>
          </cell>
          <cell r="N123">
            <v>474.37604684898048</v>
          </cell>
          <cell r="O123">
            <v>145.91714808208397</v>
          </cell>
          <cell r="P123">
            <v>830.78294388053939</v>
          </cell>
          <cell r="Q123">
            <v>524.97933627466125</v>
          </cell>
          <cell r="R123">
            <v>1055.8401364492865</v>
          </cell>
          <cell r="T123">
            <v>709.50680046249624</v>
          </cell>
          <cell r="U123">
            <v>620.13380557363735</v>
          </cell>
          <cell r="V123">
            <v>730.36147081216961</v>
          </cell>
          <cell r="X123">
            <v>653.4908728803656</v>
          </cell>
          <cell r="Z123">
            <v>562.83060148995287</v>
          </cell>
          <cell r="AA123">
            <v>0.49895801383873073</v>
          </cell>
          <cell r="AB123">
            <v>2052.3069810756715</v>
          </cell>
          <cell r="AC123">
            <v>562.3316434761141</v>
          </cell>
          <cell r="AD123">
            <v>1489.4763795857186</v>
          </cell>
        </row>
        <row r="124">
          <cell r="A124" t="str">
            <v>CGI008-qtz07-CL-fit-2-offset</v>
          </cell>
          <cell r="B124">
            <v>750</v>
          </cell>
          <cell r="C124">
            <v>8.0537892000481889E-22</v>
          </cell>
          <cell r="D124">
            <v>1900</v>
          </cell>
          <cell r="E124">
            <v>1024</v>
          </cell>
          <cell r="F124">
            <v>1.85546875</v>
          </cell>
          <cell r="H124">
            <v>415.314888112007</v>
          </cell>
          <cell r="I124">
            <v>87.009206965640175</v>
          </cell>
          <cell r="J124">
            <v>46.713606764957696</v>
          </cell>
          <cell r="K124">
            <v>1097.9349230205059</v>
          </cell>
          <cell r="L124">
            <v>581.66198692217574</v>
          </cell>
          <cell r="M124">
            <v>175.64017315202832</v>
          </cell>
          <cell r="N124">
            <v>126.90298763356282</v>
          </cell>
          <cell r="O124">
            <v>38.192075915288875</v>
          </cell>
          <cell r="P124">
            <v>16.522670161664607</v>
          </cell>
          <cell r="Q124">
            <v>351.05030780456713</v>
          </cell>
          <cell r="R124">
            <v>447.08625871755515</v>
          </cell>
          <cell r="T124">
            <v>325.6736353075579</v>
          </cell>
          <cell r="U124">
            <v>234.47472016973725</v>
          </cell>
          <cell r="V124">
            <v>175.64017315202832</v>
          </cell>
          <cell r="X124">
            <v>288.38240837474848</v>
          </cell>
          <cell r="Z124">
            <v>252.88914647411283</v>
          </cell>
          <cell r="AA124">
            <v>0.14913947288667159</v>
          </cell>
          <cell r="AB124">
            <v>1148.8082322727976</v>
          </cell>
          <cell r="AC124">
            <v>252.74000700122616</v>
          </cell>
          <cell r="AD124">
            <v>895.9190857986847</v>
          </cell>
        </row>
        <row r="125">
          <cell r="A125" t="str">
            <v>CGI008-qtz07-CL-fit-3-offset</v>
          </cell>
          <cell r="B125">
            <v>750</v>
          </cell>
          <cell r="C125">
            <v>8.0537892000481889E-22</v>
          </cell>
          <cell r="D125">
            <v>1900</v>
          </cell>
          <cell r="E125">
            <v>1024</v>
          </cell>
          <cell r="F125">
            <v>1.85546875</v>
          </cell>
          <cell r="H125">
            <v>2196.0849929078272</v>
          </cell>
          <cell r="I125">
            <v>1598.5281268326928</v>
          </cell>
          <cell r="J125">
            <v>5844.3140433872522</v>
          </cell>
          <cell r="K125">
            <v>4091.0878685971152</v>
          </cell>
          <cell r="L125">
            <v>2883.3183119433252</v>
          </cell>
          <cell r="M125">
            <v>1340.121089016126</v>
          </cell>
          <cell r="N125">
            <v>3330.5320727454623</v>
          </cell>
          <cell r="O125">
            <v>4650.0824668330415</v>
          </cell>
          <cell r="P125">
            <v>771.7652044491997</v>
          </cell>
          <cell r="Q125">
            <v>3708.4757173103271</v>
          </cell>
          <cell r="R125">
            <v>1812.5799203584975</v>
          </cell>
          <cell r="T125">
            <v>2529.4188910506014</v>
          </cell>
          <cell r="U125">
            <v>2729.7065397617848</v>
          </cell>
          <cell r="V125">
            <v>2883.3183119433252</v>
          </cell>
          <cell r="X125">
            <v>2253.092297112044</v>
          </cell>
          <cell r="Z125">
            <v>2605.231286647308</v>
          </cell>
          <cell r="AA125">
            <v>185.35981127876624</v>
          </cell>
          <cell r="AB125">
            <v>11143.527327916239</v>
          </cell>
          <cell r="AC125">
            <v>2419.8714753685417</v>
          </cell>
          <cell r="AD125">
            <v>8538.2960412689317</v>
          </cell>
        </row>
        <row r="126">
          <cell r="A126" t="str">
            <v>CGI008-qtz07-CL-fit-4-offset</v>
          </cell>
          <cell r="B126">
            <v>750</v>
          </cell>
          <cell r="C126">
            <v>8.0537892000481889E-22</v>
          </cell>
          <cell r="D126">
            <v>1900</v>
          </cell>
          <cell r="E126">
            <v>1024</v>
          </cell>
          <cell r="F126">
            <v>1.85546875</v>
          </cell>
          <cell r="H126">
            <v>1524.3304903732344</v>
          </cell>
          <cell r="I126">
            <v>3688.7437642825898</v>
          </cell>
          <cell r="J126">
            <v>1135.0512294357791</v>
          </cell>
          <cell r="K126">
            <v>903.36148897715623</v>
          </cell>
          <cell r="L126">
            <v>1195.700168401808</v>
          </cell>
          <cell r="M126">
            <v>8.5804354899693557E-5</v>
          </cell>
          <cell r="N126">
            <v>2640.3628411133823</v>
          </cell>
          <cell r="O126">
            <v>699.77684401019735</v>
          </cell>
          <cell r="P126">
            <v>2.0043946447720544</v>
          </cell>
          <cell r="Q126">
            <v>1864.7402639421255</v>
          </cell>
          <cell r="R126">
            <v>3054.9149669542626</v>
          </cell>
          <cell r="T126">
            <v>1550.7849250338427</v>
          </cell>
          <cell r="U126">
            <v>1167.2770782470593</v>
          </cell>
          <cell r="V126">
            <v>1195.700168401808</v>
          </cell>
          <cell r="X126">
            <v>1420.7754121312278</v>
          </cell>
          <cell r="Z126">
            <v>1601.9334763155916</v>
          </cell>
          <cell r="AA126">
            <v>13.212632012877593</v>
          </cell>
          <cell r="AB126">
            <v>11468.219182649698</v>
          </cell>
          <cell r="AC126">
            <v>1588.7208443027141</v>
          </cell>
          <cell r="AD126">
            <v>9866.2857063341071</v>
          </cell>
        </row>
        <row r="127">
          <cell r="A127" t="str">
            <v>CGI008-qtz07-CL-fit-5-offset</v>
          </cell>
          <cell r="B127">
            <v>750</v>
          </cell>
          <cell r="C127">
            <v>8.0537892000481889E-22</v>
          </cell>
          <cell r="D127">
            <v>1900</v>
          </cell>
          <cell r="E127">
            <v>1024</v>
          </cell>
          <cell r="F127">
            <v>1.85546875</v>
          </cell>
          <cell r="H127">
            <v>1872.100599370272</v>
          </cell>
          <cell r="I127">
            <v>2887.181961207099</v>
          </cell>
          <cell r="J127">
            <v>545.57781189721538</v>
          </cell>
          <cell r="K127">
            <v>940.14636255214214</v>
          </cell>
          <cell r="L127">
            <v>1753.2826767747415</v>
          </cell>
          <cell r="M127">
            <v>685.89388653996434</v>
          </cell>
          <cell r="N127">
            <v>1973.7679335785335</v>
          </cell>
          <cell r="O127">
            <v>3511.8912070532683</v>
          </cell>
          <cell r="P127">
            <v>961.25384686244763</v>
          </cell>
          <cell r="Q127">
            <v>5.9267195724499943E-4</v>
          </cell>
          <cell r="R127">
            <v>1887.9813854578661</v>
          </cell>
          <cell r="T127">
            <v>1447.0365295002828</v>
          </cell>
          <cell r="U127">
            <v>1304.1891880741985</v>
          </cell>
          <cell r="V127">
            <v>1753.2826767747415</v>
          </cell>
          <cell r="X127">
            <v>1418.9693623911498</v>
          </cell>
          <cell r="Z127">
            <v>1475.782264230812</v>
          </cell>
          <cell r="AA127">
            <v>108.51163233860895</v>
          </cell>
          <cell r="AB127">
            <v>4679.4331978728587</v>
          </cell>
          <cell r="AC127">
            <v>1367.270631892203</v>
          </cell>
          <cell r="AD127">
            <v>3203.6509336420468</v>
          </cell>
        </row>
        <row r="128">
          <cell r="A128" t="str">
            <v>CGI008-qtz08-CL-fit-2-offset</v>
          </cell>
          <cell r="B128">
            <v>750</v>
          </cell>
          <cell r="C128">
            <v>8.0537892000481889E-22</v>
          </cell>
          <cell r="D128">
            <v>2050</v>
          </cell>
          <cell r="E128">
            <v>1024</v>
          </cell>
          <cell r="F128">
            <v>2.001953125</v>
          </cell>
          <cell r="H128">
            <v>275.11718594467214</v>
          </cell>
          <cell r="I128">
            <v>414.8123570966398</v>
          </cell>
          <cell r="J128">
            <v>207.64165298801754</v>
          </cell>
          <cell r="K128">
            <v>76.156968144617352</v>
          </cell>
          <cell r="L128">
            <v>249.88911235168473</v>
          </cell>
          <cell r="M128">
            <v>126.01138124609649</v>
          </cell>
          <cell r="N128">
            <v>87.666253725308891</v>
          </cell>
          <cell r="O128">
            <v>75.634501954775416</v>
          </cell>
          <cell r="P128">
            <v>75.728200799489457</v>
          </cell>
          <cell r="Q128">
            <v>47.176527856593445</v>
          </cell>
          <cell r="R128">
            <v>87.675054905504936</v>
          </cell>
          <cell r="T128">
            <v>144.36570709077185</v>
          </cell>
          <cell r="U128">
            <v>139.92217901912511</v>
          </cell>
          <cell r="V128">
            <v>87.675054905504936</v>
          </cell>
          <cell r="X128">
            <v>125.32410396656918</v>
          </cell>
          <cell r="Z128">
            <v>122.9583522447833</v>
          </cell>
          <cell r="AA128">
            <v>15.9688442075651</v>
          </cell>
          <cell r="AB128">
            <v>348.21753614334494</v>
          </cell>
          <cell r="AC128">
            <v>106.9895080372182</v>
          </cell>
          <cell r="AD128">
            <v>225.25918389856164</v>
          </cell>
        </row>
        <row r="129">
          <cell r="A129" t="str">
            <v>CGI008-qtz08-CL-fit-3-offset</v>
          </cell>
          <cell r="B129">
            <v>750</v>
          </cell>
          <cell r="C129">
            <v>8.0537892000481889E-22</v>
          </cell>
          <cell r="D129">
            <v>2050</v>
          </cell>
          <cell r="E129">
            <v>1024</v>
          </cell>
          <cell r="F129">
            <v>2.001953125</v>
          </cell>
          <cell r="H129">
            <v>211.08026188477439</v>
          </cell>
          <cell r="I129">
            <v>115.03273947707392</v>
          </cell>
          <cell r="J129">
            <v>160.27248433615725</v>
          </cell>
          <cell r="K129">
            <v>134.99863616624378</v>
          </cell>
          <cell r="L129">
            <v>96.111576636342434</v>
          </cell>
          <cell r="M129">
            <v>67.812846937637218</v>
          </cell>
          <cell r="N129">
            <v>139.32814121802625</v>
          </cell>
          <cell r="O129">
            <v>70.346003899309721</v>
          </cell>
          <cell r="P129">
            <v>307.4108480458035</v>
          </cell>
          <cell r="Q129">
            <v>115.08492898237665</v>
          </cell>
          <cell r="R129">
            <v>262.04581121364481</v>
          </cell>
          <cell r="T129">
            <v>150.87044695207072</v>
          </cell>
          <cell r="U129">
            <v>144.46056587358598</v>
          </cell>
          <cell r="V129">
            <v>134.99863616624378</v>
          </cell>
          <cell r="X129">
            <v>135.50691860139008</v>
          </cell>
          <cell r="Z129">
            <v>137.03193258374424</v>
          </cell>
          <cell r="AA129">
            <v>21.24874498197309</v>
          </cell>
          <cell r="AB129">
            <v>422.76842851944622</v>
          </cell>
          <cell r="AC129">
            <v>115.78318760177115</v>
          </cell>
          <cell r="AD129">
            <v>285.73649593570201</v>
          </cell>
        </row>
        <row r="130">
          <cell r="A130" t="str">
            <v>CGI008-qtz09-CL-fit-1-offset</v>
          </cell>
          <cell r="B130">
            <v>750</v>
          </cell>
          <cell r="C130">
            <v>8.0537892000481889E-22</v>
          </cell>
          <cell r="D130">
            <v>2000</v>
          </cell>
          <cell r="E130">
            <v>1024</v>
          </cell>
          <cell r="F130">
            <v>1.953125</v>
          </cell>
          <cell r="H130">
            <v>557.34912725053414</v>
          </cell>
          <cell r="I130">
            <v>417.40583442490015</v>
          </cell>
          <cell r="J130">
            <v>352.29510681294369</v>
          </cell>
          <cell r="K130">
            <v>443.23791871370923</v>
          </cell>
          <cell r="L130">
            <v>445.33921391098477</v>
          </cell>
          <cell r="M130">
            <v>397.82373720355207</v>
          </cell>
          <cell r="N130">
            <v>358.20766458803598</v>
          </cell>
          <cell r="O130">
            <v>377.53779562602455</v>
          </cell>
          <cell r="P130">
            <v>431.12932281114513</v>
          </cell>
          <cell r="Q130">
            <v>493.26354566317826</v>
          </cell>
          <cell r="R130">
            <v>352.40622625352484</v>
          </cell>
          <cell r="T130">
            <v>430.92434934698394</v>
          </cell>
          <cell r="U130">
            <v>418.43477790173876</v>
          </cell>
          <cell r="V130">
            <v>417.40583442490015</v>
          </cell>
          <cell r="X130">
            <v>412.54399022412554</v>
          </cell>
          <cell r="Z130">
            <v>418.37180174196806</v>
          </cell>
          <cell r="AA130">
            <v>213.08144592497814</v>
          </cell>
          <cell r="AB130">
            <v>699.29055626521529</v>
          </cell>
          <cell r="AC130">
            <v>205.29035581698992</v>
          </cell>
          <cell r="AD130">
            <v>280.91875452324723</v>
          </cell>
        </row>
        <row r="131">
          <cell r="A131" t="str">
            <v>CGI008-qtz09-CL-fit-2-offset</v>
          </cell>
          <cell r="B131">
            <v>750</v>
          </cell>
          <cell r="C131">
            <v>8.0537892000481889E-22</v>
          </cell>
          <cell r="D131">
            <v>2000</v>
          </cell>
          <cell r="E131">
            <v>1024</v>
          </cell>
          <cell r="F131">
            <v>1.953125</v>
          </cell>
          <cell r="H131">
            <v>517.29978255790604</v>
          </cell>
          <cell r="I131">
            <v>259.98790186690377</v>
          </cell>
          <cell r="J131">
            <v>425.06265365112006</v>
          </cell>
          <cell r="K131">
            <v>410.85810152644081</v>
          </cell>
          <cell r="L131">
            <v>339.5829771436384</v>
          </cell>
          <cell r="M131">
            <v>465.82060359703826</v>
          </cell>
          <cell r="N131">
            <v>599.42126218146814</v>
          </cell>
          <cell r="O131">
            <v>392.27319001159384</v>
          </cell>
          <cell r="P131">
            <v>428.0007655708805</v>
          </cell>
          <cell r="Q131">
            <v>361.61327648884151</v>
          </cell>
          <cell r="R131">
            <v>370.00012568382436</v>
          </cell>
          <cell r="T131">
            <v>408.27432434134903</v>
          </cell>
          <cell r="U131">
            <v>410.96272201125532</v>
          </cell>
          <cell r="V131">
            <v>410.85810152644081</v>
          </cell>
          <cell r="X131">
            <v>412.29120748104521</v>
          </cell>
          <cell r="Z131">
            <v>416.68941848231407</v>
          </cell>
          <cell r="AA131">
            <v>234.1198160168654</v>
          </cell>
          <cell r="AB131">
            <v>698.784217898988</v>
          </cell>
          <cell r="AC131">
            <v>182.56960246544867</v>
          </cell>
          <cell r="AD131">
            <v>282.09479941667394</v>
          </cell>
        </row>
        <row r="132">
          <cell r="A132" t="str">
            <v>CGI008-qtz10-CL-fit-1-offset</v>
          </cell>
          <cell r="B132">
            <v>750</v>
          </cell>
          <cell r="C132">
            <v>8.0537892000481889E-22</v>
          </cell>
          <cell r="D132">
            <v>1800</v>
          </cell>
          <cell r="E132">
            <v>1024</v>
          </cell>
          <cell r="F132">
            <v>1.7578125</v>
          </cell>
          <cell r="H132">
            <v>400.74796467940791</v>
          </cell>
          <cell r="I132">
            <v>469.27009515293389</v>
          </cell>
          <cell r="J132">
            <v>479.54976429250382</v>
          </cell>
          <cell r="K132">
            <v>475.23504677386273</v>
          </cell>
          <cell r="L132">
            <v>463.07615434912162</v>
          </cell>
          <cell r="M132">
            <v>444.17609464107812</v>
          </cell>
          <cell r="N132">
            <v>469.56981270356647</v>
          </cell>
          <cell r="O132">
            <v>428.0070227661725</v>
          </cell>
          <cell r="P132">
            <v>489.79558557941056</v>
          </cell>
          <cell r="Q132">
            <v>449.81253935395176</v>
          </cell>
          <cell r="R132">
            <v>430.65394271223596</v>
          </cell>
          <cell r="T132">
            <v>456.6097107896021</v>
          </cell>
          <cell r="U132">
            <v>454.1732054733136</v>
          </cell>
          <cell r="V132">
            <v>463.07615434912162</v>
          </cell>
          <cell r="X132">
            <v>455.9477377177268</v>
          </cell>
          <cell r="Z132">
            <v>459.03160515741718</v>
          </cell>
          <cell r="AA132">
            <v>331.41444650927355</v>
          </cell>
          <cell r="AB132">
            <v>599.24227212363814</v>
          </cell>
          <cell r="AC132">
            <v>127.61715864814363</v>
          </cell>
          <cell r="AD132">
            <v>140.21066696622097</v>
          </cell>
        </row>
        <row r="133">
          <cell r="A133" t="str">
            <v>CGI008-qtz10-CL-fit-2-offset</v>
          </cell>
          <cell r="B133">
            <v>750</v>
          </cell>
          <cell r="C133">
            <v>8.0537892000481889E-22</v>
          </cell>
          <cell r="D133">
            <v>1800</v>
          </cell>
          <cell r="E133">
            <v>1024</v>
          </cell>
          <cell r="F133">
            <v>1.7578125</v>
          </cell>
          <cell r="H133">
            <v>125.01153153852661</v>
          </cell>
          <cell r="I133">
            <v>208.12352872201632</v>
          </cell>
          <cell r="J133">
            <v>278.28829475132108</v>
          </cell>
          <cell r="K133">
            <v>114.60362589991152</v>
          </cell>
          <cell r="L133">
            <v>278.29091278296238</v>
          </cell>
          <cell r="M133">
            <v>280.04415089639826</v>
          </cell>
          <cell r="N133">
            <v>157.18247932011155</v>
          </cell>
          <cell r="O133">
            <v>235.00262124330982</v>
          </cell>
          <cell r="P133">
            <v>207.78042549093215</v>
          </cell>
          <cell r="Q133">
            <v>236.10185877494939</v>
          </cell>
          <cell r="R133">
            <v>262.58060067851625</v>
          </cell>
          <cell r="T133">
            <v>232.7627269351585</v>
          </cell>
          <cell r="U133">
            <v>212.26575905543092</v>
          </cell>
          <cell r="V133">
            <v>235.00262124330982</v>
          </cell>
          <cell r="X133">
            <v>211.46435188152017</v>
          </cell>
          <cell r="Z133">
            <v>215.80683735981953</v>
          </cell>
          <cell r="AA133">
            <v>93.799506017938484</v>
          </cell>
          <cell r="AB133">
            <v>381.76666296501736</v>
          </cell>
          <cell r="AC133">
            <v>122.00733134188104</v>
          </cell>
          <cell r="AD133">
            <v>165.95982560519784</v>
          </cell>
        </row>
        <row r="134">
          <cell r="A134" t="str">
            <v>CGI008-qtz10-CL-fit-3-offset</v>
          </cell>
          <cell r="B134">
            <v>750</v>
          </cell>
          <cell r="C134">
            <v>8.0537892000481889E-22</v>
          </cell>
          <cell r="D134">
            <v>1800</v>
          </cell>
          <cell r="E134">
            <v>1024</v>
          </cell>
          <cell r="F134">
            <v>1.7578125</v>
          </cell>
          <cell r="H134">
            <v>241.8067065816515</v>
          </cell>
          <cell r="I134">
            <v>251.51770739576503</v>
          </cell>
          <cell r="J134">
            <v>415.16517853937086</v>
          </cell>
          <cell r="K134">
            <v>104.70994076911113</v>
          </cell>
          <cell r="L134">
            <v>65.093252186063722</v>
          </cell>
          <cell r="M134">
            <v>153.37184884229745</v>
          </cell>
          <cell r="N134">
            <v>196.60484022496451</v>
          </cell>
          <cell r="O134">
            <v>197.66651667609173</v>
          </cell>
          <cell r="P134">
            <v>243.21233055268954</v>
          </cell>
          <cell r="Q134">
            <v>55.767246803109209</v>
          </cell>
          <cell r="R134">
            <v>176.49647989520722</v>
          </cell>
          <cell r="T134">
            <v>179.56620984212296</v>
          </cell>
          <cell r="U134">
            <v>178.3424307125714</v>
          </cell>
          <cell r="V134">
            <v>196.60484022496451</v>
          </cell>
          <cell r="X134">
            <v>170.42129498324095</v>
          </cell>
          <cell r="Z134">
            <v>170.56502122556159</v>
          </cell>
          <cell r="AA134">
            <v>60.793236498661464</v>
          </cell>
          <cell r="AB134">
            <v>391.54537330954145</v>
          </cell>
          <cell r="AC134">
            <v>109.77178472690014</v>
          </cell>
          <cell r="AD134">
            <v>220.98035208397985</v>
          </cell>
        </row>
        <row r="135">
          <cell r="A135" t="str">
            <v>CGI008-qtz10-CL-fit-4-offset</v>
          </cell>
          <cell r="B135">
            <v>750</v>
          </cell>
          <cell r="C135">
            <v>8.0537892000481889E-22</v>
          </cell>
          <cell r="D135">
            <v>1800</v>
          </cell>
          <cell r="E135">
            <v>1024</v>
          </cell>
          <cell r="F135">
            <v>1.7578125</v>
          </cell>
          <cell r="H135">
            <v>106.00845585586075</v>
          </cell>
          <cell r="I135">
            <v>24.314241389293088</v>
          </cell>
          <cell r="J135">
            <v>7.6948122191508928</v>
          </cell>
          <cell r="K135">
            <v>56.62340922596826</v>
          </cell>
          <cell r="L135">
            <v>23.939938214612376</v>
          </cell>
          <cell r="M135">
            <v>2.1046770010475417</v>
          </cell>
          <cell r="N135">
            <v>13.601505571872153</v>
          </cell>
          <cell r="O135">
            <v>20.102916542291812</v>
          </cell>
          <cell r="P135">
            <v>8.8148383360780151</v>
          </cell>
          <cell r="Q135">
            <v>40.191991541740201</v>
          </cell>
          <cell r="R135">
            <v>8.7235121797556072</v>
          </cell>
          <cell r="T135">
            <v>21.013224611968155</v>
          </cell>
          <cell r="U135">
            <v>22.608549197259823</v>
          </cell>
          <cell r="V135">
            <v>20.102916542291812</v>
          </cell>
          <cell r="X135">
            <v>21.713174462077543</v>
          </cell>
          <cell r="Z135">
            <v>27.314055978234428</v>
          </cell>
          <cell r="AA135">
            <v>8.2427274841184988E-3</v>
          </cell>
          <cell r="AB135">
            <v>146.82170476058539</v>
          </cell>
          <cell r="AC135">
            <v>27.305813250750308</v>
          </cell>
          <cell r="AD135">
            <v>119.50764878235097</v>
          </cell>
        </row>
        <row r="136">
          <cell r="A136" t="str">
            <v>CGI008-qtz11-CL-fit-1-offset</v>
          </cell>
          <cell r="B136">
            <v>750</v>
          </cell>
          <cell r="C136">
            <v>8.0537892000481889E-22</v>
          </cell>
          <cell r="D136">
            <v>1800</v>
          </cell>
          <cell r="E136">
            <v>1024</v>
          </cell>
          <cell r="F136">
            <v>1.7578125</v>
          </cell>
          <cell r="H136">
            <v>648.77976996970278</v>
          </cell>
          <cell r="I136">
            <v>265.77124599954089</v>
          </cell>
          <cell r="J136">
            <v>248.13079395912237</v>
          </cell>
          <cell r="K136">
            <v>861.27085107499931</v>
          </cell>
          <cell r="L136">
            <v>1133.5194916288378</v>
          </cell>
          <cell r="M136">
            <v>1595.8905060929148</v>
          </cell>
          <cell r="N136">
            <v>618.10054603133835</v>
          </cell>
          <cell r="O136">
            <v>431.6910241579908</v>
          </cell>
          <cell r="P136">
            <v>877.94260868864717</v>
          </cell>
          <cell r="Q136">
            <v>34.533524109306789</v>
          </cell>
          <cell r="R136">
            <v>49.971438946645335</v>
          </cell>
          <cell r="T136">
            <v>545.76996532904434</v>
          </cell>
          <cell r="U136">
            <v>511.18777388016787</v>
          </cell>
          <cell r="V136">
            <v>618.10054603133835</v>
          </cell>
          <cell r="X136">
            <v>494.15681816617098</v>
          </cell>
          <cell r="Z136">
            <v>553.79456323145348</v>
          </cell>
          <cell r="AA136">
            <v>36.975770691781889</v>
          </cell>
          <cell r="AB136">
            <v>2143.6875524991792</v>
          </cell>
          <cell r="AC136">
            <v>516.81879253967156</v>
          </cell>
          <cell r="AD136">
            <v>1589.8929892677256</v>
          </cell>
        </row>
        <row r="137">
          <cell r="A137" t="str">
            <v>CGI008-qtz11-CL-fit-2-offset</v>
          </cell>
          <cell r="B137">
            <v>750</v>
          </cell>
          <cell r="C137">
            <v>8.0537892000481889E-22</v>
          </cell>
          <cell r="D137">
            <v>1800</v>
          </cell>
          <cell r="E137">
            <v>1024</v>
          </cell>
          <cell r="F137">
            <v>1.7578125</v>
          </cell>
          <cell r="H137">
            <v>170.46123382001588</v>
          </cell>
          <cell r="I137">
            <v>70.92696588360532</v>
          </cell>
          <cell r="J137">
            <v>257.4573364699545</v>
          </cell>
          <cell r="K137">
            <v>256.87214694498084</v>
          </cell>
          <cell r="L137">
            <v>253.21053745507925</v>
          </cell>
          <cell r="M137">
            <v>838.35234621135851</v>
          </cell>
          <cell r="N137">
            <v>254.9835227154077</v>
          </cell>
          <cell r="O137">
            <v>991.20429841328666</v>
          </cell>
          <cell r="P137">
            <v>1094.8613977185523</v>
          </cell>
          <cell r="Q137">
            <v>1561.4834440013472</v>
          </cell>
          <cell r="R137">
            <v>1808.4966680956049</v>
          </cell>
          <cell r="T137">
            <v>563.82440702042027</v>
          </cell>
          <cell r="U137">
            <v>562.98275052592351</v>
          </cell>
          <cell r="V137">
            <v>257.4573364699545</v>
          </cell>
          <cell r="X137">
            <v>614.12293533282934</v>
          </cell>
          <cell r="Z137">
            <v>682.77610545446248</v>
          </cell>
          <cell r="AA137">
            <v>109.79651946595845</v>
          </cell>
          <cell r="AB137">
            <v>2611.7783480927433</v>
          </cell>
          <cell r="AC137">
            <v>572.97958598850403</v>
          </cell>
          <cell r="AD137">
            <v>1929.0022426382807</v>
          </cell>
        </row>
        <row r="138">
          <cell r="A138" t="str">
            <v>CGI008-qtz11-CL-fit-3-offset</v>
          </cell>
          <cell r="B138">
            <v>750</v>
          </cell>
          <cell r="C138">
            <v>8.0537892000481889E-22</v>
          </cell>
          <cell r="D138">
            <v>1800</v>
          </cell>
          <cell r="E138">
            <v>1024</v>
          </cell>
          <cell r="F138">
            <v>1.7578125</v>
          </cell>
          <cell r="H138">
            <v>0.72921213327383949</v>
          </cell>
          <cell r="I138">
            <v>11.552198366027151</v>
          </cell>
          <cell r="J138">
            <v>38.207326710203745</v>
          </cell>
          <cell r="K138">
            <v>0.98114644445973709</v>
          </cell>
          <cell r="L138">
            <v>5.886044168777401</v>
          </cell>
          <cell r="M138">
            <v>1.1306287106041955</v>
          </cell>
          <cell r="N138">
            <v>38.547093372581507</v>
          </cell>
          <cell r="O138">
            <v>30.693075932222289</v>
          </cell>
          <cell r="P138">
            <v>11.188302049478176</v>
          </cell>
          <cell r="Q138">
            <v>29.817467471223932</v>
          </cell>
          <cell r="R138">
            <v>14.591215900686585</v>
          </cell>
          <cell r="T138">
            <v>24.715601088781479</v>
          </cell>
          <cell r="U138">
            <v>12.756581738658804</v>
          </cell>
          <cell r="V138">
            <v>11.552198366027151</v>
          </cell>
          <cell r="X138">
            <v>18.673507663032357</v>
          </cell>
          <cell r="Z138">
            <v>18.300757984972865</v>
          </cell>
          <cell r="AA138">
            <v>1.0414615139962544</v>
          </cell>
          <cell r="AB138">
            <v>99.257119421798251</v>
          </cell>
          <cell r="AC138">
            <v>17.259296470976611</v>
          </cell>
          <cell r="AD138">
            <v>80.956361436825389</v>
          </cell>
        </row>
        <row r="139">
          <cell r="A139" t="str">
            <v>CGI008-qtz11-CL-fit-4-offset</v>
          </cell>
          <cell r="B139">
            <v>750</v>
          </cell>
          <cell r="C139">
            <v>8.0537892000481889E-22</v>
          </cell>
          <cell r="D139">
            <v>1800</v>
          </cell>
          <cell r="E139">
            <v>1024</v>
          </cell>
          <cell r="F139">
            <v>1.7578125</v>
          </cell>
          <cell r="H139">
            <v>5.2873899741748227</v>
          </cell>
          <cell r="I139">
            <v>35.490573347628249</v>
          </cell>
          <cell r="J139">
            <v>1.6084749221019019</v>
          </cell>
          <cell r="K139">
            <v>41.173543540807962</v>
          </cell>
          <cell r="L139">
            <v>26.682542270979173</v>
          </cell>
          <cell r="M139">
            <v>1.1239029640480309</v>
          </cell>
          <cell r="N139">
            <v>1.3051227632115145</v>
          </cell>
          <cell r="O139">
            <v>2.1876603011000921</v>
          </cell>
          <cell r="P139">
            <v>16.370963230977161</v>
          </cell>
          <cell r="Q139">
            <v>2.4211259345082566E-2</v>
          </cell>
          <cell r="R139">
            <v>1.7543247479644122</v>
          </cell>
          <cell r="T139">
            <v>4.1085476649936172</v>
          </cell>
          <cell r="U139">
            <v>7.595091125277782</v>
          </cell>
          <cell r="V139">
            <v>2.1876603011000921</v>
          </cell>
          <cell r="X139">
            <v>4.7177048582409933</v>
          </cell>
          <cell r="Z139">
            <v>9.8239366106047541</v>
          </cell>
          <cell r="AA139">
            <v>3.546326706034508E-3</v>
          </cell>
          <cell r="AB139">
            <v>91.044991343533425</v>
          </cell>
          <cell r="AC139">
            <v>9.8203902838987194</v>
          </cell>
          <cell r="AD139">
            <v>81.221054732928678</v>
          </cell>
        </row>
        <row r="140">
          <cell r="A140" t="str">
            <v>CGI008-qtz12-CL-fit-1-offset</v>
          </cell>
          <cell r="B140">
            <v>750</v>
          </cell>
          <cell r="C140">
            <v>8.0537892000481889E-22</v>
          </cell>
          <cell r="D140">
            <v>1700</v>
          </cell>
          <cell r="E140">
            <v>1024</v>
          </cell>
          <cell r="F140">
            <v>1.66015625</v>
          </cell>
          <cell r="H140">
            <v>173.41811782310882</v>
          </cell>
          <cell r="I140">
            <v>318.13015343071424</v>
          </cell>
          <cell r="J140">
            <v>624.13040553372593</v>
          </cell>
          <cell r="K140">
            <v>851.12686131213138</v>
          </cell>
          <cell r="L140">
            <v>143.49708543249895</v>
          </cell>
          <cell r="M140">
            <v>267.826643905266</v>
          </cell>
          <cell r="N140">
            <v>672.17652649623051</v>
          </cell>
          <cell r="O140">
            <v>1403.451261271832</v>
          </cell>
          <cell r="P140">
            <v>1291.1689323286796</v>
          </cell>
          <cell r="Q140">
            <v>485.74573951125296</v>
          </cell>
          <cell r="R140">
            <v>114.5186010153879</v>
          </cell>
          <cell r="T140">
            <v>488.73704184720555</v>
          </cell>
          <cell r="U140">
            <v>498.38127220568595</v>
          </cell>
          <cell r="V140">
            <v>485.74573951125296</v>
          </cell>
          <cell r="X140">
            <v>517.14357410611581</v>
          </cell>
          <cell r="Z140">
            <v>511.4103728887016</v>
          </cell>
          <cell r="AA140">
            <v>60.407566844076484</v>
          </cell>
          <cell r="AB140">
            <v>1610.0247501547153</v>
          </cell>
          <cell r="AC140">
            <v>451.00280604462512</v>
          </cell>
          <cell r="AD140">
            <v>1098.6143772660137</v>
          </cell>
        </row>
        <row r="141">
          <cell r="A141" t="str">
            <v>CGI008-qtz12-CL-fit-2-offset</v>
          </cell>
          <cell r="B141">
            <v>750</v>
          </cell>
          <cell r="C141">
            <v>8.0537892000481889E-22</v>
          </cell>
          <cell r="D141">
            <v>1700</v>
          </cell>
          <cell r="E141">
            <v>1024</v>
          </cell>
          <cell r="F141">
            <v>1.66015625</v>
          </cell>
          <cell r="H141">
            <v>35.519757967339501</v>
          </cell>
          <cell r="I141">
            <v>31.342340326602333</v>
          </cell>
          <cell r="J141">
            <v>8.0198985849803748</v>
          </cell>
          <cell r="K141">
            <v>0.14265547302645498</v>
          </cell>
          <cell r="L141">
            <v>17.574884943718867</v>
          </cell>
          <cell r="M141">
            <v>1.9512931745447213</v>
          </cell>
          <cell r="N141">
            <v>26.905354991013375</v>
          </cell>
          <cell r="O141">
            <v>2.8307032625784148</v>
          </cell>
          <cell r="P141">
            <v>1.7048268147239902</v>
          </cell>
          <cell r="Q141">
            <v>21.336505165905692</v>
          </cell>
          <cell r="R141">
            <v>41.305395668086959</v>
          </cell>
          <cell r="T141">
            <v>1.929313289598219</v>
          </cell>
          <cell r="U141">
            <v>12.945804368271007</v>
          </cell>
          <cell r="V141">
            <v>17.574884943718867</v>
          </cell>
          <cell r="X141">
            <v>2.1770354586091591</v>
          </cell>
          <cell r="Z141">
            <v>11.284681248950685</v>
          </cell>
          <cell r="AA141">
            <v>0.10334304970914653</v>
          </cell>
          <cell r="AB141">
            <v>117.71787055400567</v>
          </cell>
          <cell r="AC141">
            <v>11.181338199241539</v>
          </cell>
          <cell r="AD141">
            <v>106.43318930505498</v>
          </cell>
        </row>
        <row r="142">
          <cell r="A142" t="str">
            <v>CGI008-qtz12-CL-fit-3-offset</v>
          </cell>
          <cell r="B142">
            <v>750</v>
          </cell>
          <cell r="C142">
            <v>8.0537892000481889E-22</v>
          </cell>
          <cell r="D142">
            <v>1700</v>
          </cell>
          <cell r="E142">
            <v>1024</v>
          </cell>
          <cell r="F142">
            <v>1.66015625</v>
          </cell>
          <cell r="H142">
            <v>281.62090171725674</v>
          </cell>
          <cell r="I142">
            <v>156.42128031518789</v>
          </cell>
          <cell r="J142">
            <v>262.40385163835117</v>
          </cell>
          <cell r="K142">
            <v>267.87057432042218</v>
          </cell>
          <cell r="L142">
            <v>354.15226927370429</v>
          </cell>
          <cell r="M142">
            <v>346.71613247865093</v>
          </cell>
          <cell r="N142">
            <v>322.65975385664427</v>
          </cell>
          <cell r="O142">
            <v>357.55828800482129</v>
          </cell>
          <cell r="P142">
            <v>389.70773418114277</v>
          </cell>
          <cell r="Q142">
            <v>407.18606148010491</v>
          </cell>
          <cell r="R142">
            <v>216.283935599552</v>
          </cell>
          <cell r="T142">
            <v>316.84690263466348</v>
          </cell>
          <cell r="U142">
            <v>300.83863804832811</v>
          </cell>
          <cell r="V142">
            <v>322.65975385664427</v>
          </cell>
          <cell r="X142">
            <v>307.31515888534403</v>
          </cell>
          <cell r="Z142">
            <v>304.67507362215139</v>
          </cell>
          <cell r="AA142">
            <v>112.97680980518253</v>
          </cell>
          <cell r="AB142">
            <v>536.87698277753861</v>
          </cell>
          <cell r="AC142">
            <v>191.69826381696885</v>
          </cell>
          <cell r="AD142">
            <v>232.20190915538723</v>
          </cell>
        </row>
        <row r="143">
          <cell r="A143" t="str">
            <v>CGI009-qtz01-CL-fit-1-offset</v>
          </cell>
          <cell r="B143">
            <v>750</v>
          </cell>
          <cell r="C143">
            <v>8.0537892000481889E-22</v>
          </cell>
          <cell r="D143">
            <v>1150</v>
          </cell>
          <cell r="E143">
            <v>1024</v>
          </cell>
          <cell r="F143">
            <v>1.123046875</v>
          </cell>
          <cell r="H143">
            <v>22717.261296398257</v>
          </cell>
          <cell r="I143">
            <v>0</v>
          </cell>
          <cell r="J143">
            <v>88.116083205901987</v>
          </cell>
          <cell r="K143">
            <v>47.231973551678003</v>
          </cell>
          <cell r="L143">
            <v>102.67950107082524</v>
          </cell>
          <cell r="M143">
            <v>74.490122185752952</v>
          </cell>
          <cell r="N143">
            <v>115.6064427164076</v>
          </cell>
          <cell r="O143">
            <v>72.097755406694404</v>
          </cell>
          <cell r="P143">
            <v>42.629549180428747</v>
          </cell>
          <cell r="Q143">
            <v>66.552679709696534</v>
          </cell>
          <cell r="R143">
            <v>124.96440058593865</v>
          </cell>
          <cell r="T143">
            <v>95.193446702192148</v>
          </cell>
          <cell r="U143">
            <v>532.93954062020919</v>
          </cell>
          <cell r="V143">
            <v>81.160123911439172</v>
          </cell>
          <cell r="X143">
            <v>86.71685654290259</v>
          </cell>
          <cell r="Z143">
            <v>101.45404361165001</v>
          </cell>
          <cell r="AA143">
            <v>1.4393592384486025</v>
          </cell>
          <cell r="AB143">
            <v>350.78742634229513</v>
          </cell>
          <cell r="AC143">
            <v>100.0146843732014</v>
          </cell>
          <cell r="AD143">
            <v>249.33338273064513</v>
          </cell>
        </row>
        <row r="144">
          <cell r="A144" t="str">
            <v>CGI009-qtz01-CL-fit-2-offset</v>
          </cell>
          <cell r="B144">
            <v>750</v>
          </cell>
          <cell r="C144">
            <v>8.0537892000481889E-22</v>
          </cell>
          <cell r="D144">
            <v>1150</v>
          </cell>
          <cell r="E144">
            <v>1024</v>
          </cell>
          <cell r="F144">
            <v>1.123046875</v>
          </cell>
          <cell r="H144">
            <v>132.10169246296937</v>
          </cell>
          <cell r="I144">
            <v>179.92867134563738</v>
          </cell>
          <cell r="J144">
            <v>189.43878036172191</v>
          </cell>
          <cell r="K144">
            <v>129.34949428938157</v>
          </cell>
          <cell r="L144">
            <v>155.08041950941288</v>
          </cell>
          <cell r="M144">
            <v>189.35884530462994</v>
          </cell>
          <cell r="N144">
            <v>308.35884851665173</v>
          </cell>
          <cell r="O144">
            <v>212.93574495467956</v>
          </cell>
          <cell r="P144">
            <v>108.21099451110945</v>
          </cell>
          <cell r="Q144">
            <v>123.76238719247941</v>
          </cell>
          <cell r="R144">
            <v>164.94060351214318</v>
          </cell>
          <cell r="T144">
            <v>164.49228891776832</v>
          </cell>
          <cell r="U144">
            <v>168.48219823123125</v>
          </cell>
          <cell r="V144">
            <v>164.94060351214318</v>
          </cell>
          <cell r="X144">
            <v>160.54989275174978</v>
          </cell>
          <cell r="Z144">
            <v>160.76565733972967</v>
          </cell>
          <cell r="AA144">
            <v>75.35268740869941</v>
          </cell>
          <cell r="AB144">
            <v>282.73610770199946</v>
          </cell>
          <cell r="AC144">
            <v>85.412969931030261</v>
          </cell>
          <cell r="AD144">
            <v>121.97045036226979</v>
          </cell>
        </row>
        <row r="145">
          <cell r="A145" t="str">
            <v>CGI009-qtz01-CL-fit-3-offset</v>
          </cell>
          <cell r="B145">
            <v>750</v>
          </cell>
          <cell r="C145">
            <v>8.0537892000481889E-22</v>
          </cell>
          <cell r="D145">
            <v>1150</v>
          </cell>
          <cell r="E145">
            <v>1024</v>
          </cell>
          <cell r="F145">
            <v>1.123046875</v>
          </cell>
          <cell r="H145">
            <v>523.9977055595208</v>
          </cell>
          <cell r="I145">
            <v>328.3871768228326</v>
          </cell>
          <cell r="J145">
            <v>668.19402130629237</v>
          </cell>
          <cell r="K145">
            <v>522.06320123032162</v>
          </cell>
          <cell r="L145">
            <v>549.6970520616502</v>
          </cell>
          <cell r="M145">
            <v>780.71622858523835</v>
          </cell>
          <cell r="N145">
            <v>684.73209790496605</v>
          </cell>
          <cell r="O145">
            <v>1112.4064998568074</v>
          </cell>
          <cell r="P145">
            <v>902.88066492907888</v>
          </cell>
          <cell r="Q145">
            <v>1142.5578372688451</v>
          </cell>
          <cell r="R145">
            <v>857.91877048203366</v>
          </cell>
          <cell r="T145">
            <v>651.06628134996913</v>
          </cell>
          <cell r="U145">
            <v>713.16981250344293</v>
          </cell>
          <cell r="V145">
            <v>684.73209790496605</v>
          </cell>
          <cell r="X145">
            <v>704.27587827257355</v>
          </cell>
          <cell r="Z145">
            <v>911.66494333925709</v>
          </cell>
          <cell r="AA145">
            <v>201.40320421340317</v>
          </cell>
          <cell r="AB145">
            <v>2213.1687713408346</v>
          </cell>
          <cell r="AC145">
            <v>710.26173912585386</v>
          </cell>
          <cell r="AD145">
            <v>1301.5038280015774</v>
          </cell>
        </row>
        <row r="146">
          <cell r="A146" t="str">
            <v>CGI009-qtz01-CL-fit-4-offset</v>
          </cell>
          <cell r="B146">
            <v>750</v>
          </cell>
          <cell r="C146">
            <v>8.0537892000481889E-22</v>
          </cell>
          <cell r="D146">
            <v>1150</v>
          </cell>
          <cell r="E146">
            <v>1024</v>
          </cell>
          <cell r="F146">
            <v>1.123046875</v>
          </cell>
          <cell r="H146">
            <v>137.27550924527543</v>
          </cell>
          <cell r="I146">
            <v>76.512915272890993</v>
          </cell>
          <cell r="J146">
            <v>104.03106604221958</v>
          </cell>
          <cell r="K146">
            <v>217.41017000513648</v>
          </cell>
          <cell r="L146">
            <v>203.65349844595417</v>
          </cell>
          <cell r="M146">
            <v>149.2212934437373</v>
          </cell>
          <cell r="N146">
            <v>153.15470295921872</v>
          </cell>
          <cell r="O146">
            <v>75.503605314154896</v>
          </cell>
          <cell r="P146">
            <v>108.05465400884096</v>
          </cell>
          <cell r="Q146">
            <v>115.15907654130076</v>
          </cell>
          <cell r="R146">
            <v>92.311953171101052</v>
          </cell>
          <cell r="T146">
            <v>128.67343258560615</v>
          </cell>
          <cell r="U146">
            <v>126.44650802449101</v>
          </cell>
          <cell r="V146">
            <v>115.15907654130076</v>
          </cell>
          <cell r="X146">
            <v>127.80248248238215</v>
          </cell>
          <cell r="Z146">
            <v>128.72550175368696</v>
          </cell>
          <cell r="AA146">
            <v>54.738584078495322</v>
          </cell>
          <cell r="AB146">
            <v>238.1133904200093</v>
          </cell>
          <cell r="AC146">
            <v>73.986917675191634</v>
          </cell>
          <cell r="AD146">
            <v>109.38788866632234</v>
          </cell>
        </row>
        <row r="147">
          <cell r="A147" t="str">
            <v>CGI009-qtz01-CL-fit-5-offset</v>
          </cell>
          <cell r="B147">
            <v>750</v>
          </cell>
          <cell r="C147">
            <v>8.0537892000481889E-22</v>
          </cell>
          <cell r="D147">
            <v>1150</v>
          </cell>
          <cell r="E147">
            <v>1024</v>
          </cell>
          <cell r="F147">
            <v>1.123046875</v>
          </cell>
          <cell r="H147">
            <v>447.12188415468768</v>
          </cell>
          <cell r="I147">
            <v>405.91242835692179</v>
          </cell>
          <cell r="J147">
            <v>476.2795395227605</v>
          </cell>
          <cell r="K147">
            <v>524.41500576438023</v>
          </cell>
          <cell r="L147">
            <v>433.02558114447572</v>
          </cell>
          <cell r="M147">
            <v>537.62302416474631</v>
          </cell>
          <cell r="N147">
            <v>437.04314205138729</v>
          </cell>
          <cell r="O147">
            <v>498.42404133189945</v>
          </cell>
          <cell r="P147">
            <v>590.58849718408328</v>
          </cell>
          <cell r="Q147">
            <v>468.10885128688318</v>
          </cell>
          <cell r="R147">
            <v>480.7128318611334</v>
          </cell>
          <cell r="T147">
            <v>475.80512177566044</v>
          </cell>
          <cell r="U147">
            <v>480.43233396235843</v>
          </cell>
          <cell r="V147">
            <v>476.2795395227605</v>
          </cell>
          <cell r="X147">
            <v>469.38889972823364</v>
          </cell>
          <cell r="Z147">
            <v>479.05248297501373</v>
          </cell>
          <cell r="AA147">
            <v>341.11146874866904</v>
          </cell>
          <cell r="AB147">
            <v>674.61422521184181</v>
          </cell>
          <cell r="AC147">
            <v>137.94101422634469</v>
          </cell>
          <cell r="AD147">
            <v>195.56174223682808</v>
          </cell>
        </row>
        <row r="148">
          <cell r="A148" t="str">
            <v>CGI009-qtz02-CL-fit-1-offset</v>
          </cell>
          <cell r="B148">
            <v>750</v>
          </cell>
          <cell r="C148">
            <v>8.0537892000481889E-22</v>
          </cell>
          <cell r="D148">
            <v>1750</v>
          </cell>
          <cell r="E148">
            <v>1024</v>
          </cell>
          <cell r="F148">
            <v>1.708984375</v>
          </cell>
          <cell r="H148">
            <v>4170.3639373474334</v>
          </cell>
          <cell r="I148">
            <v>6595.6598184312643</v>
          </cell>
          <cell r="J148">
            <v>5592.0402610289702</v>
          </cell>
          <cell r="K148">
            <v>10284.275700706012</v>
          </cell>
          <cell r="L148">
            <v>7592.2160894521312</v>
          </cell>
          <cell r="M148">
            <v>4720.4707972154902</v>
          </cell>
          <cell r="N148">
            <v>1325.7092260085292</v>
          </cell>
          <cell r="O148">
            <v>1900.4059296342357</v>
          </cell>
          <cell r="P148">
            <v>1263.8568961536255</v>
          </cell>
          <cell r="Q148">
            <v>2189.5782317636235</v>
          </cell>
          <cell r="R148">
            <v>1573.6080088844562</v>
          </cell>
          <cell r="T148">
            <v>3340.2152205346756</v>
          </cell>
          <cell r="U148">
            <v>3819.6754291724606</v>
          </cell>
          <cell r="V148">
            <v>4170.3639373474334</v>
          </cell>
          <cell r="X148">
            <v>3506.2801392207948</v>
          </cell>
          <cell r="Z148">
            <v>3754.3082971000108</v>
          </cell>
          <cell r="AA148">
            <v>1278.5270637981291</v>
          </cell>
          <cell r="AB148">
            <v>8784.2627031041902</v>
          </cell>
          <cell r="AC148">
            <v>2475.7812333018819</v>
          </cell>
          <cell r="AD148">
            <v>5029.954406004179</v>
          </cell>
        </row>
        <row r="149">
          <cell r="A149" t="str">
            <v>CGI009-qtz02-CL-fit-2-offset</v>
          </cell>
          <cell r="B149">
            <v>750</v>
          </cell>
          <cell r="C149">
            <v>8.0537892000481889E-22</v>
          </cell>
          <cell r="D149">
            <v>1750</v>
          </cell>
          <cell r="E149">
            <v>1024</v>
          </cell>
          <cell r="F149">
            <v>1.708984375</v>
          </cell>
          <cell r="H149">
            <v>235.38254953435825</v>
          </cell>
          <cell r="I149">
            <v>515.06868457447763</v>
          </cell>
          <cell r="J149">
            <v>106.79527225749329</v>
          </cell>
          <cell r="K149">
            <v>357.13162658739321</v>
          </cell>
          <cell r="L149">
            <v>656.75951315281316</v>
          </cell>
          <cell r="M149">
            <v>491.05382655112749</v>
          </cell>
          <cell r="N149">
            <v>676.67899575053639</v>
          </cell>
          <cell r="O149">
            <v>277.90856676109269</v>
          </cell>
          <cell r="P149">
            <v>511.42894353465209</v>
          </cell>
          <cell r="Q149">
            <v>288.79523958208705</v>
          </cell>
          <cell r="R149">
            <v>363.6364711710325</v>
          </cell>
          <cell r="T149">
            <v>369.74132137861437</v>
          </cell>
          <cell r="U149">
            <v>387.08107539131129</v>
          </cell>
          <cell r="V149">
            <v>363.6364711710325</v>
          </cell>
          <cell r="X149">
            <v>354.8986467851168</v>
          </cell>
          <cell r="Z149">
            <v>379.6193964085378</v>
          </cell>
          <cell r="AA149">
            <v>113.39731898543617</v>
          </cell>
          <cell r="AB149">
            <v>1117.983456039429</v>
          </cell>
          <cell r="AC149">
            <v>266.22207742310161</v>
          </cell>
          <cell r="AD149">
            <v>738.36405963089123</v>
          </cell>
        </row>
        <row r="150">
          <cell r="A150" t="str">
            <v>CGI009-qtz02-CL-fit-3-offset</v>
          </cell>
          <cell r="B150">
            <v>750</v>
          </cell>
          <cell r="C150">
            <v>8.0537892000481889E-22</v>
          </cell>
          <cell r="D150">
            <v>1750</v>
          </cell>
          <cell r="E150">
            <v>1024</v>
          </cell>
          <cell r="F150">
            <v>1.708984375</v>
          </cell>
          <cell r="H150">
            <v>110.17396964310831</v>
          </cell>
          <cell r="I150">
            <v>116.48805057888562</v>
          </cell>
          <cell r="J150">
            <v>47.522245908058089</v>
          </cell>
          <cell r="K150">
            <v>142.560632823388</v>
          </cell>
          <cell r="L150">
            <v>158.16007158635108</v>
          </cell>
          <cell r="M150">
            <v>94.509856544588587</v>
          </cell>
          <cell r="N150">
            <v>144.49515453127231</v>
          </cell>
          <cell r="O150">
            <v>107.70582019963155</v>
          </cell>
          <cell r="P150">
            <v>82.979639145111406</v>
          </cell>
          <cell r="Q150">
            <v>61.63444738376301</v>
          </cell>
          <cell r="R150">
            <v>87.108896484126205</v>
          </cell>
          <cell r="T150">
            <v>104.29000977413023</v>
          </cell>
          <cell r="U150">
            <v>102.03330734372007</v>
          </cell>
          <cell r="V150">
            <v>107.70582019963155</v>
          </cell>
          <cell r="X150">
            <v>104.23776920573854</v>
          </cell>
          <cell r="Z150">
            <v>92.969950592184375</v>
          </cell>
          <cell r="AA150">
            <v>1.5206546807397203</v>
          </cell>
          <cell r="AB150">
            <v>230.36842158000653</v>
          </cell>
          <cell r="AC150">
            <v>91.449295911444651</v>
          </cell>
          <cell r="AD150">
            <v>137.39847098782215</v>
          </cell>
        </row>
        <row r="151">
          <cell r="A151" t="str">
            <v>CGI009-qtz03-CL-fit-1-offset</v>
          </cell>
          <cell r="B151">
            <v>750</v>
          </cell>
          <cell r="C151">
            <v>8.0537892000481889E-22</v>
          </cell>
          <cell r="D151">
            <v>1750</v>
          </cell>
          <cell r="E151">
            <v>1024</v>
          </cell>
          <cell r="F151">
            <v>1.708984375</v>
          </cell>
          <cell r="H151">
            <v>556.76679810110534</v>
          </cell>
          <cell r="I151">
            <v>380.49915227460536</v>
          </cell>
          <cell r="J151">
            <v>478.00379975488477</v>
          </cell>
          <cell r="K151">
            <v>368.50620957327101</v>
          </cell>
          <cell r="L151">
            <v>251.25167329448976</v>
          </cell>
          <cell r="M151">
            <v>682.54661703180273</v>
          </cell>
          <cell r="N151">
            <v>353.3603528733301</v>
          </cell>
          <cell r="O151">
            <v>413.3880856367565</v>
          </cell>
          <cell r="P151">
            <v>464.43653188672278</v>
          </cell>
          <cell r="Q151">
            <v>293.95744024276746</v>
          </cell>
          <cell r="R151">
            <v>327.82855880825514</v>
          </cell>
          <cell r="T151">
            <v>398.04456201184269</v>
          </cell>
          <cell r="U151">
            <v>407.56438481211472</v>
          </cell>
          <cell r="V151">
            <v>380.49915227460536</v>
          </cell>
          <cell r="X151">
            <v>398.15918710880197</v>
          </cell>
          <cell r="Z151">
            <v>398.7317645146141</v>
          </cell>
          <cell r="AA151">
            <v>208.69724633882123</v>
          </cell>
          <cell r="AB151">
            <v>619.287218239607</v>
          </cell>
          <cell r="AC151">
            <v>190.03451817579287</v>
          </cell>
          <cell r="AD151">
            <v>220.5554537249929</v>
          </cell>
        </row>
        <row r="152">
          <cell r="A152" t="str">
            <v>CGI009-qtz03-CL-fit-2-offset</v>
          </cell>
          <cell r="B152">
            <v>750</v>
          </cell>
          <cell r="C152">
            <v>8.0537892000481889E-22</v>
          </cell>
          <cell r="D152">
            <v>1750</v>
          </cell>
          <cell r="E152">
            <v>1024</v>
          </cell>
          <cell r="F152">
            <v>1.708984375</v>
          </cell>
          <cell r="H152">
            <v>421.67311252371019</v>
          </cell>
          <cell r="I152">
            <v>477.82224758822764</v>
          </cell>
          <cell r="J152">
            <v>392.74763556002836</v>
          </cell>
          <cell r="K152">
            <v>217.11270614864037</v>
          </cell>
          <cell r="L152">
            <v>217.54883142681874</v>
          </cell>
          <cell r="M152">
            <v>309.26983033057235</v>
          </cell>
          <cell r="N152">
            <v>298.65446870721223</v>
          </cell>
          <cell r="O152">
            <v>323.88551417058972</v>
          </cell>
          <cell r="P152">
            <v>345.4718462247032</v>
          </cell>
          <cell r="Q152">
            <v>344.51551719739246</v>
          </cell>
          <cell r="R152">
            <v>337.84492446270724</v>
          </cell>
          <cell r="T152">
            <v>332.63880264983209</v>
          </cell>
          <cell r="U152">
            <v>330.87292810349328</v>
          </cell>
          <cell r="V152">
            <v>337.84492446270724</v>
          </cell>
          <cell r="X152">
            <v>326.03724530311655</v>
          </cell>
          <cell r="Z152">
            <v>331.08041970608514</v>
          </cell>
          <cell r="AA152">
            <v>215.86494356288725</v>
          </cell>
          <cell r="AB152">
            <v>482.01206854116043</v>
          </cell>
          <cell r="AC152">
            <v>115.21547614319789</v>
          </cell>
          <cell r="AD152">
            <v>150.93164883507529</v>
          </cell>
        </row>
        <row r="153">
          <cell r="A153" t="str">
            <v>CGI009-qtz03-CL-fit-3-offset</v>
          </cell>
          <cell r="B153">
            <v>750</v>
          </cell>
          <cell r="C153">
            <v>8.0537892000481889E-22</v>
          </cell>
          <cell r="D153">
            <v>1750</v>
          </cell>
          <cell r="E153">
            <v>1024</v>
          </cell>
          <cell r="F153">
            <v>1.708984375</v>
          </cell>
          <cell r="H153">
            <v>236.16083098151981</v>
          </cell>
          <cell r="I153">
            <v>67.275705791054719</v>
          </cell>
          <cell r="J153">
            <v>99.416853612087721</v>
          </cell>
          <cell r="K153">
            <v>148.18824087816134</v>
          </cell>
          <cell r="L153">
            <v>62.496185965788115</v>
          </cell>
          <cell r="M153">
            <v>246.16441906551438</v>
          </cell>
          <cell r="N153">
            <v>199.21268750434388</v>
          </cell>
          <cell r="O153">
            <v>174.4463139474781</v>
          </cell>
          <cell r="P153">
            <v>173.16220063363454</v>
          </cell>
          <cell r="Q153">
            <v>97.389320894880512</v>
          </cell>
          <cell r="R153">
            <v>118.58822698180956</v>
          </cell>
          <cell r="T153">
            <v>133.64357225048792</v>
          </cell>
          <cell r="U153">
            <v>140.8504232071723</v>
          </cell>
          <cell r="V153">
            <v>148.18824087816134</v>
          </cell>
          <cell r="X153">
            <v>135.46034575367599</v>
          </cell>
          <cell r="Z153">
            <v>132.83029799887868</v>
          </cell>
          <cell r="AA153">
            <v>41.721253566400748</v>
          </cell>
          <cell r="AB153">
            <v>262.955990164718</v>
          </cell>
          <cell r="AC153">
            <v>91.10904443247793</v>
          </cell>
          <cell r="AD153">
            <v>130.12569216583933</v>
          </cell>
        </row>
        <row r="154">
          <cell r="A154" t="str">
            <v>CGI009-qtz03-CL-fit-4-offset</v>
          </cell>
          <cell r="B154">
            <v>750</v>
          </cell>
          <cell r="C154">
            <v>8.0537892000481889E-22</v>
          </cell>
          <cell r="D154">
            <v>1750</v>
          </cell>
          <cell r="E154">
            <v>1024</v>
          </cell>
          <cell r="F154">
            <v>1.708984375</v>
          </cell>
          <cell r="H154">
            <v>136.19399079867904</v>
          </cell>
          <cell r="I154">
            <v>154.27486631906524</v>
          </cell>
          <cell r="J154">
            <v>153.66594581498074</v>
          </cell>
          <cell r="K154">
            <v>223.02553286265444</v>
          </cell>
          <cell r="L154">
            <v>127.11661246058644</v>
          </cell>
          <cell r="M154">
            <v>138.6726956083026</v>
          </cell>
          <cell r="N154">
            <v>180.97432069384024</v>
          </cell>
          <cell r="O154">
            <v>183.50637213824189</v>
          </cell>
          <cell r="P154">
            <v>184.14044248929503</v>
          </cell>
          <cell r="Q154">
            <v>151.74630313762358</v>
          </cell>
          <cell r="R154">
            <v>145.52325468569927</v>
          </cell>
          <cell r="T154">
            <v>164.85038398513944</v>
          </cell>
          <cell r="U154">
            <v>160.64995585822828</v>
          </cell>
          <cell r="V154">
            <v>153.66594581498074</v>
          </cell>
          <cell r="X154">
            <v>162.68562623675396</v>
          </cell>
          <cell r="Z154">
            <v>161.86249173243982</v>
          </cell>
          <cell r="AA154">
            <v>83.101317684128347</v>
          </cell>
          <cell r="AB154">
            <v>271.83127712794203</v>
          </cell>
          <cell r="AC154">
            <v>78.761174048311474</v>
          </cell>
          <cell r="AD154">
            <v>109.96878539550221</v>
          </cell>
        </row>
        <row r="155">
          <cell r="A155" t="str">
            <v>CGI009-qtz03-CL-fit-5-offset</v>
          </cell>
          <cell r="B155">
            <v>750</v>
          </cell>
          <cell r="C155">
            <v>8.0537892000481889E-22</v>
          </cell>
          <cell r="D155">
            <v>1750</v>
          </cell>
          <cell r="E155">
            <v>1024</v>
          </cell>
          <cell r="F155">
            <v>1.708984375</v>
          </cell>
          <cell r="H155">
            <v>373.4591856343402</v>
          </cell>
          <cell r="I155">
            <v>373.20197426060014</v>
          </cell>
          <cell r="J155">
            <v>636.10993607971818</v>
          </cell>
          <cell r="K155">
            <v>188.72417722294179</v>
          </cell>
          <cell r="L155">
            <v>592.18712353247122</v>
          </cell>
          <cell r="M155">
            <v>332.99450015970751</v>
          </cell>
          <cell r="N155">
            <v>502.52762585517121</v>
          </cell>
          <cell r="O155">
            <v>812.72024078263473</v>
          </cell>
          <cell r="P155">
            <v>481.90029667466314</v>
          </cell>
          <cell r="Q155">
            <v>229.73141801561638</v>
          </cell>
          <cell r="R155">
            <v>607.10347081171858</v>
          </cell>
          <cell r="T155">
            <v>442.04774974411748</v>
          </cell>
          <cell r="U155">
            <v>448.12825268180245</v>
          </cell>
          <cell r="V155">
            <v>481.90029667466314</v>
          </cell>
          <cell r="X155">
            <v>446.1154468578348</v>
          </cell>
          <cell r="Z155">
            <v>447.10943094988141</v>
          </cell>
          <cell r="AA155">
            <v>92.635538648531806</v>
          </cell>
          <cell r="AB155">
            <v>925.46000412552303</v>
          </cell>
          <cell r="AC155">
            <v>354.47389230134962</v>
          </cell>
          <cell r="AD155">
            <v>478.35057317564161</v>
          </cell>
        </row>
        <row r="156">
          <cell r="A156" t="str">
            <v>CGI009-qtz04-CL-fit-1-offset</v>
          </cell>
          <cell r="B156">
            <v>750</v>
          </cell>
          <cell r="C156">
            <v>8.0537892000481889E-22</v>
          </cell>
          <cell r="D156">
            <v>1400</v>
          </cell>
          <cell r="E156">
            <v>1024</v>
          </cell>
          <cell r="F156">
            <v>1.3671875</v>
          </cell>
          <cell r="H156">
            <v>257.21561798529251</v>
          </cell>
          <cell r="I156">
            <v>307.44829091067436</v>
          </cell>
          <cell r="J156">
            <v>521.22450819766482</v>
          </cell>
          <cell r="K156">
            <v>412.45939734280222</v>
          </cell>
          <cell r="L156">
            <v>211.27145400741918</v>
          </cell>
          <cell r="M156">
            <v>494.90286222737149</v>
          </cell>
          <cell r="N156">
            <v>749.26070508665111</v>
          </cell>
          <cell r="O156">
            <v>490.51258953321792</v>
          </cell>
          <cell r="P156">
            <v>612.8712130540622</v>
          </cell>
          <cell r="Q156">
            <v>840.91248396028664</v>
          </cell>
          <cell r="R156">
            <v>475.06440684860684</v>
          </cell>
          <cell r="T156">
            <v>467.88167030889156</v>
          </cell>
          <cell r="U156">
            <v>470.35365744554446</v>
          </cell>
          <cell r="V156">
            <v>490.51258953321792</v>
          </cell>
          <cell r="X156">
            <v>460.68248823013386</v>
          </cell>
          <cell r="Z156">
            <v>460.77870326982998</v>
          </cell>
          <cell r="AA156">
            <v>168.42447979422815</v>
          </cell>
          <cell r="AB156">
            <v>974.92104635044768</v>
          </cell>
          <cell r="AC156">
            <v>292.35422347560183</v>
          </cell>
          <cell r="AD156">
            <v>514.14234308061771</v>
          </cell>
        </row>
        <row r="157">
          <cell r="A157" t="str">
            <v>CGI009-qtz04-CL-fit-2-offset</v>
          </cell>
          <cell r="B157">
            <v>750</v>
          </cell>
          <cell r="C157">
            <v>8.0537892000481889E-22</v>
          </cell>
          <cell r="D157">
            <v>1400</v>
          </cell>
          <cell r="E157">
            <v>1024</v>
          </cell>
          <cell r="F157">
            <v>1.3671875</v>
          </cell>
          <cell r="H157">
            <v>345.70192982630846</v>
          </cell>
          <cell r="I157">
            <v>389.62920836620248</v>
          </cell>
          <cell r="J157">
            <v>194.65711973854391</v>
          </cell>
          <cell r="K157">
            <v>165.72758062359318</v>
          </cell>
          <cell r="L157">
            <v>191.54172786552013</v>
          </cell>
          <cell r="M157">
            <v>247.82604657545619</v>
          </cell>
          <cell r="N157">
            <v>288.29368643748438</v>
          </cell>
          <cell r="O157">
            <v>285.67424876525132</v>
          </cell>
          <cell r="P157">
            <v>466.16745555853186</v>
          </cell>
          <cell r="Q157">
            <v>94.955584349014671</v>
          </cell>
          <cell r="R157">
            <v>679.61986807577478</v>
          </cell>
          <cell r="T157">
            <v>292.03100788288145</v>
          </cell>
          <cell r="U157">
            <v>285.99723885604658</v>
          </cell>
          <cell r="V157">
            <v>285.67424876525132</v>
          </cell>
          <cell r="X157">
            <v>311.55662286661084</v>
          </cell>
          <cell r="Z157">
            <v>308.49371831873549</v>
          </cell>
          <cell r="AA157">
            <v>62.711498699881311</v>
          </cell>
          <cell r="AB157">
            <v>830.02678400587956</v>
          </cell>
          <cell r="AC157">
            <v>245.78221961885419</v>
          </cell>
          <cell r="AD157">
            <v>521.53306568714402</v>
          </cell>
        </row>
        <row r="158">
          <cell r="A158" t="str">
            <v>CGI009-qtz04-CL-fit-3-offset</v>
          </cell>
          <cell r="B158">
            <v>750</v>
          </cell>
          <cell r="C158">
            <v>8.0537892000481889E-22</v>
          </cell>
          <cell r="D158">
            <v>1400</v>
          </cell>
          <cell r="E158">
            <v>1024</v>
          </cell>
          <cell r="F158">
            <v>1.3671875</v>
          </cell>
          <cell r="H158">
            <v>184.85196302719177</v>
          </cell>
          <cell r="I158">
            <v>536.98509290567029</v>
          </cell>
          <cell r="J158">
            <v>202.05829123266579</v>
          </cell>
          <cell r="K158">
            <v>66.802587758924588</v>
          </cell>
          <cell r="L158">
            <v>1.0283573820298673</v>
          </cell>
          <cell r="M158">
            <v>79.234885436526682</v>
          </cell>
          <cell r="N158">
            <v>17.539828152229632</v>
          </cell>
          <cell r="O158">
            <v>502.36313432082625</v>
          </cell>
          <cell r="P158">
            <v>174.07284206247817</v>
          </cell>
          <cell r="Q158">
            <v>14.446130777040437</v>
          </cell>
          <cell r="R158">
            <v>228.35452959066853</v>
          </cell>
          <cell r="T158">
            <v>121.17243616279835</v>
          </cell>
          <cell r="U158">
            <v>134.93957382960107</v>
          </cell>
          <cell r="V158">
            <v>174.07284206247817</v>
          </cell>
          <cell r="X158">
            <v>113.80245016955911</v>
          </cell>
          <cell r="Z158">
            <v>157.2550032222988</v>
          </cell>
          <cell r="AA158">
            <v>1.1112403851057464</v>
          </cell>
          <cell r="AB158">
            <v>1421.7685324124695</v>
          </cell>
          <cell r="AC158">
            <v>156.14376283719304</v>
          </cell>
          <cell r="AD158">
            <v>1264.5135291901706</v>
          </cell>
        </row>
        <row r="159">
          <cell r="A159" t="str">
            <v>CGI009-qtz04-CL-fit-4-offset</v>
          </cell>
          <cell r="B159">
            <v>750</v>
          </cell>
          <cell r="C159">
            <v>8.0537892000481889E-22</v>
          </cell>
          <cell r="D159">
            <v>1400</v>
          </cell>
          <cell r="E159">
            <v>1024</v>
          </cell>
          <cell r="F159">
            <v>1.3671875</v>
          </cell>
          <cell r="H159">
            <v>95.645502266818639</v>
          </cell>
          <cell r="I159">
            <v>56.49012785867297</v>
          </cell>
          <cell r="J159">
            <v>49.724455770089563</v>
          </cell>
          <cell r="K159">
            <v>87.522761205417879</v>
          </cell>
          <cell r="L159">
            <v>39.452310167364303</v>
          </cell>
          <cell r="M159">
            <v>45.988096328564346</v>
          </cell>
          <cell r="N159">
            <v>43.771251091144279</v>
          </cell>
          <cell r="O159">
            <v>103.73149716350632</v>
          </cell>
          <cell r="P159">
            <v>39.962595775214602</v>
          </cell>
          <cell r="Q159">
            <v>81.584243847946325</v>
          </cell>
          <cell r="R159">
            <v>83.150238660543636</v>
          </cell>
          <cell r="T159">
            <v>68.642751082442004</v>
          </cell>
          <cell r="U159">
            <v>64.056511684200785</v>
          </cell>
          <cell r="V159">
            <v>56.49012785867297</v>
          </cell>
          <cell r="X159">
            <v>65.953238639071714</v>
          </cell>
          <cell r="Z159">
            <v>65.374008924472875</v>
          </cell>
          <cell r="AA159">
            <v>15.78868507890993</v>
          </cell>
          <cell r="AB159">
            <v>163.38777970754788</v>
          </cell>
          <cell r="AC159">
            <v>49.585323845562947</v>
          </cell>
          <cell r="AD159">
            <v>98.013770783075003</v>
          </cell>
        </row>
        <row r="160">
          <cell r="A160" t="str">
            <v>CGI009-qtz05-CL-fit-1-offset</v>
          </cell>
          <cell r="B160">
            <v>750</v>
          </cell>
          <cell r="C160">
            <v>8.0537892000481889E-22</v>
          </cell>
          <cell r="D160">
            <v>1500</v>
          </cell>
          <cell r="E160">
            <v>1024</v>
          </cell>
          <cell r="F160">
            <v>1.46484375</v>
          </cell>
          <cell r="H160">
            <v>559.5104675614424</v>
          </cell>
          <cell r="I160">
            <v>459.04459817257276</v>
          </cell>
          <cell r="J160">
            <v>543.86936638103941</v>
          </cell>
          <cell r="K160">
            <v>267.9198282223395</v>
          </cell>
          <cell r="L160">
            <v>507.54708183665628</v>
          </cell>
          <cell r="M160">
            <v>440.89112554534239</v>
          </cell>
          <cell r="N160">
            <v>278.41591801609269</v>
          </cell>
          <cell r="O160">
            <v>244.62271982469574</v>
          </cell>
          <cell r="P160">
            <v>680.62851826906535</v>
          </cell>
          <cell r="Q160">
            <v>247.74807562087088</v>
          </cell>
          <cell r="R160">
            <v>351.52476701806228</v>
          </cell>
          <cell r="T160">
            <v>398.02954907010252</v>
          </cell>
          <cell r="U160">
            <v>404.37137976831957</v>
          </cell>
          <cell r="V160">
            <v>440.89112554534239</v>
          </cell>
          <cell r="X160">
            <v>392.72824991252543</v>
          </cell>
          <cell r="Z160">
            <v>400.43054585781982</v>
          </cell>
          <cell r="AA160">
            <v>182.000389021209</v>
          </cell>
          <cell r="AB160">
            <v>811.55523825889384</v>
          </cell>
          <cell r="AC160">
            <v>218.43015683661082</v>
          </cell>
          <cell r="AD160">
            <v>411.12469240107401</v>
          </cell>
        </row>
        <row r="161">
          <cell r="A161" t="str">
            <v>CGI009-qtz05-CL-fit-2-offset</v>
          </cell>
          <cell r="B161">
            <v>750</v>
          </cell>
          <cell r="C161">
            <v>8.0537892000481889E-22</v>
          </cell>
          <cell r="D161">
            <v>1500</v>
          </cell>
          <cell r="E161">
            <v>1024</v>
          </cell>
          <cell r="F161">
            <v>1.46484375</v>
          </cell>
          <cell r="H161">
            <v>354.83809862980632</v>
          </cell>
          <cell r="I161">
            <v>576.39433466330286</v>
          </cell>
          <cell r="J161">
            <v>614.84268670769916</v>
          </cell>
          <cell r="K161">
            <v>344.06048655885252</v>
          </cell>
          <cell r="L161">
            <v>470.94198676990368</v>
          </cell>
          <cell r="M161">
            <v>204.99953459027728</v>
          </cell>
          <cell r="N161">
            <v>215.00219126298759</v>
          </cell>
          <cell r="O161">
            <v>191.20969355646508</v>
          </cell>
          <cell r="P161">
            <v>277.99308222212403</v>
          </cell>
          <cell r="Q161">
            <v>395.93743715737298</v>
          </cell>
          <cell r="R161">
            <v>373.61357610198058</v>
          </cell>
          <cell r="T161">
            <v>364.24760639334539</v>
          </cell>
          <cell r="U161">
            <v>352.7582388295765</v>
          </cell>
          <cell r="V161">
            <v>354.83809862980632</v>
          </cell>
          <cell r="X161">
            <v>345.63287074180124</v>
          </cell>
          <cell r="Z161">
            <v>352.26784880842922</v>
          </cell>
          <cell r="AA161">
            <v>182.61562838005304</v>
          </cell>
          <cell r="AB161">
            <v>674.28216124674395</v>
          </cell>
          <cell r="AC161">
            <v>169.65222042837618</v>
          </cell>
          <cell r="AD161">
            <v>322.01431243831473</v>
          </cell>
        </row>
        <row r="162">
          <cell r="A162" t="str">
            <v>CGI009-qtz05-CL-fit-3-offset</v>
          </cell>
          <cell r="B162">
            <v>750</v>
          </cell>
          <cell r="C162">
            <v>8.0537892000481889E-22</v>
          </cell>
          <cell r="D162">
            <v>1500</v>
          </cell>
          <cell r="E162">
            <v>1024</v>
          </cell>
          <cell r="F162">
            <v>1.46484375</v>
          </cell>
          <cell r="H162">
            <v>0</v>
          </cell>
          <cell r="I162">
            <v>298.55641847071621</v>
          </cell>
          <cell r="J162">
            <v>313.48476359970374</v>
          </cell>
          <cell r="K162">
            <v>267.31017417144449</v>
          </cell>
          <cell r="L162">
            <v>162.98578925567003</v>
          </cell>
          <cell r="M162">
            <v>384.01475516917537</v>
          </cell>
          <cell r="N162">
            <v>336.86770380117406</v>
          </cell>
          <cell r="O162">
            <v>399.40279484784293</v>
          </cell>
          <cell r="P162">
            <v>110.73350182606019</v>
          </cell>
          <cell r="Q162">
            <v>222.86859324055547</v>
          </cell>
          <cell r="R162">
            <v>456.43570176427176</v>
          </cell>
          <cell r="T162">
            <v>329.27157467016787</v>
          </cell>
          <cell r="U162">
            <v>285.10981502144102</v>
          </cell>
          <cell r="V162">
            <v>305.97506945711905</v>
          </cell>
          <cell r="X162">
            <v>285.79690134328575</v>
          </cell>
          <cell r="Z162">
            <v>273.76861426936028</v>
          </cell>
          <cell r="AA162">
            <v>90.789846651209828</v>
          </cell>
          <cell r="AB162">
            <v>515.7076887425286</v>
          </cell>
          <cell r="AC162">
            <v>182.97876761815047</v>
          </cell>
          <cell r="AD162">
            <v>241.93907447316832</v>
          </cell>
        </row>
        <row r="163">
          <cell r="A163" t="str">
            <v>CGI009-qtz05-CL-fit-4-offset</v>
          </cell>
          <cell r="B163">
            <v>750</v>
          </cell>
          <cell r="C163">
            <v>8.0537892000481889E-22</v>
          </cell>
          <cell r="D163">
            <v>1500</v>
          </cell>
          <cell r="E163">
            <v>1024</v>
          </cell>
          <cell r="F163">
            <v>1.46484375</v>
          </cell>
          <cell r="H163">
            <v>203.22148089282211</v>
          </cell>
          <cell r="I163">
            <v>63.314555199796338</v>
          </cell>
          <cell r="J163">
            <v>101.27838397633069</v>
          </cell>
          <cell r="K163">
            <v>0.29154359948107689</v>
          </cell>
          <cell r="L163">
            <v>16.585818767541827</v>
          </cell>
          <cell r="M163">
            <v>2.5580281695058268E-2</v>
          </cell>
          <cell r="N163">
            <v>80.817000290324614</v>
          </cell>
          <cell r="O163">
            <v>15.053217319654633</v>
          </cell>
          <cell r="P163">
            <v>68.707014323330341</v>
          </cell>
          <cell r="Q163">
            <v>1.2259514099886133</v>
          </cell>
          <cell r="R163">
            <v>1.3656858986193003</v>
          </cell>
          <cell r="T163">
            <v>63.894394123671553</v>
          </cell>
          <cell r="U163">
            <v>30.23329245885121</v>
          </cell>
          <cell r="V163">
            <v>16.585818767541827</v>
          </cell>
          <cell r="X163">
            <v>48.486804488015132</v>
          </cell>
          <cell r="Z163">
            <v>48.038948068277094</v>
          </cell>
          <cell r="AA163">
            <v>1.4188980863549779E-2</v>
          </cell>
          <cell r="AB163">
            <v>340.59660964175208</v>
          </cell>
          <cell r="AC163">
            <v>48.024759087413543</v>
          </cell>
          <cell r="AD163">
            <v>292.557661573475</v>
          </cell>
        </row>
        <row r="164">
          <cell r="A164" t="str">
            <v>CGI009-qtz05-CL-fit-5-offset</v>
          </cell>
          <cell r="B164">
            <v>750</v>
          </cell>
          <cell r="C164">
            <v>8.0537892000481889E-22</v>
          </cell>
          <cell r="D164">
            <v>1500</v>
          </cell>
          <cell r="E164">
            <v>1024</v>
          </cell>
          <cell r="F164">
            <v>1.46484375</v>
          </cell>
          <cell r="H164">
            <v>7.0411825851924013</v>
          </cell>
          <cell r="I164">
            <v>118.7095090463786</v>
          </cell>
          <cell r="J164">
            <v>40.329660777091256</v>
          </cell>
          <cell r="K164">
            <v>186.06497709865687</v>
          </cell>
          <cell r="L164">
            <v>99.705619657267476</v>
          </cell>
          <cell r="M164">
            <v>83.201537217386104</v>
          </cell>
          <cell r="N164">
            <v>143.92735189252372</v>
          </cell>
          <cell r="O164">
            <v>389.50000994989813</v>
          </cell>
          <cell r="P164">
            <v>0</v>
          </cell>
          <cell r="Q164">
            <v>2.7480723497052399</v>
          </cell>
          <cell r="R164">
            <v>87.946748222900851</v>
          </cell>
          <cell r="T164">
            <v>131.98150115944927</v>
          </cell>
          <cell r="U164">
            <v>91.040696215148145</v>
          </cell>
          <cell r="V164">
            <v>93.733987487978311</v>
          </cell>
          <cell r="X164">
            <v>95.564739818182133</v>
          </cell>
          <cell r="Z164">
            <v>93.441798263452966</v>
          </cell>
          <cell r="AA164">
            <v>2.0445609018323596</v>
          </cell>
          <cell r="AB164">
            <v>412.04996470087571</v>
          </cell>
          <cell r="AC164">
            <v>91.397237361620611</v>
          </cell>
          <cell r="AD164">
            <v>318.60816643742271</v>
          </cell>
        </row>
        <row r="165">
          <cell r="A165" t="str">
            <v>CGI009-qtz06-CL-fit-1-offset</v>
          </cell>
          <cell r="B165">
            <v>750</v>
          </cell>
          <cell r="C165">
            <v>8.0537892000481889E-22</v>
          </cell>
          <cell r="D165">
            <v>2000</v>
          </cell>
          <cell r="E165">
            <v>1024</v>
          </cell>
          <cell r="F165">
            <v>1.953125</v>
          </cell>
          <cell r="H165">
            <v>963.71598142137157</v>
          </cell>
          <cell r="I165">
            <v>1109.1731563164435</v>
          </cell>
          <cell r="J165">
            <v>1347.6583908319694</v>
          </cell>
          <cell r="K165">
            <v>841.3283261177844</v>
          </cell>
          <cell r="L165">
            <v>0</v>
          </cell>
          <cell r="M165">
            <v>431.19950571175281</v>
          </cell>
          <cell r="N165">
            <v>63.389711707365535</v>
          </cell>
          <cell r="O165">
            <v>0</v>
          </cell>
          <cell r="P165">
            <v>573.07125317050054</v>
          </cell>
          <cell r="Q165">
            <v>833.57163646873778</v>
          </cell>
          <cell r="R165">
            <v>2.6711327830223617</v>
          </cell>
          <cell r="T165">
            <v>1170.9162655937378</v>
          </cell>
          <cell r="U165">
            <v>561.35388301075625</v>
          </cell>
          <cell r="V165">
            <v>833.57163646873778</v>
          </cell>
          <cell r="X165">
            <v>888.41828780760386</v>
          </cell>
          <cell r="Z165">
            <v>1381.2326871240202</v>
          </cell>
          <cell r="AA165">
            <v>8.3726065084779085E-3</v>
          </cell>
          <cell r="AB165">
            <v>12886.573079886197</v>
          </cell>
          <cell r="AC165">
            <v>1381.2243145175119</v>
          </cell>
          <cell r="AD165">
            <v>11505.340392762177</v>
          </cell>
        </row>
        <row r="166">
          <cell r="A166" t="str">
            <v>CGI009-qtz06-CL-fit-2-offset</v>
          </cell>
          <cell r="B166">
            <v>750</v>
          </cell>
          <cell r="C166">
            <v>8.0537892000481889E-22</v>
          </cell>
          <cell r="D166">
            <v>2000</v>
          </cell>
          <cell r="E166">
            <v>1024</v>
          </cell>
          <cell r="F166">
            <v>1.953125</v>
          </cell>
          <cell r="H166">
            <v>113.28690265080736</v>
          </cell>
          <cell r="I166">
            <v>125.35559349555412</v>
          </cell>
          <cell r="J166">
            <v>34.829122704004149</v>
          </cell>
          <cell r="K166">
            <v>1434.4541378296478</v>
          </cell>
          <cell r="L166">
            <v>653.8267217145343</v>
          </cell>
          <cell r="M166">
            <v>711.0299512936399</v>
          </cell>
          <cell r="N166">
            <v>472.00967677028569</v>
          </cell>
          <cell r="O166">
            <v>476.89649661648883</v>
          </cell>
          <cell r="P166">
            <v>725.00598045664549</v>
          </cell>
          <cell r="Q166">
            <v>78.646631639638855</v>
          </cell>
          <cell r="R166">
            <v>247.80896568918595</v>
          </cell>
          <cell r="T166">
            <v>417.97120763685632</v>
          </cell>
          <cell r="U166">
            <v>374.77712512190931</v>
          </cell>
          <cell r="V166">
            <v>472.00967677028569</v>
          </cell>
          <cell r="X166">
            <v>414.6569097052037</v>
          </cell>
          <cell r="Z166">
            <v>395.63734721645574</v>
          </cell>
          <cell r="AA166">
            <v>54.323707093530217</v>
          </cell>
          <cell r="AB166">
            <v>1107.1018210261009</v>
          </cell>
          <cell r="AC166">
            <v>341.31364012292551</v>
          </cell>
          <cell r="AD166">
            <v>711.46447380964514</v>
          </cell>
        </row>
        <row r="167">
          <cell r="A167" t="str">
            <v>CGI009-qtz06-CL-fit-3-offset</v>
          </cell>
          <cell r="B167">
            <v>750</v>
          </cell>
          <cell r="C167">
            <v>8.0537892000481889E-22</v>
          </cell>
          <cell r="D167">
            <v>2000</v>
          </cell>
          <cell r="E167">
            <v>1024</v>
          </cell>
          <cell r="F167">
            <v>1.953125</v>
          </cell>
          <cell r="H167">
            <v>607.32984488347256</v>
          </cell>
          <cell r="I167">
            <v>357.08134264478406</v>
          </cell>
          <cell r="J167">
            <v>556.04301042229974</v>
          </cell>
          <cell r="K167">
            <v>187.81152228612092</v>
          </cell>
          <cell r="L167">
            <v>385.679179742798</v>
          </cell>
          <cell r="M167">
            <v>245.42529417681118</v>
          </cell>
          <cell r="N167">
            <v>1014.1598233935561</v>
          </cell>
          <cell r="O167">
            <v>475.4745044026015</v>
          </cell>
          <cell r="P167">
            <v>466.94941233454881</v>
          </cell>
          <cell r="Q167">
            <v>408.20124375747002</v>
          </cell>
          <cell r="R167">
            <v>663.80743241734126</v>
          </cell>
          <cell r="T167">
            <v>467.66631763553437</v>
          </cell>
          <cell r="U167">
            <v>465.61458518293222</v>
          </cell>
          <cell r="V167">
            <v>466.94941233454881</v>
          </cell>
          <cell r="X167">
            <v>479.48773332913379</v>
          </cell>
          <cell r="Z167">
            <v>487.3667759970179</v>
          </cell>
          <cell r="AA167">
            <v>123.50655202952095</v>
          </cell>
          <cell r="AB167">
            <v>1238.0496937613509</v>
          </cell>
          <cell r="AC167">
            <v>363.86022396749695</v>
          </cell>
          <cell r="AD167">
            <v>750.68291776433307</v>
          </cell>
        </row>
        <row r="168">
          <cell r="A168" t="str">
            <v>CGI009-qtz06-CL-fit-4-offset</v>
          </cell>
          <cell r="B168">
            <v>750</v>
          </cell>
          <cell r="C168">
            <v>8.0537892000481889E-22</v>
          </cell>
          <cell r="D168">
            <v>2000</v>
          </cell>
          <cell r="E168">
            <v>1024</v>
          </cell>
          <cell r="F168">
            <v>1.953125</v>
          </cell>
          <cell r="H168">
            <v>112.84390651826213</v>
          </cell>
          <cell r="I168">
            <v>50.898555582579966</v>
          </cell>
          <cell r="J168">
            <v>1.1171382893269002</v>
          </cell>
          <cell r="K168">
            <v>96.640633721688019</v>
          </cell>
          <cell r="L168">
            <v>58.567011953719295</v>
          </cell>
          <cell r="M168">
            <v>76.447130762969095</v>
          </cell>
          <cell r="N168">
            <v>3.8882474014535164</v>
          </cell>
          <cell r="O168">
            <v>82.172650210785974</v>
          </cell>
          <cell r="P168">
            <v>617.83176530887624</v>
          </cell>
          <cell r="Q168">
            <v>2.284926924147737</v>
          </cell>
          <cell r="R168">
            <v>219.95104435320891</v>
          </cell>
          <cell r="T168">
            <v>72.743709144589346</v>
          </cell>
          <cell r="U168">
            <v>78.203994730051107</v>
          </cell>
          <cell r="V168">
            <v>76.447130762969095</v>
          </cell>
          <cell r="X168">
            <v>52.752370963775682</v>
          </cell>
          <cell r="Z168">
            <v>77.516181927377104</v>
          </cell>
          <cell r="AA168">
            <v>1.6969766710840148E-2</v>
          </cell>
          <cell r="AB168">
            <v>1038.9208286335959</v>
          </cell>
          <cell r="AC168">
            <v>77.499212160666261</v>
          </cell>
          <cell r="AD168">
            <v>961.40464670621873</v>
          </cell>
        </row>
        <row r="169">
          <cell r="A169" t="str">
            <v>CGI009-qtz06-CL-fit-5-offset</v>
          </cell>
          <cell r="B169">
            <v>750</v>
          </cell>
          <cell r="C169">
            <v>8.0537892000481889E-22</v>
          </cell>
          <cell r="D169">
            <v>2000</v>
          </cell>
          <cell r="E169">
            <v>1024</v>
          </cell>
          <cell r="F169">
            <v>1.953125</v>
          </cell>
          <cell r="H169">
            <v>140.70760032649119</v>
          </cell>
          <cell r="I169">
            <v>312.71035478440365</v>
          </cell>
          <cell r="J169">
            <v>148.23552853622812</v>
          </cell>
          <cell r="K169">
            <v>277.45183744197908</v>
          </cell>
          <cell r="L169">
            <v>116.9988895503709</v>
          </cell>
          <cell r="M169">
            <v>220.50251523779073</v>
          </cell>
          <cell r="N169">
            <v>174.39255781201697</v>
          </cell>
          <cell r="O169">
            <v>312.56706696703895</v>
          </cell>
          <cell r="P169">
            <v>131.93184573793425</v>
          </cell>
          <cell r="Q169">
            <v>246.39356057526393</v>
          </cell>
          <cell r="R169">
            <v>163.00100856995979</v>
          </cell>
          <cell r="T169">
            <v>207.04936078253459</v>
          </cell>
          <cell r="U169">
            <v>198.24454186543252</v>
          </cell>
          <cell r="V169">
            <v>174.39255781201697</v>
          </cell>
          <cell r="X169">
            <v>189.97379093997546</v>
          </cell>
          <cell r="Z169">
            <v>191.52809919517156</v>
          </cell>
          <cell r="AA169">
            <v>58.068407272223212</v>
          </cell>
          <cell r="AB169">
            <v>407.82121214684236</v>
          </cell>
          <cell r="AC169">
            <v>133.45969192294837</v>
          </cell>
          <cell r="AD169">
            <v>216.29311295167079</v>
          </cell>
        </row>
        <row r="170">
          <cell r="A170" t="str">
            <v>CGI009-qtz07-CL-fit-1-offset</v>
          </cell>
          <cell r="B170">
            <v>750</v>
          </cell>
          <cell r="C170">
            <v>8.0537892000481889E-22</v>
          </cell>
          <cell r="D170">
            <v>1200</v>
          </cell>
          <cell r="E170">
            <v>1024</v>
          </cell>
          <cell r="F170">
            <v>1.171875</v>
          </cell>
          <cell r="H170">
            <v>270.98054719597496</v>
          </cell>
          <cell r="I170">
            <v>106.41970781744922</v>
          </cell>
          <cell r="J170">
            <v>187.38302040493639</v>
          </cell>
          <cell r="K170">
            <v>120.86799026436921</v>
          </cell>
          <cell r="L170">
            <v>147.20584796894636</v>
          </cell>
          <cell r="M170">
            <v>94.343444751054008</v>
          </cell>
          <cell r="N170">
            <v>179.95542949892172</v>
          </cell>
          <cell r="O170">
            <v>247.62122371828139</v>
          </cell>
          <cell r="P170">
            <v>155.22350365761284</v>
          </cell>
          <cell r="Q170">
            <v>226.82933936194934</v>
          </cell>
          <cell r="R170">
            <v>279.32785381486786</v>
          </cell>
          <cell r="T170">
            <v>182.00607214969804</v>
          </cell>
          <cell r="U170">
            <v>177.83369178187826</v>
          </cell>
          <cell r="V170">
            <v>179.95542949892172</v>
          </cell>
          <cell r="X170">
            <v>175.5407580899583</v>
          </cell>
          <cell r="Z170">
            <v>185.31793591807121</v>
          </cell>
          <cell r="AA170">
            <v>55.174491060644584</v>
          </cell>
          <cell r="AB170">
            <v>448.44092079478492</v>
          </cell>
          <cell r="AC170">
            <v>130.14344485742663</v>
          </cell>
          <cell r="AD170">
            <v>263.1229848767137</v>
          </cell>
        </row>
        <row r="171">
          <cell r="A171" t="str">
            <v>CGI009-qtz07-CL-fit-2-offset</v>
          </cell>
          <cell r="B171">
            <v>750</v>
          </cell>
          <cell r="C171">
            <v>8.0537892000481889E-22</v>
          </cell>
          <cell r="D171">
            <v>1200</v>
          </cell>
          <cell r="E171">
            <v>1024</v>
          </cell>
          <cell r="F171">
            <v>1.171875</v>
          </cell>
          <cell r="H171">
            <v>25.449324639509523</v>
          </cell>
          <cell r="I171">
            <v>20.294616365147359</v>
          </cell>
          <cell r="J171">
            <v>9.0908927219238631</v>
          </cell>
          <cell r="K171">
            <v>0.55984694395541079</v>
          </cell>
          <cell r="L171">
            <v>9.1157527526676621</v>
          </cell>
          <cell r="M171">
            <v>44.613145048206398</v>
          </cell>
          <cell r="N171">
            <v>1.7802167926592894E-3</v>
          </cell>
          <cell r="O171">
            <v>174.99943928662276</v>
          </cell>
          <cell r="P171">
            <v>44.57503937043937</v>
          </cell>
          <cell r="Q171">
            <v>93.280211526218778</v>
          </cell>
          <cell r="R171">
            <v>5.8612820777003618</v>
          </cell>
          <cell r="T171">
            <v>36.372819247446664</v>
          </cell>
          <cell r="U171">
            <v>25.034669606534401</v>
          </cell>
          <cell r="V171">
            <v>20.294616365147359</v>
          </cell>
          <cell r="X171">
            <v>38.102586134323047</v>
          </cell>
          <cell r="Z171">
            <v>39.193620325308103</v>
          </cell>
          <cell r="AA171">
            <v>7.8698849347766928E-2</v>
          </cell>
          <cell r="AB171">
            <v>277.15227632381988</v>
          </cell>
          <cell r="AC171">
            <v>39.114921475960337</v>
          </cell>
          <cell r="AD171">
            <v>237.95865599851177</v>
          </cell>
        </row>
        <row r="172">
          <cell r="A172" t="str">
            <v>CGI009-qtz07-CL-fit-3-offset</v>
          </cell>
          <cell r="B172">
            <v>750</v>
          </cell>
          <cell r="C172">
            <v>8.0537892000481889E-22</v>
          </cell>
          <cell r="D172">
            <v>1200</v>
          </cell>
          <cell r="E172">
            <v>1024</v>
          </cell>
          <cell r="F172">
            <v>1.171875</v>
          </cell>
          <cell r="H172">
            <v>78.830600789980167</v>
          </cell>
          <cell r="I172">
            <v>67.097095891551248</v>
          </cell>
          <cell r="J172">
            <v>28.319479906532816</v>
          </cell>
          <cell r="K172">
            <v>72.727090029557473</v>
          </cell>
          <cell r="L172">
            <v>152.1786850004199</v>
          </cell>
          <cell r="M172">
            <v>56.63667233747892</v>
          </cell>
          <cell r="N172">
            <v>67.441861984492775</v>
          </cell>
          <cell r="O172">
            <v>33.255858409519675</v>
          </cell>
          <cell r="P172">
            <v>52.011515532724076</v>
          </cell>
          <cell r="Q172">
            <v>59.201947905613885</v>
          </cell>
          <cell r="R172">
            <v>89.604107636153373</v>
          </cell>
          <cell r="T172">
            <v>62.731280046939034</v>
          </cell>
          <cell r="U172">
            <v>65.657998359253085</v>
          </cell>
          <cell r="V172">
            <v>67.097095891551248</v>
          </cell>
          <cell r="X172">
            <v>64.533547017467626</v>
          </cell>
          <cell r="Z172">
            <v>64.824173792986969</v>
          </cell>
          <cell r="AA172">
            <v>11.337257569119473</v>
          </cell>
          <cell r="AB172">
            <v>190.35628728216071</v>
          </cell>
          <cell r="AC172">
            <v>53.486916223867496</v>
          </cell>
          <cell r="AD172">
            <v>125.53211348917374</v>
          </cell>
        </row>
        <row r="173">
          <cell r="A173" t="str">
            <v>CGI009-qtz07-CL-fit-4-offset</v>
          </cell>
          <cell r="B173">
            <v>750</v>
          </cell>
          <cell r="C173">
            <v>8.0537892000481889E-22</v>
          </cell>
          <cell r="D173">
            <v>1200</v>
          </cell>
          <cell r="E173">
            <v>1024</v>
          </cell>
          <cell r="F173">
            <v>1.171875</v>
          </cell>
          <cell r="H173">
            <v>2.9714385881806273</v>
          </cell>
          <cell r="I173">
            <v>79.799911242595641</v>
          </cell>
          <cell r="J173">
            <v>92.651884863473384</v>
          </cell>
          <cell r="K173">
            <v>16.524582119400499</v>
          </cell>
          <cell r="L173">
            <v>52.906986338651798</v>
          </cell>
          <cell r="M173">
            <v>28.782656271567301</v>
          </cell>
          <cell r="N173">
            <v>53.532586866881374</v>
          </cell>
          <cell r="O173">
            <v>96.145842220670232</v>
          </cell>
          <cell r="P173">
            <v>83.750833866529192</v>
          </cell>
          <cell r="Q173">
            <v>1.5176689334097566E-2</v>
          </cell>
          <cell r="R173">
            <v>13.301526553731616</v>
          </cell>
          <cell r="T173">
            <v>39.937034456586083</v>
          </cell>
          <cell r="U173">
            <v>37.132430062615597</v>
          </cell>
          <cell r="V173">
            <v>52.906986338651798</v>
          </cell>
          <cell r="X173">
            <v>29.748359522309592</v>
          </cell>
          <cell r="Z173">
            <v>36.084299105782755</v>
          </cell>
          <cell r="AA173">
            <v>1.7190879406989215E-11</v>
          </cell>
          <cell r="AB173">
            <v>294.66984818116902</v>
          </cell>
          <cell r="AC173">
            <v>36.084299105765567</v>
          </cell>
          <cell r="AD173">
            <v>258.58554907538627</v>
          </cell>
        </row>
        <row r="174">
          <cell r="A174" t="str">
            <v>CGI009-qtz08-CL-fit-1-offset</v>
          </cell>
          <cell r="B174">
            <v>750</v>
          </cell>
          <cell r="C174">
            <v>8.0537892000481889E-22</v>
          </cell>
          <cell r="D174">
            <v>2300</v>
          </cell>
          <cell r="E174">
            <v>1024</v>
          </cell>
          <cell r="F174">
            <v>2.24609375</v>
          </cell>
          <cell r="H174">
            <v>242.02598084532076</v>
          </cell>
          <cell r="I174">
            <v>1554.5896543479444</v>
          </cell>
          <cell r="J174">
            <v>468.9357111102654</v>
          </cell>
          <cell r="K174">
            <v>545.17397304008341</v>
          </cell>
          <cell r="L174">
            <v>1940.507423289682</v>
          </cell>
          <cell r="M174">
            <v>1096.6510729629963</v>
          </cell>
          <cell r="N174">
            <v>620.61490343052208</v>
          </cell>
          <cell r="O174">
            <v>426.10462682574553</v>
          </cell>
          <cell r="P174">
            <v>593.18441572628092</v>
          </cell>
          <cell r="Q174">
            <v>659.93226202429958</v>
          </cell>
          <cell r="R174">
            <v>527.06946833286713</v>
          </cell>
          <cell r="T174">
            <v>765.91886715222563</v>
          </cell>
          <cell r="U174">
            <v>722.69681494519716</v>
          </cell>
          <cell r="V174">
            <v>593.18441572628092</v>
          </cell>
          <cell r="X174">
            <v>662.73033331336376</v>
          </cell>
          <cell r="Z174">
            <v>656.23948645043242</v>
          </cell>
          <cell r="AA174">
            <v>23.446594100066264</v>
          </cell>
          <cell r="AB174">
            <v>1957.7580963944458</v>
          </cell>
          <cell r="AC174">
            <v>632.79289235036617</v>
          </cell>
          <cell r="AD174">
            <v>1301.5186099440134</v>
          </cell>
        </row>
        <row r="175">
          <cell r="A175" t="str">
            <v>CGI009-qtz08-CL-fit-2-offset</v>
          </cell>
          <cell r="B175">
            <v>750</v>
          </cell>
          <cell r="C175">
            <v>8.0537892000481889E-22</v>
          </cell>
          <cell r="D175">
            <v>2300</v>
          </cell>
          <cell r="E175">
            <v>1024</v>
          </cell>
          <cell r="F175">
            <v>2.24609375</v>
          </cell>
          <cell r="H175">
            <v>1311.1038491543634</v>
          </cell>
          <cell r="I175">
            <v>1036.7209417789313</v>
          </cell>
          <cell r="J175">
            <v>1559.0908150230096</v>
          </cell>
          <cell r="K175">
            <v>1393.7047069248522</v>
          </cell>
          <cell r="L175">
            <v>1587.6589013889452</v>
          </cell>
          <cell r="M175">
            <v>1046.753619624586</v>
          </cell>
          <cell r="N175">
            <v>2240.9128584896162</v>
          </cell>
          <cell r="O175">
            <v>1272.385665926508</v>
          </cell>
          <cell r="P175">
            <v>1912.1275898740405</v>
          </cell>
          <cell r="Q175">
            <v>1474.3642654210282</v>
          </cell>
          <cell r="R175">
            <v>1661.8103415774603</v>
          </cell>
          <cell r="T175">
            <v>1489.5303431192069</v>
          </cell>
          <cell r="U175">
            <v>1481.014369663932</v>
          </cell>
          <cell r="V175">
            <v>1474.3642654210282</v>
          </cell>
          <cell r="X175">
            <v>1484.3504707516126</v>
          </cell>
          <cell r="Z175">
            <v>1513.4979391929023</v>
          </cell>
          <cell r="AA175">
            <v>897.31895336614434</v>
          </cell>
          <cell r="AB175">
            <v>2407.743256312162</v>
          </cell>
          <cell r="AC175">
            <v>616.17898582675798</v>
          </cell>
          <cell r="AD175">
            <v>894.24531711925965</v>
          </cell>
        </row>
        <row r="176">
          <cell r="A176" t="str">
            <v>CGI009-qtz08-CL-fit-3-offset</v>
          </cell>
          <cell r="B176">
            <v>750</v>
          </cell>
          <cell r="C176">
            <v>8.0537892000481889E-22</v>
          </cell>
          <cell r="D176">
            <v>2300</v>
          </cell>
          <cell r="E176">
            <v>1024</v>
          </cell>
          <cell r="F176">
            <v>2.24609375</v>
          </cell>
          <cell r="H176">
            <v>1089.1814113285682</v>
          </cell>
          <cell r="I176">
            <v>1192.3432357729382</v>
          </cell>
          <cell r="J176">
            <v>2004.128188797019</v>
          </cell>
          <cell r="K176">
            <v>960.24169012552443</v>
          </cell>
          <cell r="L176">
            <v>743.53428074098485</v>
          </cell>
          <cell r="M176">
            <v>699.43125594372464</v>
          </cell>
          <cell r="N176">
            <v>1467.3337549152234</v>
          </cell>
          <cell r="O176">
            <v>510.67160293169479</v>
          </cell>
          <cell r="P176">
            <v>1505.2542053292188</v>
          </cell>
          <cell r="Q176">
            <v>990.8927271820188</v>
          </cell>
          <cell r="R176">
            <v>1795.7343727161142</v>
          </cell>
          <cell r="T176">
            <v>1135.4197861023292</v>
          </cell>
          <cell r="U176">
            <v>1134.8256927858115</v>
          </cell>
          <cell r="V176">
            <v>1089.1814113285682</v>
          </cell>
          <cell r="X176">
            <v>1130.4689598222296</v>
          </cell>
          <cell r="Z176">
            <v>1174.6919119685383</v>
          </cell>
          <cell r="AA176">
            <v>363.71263987871959</v>
          </cell>
          <cell r="AB176">
            <v>2736.8271994804477</v>
          </cell>
          <cell r="AC176">
            <v>810.97927208981878</v>
          </cell>
          <cell r="AD176">
            <v>1562.1352875119094</v>
          </cell>
        </row>
        <row r="177">
          <cell r="A177" t="str">
            <v>CGI009-qtz08-CL-fit-4-offset</v>
          </cell>
          <cell r="B177">
            <v>750</v>
          </cell>
          <cell r="C177">
            <v>8.0537892000481889E-22</v>
          </cell>
          <cell r="D177">
            <v>2300</v>
          </cell>
          <cell r="E177">
            <v>1024</v>
          </cell>
          <cell r="F177">
            <v>2.24609375</v>
          </cell>
          <cell r="H177">
            <v>0</v>
          </cell>
          <cell r="I177">
            <v>895.53911765074622</v>
          </cell>
          <cell r="J177">
            <v>1596.3766547601535</v>
          </cell>
          <cell r="K177">
            <v>1276.674371624254</v>
          </cell>
          <cell r="L177">
            <v>1303.3999773923733</v>
          </cell>
          <cell r="M177">
            <v>419.10627518138551</v>
          </cell>
          <cell r="N177">
            <v>221.91801186367505</v>
          </cell>
          <cell r="O177">
            <v>1289.7238718586495</v>
          </cell>
          <cell r="P177">
            <v>41.833345299718957</v>
          </cell>
          <cell r="Q177">
            <v>1538.3038321381991</v>
          </cell>
          <cell r="R177">
            <v>0.15555988394386319</v>
          </cell>
          <cell r="T177">
            <v>1051.4410278979572</v>
          </cell>
          <cell r="U177">
            <v>671.21759909614593</v>
          </cell>
          <cell r="V177">
            <v>1077.6821781952447</v>
          </cell>
          <cell r="X177">
            <v>109.60751297932258</v>
          </cell>
          <cell r="Z177">
            <v>340.36618116297751</v>
          </cell>
          <cell r="AA177">
            <v>3.9901689085957487E-3</v>
          </cell>
          <cell r="AB177">
            <v>4662.6568902520603</v>
          </cell>
          <cell r="AC177">
            <v>340.3621909940689</v>
          </cell>
          <cell r="AD177">
            <v>4322.2907090890831</v>
          </cell>
        </row>
        <row r="178">
          <cell r="A178" t="str">
            <v>CGI009-qtz08-CL-fit-5-offset</v>
          </cell>
          <cell r="B178">
            <v>750</v>
          </cell>
          <cell r="C178">
            <v>8.0537892000481889E-22</v>
          </cell>
          <cell r="D178">
            <v>2300</v>
          </cell>
          <cell r="E178">
            <v>1024</v>
          </cell>
          <cell r="F178">
            <v>2.24609375</v>
          </cell>
          <cell r="H178">
            <v>219.72583519929753</v>
          </cell>
          <cell r="I178">
            <v>167.50376344952227</v>
          </cell>
          <cell r="J178">
            <v>256.41462516764932</v>
          </cell>
          <cell r="K178">
            <v>244.72489653823783</v>
          </cell>
          <cell r="L178">
            <v>457.5242665232276</v>
          </cell>
          <cell r="M178">
            <v>104.94569852162746</v>
          </cell>
          <cell r="N178">
            <v>265.11158919142605</v>
          </cell>
          <cell r="O178">
            <v>262.13872233992169</v>
          </cell>
          <cell r="P178">
            <v>399.50366461380406</v>
          </cell>
          <cell r="Q178">
            <v>348.39424700760998</v>
          </cell>
          <cell r="R178">
            <v>298.44771103217784</v>
          </cell>
          <cell r="T178">
            <v>266.69598247321505</v>
          </cell>
          <cell r="U178">
            <v>266.1576505753635</v>
          </cell>
          <cell r="V178">
            <v>262.13872233992169</v>
          </cell>
          <cell r="X178">
            <v>243.7581019618691</v>
          </cell>
          <cell r="Z178">
            <v>256.77231026527193</v>
          </cell>
          <cell r="AA178">
            <v>75.508878784303192</v>
          </cell>
          <cell r="AB178">
            <v>638.74375763014677</v>
          </cell>
          <cell r="AC178">
            <v>181.26343148096873</v>
          </cell>
          <cell r="AD178">
            <v>381.97144736487485</v>
          </cell>
        </row>
        <row r="179">
          <cell r="A179" t="str">
            <v>CGI009-qtz09-CL-fit-1-offset</v>
          </cell>
          <cell r="B179">
            <v>750</v>
          </cell>
          <cell r="C179">
            <v>8.0537892000481889E-22</v>
          </cell>
          <cell r="D179">
            <v>2100</v>
          </cell>
          <cell r="E179">
            <v>1024</v>
          </cell>
          <cell r="F179">
            <v>2.05078125</v>
          </cell>
          <cell r="H179">
            <v>1131.6123972179375</v>
          </cell>
          <cell r="I179">
            <v>689.7907767457333</v>
          </cell>
          <cell r="J179">
            <v>809.16560728101592</v>
          </cell>
          <cell r="K179">
            <v>935.68439086232149</v>
          </cell>
          <cell r="L179">
            <v>779.96183832645841</v>
          </cell>
          <cell r="M179">
            <v>769.60951600214469</v>
          </cell>
          <cell r="N179">
            <v>801.27335498699938</v>
          </cell>
          <cell r="O179">
            <v>1260.6529924399795</v>
          </cell>
          <cell r="P179">
            <v>1197.2766668647705</v>
          </cell>
          <cell r="Q179">
            <v>836.3097429569109</v>
          </cell>
          <cell r="R179">
            <v>720.73192988647759</v>
          </cell>
          <cell r="T179">
            <v>901.48621269652131</v>
          </cell>
          <cell r="U179">
            <v>893.39769408974871</v>
          </cell>
          <cell r="V179">
            <v>809.16560728101592</v>
          </cell>
          <cell r="X179">
            <v>908.33796074758959</v>
          </cell>
          <cell r="Z179">
            <v>961.40187810592874</v>
          </cell>
          <cell r="AA179">
            <v>551.15268415501157</v>
          </cell>
          <cell r="AB179">
            <v>1777.8483479912541</v>
          </cell>
          <cell r="AC179">
            <v>410.24919395091717</v>
          </cell>
          <cell r="AD179">
            <v>816.44646988532531</v>
          </cell>
        </row>
        <row r="180">
          <cell r="A180" t="str">
            <v>CGI009-qtz09-CL-fit-2-offset</v>
          </cell>
          <cell r="B180">
            <v>750</v>
          </cell>
          <cell r="C180">
            <v>8.0537892000481889E-22</v>
          </cell>
          <cell r="D180">
            <v>2100</v>
          </cell>
          <cell r="E180">
            <v>1024</v>
          </cell>
          <cell r="F180">
            <v>2.05078125</v>
          </cell>
          <cell r="H180">
            <v>682.52558556375607</v>
          </cell>
          <cell r="I180">
            <v>1181.5556685037345</v>
          </cell>
          <cell r="J180">
            <v>878.36116866069926</v>
          </cell>
          <cell r="K180">
            <v>2609.3355938140412</v>
          </cell>
          <cell r="L180">
            <v>955.67201805566515</v>
          </cell>
          <cell r="M180">
            <v>1255.9238175789799</v>
          </cell>
          <cell r="N180">
            <v>1017.5160991286225</v>
          </cell>
          <cell r="O180">
            <v>938.11697485230775</v>
          </cell>
          <cell r="P180">
            <v>1444.8057923462236</v>
          </cell>
          <cell r="Q180">
            <v>1046.5226667989514</v>
          </cell>
          <cell r="R180">
            <v>791.98761239226735</v>
          </cell>
          <cell r="T180">
            <v>1081.5955065500002</v>
          </cell>
          <cell r="U180">
            <v>1122.864242478269</v>
          </cell>
          <cell r="V180">
            <v>1017.5160991286225</v>
          </cell>
          <cell r="X180">
            <v>1103.782823683752</v>
          </cell>
          <cell r="Z180">
            <v>1080.7901084845648</v>
          </cell>
          <cell r="AA180">
            <v>540.95860660742096</v>
          </cell>
          <cell r="AB180">
            <v>1940.951396463111</v>
          </cell>
          <cell r="AC180">
            <v>539.83150187714386</v>
          </cell>
          <cell r="AD180">
            <v>860.16128797854617</v>
          </cell>
        </row>
        <row r="181">
          <cell r="A181" t="str">
            <v>CGI009-qtz09-CL-fit-3-offset</v>
          </cell>
          <cell r="B181">
            <v>750</v>
          </cell>
          <cell r="C181">
            <v>8.0537892000481889E-22</v>
          </cell>
          <cell r="D181">
            <v>2100</v>
          </cell>
          <cell r="E181">
            <v>1024</v>
          </cell>
          <cell r="F181">
            <v>2.05078125</v>
          </cell>
          <cell r="H181">
            <v>417.08021165745578</v>
          </cell>
          <cell r="I181">
            <v>209.72307745954021</v>
          </cell>
          <cell r="J181">
            <v>292.32029807621171</v>
          </cell>
          <cell r="K181">
            <v>190.47959381976762</v>
          </cell>
          <cell r="L181">
            <v>393.36615974616132</v>
          </cell>
          <cell r="M181">
            <v>331.06127594332196</v>
          </cell>
          <cell r="N181">
            <v>240.79791146339133</v>
          </cell>
          <cell r="O181">
            <v>265.79792241667212</v>
          </cell>
          <cell r="P181">
            <v>251.07563799371198</v>
          </cell>
          <cell r="Q181">
            <v>254.87740119313398</v>
          </cell>
          <cell r="R181">
            <v>389.39390154775981</v>
          </cell>
          <cell r="T181">
            <v>289.93843696881322</v>
          </cell>
          <cell r="U181">
            <v>289.60616517203329</v>
          </cell>
          <cell r="V181">
            <v>265.79792241667212</v>
          </cell>
          <cell r="X181">
            <v>288.95126928701302</v>
          </cell>
          <cell r="Z181">
            <v>287.09322374879844</v>
          </cell>
          <cell r="AA181">
            <v>144.88640920348337</v>
          </cell>
          <cell r="AB181">
            <v>497.8800145290511</v>
          </cell>
          <cell r="AC181">
            <v>142.20681454531507</v>
          </cell>
          <cell r="AD181">
            <v>210.78679078025266</v>
          </cell>
        </row>
        <row r="182">
          <cell r="A182" t="str">
            <v>CGI009-qtz09-CL-fit-4-offset</v>
          </cell>
          <cell r="B182">
            <v>750</v>
          </cell>
          <cell r="C182">
            <v>8.0537892000481889E-22</v>
          </cell>
          <cell r="D182">
            <v>2100</v>
          </cell>
          <cell r="E182">
            <v>1024</v>
          </cell>
          <cell r="F182">
            <v>2.05078125</v>
          </cell>
          <cell r="H182">
            <v>94.444229107937417</v>
          </cell>
          <cell r="I182">
            <v>80.205065041501669</v>
          </cell>
          <cell r="J182">
            <v>72.323402350357341</v>
          </cell>
          <cell r="K182">
            <v>72.8690750787014</v>
          </cell>
          <cell r="L182">
            <v>158.93259495352285</v>
          </cell>
          <cell r="M182">
            <v>107.95874556769968</v>
          </cell>
          <cell r="N182">
            <v>68.629939942359712</v>
          </cell>
          <cell r="O182">
            <v>32.596867703555645</v>
          </cell>
          <cell r="P182">
            <v>46.671943516625717</v>
          </cell>
          <cell r="Q182">
            <v>62.098915314421347</v>
          </cell>
          <cell r="R182">
            <v>27.064945117383807</v>
          </cell>
          <cell r="T182">
            <v>82.767204455310946</v>
          </cell>
          <cell r="U182">
            <v>70.896168988324561</v>
          </cell>
          <cell r="V182">
            <v>72.323402350357341</v>
          </cell>
          <cell r="X182">
            <v>63.180304502263965</v>
          </cell>
          <cell r="Z182">
            <v>58.086438499213713</v>
          </cell>
          <cell r="AA182">
            <v>4.8655390941599643</v>
          </cell>
          <cell r="AB182">
            <v>182.86611940706982</v>
          </cell>
          <cell r="AC182">
            <v>53.22089940505375</v>
          </cell>
          <cell r="AD182">
            <v>124.7796809078561</v>
          </cell>
        </row>
        <row r="183">
          <cell r="A183" t="str">
            <v>CGI009-qtz10-CL-fit-1-offset</v>
          </cell>
          <cell r="B183">
            <v>750</v>
          </cell>
          <cell r="C183">
            <v>8.0537892000481889E-22</v>
          </cell>
          <cell r="D183">
            <v>1900</v>
          </cell>
          <cell r="E183">
            <v>1024</v>
          </cell>
          <cell r="F183">
            <v>1.85546875</v>
          </cell>
          <cell r="H183">
            <v>1182.3637676831488</v>
          </cell>
          <cell r="I183">
            <v>819.2109664182326</v>
          </cell>
          <cell r="J183">
            <v>991.58380271617045</v>
          </cell>
          <cell r="K183">
            <v>988.97141452353969</v>
          </cell>
          <cell r="L183">
            <v>1056.2078181148161</v>
          </cell>
          <cell r="M183">
            <v>1105.3597667560723</v>
          </cell>
          <cell r="N183">
            <v>1033.3261737374405</v>
          </cell>
          <cell r="O183">
            <v>1061.2211538744918</v>
          </cell>
          <cell r="P183">
            <v>960.04698540475306</v>
          </cell>
          <cell r="Q183">
            <v>1078.9530182972389</v>
          </cell>
          <cell r="R183">
            <v>976.85829038310601</v>
          </cell>
          <cell r="T183">
            <v>1026.3051728387275</v>
          </cell>
          <cell r="U183">
            <v>1021.0905268752902</v>
          </cell>
          <cell r="V183">
            <v>1033.3261737374405</v>
          </cell>
          <cell r="X183">
            <v>1018.2779637168505</v>
          </cell>
          <cell r="Z183">
            <v>1019.6609908592916</v>
          </cell>
          <cell r="AA183">
            <v>695.28714575651804</v>
          </cell>
          <cell r="AB183">
            <v>1404.6100302087118</v>
          </cell>
          <cell r="AC183">
            <v>324.37384510277354</v>
          </cell>
          <cell r="AD183">
            <v>384.94903934942022</v>
          </cell>
        </row>
        <row r="184">
          <cell r="A184" t="str">
            <v>CGI009-qtz10-CL-fit-2-offset</v>
          </cell>
          <cell r="B184">
            <v>750</v>
          </cell>
          <cell r="C184">
            <v>8.0537892000481889E-22</v>
          </cell>
          <cell r="D184">
            <v>1900</v>
          </cell>
          <cell r="E184">
            <v>1024</v>
          </cell>
          <cell r="F184">
            <v>1.85546875</v>
          </cell>
          <cell r="H184">
            <v>226.94648046585456</v>
          </cell>
          <cell r="I184">
            <v>557.13264361302913</v>
          </cell>
          <cell r="J184">
            <v>424.10977152034877</v>
          </cell>
          <cell r="K184">
            <v>552.483466912224</v>
          </cell>
          <cell r="L184">
            <v>489.50253000085468</v>
          </cell>
          <cell r="M184">
            <v>358.20642061300333</v>
          </cell>
          <cell r="N184">
            <v>143.30506847589402</v>
          </cell>
          <cell r="O184">
            <v>465.78493498405544</v>
          </cell>
          <cell r="P184">
            <v>422.38165098310446</v>
          </cell>
          <cell r="Q184">
            <v>385.85365953919461</v>
          </cell>
          <cell r="R184">
            <v>459.91197780079943</v>
          </cell>
          <cell r="T184">
            <v>401.9950121567573</v>
          </cell>
          <cell r="U184">
            <v>396.41549161572129</v>
          </cell>
          <cell r="V184">
            <v>424.10977152034877</v>
          </cell>
          <cell r="X184">
            <v>388.25111243834277</v>
          </cell>
          <cell r="Z184">
            <v>378.69487631906918</v>
          </cell>
          <cell r="AA184">
            <v>166.34653512963612</v>
          </cell>
          <cell r="AB184">
            <v>701.51353539021841</v>
          </cell>
          <cell r="AC184">
            <v>212.34834118943306</v>
          </cell>
          <cell r="AD184">
            <v>322.81865907114923</v>
          </cell>
        </row>
        <row r="185">
          <cell r="A185" t="str">
            <v>CGI009-qtz10-CL-fit-3-offset</v>
          </cell>
          <cell r="B185">
            <v>750</v>
          </cell>
          <cell r="C185">
            <v>8.0537892000481889E-22</v>
          </cell>
          <cell r="D185">
            <v>1900</v>
          </cell>
          <cell r="E185">
            <v>1024</v>
          </cell>
          <cell r="F185">
            <v>1.85546875</v>
          </cell>
          <cell r="H185">
            <v>342.61160969121903</v>
          </cell>
          <cell r="I185">
            <v>276.33556552128891</v>
          </cell>
          <cell r="J185">
            <v>287.91743019987604</v>
          </cell>
          <cell r="K185">
            <v>264.94680721912766</v>
          </cell>
          <cell r="L185">
            <v>251.48384555664055</v>
          </cell>
          <cell r="M185">
            <v>327.3515698727893</v>
          </cell>
          <cell r="N185">
            <v>335.26792535753674</v>
          </cell>
          <cell r="O185">
            <v>317.08995693749802</v>
          </cell>
          <cell r="P185">
            <v>395.31998497343608</v>
          </cell>
          <cell r="Q185">
            <v>290.03627254242122</v>
          </cell>
          <cell r="R185">
            <v>186.30721505962327</v>
          </cell>
          <cell r="T185">
            <v>300.19163026421506</v>
          </cell>
          <cell r="U185">
            <v>295.24431277976424</v>
          </cell>
          <cell r="V185">
            <v>290.03627254242122</v>
          </cell>
          <cell r="X185">
            <v>296.87702360780679</v>
          </cell>
          <cell r="Z185">
            <v>296.74847780572719</v>
          </cell>
          <cell r="AA185">
            <v>190.4899784811935</v>
          </cell>
          <cell r="AB185">
            <v>405.33218414753594</v>
          </cell>
          <cell r="AC185">
            <v>106.25849932453369</v>
          </cell>
          <cell r="AD185">
            <v>108.58370634180875</v>
          </cell>
        </row>
        <row r="186">
          <cell r="A186" t="str">
            <v>CGI009-qtz10-CL-fit-4-offset</v>
          </cell>
          <cell r="B186">
            <v>750</v>
          </cell>
          <cell r="C186">
            <v>8.0537892000481889E-22</v>
          </cell>
          <cell r="D186">
            <v>1900</v>
          </cell>
          <cell r="E186">
            <v>1024</v>
          </cell>
          <cell r="F186">
            <v>1.85546875</v>
          </cell>
          <cell r="H186">
            <v>107.9160405980839</v>
          </cell>
          <cell r="I186">
            <v>138.76607004367992</v>
          </cell>
          <cell r="J186">
            <v>176.1015052213551</v>
          </cell>
          <cell r="K186">
            <v>142.82354896303758</v>
          </cell>
          <cell r="L186">
            <v>211.20542394471809</v>
          </cell>
          <cell r="M186">
            <v>90.466856118052192</v>
          </cell>
          <cell r="N186">
            <v>138.43156014568368</v>
          </cell>
          <cell r="O186">
            <v>194.14679040125412</v>
          </cell>
          <cell r="P186">
            <v>96.475072590305601</v>
          </cell>
          <cell r="Q186">
            <v>102.23239551058776</v>
          </cell>
          <cell r="R186">
            <v>110.56632506132462</v>
          </cell>
          <cell r="T186">
            <v>136.986364358825</v>
          </cell>
          <cell r="U186">
            <v>134.52048900805991</v>
          </cell>
          <cell r="V186">
            <v>138.43156014568368</v>
          </cell>
          <cell r="X186">
            <v>129.19593320334502</v>
          </cell>
          <cell r="Z186">
            <v>132.26481629327202</v>
          </cell>
          <cell r="AA186">
            <v>65.400640485746564</v>
          </cell>
          <cell r="AB186">
            <v>243.61216327259945</v>
          </cell>
          <cell r="AC186">
            <v>66.864175807525456</v>
          </cell>
          <cell r="AD186">
            <v>111.34734697932743</v>
          </cell>
        </row>
        <row r="187">
          <cell r="A187" t="str">
            <v>CGI009-qtz10-CL-fit-5-offset</v>
          </cell>
          <cell r="B187">
            <v>750</v>
          </cell>
          <cell r="C187">
            <v>8.0537892000481889E-22</v>
          </cell>
          <cell r="D187">
            <v>1900</v>
          </cell>
          <cell r="E187">
            <v>1024</v>
          </cell>
          <cell r="F187">
            <v>1.85546875</v>
          </cell>
          <cell r="H187">
            <v>23.910997241141445</v>
          </cell>
          <cell r="I187">
            <v>4.5285756588712078E-4</v>
          </cell>
          <cell r="J187">
            <v>11.459487444982861</v>
          </cell>
          <cell r="K187">
            <v>69.134212035869652</v>
          </cell>
          <cell r="L187">
            <v>1.3184635138727316</v>
          </cell>
          <cell r="M187">
            <v>1.6758438585048618</v>
          </cell>
          <cell r="N187">
            <v>29.729457213993758</v>
          </cell>
          <cell r="O187">
            <v>2.4482882840000482</v>
          </cell>
          <cell r="P187">
            <v>0.88848150256457792</v>
          </cell>
          <cell r="Q187">
            <v>1.12558669044007</v>
          </cell>
          <cell r="R187">
            <v>1.1400362835432307</v>
          </cell>
          <cell r="T187">
            <v>17.581581328582271</v>
          </cell>
          <cell r="U187">
            <v>7.0187750903169013</v>
          </cell>
          <cell r="V187">
            <v>1.6758438585048618</v>
          </cell>
          <cell r="X187">
            <v>6.1788815248045088</v>
          </cell>
          <cell r="Z187">
            <v>10.037448763234634</v>
          </cell>
          <cell r="AA187">
            <v>8.1784684527768159E-2</v>
          </cell>
          <cell r="AB187">
            <v>67.33468066028378</v>
          </cell>
          <cell r="AC187">
            <v>9.9556640787068655</v>
          </cell>
          <cell r="AD187">
            <v>57.297231897049144</v>
          </cell>
        </row>
        <row r="188">
          <cell r="A188" t="str">
            <v>CGI009-qtz11-CL-fit-1-offset</v>
          </cell>
          <cell r="B188">
            <v>750</v>
          </cell>
          <cell r="C188">
            <v>8.0537892000481889E-22</v>
          </cell>
          <cell r="D188">
            <v>1700</v>
          </cell>
          <cell r="E188">
            <v>1024</v>
          </cell>
          <cell r="F188">
            <v>1.66015625</v>
          </cell>
          <cell r="H188">
            <v>499.45623755724233</v>
          </cell>
          <cell r="I188">
            <v>2.4156763751732924</v>
          </cell>
          <cell r="J188">
            <v>33.857485100108107</v>
          </cell>
          <cell r="K188">
            <v>3.7262784680384207</v>
          </cell>
          <cell r="L188">
            <v>39.759503752629016</v>
          </cell>
          <cell r="M188">
            <v>119.08999785814217</v>
          </cell>
          <cell r="N188">
            <v>473.81468191958686</v>
          </cell>
          <cell r="O188">
            <v>44.504932781570318</v>
          </cell>
          <cell r="P188">
            <v>1.9576227670660391</v>
          </cell>
          <cell r="Q188">
            <v>1.9847463500758773</v>
          </cell>
          <cell r="R188">
            <v>26.523078569783383</v>
          </cell>
          <cell r="T188">
            <v>70.237484209203501</v>
          </cell>
          <cell r="U188">
            <v>60.086022164513544</v>
          </cell>
          <cell r="V188">
            <v>33.857485100108107</v>
          </cell>
          <cell r="X188">
            <v>60.56521634331763</v>
          </cell>
          <cell r="Z188">
            <v>159.384730766677</v>
          </cell>
          <cell r="AA188">
            <v>5.8693828358582351E-4</v>
          </cell>
          <cell r="AB188">
            <v>6412.2010739852449</v>
          </cell>
          <cell r="AC188">
            <v>159.38414382839341</v>
          </cell>
          <cell r="AD188">
            <v>6252.8163432185675</v>
          </cell>
        </row>
        <row r="189">
          <cell r="A189" t="str">
            <v>CGI009-qtz11-CL-fit-2-offset</v>
          </cell>
          <cell r="B189">
            <v>750</v>
          </cell>
          <cell r="C189">
            <v>8.0537892000481889E-22</v>
          </cell>
          <cell r="D189">
            <v>1700</v>
          </cell>
          <cell r="E189">
            <v>1024</v>
          </cell>
          <cell r="F189">
            <v>1.66015625</v>
          </cell>
          <cell r="H189">
            <v>174.66588394966007</v>
          </cell>
          <cell r="I189">
            <v>107.98549355445743</v>
          </cell>
          <cell r="J189">
            <v>151.5127100848778</v>
          </cell>
          <cell r="K189">
            <v>250.00443966315302</v>
          </cell>
          <cell r="L189">
            <v>146.61474940726868</v>
          </cell>
          <cell r="M189">
            <v>136.51927585412994</v>
          </cell>
          <cell r="N189">
            <v>467.2886133786368</v>
          </cell>
          <cell r="O189">
            <v>258.95142790701664</v>
          </cell>
          <cell r="P189">
            <v>176.79636603210236</v>
          </cell>
          <cell r="Q189">
            <v>56.569763766892571</v>
          </cell>
          <cell r="R189">
            <v>91.79830219684338</v>
          </cell>
          <cell r="T189">
            <v>164.18928474307819</v>
          </cell>
          <cell r="U189">
            <v>170.48916350777944</v>
          </cell>
          <cell r="V189">
            <v>151.5127100848778</v>
          </cell>
          <cell r="X189">
            <v>167.73111481744888</v>
          </cell>
          <cell r="Z189">
            <v>163.57447722376585</v>
          </cell>
          <cell r="AA189">
            <v>3.4405535318265579</v>
          </cell>
          <cell r="AB189">
            <v>443.49928635517244</v>
          </cell>
          <cell r="AC189">
            <v>160.13392369193929</v>
          </cell>
          <cell r="AD189">
            <v>279.92480913140662</v>
          </cell>
        </row>
        <row r="190">
          <cell r="A190" t="str">
            <v>CGI009-qtz11-CL-fit-3-offset</v>
          </cell>
          <cell r="B190">
            <v>750</v>
          </cell>
          <cell r="C190">
            <v>8.0537892000481889E-22</v>
          </cell>
          <cell r="D190">
            <v>1700</v>
          </cell>
          <cell r="E190">
            <v>1024</v>
          </cell>
          <cell r="F190">
            <v>1.66015625</v>
          </cell>
          <cell r="H190">
            <v>359.73115004198291</v>
          </cell>
          <cell r="I190">
            <v>340.39399241076813</v>
          </cell>
          <cell r="J190">
            <v>353.898918879007</v>
          </cell>
          <cell r="K190">
            <v>419.46799601512538</v>
          </cell>
          <cell r="L190">
            <v>435.50314933812354</v>
          </cell>
          <cell r="M190">
            <v>314.95482817015812</v>
          </cell>
          <cell r="N190">
            <v>523.55102249043478</v>
          </cell>
          <cell r="O190">
            <v>377.87199420264858</v>
          </cell>
          <cell r="P190">
            <v>369.91368777555783</v>
          </cell>
          <cell r="Q190">
            <v>285.30024348361513</v>
          </cell>
          <cell r="R190">
            <v>338.68952781069299</v>
          </cell>
          <cell r="T190">
            <v>384.17626824134499</v>
          </cell>
          <cell r="U190">
            <v>372.04380367034315</v>
          </cell>
          <cell r="V190">
            <v>359.73115004198291</v>
          </cell>
          <cell r="X190">
            <v>372.45602734316037</v>
          </cell>
          <cell r="Z190">
            <v>375.01232561874849</v>
          </cell>
          <cell r="AA190">
            <v>205.93658599855911</v>
          </cell>
          <cell r="AB190">
            <v>566.19218065169309</v>
          </cell>
          <cell r="AC190">
            <v>169.07573962018938</v>
          </cell>
          <cell r="AD190">
            <v>191.1798550329446</v>
          </cell>
        </row>
        <row r="191">
          <cell r="A191" t="str">
            <v>CGI009-qtz11-CL-fit-4-offset</v>
          </cell>
          <cell r="B191">
            <v>750</v>
          </cell>
          <cell r="C191">
            <v>8.0537892000481889E-22</v>
          </cell>
          <cell r="D191">
            <v>1700</v>
          </cell>
          <cell r="E191">
            <v>1024</v>
          </cell>
          <cell r="F191">
            <v>1.66015625</v>
          </cell>
          <cell r="H191">
            <v>109.0126554806631</v>
          </cell>
          <cell r="I191">
            <v>755.19099772835398</v>
          </cell>
          <cell r="J191">
            <v>565.48535995654049</v>
          </cell>
          <cell r="K191">
            <v>95.841058716326529</v>
          </cell>
          <cell r="L191">
            <v>204.96289759827675</v>
          </cell>
          <cell r="M191">
            <v>44.486253516300124</v>
          </cell>
          <cell r="N191">
            <v>54.96504694640506</v>
          </cell>
          <cell r="O191">
            <v>5.1280261297426945E-2</v>
          </cell>
          <cell r="P191">
            <v>106.70674012150072</v>
          </cell>
          <cell r="Q191">
            <v>2.6828586039487687</v>
          </cell>
          <cell r="R191">
            <v>221.06978706191632</v>
          </cell>
          <cell r="T191">
            <v>73.982937957375</v>
          </cell>
          <cell r="U191">
            <v>133.20161952237561</v>
          </cell>
          <cell r="V191">
            <v>106.70674012150072</v>
          </cell>
          <cell r="X191">
            <v>80.298039551267749</v>
          </cell>
          <cell r="Z191">
            <v>173.24812464976807</v>
          </cell>
          <cell r="AA191">
            <v>3.0683255219044416</v>
          </cell>
          <cell r="AB191">
            <v>1754.4666788324953</v>
          </cell>
          <cell r="AC191">
            <v>170.17979912786362</v>
          </cell>
          <cell r="AD191">
            <v>1581.2185541827273</v>
          </cell>
        </row>
        <row r="192">
          <cell r="A192" t="str">
            <v>CGI009-qtz11-CL-fit-5-offset</v>
          </cell>
          <cell r="B192">
            <v>750</v>
          </cell>
          <cell r="C192">
            <v>8.0537892000481889E-22</v>
          </cell>
          <cell r="D192">
            <v>1700</v>
          </cell>
          <cell r="E192">
            <v>1024</v>
          </cell>
          <cell r="F192">
            <v>1.66015625</v>
          </cell>
          <cell r="H192">
            <v>59.055744670388904</v>
          </cell>
          <cell r="I192">
            <v>101.11852588516061</v>
          </cell>
          <cell r="J192">
            <v>41.836688063254741</v>
          </cell>
          <cell r="K192">
            <v>85.566482584107547</v>
          </cell>
          <cell r="L192">
            <v>125.29623699951591</v>
          </cell>
          <cell r="M192">
            <v>35.174572532570195</v>
          </cell>
          <cell r="N192">
            <v>68.401632421611737</v>
          </cell>
          <cell r="O192">
            <v>52.420129641361981</v>
          </cell>
          <cell r="P192">
            <v>30.226044811835546</v>
          </cell>
          <cell r="Q192">
            <v>34.406697758555808</v>
          </cell>
          <cell r="R192">
            <v>65.596764454181809</v>
          </cell>
          <cell r="T192">
            <v>57.897069016722739</v>
          </cell>
          <cell r="U192">
            <v>60.495464809472239</v>
          </cell>
          <cell r="V192">
            <v>59.055744670388904</v>
          </cell>
          <cell r="X192">
            <v>54.622401380683677</v>
          </cell>
          <cell r="Z192">
            <v>55.00672964457933</v>
          </cell>
          <cell r="AA192">
            <v>2.162349415527602</v>
          </cell>
          <cell r="AB192">
            <v>117.47385591917855</v>
          </cell>
          <cell r="AC192">
            <v>52.84438022905173</v>
          </cell>
          <cell r="AD192">
            <v>62.467126274599217</v>
          </cell>
        </row>
        <row r="193">
          <cell r="A193" t="str">
            <v>CGI009-qtz12-CL-fit-1-offset</v>
          </cell>
          <cell r="B193">
            <v>750</v>
          </cell>
          <cell r="C193">
            <v>8.0537892000481889E-22</v>
          </cell>
          <cell r="D193">
            <v>2000</v>
          </cell>
          <cell r="E193">
            <v>1024</v>
          </cell>
          <cell r="F193">
            <v>1.953125</v>
          </cell>
          <cell r="H193">
            <v>1807.9260430503878</v>
          </cell>
          <cell r="I193">
            <v>649.94733825316416</v>
          </cell>
          <cell r="J193">
            <v>905.00066702119636</v>
          </cell>
          <cell r="K193">
            <v>1142.0057848570136</v>
          </cell>
          <cell r="L193">
            <v>1428.0197135147896</v>
          </cell>
          <cell r="M193">
            <v>1870.6283614929662</v>
          </cell>
          <cell r="N193">
            <v>1039.061798737941</v>
          </cell>
          <cell r="O193">
            <v>1213.714700641699</v>
          </cell>
          <cell r="P193">
            <v>1321.6255428216534</v>
          </cell>
          <cell r="Q193">
            <v>1805.3547120364078</v>
          </cell>
          <cell r="R193">
            <v>1806.4334334614091</v>
          </cell>
          <cell r="T193">
            <v>1334.3695859542806</v>
          </cell>
          <cell r="U193">
            <v>1331.2492577771452</v>
          </cell>
          <cell r="V193">
            <v>1321.6255428216534</v>
          </cell>
          <cell r="X193">
            <v>1350.9449366831418</v>
          </cell>
          <cell r="Z193">
            <v>1347.2726949794214</v>
          </cell>
          <cell r="AA193">
            <v>776.94162005467092</v>
          </cell>
          <cell r="AB193">
            <v>2280.9721131424394</v>
          </cell>
          <cell r="AC193">
            <v>570.33107492475051</v>
          </cell>
          <cell r="AD193">
            <v>933.69941816301798</v>
          </cell>
        </row>
        <row r="194">
          <cell r="A194" t="str">
            <v>CGI009-qtz12-CL-fit-2-offset</v>
          </cell>
          <cell r="B194">
            <v>750</v>
          </cell>
          <cell r="C194">
            <v>8.0537892000481889E-22</v>
          </cell>
          <cell r="D194">
            <v>2000</v>
          </cell>
          <cell r="E194">
            <v>1024</v>
          </cell>
          <cell r="F194">
            <v>1.953125</v>
          </cell>
          <cell r="H194">
            <v>493.17466291350871</v>
          </cell>
          <cell r="I194">
            <v>244.57671956045922</v>
          </cell>
          <cell r="J194">
            <v>120.39805801938876</v>
          </cell>
          <cell r="K194">
            <v>163.88041262791177</v>
          </cell>
          <cell r="L194">
            <v>293.76016394162866</v>
          </cell>
          <cell r="M194">
            <v>151.85204963516239</v>
          </cell>
          <cell r="N194">
            <v>188.4320809177145</v>
          </cell>
          <cell r="O194">
            <v>84.078186622564942</v>
          </cell>
          <cell r="P194">
            <v>596.12714308852458</v>
          </cell>
          <cell r="Q194">
            <v>398.47359288627013</v>
          </cell>
          <cell r="R194">
            <v>863.18315469252377</v>
          </cell>
          <cell r="T194">
            <v>284.27977622835789</v>
          </cell>
          <cell r="U194">
            <v>291.28217047801917</v>
          </cell>
          <cell r="V194">
            <v>244.57671956045922</v>
          </cell>
          <cell r="X194">
            <v>290.95203491994027</v>
          </cell>
          <cell r="Z194">
            <v>274.39900792275131</v>
          </cell>
          <cell r="AA194">
            <v>70.807014343791792</v>
          </cell>
          <cell r="AB194">
            <v>537.19697675275688</v>
          </cell>
          <cell r="AC194">
            <v>203.59199357895952</v>
          </cell>
          <cell r="AD194">
            <v>262.79796883000557</v>
          </cell>
        </row>
        <row r="195">
          <cell r="A195" t="str">
            <v>CGI009-qtz12-CL-fit-3-offset</v>
          </cell>
          <cell r="B195">
            <v>750</v>
          </cell>
          <cell r="C195">
            <v>8.0537892000481889E-22</v>
          </cell>
          <cell r="D195">
            <v>2000</v>
          </cell>
          <cell r="E195">
            <v>1024</v>
          </cell>
          <cell r="F195">
            <v>1.953125</v>
          </cell>
          <cell r="H195">
            <v>81.436950183677268</v>
          </cell>
          <cell r="I195">
            <v>38.303209678969154</v>
          </cell>
          <cell r="J195">
            <v>168.40631722056719</v>
          </cell>
          <cell r="K195">
            <v>186.9509050167085</v>
          </cell>
          <cell r="L195">
            <v>280.78330301009424</v>
          </cell>
          <cell r="M195">
            <v>345.31100973984326</v>
          </cell>
          <cell r="N195">
            <v>0.3753900444527144</v>
          </cell>
          <cell r="O195">
            <v>52.835143650581465</v>
          </cell>
          <cell r="P195">
            <v>202.01225582581668</v>
          </cell>
          <cell r="Q195">
            <v>6.8964048584089861</v>
          </cell>
          <cell r="R195">
            <v>47.381401981973632</v>
          </cell>
          <cell r="T195">
            <v>142.73123939611844</v>
          </cell>
          <cell r="U195">
            <v>97.841895560295555</v>
          </cell>
          <cell r="V195">
            <v>81.436950183677268</v>
          </cell>
          <cell r="X195">
            <v>107.88860054717104</v>
          </cell>
          <cell r="Z195">
            <v>140.0773622075283</v>
          </cell>
          <cell r="AA195">
            <v>0.77938762667508654</v>
          </cell>
          <cell r="AB195">
            <v>1304.4687030289581</v>
          </cell>
          <cell r="AC195">
            <v>139.29797458085321</v>
          </cell>
          <cell r="AD195">
            <v>1164.3913408214298</v>
          </cell>
        </row>
        <row r="196">
          <cell r="A196" t="str">
            <v>CGI009-qtz12-CL-fit-4-offset</v>
          </cell>
          <cell r="B196">
            <v>750</v>
          </cell>
          <cell r="C196">
            <v>8.0537892000481889E-22</v>
          </cell>
          <cell r="D196">
            <v>2000</v>
          </cell>
          <cell r="E196">
            <v>1024</v>
          </cell>
          <cell r="F196">
            <v>1.953125</v>
          </cell>
          <cell r="H196">
            <v>281.26991825698371</v>
          </cell>
          <cell r="I196">
            <v>135.92930358273586</v>
          </cell>
          <cell r="J196">
            <v>93.148407937283253</v>
          </cell>
          <cell r="K196">
            <v>216.9979969850599</v>
          </cell>
          <cell r="L196">
            <v>121.58331434874755</v>
          </cell>
          <cell r="M196">
            <v>125.31353040384776</v>
          </cell>
          <cell r="N196">
            <v>119.69570227541811</v>
          </cell>
          <cell r="O196">
            <v>80.033460890185907</v>
          </cell>
          <cell r="P196">
            <v>25.231235495268823</v>
          </cell>
          <cell r="Q196">
            <v>221.5436095311284</v>
          </cell>
          <cell r="R196">
            <v>835.5043102943157</v>
          </cell>
          <cell r="T196">
            <v>120.62516231237302</v>
          </cell>
          <cell r="U196">
            <v>170.73509320387726</v>
          </cell>
          <cell r="V196">
            <v>125.31353040384776</v>
          </cell>
          <cell r="X196">
            <v>94.304342327288211</v>
          </cell>
          <cell r="Z196">
            <v>105.9124181420629</v>
          </cell>
          <cell r="AA196">
            <v>2.2382571189248088E-3</v>
          </cell>
          <cell r="AB196">
            <v>576.76106106794418</v>
          </cell>
          <cell r="AC196">
            <v>105.91017988494399</v>
          </cell>
          <cell r="AD196">
            <v>470.84864292588128</v>
          </cell>
        </row>
        <row r="197">
          <cell r="A197" t="str">
            <v>CGI011-qtz01-CL-fit-1-offset</v>
          </cell>
          <cell r="B197">
            <v>750</v>
          </cell>
          <cell r="C197">
            <v>8.0537892000481889E-22</v>
          </cell>
          <cell r="D197">
            <v>2000</v>
          </cell>
          <cell r="E197">
            <v>1024</v>
          </cell>
          <cell r="F197">
            <v>1.953125</v>
          </cell>
          <cell r="H197">
            <v>832.4429428613397</v>
          </cell>
          <cell r="I197">
            <v>804.38143527513955</v>
          </cell>
          <cell r="J197">
            <v>538.17922490550825</v>
          </cell>
          <cell r="K197">
            <v>1282.3287047626816</v>
          </cell>
          <cell r="L197">
            <v>693.51949280915471</v>
          </cell>
          <cell r="M197">
            <v>679.34164572856537</v>
          </cell>
          <cell r="N197">
            <v>888.18890785364863</v>
          </cell>
          <cell r="O197">
            <v>1504.0876597817066</v>
          </cell>
          <cell r="P197">
            <v>920.15630523501545</v>
          </cell>
          <cell r="Q197">
            <v>505.72967256950687</v>
          </cell>
          <cell r="R197">
            <v>984.59791926290666</v>
          </cell>
          <cell r="T197">
            <v>838.01380100619031</v>
          </cell>
          <cell r="U197">
            <v>853.73847875579122</v>
          </cell>
          <cell r="V197">
            <v>832.4429428613397</v>
          </cell>
          <cell r="X197">
            <v>815.80191135462201</v>
          </cell>
          <cell r="Z197">
            <v>833.94332831799773</v>
          </cell>
          <cell r="AA197">
            <v>387.21688040632716</v>
          </cell>
          <cell r="AB197">
            <v>1648.373938147457</v>
          </cell>
          <cell r="AC197">
            <v>446.72644791167056</v>
          </cell>
          <cell r="AD197">
            <v>814.43060982945929</v>
          </cell>
        </row>
        <row r="198">
          <cell r="A198" t="str">
            <v>CGI011-qtz01-CL-fit-2-offset</v>
          </cell>
          <cell r="B198">
            <v>750</v>
          </cell>
          <cell r="C198">
            <v>8.0537892000481889E-22</v>
          </cell>
          <cell r="D198">
            <v>2000</v>
          </cell>
          <cell r="E198">
            <v>1024</v>
          </cell>
          <cell r="F198">
            <v>1.953125</v>
          </cell>
          <cell r="H198">
            <v>72.927494303660524</v>
          </cell>
          <cell r="I198">
            <v>1101.8407071843606</v>
          </cell>
          <cell r="J198">
            <v>876.68447998497379</v>
          </cell>
          <cell r="K198">
            <v>264.77740422668495</v>
          </cell>
          <cell r="L198">
            <v>727.28449652918027</v>
          </cell>
          <cell r="M198">
            <v>193.8918740229812</v>
          </cell>
          <cell r="N198">
            <v>310.11428280219098</v>
          </cell>
          <cell r="O198">
            <v>871.37295306963802</v>
          </cell>
          <cell r="P198">
            <v>112.49013813424747</v>
          </cell>
          <cell r="Q198">
            <v>305.96522000586253</v>
          </cell>
          <cell r="R198">
            <v>155.34299317593866</v>
          </cell>
          <cell r="T198">
            <v>363.18226600139855</v>
          </cell>
          <cell r="U198">
            <v>386.29422117045937</v>
          </cell>
          <cell r="V198">
            <v>305.96522000586253</v>
          </cell>
          <cell r="X198">
            <v>379.58522788910579</v>
          </cell>
          <cell r="Z198">
            <v>407.20948021397311</v>
          </cell>
          <cell r="AA198">
            <v>49.023674751077351</v>
          </cell>
          <cell r="AB198">
            <v>1388.1074903313165</v>
          </cell>
          <cell r="AC198">
            <v>358.18580546289576</v>
          </cell>
          <cell r="AD198">
            <v>980.89801011734335</v>
          </cell>
        </row>
        <row r="199">
          <cell r="A199" t="str">
            <v>CGI011-qtz01-CL-fit-3-offset</v>
          </cell>
          <cell r="B199">
            <v>750</v>
          </cell>
          <cell r="C199">
            <v>8.0537892000481889E-22</v>
          </cell>
          <cell r="D199">
            <v>2000</v>
          </cell>
          <cell r="E199">
            <v>1024</v>
          </cell>
          <cell r="F199">
            <v>1.953125</v>
          </cell>
          <cell r="H199">
            <v>192.32087463113709</v>
          </cell>
          <cell r="I199">
            <v>196.627517592147</v>
          </cell>
          <cell r="J199">
            <v>312.94365031294319</v>
          </cell>
          <cell r="K199">
            <v>349.49571109959192</v>
          </cell>
          <cell r="L199">
            <v>197.22516074063643</v>
          </cell>
          <cell r="M199">
            <v>230.46663889261842</v>
          </cell>
          <cell r="N199">
            <v>330.67637355427013</v>
          </cell>
          <cell r="O199">
            <v>334.13340208484419</v>
          </cell>
          <cell r="P199">
            <v>166.16202546218256</v>
          </cell>
          <cell r="Q199">
            <v>166.47383727476233</v>
          </cell>
          <cell r="R199">
            <v>500.90179172459329</v>
          </cell>
          <cell r="T199">
            <v>252.47870895970684</v>
          </cell>
          <cell r="U199">
            <v>262.25660846558395</v>
          </cell>
          <cell r="V199">
            <v>230.46663889261842</v>
          </cell>
          <cell r="X199">
            <v>233.08405323502234</v>
          </cell>
          <cell r="Z199">
            <v>249.94909393910993</v>
          </cell>
          <cell r="AA199">
            <v>99.270898901538388</v>
          </cell>
          <cell r="AB199">
            <v>544.87074945274469</v>
          </cell>
          <cell r="AC199">
            <v>150.67819503757153</v>
          </cell>
          <cell r="AD199">
            <v>294.92165551363473</v>
          </cell>
        </row>
        <row r="200">
          <cell r="A200" t="str">
            <v>CGI011-qtz01-CL-fit-4-offset</v>
          </cell>
          <cell r="B200">
            <v>750</v>
          </cell>
          <cell r="C200">
            <v>8.0537892000481889E-22</v>
          </cell>
          <cell r="D200">
            <v>2000</v>
          </cell>
          <cell r="E200">
            <v>1024</v>
          </cell>
          <cell r="F200">
            <v>1.953125</v>
          </cell>
          <cell r="H200">
            <v>998.05659687815489</v>
          </cell>
          <cell r="I200">
            <v>2147.9293840890532</v>
          </cell>
          <cell r="J200">
            <v>61.587611966533984</v>
          </cell>
          <cell r="K200">
            <v>3558.0452591816693</v>
          </cell>
          <cell r="L200">
            <v>1255.3095527074531</v>
          </cell>
          <cell r="M200">
            <v>1812.6500749956306</v>
          </cell>
          <cell r="N200">
            <v>440.63485393837135</v>
          </cell>
          <cell r="O200">
            <v>2018.4114175336276</v>
          </cell>
          <cell r="P200">
            <v>81.828223460706027</v>
          </cell>
          <cell r="Q200">
            <v>2858.0470468866888</v>
          </cell>
          <cell r="R200">
            <v>1770.6136633066612</v>
          </cell>
          <cell r="T200">
            <v>1549.3782329096348</v>
          </cell>
          <cell r="U200">
            <v>1282.5761703759174</v>
          </cell>
          <cell r="V200">
            <v>1770.6136633066612</v>
          </cell>
          <cell r="X200">
            <v>1507.5109228116492</v>
          </cell>
          <cell r="Z200">
            <v>1413.1195224186974</v>
          </cell>
          <cell r="AA200">
            <v>59.905433276745477</v>
          </cell>
          <cell r="AB200">
            <v>4565.8204996880613</v>
          </cell>
          <cell r="AC200">
            <v>1353.2140891419519</v>
          </cell>
          <cell r="AD200">
            <v>3152.7009772693636</v>
          </cell>
        </row>
        <row r="201">
          <cell r="A201" t="str">
            <v>CGI011-qtz01-CL-fit-5-offset</v>
          </cell>
          <cell r="B201">
            <v>750</v>
          </cell>
          <cell r="C201">
            <v>8.0537892000481889E-22</v>
          </cell>
          <cell r="D201">
            <v>2000</v>
          </cell>
          <cell r="E201">
            <v>1024</v>
          </cell>
          <cell r="F201">
            <v>1.953125</v>
          </cell>
          <cell r="H201">
            <v>7.6705389207167487</v>
          </cell>
          <cell r="I201">
            <v>95.087045025655527</v>
          </cell>
          <cell r="J201">
            <v>102.62665967742097</v>
          </cell>
          <cell r="K201">
            <v>42.549194403348473</v>
          </cell>
          <cell r="L201">
            <v>85.865298901491187</v>
          </cell>
          <cell r="M201">
            <v>121.09631886703748</v>
          </cell>
          <cell r="N201">
            <v>89.217114011975994</v>
          </cell>
          <cell r="O201">
            <v>4.3540227994963106E-2</v>
          </cell>
          <cell r="P201">
            <v>122.87319365831932</v>
          </cell>
          <cell r="Q201">
            <v>72.448049449700449</v>
          </cell>
          <cell r="R201">
            <v>208.93902314514318</v>
          </cell>
          <cell r="T201">
            <v>107.59318700907278</v>
          </cell>
          <cell r="U201">
            <v>71.710636426684246</v>
          </cell>
          <cell r="V201">
            <v>89.217114011975994</v>
          </cell>
          <cell r="X201">
            <v>89.478312331153717</v>
          </cell>
          <cell r="Z201">
            <v>92.235248545000189</v>
          </cell>
          <cell r="AA201">
            <v>2.3497426658967768</v>
          </cell>
          <cell r="AB201">
            <v>317.75572762172987</v>
          </cell>
          <cell r="AC201">
            <v>89.88550587910342</v>
          </cell>
          <cell r="AD201">
            <v>225.52047907672969</v>
          </cell>
        </row>
        <row r="202">
          <cell r="A202" t="str">
            <v>CGI011-qtz02-CL-fit-1-offset</v>
          </cell>
          <cell r="B202">
            <v>750</v>
          </cell>
          <cell r="C202">
            <v>8.0537892000481889E-22</v>
          </cell>
          <cell r="D202">
            <v>1600</v>
          </cell>
          <cell r="E202">
            <v>1024</v>
          </cell>
          <cell r="F202">
            <v>1.5625</v>
          </cell>
          <cell r="H202">
            <v>1164.6573410748103</v>
          </cell>
          <cell r="I202">
            <v>779.13012961415996</v>
          </cell>
          <cell r="J202">
            <v>384.41326903773495</v>
          </cell>
          <cell r="K202">
            <v>2653.9897910073455</v>
          </cell>
          <cell r="L202">
            <v>834.30151990673096</v>
          </cell>
          <cell r="M202">
            <v>65.242992002444169</v>
          </cell>
          <cell r="N202">
            <v>1231.617218569065</v>
          </cell>
          <cell r="O202">
            <v>1343.4859766898558</v>
          </cell>
          <cell r="P202">
            <v>1866.1476216647093</v>
          </cell>
          <cell r="Q202">
            <v>369.27714903313017</v>
          </cell>
          <cell r="R202">
            <v>474.51763684380393</v>
          </cell>
          <cell r="T202">
            <v>878.10220382787907</v>
          </cell>
          <cell r="U202">
            <v>878.70130046988049</v>
          </cell>
          <cell r="V202">
            <v>834.30151990673096</v>
          </cell>
          <cell r="X202">
            <v>677.85147203313807</v>
          </cell>
          <cell r="Z202">
            <v>1054.7393705334305</v>
          </cell>
          <cell r="AA202">
            <v>163.04386531577646</v>
          </cell>
          <cell r="AB202">
            <v>6929.2314016732489</v>
          </cell>
          <cell r="AC202">
            <v>891.69550521765404</v>
          </cell>
          <cell r="AD202">
            <v>5874.4920311398182</v>
          </cell>
        </row>
        <row r="203">
          <cell r="A203" t="str">
            <v>CGI011-qtz02-CL-fit-2-offset</v>
          </cell>
          <cell r="B203">
            <v>750</v>
          </cell>
          <cell r="C203">
            <v>8.0537892000481889E-22</v>
          </cell>
          <cell r="D203">
            <v>1600</v>
          </cell>
          <cell r="E203">
            <v>1024</v>
          </cell>
          <cell r="F203">
            <v>1.5625</v>
          </cell>
          <cell r="H203">
            <v>1451.5825603029684</v>
          </cell>
          <cell r="I203">
            <v>1742.9624314799541</v>
          </cell>
          <cell r="J203">
            <v>1084.7287887250893</v>
          </cell>
          <cell r="K203">
            <v>1399.2823354998418</v>
          </cell>
          <cell r="L203">
            <v>1932.4259838248331</v>
          </cell>
          <cell r="M203">
            <v>1304.8638952026956</v>
          </cell>
          <cell r="N203">
            <v>782.54914278948434</v>
          </cell>
          <cell r="O203">
            <v>659.35023691410595</v>
          </cell>
          <cell r="P203">
            <v>498.85689416409861</v>
          </cell>
          <cell r="Q203">
            <v>300.15537499803418</v>
          </cell>
          <cell r="R203">
            <v>459.39257982079425</v>
          </cell>
          <cell r="T203">
            <v>985.68474924969962</v>
          </cell>
          <cell r="U203">
            <v>983.78233400115596</v>
          </cell>
          <cell r="V203">
            <v>1084.7287887250893</v>
          </cell>
          <cell r="X203">
            <v>919.75279859817101</v>
          </cell>
          <cell r="Z203">
            <v>918.42547320916458</v>
          </cell>
          <cell r="AA203">
            <v>333.13951355519072</v>
          </cell>
          <cell r="AB203">
            <v>2009.3440757531682</v>
          </cell>
          <cell r="AC203">
            <v>585.2859596539738</v>
          </cell>
          <cell r="AD203">
            <v>1090.9186025440035</v>
          </cell>
        </row>
        <row r="204">
          <cell r="A204" t="str">
            <v>CGI011-qtz02-CL-fit-3-offset</v>
          </cell>
          <cell r="B204">
            <v>750</v>
          </cell>
          <cell r="C204">
            <v>8.0537892000481889E-22</v>
          </cell>
          <cell r="D204">
            <v>1600</v>
          </cell>
          <cell r="E204">
            <v>1024</v>
          </cell>
          <cell r="F204">
            <v>1.5625</v>
          </cell>
          <cell r="H204">
            <v>274.78592129135524</v>
          </cell>
          <cell r="I204">
            <v>145.21457627615433</v>
          </cell>
          <cell r="J204">
            <v>186.00419861136709</v>
          </cell>
          <cell r="K204">
            <v>200.19829578750947</v>
          </cell>
          <cell r="L204">
            <v>303.31189603184652</v>
          </cell>
          <cell r="M204">
            <v>259.77596549185301</v>
          </cell>
          <cell r="N204">
            <v>173.91116408012167</v>
          </cell>
          <cell r="O204">
            <v>328.66518102727611</v>
          </cell>
          <cell r="P204">
            <v>43.637406606506943</v>
          </cell>
          <cell r="Q204">
            <v>134.40177919522736</v>
          </cell>
          <cell r="R204">
            <v>144.87661215274821</v>
          </cell>
          <cell r="T204">
            <v>184.39357229501502</v>
          </cell>
          <cell r="U204">
            <v>189.68862104822347</v>
          </cell>
          <cell r="V204">
            <v>186.00419861136709</v>
          </cell>
          <cell r="X204">
            <v>182.04647475070576</v>
          </cell>
          <cell r="Z204">
            <v>183.86514896144641</v>
          </cell>
          <cell r="AA204">
            <v>74.476042907444636</v>
          </cell>
          <cell r="AB204">
            <v>346.28280932180741</v>
          </cell>
          <cell r="AC204">
            <v>109.38910605400177</v>
          </cell>
          <cell r="AD204">
            <v>162.417660360361</v>
          </cell>
        </row>
        <row r="205">
          <cell r="A205" t="str">
            <v>CGI011-qtz02-CL-fit-4-offset</v>
          </cell>
          <cell r="B205">
            <v>750</v>
          </cell>
          <cell r="C205">
            <v>8.0537892000481889E-22</v>
          </cell>
          <cell r="D205">
            <v>1600</v>
          </cell>
          <cell r="E205">
            <v>1024</v>
          </cell>
          <cell r="F205">
            <v>1.5625</v>
          </cell>
          <cell r="H205">
            <v>191.10869324306063</v>
          </cell>
          <cell r="I205">
            <v>279.28946498537647</v>
          </cell>
          <cell r="J205">
            <v>181.41428847054578</v>
          </cell>
          <cell r="K205">
            <v>195.35179632376082</v>
          </cell>
          <cell r="L205">
            <v>281.06737115911244</v>
          </cell>
          <cell r="M205">
            <v>127.66350810704041</v>
          </cell>
          <cell r="N205">
            <v>412.66717970961759</v>
          </cell>
          <cell r="O205">
            <v>84.574400394256216</v>
          </cell>
          <cell r="P205">
            <v>259.37242941887411</v>
          </cell>
          <cell r="Q205">
            <v>76.79163147842624</v>
          </cell>
          <cell r="R205">
            <v>211.20515381757284</v>
          </cell>
          <cell r="T205">
            <v>210.34762406329182</v>
          </cell>
          <cell r="U205">
            <v>198.44502528713193</v>
          </cell>
          <cell r="V205">
            <v>195.35179632376082</v>
          </cell>
          <cell r="X205">
            <v>201.73498562606784</v>
          </cell>
          <cell r="Z205">
            <v>197.66274392032989</v>
          </cell>
          <cell r="AA205">
            <v>58.785996578643051</v>
          </cell>
          <cell r="AB205">
            <v>442.01581040858474</v>
          </cell>
          <cell r="AC205">
            <v>138.87674734168684</v>
          </cell>
          <cell r="AD205">
            <v>244.35306648825485</v>
          </cell>
        </row>
        <row r="206">
          <cell r="A206" t="str">
            <v>CGI011-qtz02-CL-fit-5-offset</v>
          </cell>
          <cell r="B206">
            <v>750</v>
          </cell>
          <cell r="C206">
            <v>8.0537892000481889E-22</v>
          </cell>
          <cell r="D206">
            <v>1600</v>
          </cell>
          <cell r="E206">
            <v>1024</v>
          </cell>
          <cell r="F206">
            <v>1.5625</v>
          </cell>
          <cell r="H206">
            <v>17.597740677245827</v>
          </cell>
          <cell r="I206">
            <v>34.609694673425167</v>
          </cell>
          <cell r="J206">
            <v>32.409641446041832</v>
          </cell>
          <cell r="K206">
            <v>26.518330747287592</v>
          </cell>
          <cell r="L206">
            <v>56.475152024038785</v>
          </cell>
          <cell r="M206">
            <v>20.75500493922128</v>
          </cell>
          <cell r="N206">
            <v>115.90806747916425</v>
          </cell>
          <cell r="O206">
            <v>66.436625243980885</v>
          </cell>
          <cell r="P206">
            <v>97.826656924092759</v>
          </cell>
          <cell r="Q206">
            <v>25.40395869371261</v>
          </cell>
          <cell r="R206">
            <v>0.22902264992481836</v>
          </cell>
          <cell r="T206">
            <v>52.540966391642705</v>
          </cell>
          <cell r="U206">
            <v>37.451874327388836</v>
          </cell>
          <cell r="V206">
            <v>32.409641446041832</v>
          </cell>
          <cell r="X206">
            <v>46.583137576070435</v>
          </cell>
          <cell r="Z206">
            <v>48.103696168329179</v>
          </cell>
          <cell r="AA206">
            <v>1.6175275022770792</v>
          </cell>
          <cell r="AB206">
            <v>178.50341162826498</v>
          </cell>
          <cell r="AC206">
            <v>46.486168666052102</v>
          </cell>
          <cell r="AD206">
            <v>130.39971545993581</v>
          </cell>
        </row>
        <row r="207">
          <cell r="A207" t="str">
            <v>CGI011-qtz03-CL-fit-1-offset</v>
          </cell>
          <cell r="B207">
            <v>750</v>
          </cell>
          <cell r="C207">
            <v>8.0537892000481889E-22</v>
          </cell>
          <cell r="D207">
            <v>1550</v>
          </cell>
          <cell r="E207">
            <v>1024</v>
          </cell>
          <cell r="F207">
            <v>1.513671875</v>
          </cell>
          <cell r="H207">
            <v>2841.4025115410018</v>
          </cell>
          <cell r="I207">
            <v>1361.7553570340281</v>
          </cell>
          <cell r="J207">
            <v>2627.2876757000204</v>
          </cell>
          <cell r="K207">
            <v>1015.6135546504746</v>
          </cell>
          <cell r="L207">
            <v>1205.3351989746488</v>
          </cell>
          <cell r="M207">
            <v>1194.3178493736652</v>
          </cell>
          <cell r="N207">
            <v>980.31415283626939</v>
          </cell>
          <cell r="O207">
            <v>796.26386686042406</v>
          </cell>
          <cell r="P207">
            <v>873.10971146561724</v>
          </cell>
          <cell r="Q207">
            <v>969.88813063730515</v>
          </cell>
          <cell r="R207">
            <v>1277.2410769033072</v>
          </cell>
          <cell r="T207">
            <v>1253.296344252067</v>
          </cell>
          <cell r="U207">
            <v>1312.8597306097786</v>
          </cell>
          <cell r="V207">
            <v>1194.3178493736652</v>
          </cell>
          <cell r="X207">
            <v>1235.2422384768493</v>
          </cell>
          <cell r="Z207">
            <v>1255.3214267163735</v>
          </cell>
          <cell r="AA207">
            <v>747.47472260581742</v>
          </cell>
          <cell r="AB207">
            <v>2027.6410436897017</v>
          </cell>
          <cell r="AC207">
            <v>507.84670411055606</v>
          </cell>
          <cell r="AD207">
            <v>772.31961697332827</v>
          </cell>
        </row>
        <row r="208">
          <cell r="A208" t="str">
            <v>CGI011-qtz03-CL-fit-2-offset</v>
          </cell>
          <cell r="B208">
            <v>750</v>
          </cell>
          <cell r="C208">
            <v>8.0537892000481889E-22</v>
          </cell>
          <cell r="D208">
            <v>1550</v>
          </cell>
          <cell r="E208">
            <v>1024</v>
          </cell>
          <cell r="F208">
            <v>1.513671875</v>
          </cell>
          <cell r="H208">
            <v>458.57891002279206</v>
          </cell>
          <cell r="I208">
            <v>958.6886806862808</v>
          </cell>
          <cell r="J208">
            <v>860.99092428901747</v>
          </cell>
          <cell r="K208">
            <v>583.30575711088306</v>
          </cell>
          <cell r="L208">
            <v>712.96476465592332</v>
          </cell>
          <cell r="M208">
            <v>1114.1688311402518</v>
          </cell>
          <cell r="N208">
            <v>746.48434790405975</v>
          </cell>
          <cell r="O208">
            <v>677.08315956597801</v>
          </cell>
          <cell r="P208">
            <v>74.550162978739181</v>
          </cell>
          <cell r="Q208">
            <v>1119.4844317542902</v>
          </cell>
          <cell r="R208">
            <v>715.88411146819726</v>
          </cell>
          <cell r="T208">
            <v>745.08032633327309</v>
          </cell>
          <cell r="U208">
            <v>686.17198225693141</v>
          </cell>
          <cell r="V208">
            <v>715.88411146819726</v>
          </cell>
          <cell r="X208">
            <v>701.76429089402541</v>
          </cell>
          <cell r="Z208">
            <v>719.49771062612308</v>
          </cell>
          <cell r="AA208">
            <v>403.1528522392091</v>
          </cell>
          <cell r="AB208">
            <v>1254.3667277035424</v>
          </cell>
          <cell r="AC208">
            <v>316.34485838691398</v>
          </cell>
          <cell r="AD208">
            <v>534.86901707741936</v>
          </cell>
        </row>
        <row r="209">
          <cell r="A209" t="str">
            <v>CGI011-qtz03-CL-fit-3-offset</v>
          </cell>
          <cell r="B209">
            <v>750</v>
          </cell>
          <cell r="C209">
            <v>8.0537892000481889E-22</v>
          </cell>
          <cell r="D209">
            <v>1550</v>
          </cell>
          <cell r="E209">
            <v>1024</v>
          </cell>
          <cell r="F209">
            <v>1.513671875</v>
          </cell>
          <cell r="H209">
            <v>224.40756383724053</v>
          </cell>
          <cell r="I209">
            <v>135.35229646009356</v>
          </cell>
          <cell r="J209">
            <v>138.56982657488757</v>
          </cell>
          <cell r="K209">
            <v>152.16550637718296</v>
          </cell>
          <cell r="L209">
            <v>284.23347414002365</v>
          </cell>
          <cell r="M209">
            <v>286.90634012360061</v>
          </cell>
          <cell r="N209">
            <v>231.801180108522</v>
          </cell>
          <cell r="O209">
            <v>250.0135962862729</v>
          </cell>
          <cell r="P209">
            <v>177.33308158260161</v>
          </cell>
          <cell r="Q209">
            <v>245.96028799898662</v>
          </cell>
          <cell r="R209">
            <v>202.1269800710804</v>
          </cell>
          <cell r="T209">
            <v>208.24960336377848</v>
          </cell>
          <cell r="U209">
            <v>208.33700436622919</v>
          </cell>
          <cell r="V209">
            <v>224.40756383724053</v>
          </cell>
          <cell r="X209">
            <v>198.55574149524955</v>
          </cell>
          <cell r="Z209">
            <v>199.34841561469068</v>
          </cell>
          <cell r="AA209">
            <v>115.0674404974084</v>
          </cell>
          <cell r="AB209">
            <v>332.42406556068886</v>
          </cell>
          <cell r="AC209">
            <v>84.280975117282281</v>
          </cell>
          <cell r="AD209">
            <v>133.07564994599818</v>
          </cell>
        </row>
        <row r="210">
          <cell r="A210" t="str">
            <v>CGI011-qtz04-CL-fit-1-offset</v>
          </cell>
          <cell r="B210">
            <v>750</v>
          </cell>
          <cell r="C210">
            <v>8.0537892000481889E-22</v>
          </cell>
          <cell r="D210">
            <v>1800</v>
          </cell>
          <cell r="E210">
            <v>1024</v>
          </cell>
          <cell r="F210">
            <v>1.7578125</v>
          </cell>
          <cell r="H210">
            <v>511.76912066182263</v>
          </cell>
          <cell r="I210">
            <v>119.39472095516986</v>
          </cell>
          <cell r="J210">
            <v>176.35422818799424</v>
          </cell>
          <cell r="K210">
            <v>415.75239976421483</v>
          </cell>
          <cell r="L210">
            <v>737.63371841382741</v>
          </cell>
          <cell r="M210">
            <v>255.36049981317876</v>
          </cell>
          <cell r="N210">
            <v>861.93526021615094</v>
          </cell>
          <cell r="O210">
            <v>256.05838746451855</v>
          </cell>
          <cell r="P210">
            <v>265.11438634026138</v>
          </cell>
          <cell r="Q210">
            <v>345.19912981777986</v>
          </cell>
          <cell r="R210">
            <v>737.44060606539392</v>
          </cell>
          <cell r="T210">
            <v>345.82056768196219</v>
          </cell>
          <cell r="U210">
            <v>391.81199199995825</v>
          </cell>
          <cell r="V210">
            <v>345.19912981777986</v>
          </cell>
          <cell r="X210">
            <v>315.79773471181863</v>
          </cell>
          <cell r="Z210">
            <v>353.69523842199186</v>
          </cell>
          <cell r="AA210">
            <v>116.03317241726431</v>
          </cell>
          <cell r="AB210">
            <v>1055.7598481097766</v>
          </cell>
          <cell r="AC210">
            <v>237.66206600472754</v>
          </cell>
          <cell r="AD210">
            <v>702.0646096877847</v>
          </cell>
        </row>
        <row r="211">
          <cell r="A211" t="str">
            <v>CGI011-qtz04-CL-fit-2-offset</v>
          </cell>
          <cell r="B211">
            <v>750</v>
          </cell>
          <cell r="C211">
            <v>8.0537892000481889E-22</v>
          </cell>
          <cell r="D211">
            <v>1800</v>
          </cell>
          <cell r="E211">
            <v>1024</v>
          </cell>
          <cell r="F211">
            <v>1.7578125</v>
          </cell>
          <cell r="H211">
            <v>190.09992471049119</v>
          </cell>
          <cell r="I211">
            <v>268.80218192093901</v>
          </cell>
          <cell r="J211">
            <v>77.845105525764623</v>
          </cell>
          <cell r="K211">
            <v>309.71196032768461</v>
          </cell>
          <cell r="L211">
            <v>193.89348563250147</v>
          </cell>
          <cell r="M211">
            <v>60.744546500285225</v>
          </cell>
          <cell r="N211">
            <v>169.12139266469131</v>
          </cell>
          <cell r="O211">
            <v>293.74368096209059</v>
          </cell>
          <cell r="P211">
            <v>630.06575941273013</v>
          </cell>
          <cell r="Q211">
            <v>77.165575635735522</v>
          </cell>
          <cell r="R211">
            <v>209.44464001693541</v>
          </cell>
          <cell r="T211">
            <v>191.64152011113814</v>
          </cell>
          <cell r="U211">
            <v>203.25492906715726</v>
          </cell>
          <cell r="V211">
            <v>193.89348563250147</v>
          </cell>
          <cell r="X211">
            <v>181.60942339313624</v>
          </cell>
          <cell r="Z211">
            <v>178.40489277230984</v>
          </cell>
          <cell r="AA211">
            <v>4.5179735192380193</v>
          </cell>
          <cell r="AB211">
            <v>505.87400885530189</v>
          </cell>
          <cell r="AC211">
            <v>173.88691925307182</v>
          </cell>
          <cell r="AD211">
            <v>327.46911608299206</v>
          </cell>
        </row>
        <row r="212">
          <cell r="A212" t="str">
            <v>CGI011-qtz04-CL-fit-3-offset</v>
          </cell>
          <cell r="B212">
            <v>750</v>
          </cell>
          <cell r="C212">
            <v>8.0537892000481889E-22</v>
          </cell>
          <cell r="D212">
            <v>1800</v>
          </cell>
          <cell r="E212">
            <v>1024</v>
          </cell>
          <cell r="F212">
            <v>1.7578125</v>
          </cell>
          <cell r="H212">
            <v>226.19235940230629</v>
          </cell>
          <cell r="I212">
            <v>406.30159618008668</v>
          </cell>
          <cell r="J212">
            <v>442.1326219678603</v>
          </cell>
          <cell r="K212">
            <v>367.54346176491856</v>
          </cell>
          <cell r="L212">
            <v>324.6559016657385</v>
          </cell>
          <cell r="M212">
            <v>509.51181156569226</v>
          </cell>
          <cell r="N212">
            <v>325.82870235104917</v>
          </cell>
          <cell r="O212">
            <v>388.88470475549337</v>
          </cell>
          <cell r="P212">
            <v>230.91528202909657</v>
          </cell>
          <cell r="Q212">
            <v>239.33073902910704</v>
          </cell>
          <cell r="R212">
            <v>333.12007952642455</v>
          </cell>
          <cell r="T212">
            <v>350.32180024993335</v>
          </cell>
          <cell r="U212">
            <v>339.47810117915782</v>
          </cell>
          <cell r="V212">
            <v>333.12007952642455</v>
          </cell>
          <cell r="X212">
            <v>349.05639608153461</v>
          </cell>
          <cell r="Z212">
            <v>349.27749445959722</v>
          </cell>
          <cell r="AA212">
            <v>187.97391815586218</v>
          </cell>
          <cell r="AB212">
            <v>596.57513770005448</v>
          </cell>
          <cell r="AC212">
            <v>161.30357630373504</v>
          </cell>
          <cell r="AD212">
            <v>247.29764324045726</v>
          </cell>
        </row>
        <row r="213">
          <cell r="A213" t="str">
            <v>CGI011-qtz04-CL-fit-4-offset</v>
          </cell>
          <cell r="B213">
            <v>750</v>
          </cell>
          <cell r="C213">
            <v>8.0537892000481889E-22</v>
          </cell>
          <cell r="D213">
            <v>1800</v>
          </cell>
          <cell r="E213">
            <v>1024</v>
          </cell>
          <cell r="F213">
            <v>1.7578125</v>
          </cell>
          <cell r="H213">
            <v>135.33387702124094</v>
          </cell>
          <cell r="I213">
            <v>181.88095775844411</v>
          </cell>
          <cell r="J213">
            <v>151.13031376974749</v>
          </cell>
          <cell r="K213">
            <v>94.189466839281408</v>
          </cell>
          <cell r="L213">
            <v>143.91407708911188</v>
          </cell>
          <cell r="M213">
            <v>138.8220122743862</v>
          </cell>
          <cell r="N213">
            <v>218.93402846753543</v>
          </cell>
          <cell r="O213">
            <v>189.36593455303716</v>
          </cell>
          <cell r="P213">
            <v>0</v>
          </cell>
          <cell r="Q213">
            <v>487.59368577345316</v>
          </cell>
          <cell r="R213">
            <v>486.35897713929063</v>
          </cell>
          <cell r="T213">
            <v>222.06365420134094</v>
          </cell>
          <cell r="U213">
            <v>206.17939295108204</v>
          </cell>
          <cell r="V213">
            <v>166.1499321484321</v>
          </cell>
          <cell r="X213">
            <v>213.86138453251937</v>
          </cell>
          <cell r="Z213">
            <v>218.83627953979999</v>
          </cell>
          <cell r="AA213">
            <v>56.58887466903591</v>
          </cell>
          <cell r="AB213">
            <v>500.80563299429804</v>
          </cell>
          <cell r="AC213">
            <v>162.24740487076409</v>
          </cell>
          <cell r="AD213">
            <v>281.96935345449805</v>
          </cell>
        </row>
        <row r="214">
          <cell r="A214" t="str">
            <v>CGI011-qtz04-CL-fit-5-offset</v>
          </cell>
          <cell r="B214">
            <v>750</v>
          </cell>
          <cell r="C214">
            <v>8.0537892000481889E-22</v>
          </cell>
          <cell r="D214">
            <v>1800</v>
          </cell>
          <cell r="E214">
            <v>1024</v>
          </cell>
          <cell r="F214">
            <v>1.7578125</v>
          </cell>
          <cell r="H214">
            <v>14.331378985923605</v>
          </cell>
          <cell r="I214">
            <v>54.587552178481715</v>
          </cell>
          <cell r="J214">
            <v>2.1310023988213502</v>
          </cell>
          <cell r="K214">
            <v>34.462021235681171</v>
          </cell>
          <cell r="L214">
            <v>13.017966252098224</v>
          </cell>
          <cell r="M214">
            <v>30.904686259207459</v>
          </cell>
          <cell r="N214">
            <v>72.104940205282745</v>
          </cell>
          <cell r="O214">
            <v>46.948490404688684</v>
          </cell>
          <cell r="P214">
            <v>18.708853805027111</v>
          </cell>
          <cell r="Q214">
            <v>46.182799973334319</v>
          </cell>
          <cell r="R214">
            <v>42.061751716012836</v>
          </cell>
          <cell r="T214">
            <v>30.683474530904626</v>
          </cell>
          <cell r="U214">
            <v>30.371642421165284</v>
          </cell>
          <cell r="V214">
            <v>34.462021235681171</v>
          </cell>
          <cell r="X214">
            <v>28.27775371219634</v>
          </cell>
          <cell r="Z214">
            <v>28.400773241359278</v>
          </cell>
          <cell r="AA214">
            <v>0.91151997539117313</v>
          </cell>
          <cell r="AB214">
            <v>107.48026611884089</v>
          </cell>
          <cell r="AC214">
            <v>27.489253265968106</v>
          </cell>
          <cell r="AD214">
            <v>79.079492877481613</v>
          </cell>
        </row>
        <row r="215">
          <cell r="A215" t="str">
            <v>CGI011-qtz05-CL-fit-1-offset</v>
          </cell>
          <cell r="B215">
            <v>750</v>
          </cell>
          <cell r="C215">
            <v>8.0537892000481889E-22</v>
          </cell>
          <cell r="D215">
            <v>2200</v>
          </cell>
          <cell r="E215">
            <v>1024</v>
          </cell>
          <cell r="F215">
            <v>2.1484375</v>
          </cell>
          <cell r="H215">
            <v>809.94197771012364</v>
          </cell>
          <cell r="I215">
            <v>1305.398759505588</v>
          </cell>
          <cell r="J215">
            <v>616.51681278298577</v>
          </cell>
          <cell r="K215">
            <v>1380.6981112392723</v>
          </cell>
          <cell r="L215">
            <v>338.35324054482487</v>
          </cell>
          <cell r="M215">
            <v>1639.5236067045223</v>
          </cell>
          <cell r="N215">
            <v>1003.5605507358897</v>
          </cell>
          <cell r="O215">
            <v>1305.5804625192093</v>
          </cell>
          <cell r="P215">
            <v>965.40543275184211</v>
          </cell>
          <cell r="Q215">
            <v>1235.568997839144</v>
          </cell>
          <cell r="R215">
            <v>1233.4591271114048</v>
          </cell>
          <cell r="T215">
            <v>1012.4774420009308</v>
          </cell>
          <cell r="U215">
            <v>1039.2816687312991</v>
          </cell>
          <cell r="V215">
            <v>1233.4591271114048</v>
          </cell>
          <cell r="X215">
            <v>918.98072944669013</v>
          </cell>
          <cell r="Z215">
            <v>862.72317069422161</v>
          </cell>
          <cell r="AA215">
            <v>4.4195312695340574</v>
          </cell>
          <cell r="AB215">
            <v>1961.3323848533162</v>
          </cell>
          <cell r="AC215">
            <v>858.3036394246875</v>
          </cell>
          <cell r="AD215">
            <v>1098.6092141590946</v>
          </cell>
        </row>
        <row r="216">
          <cell r="A216" t="str">
            <v>CGI011-qtz05-CL-fit-2-offset</v>
          </cell>
          <cell r="B216">
            <v>750</v>
          </cell>
          <cell r="C216">
            <v>8.0537892000481889E-22</v>
          </cell>
          <cell r="D216">
            <v>2200</v>
          </cell>
          <cell r="E216">
            <v>1024</v>
          </cell>
          <cell r="F216">
            <v>2.1484375</v>
          </cell>
          <cell r="H216">
            <v>2911.8960021292592</v>
          </cell>
          <cell r="I216">
            <v>1581.0797084700594</v>
          </cell>
          <cell r="J216">
            <v>1274.6495613251502</v>
          </cell>
          <cell r="K216">
            <v>1574.6865169063999</v>
          </cell>
          <cell r="L216">
            <v>2406.0710885700742</v>
          </cell>
          <cell r="M216">
            <v>1389.7388400209127</v>
          </cell>
          <cell r="N216">
            <v>1715.0612830702148</v>
          </cell>
          <cell r="O216">
            <v>1391.9836976672295</v>
          </cell>
          <cell r="P216">
            <v>1537.0252846987214</v>
          </cell>
          <cell r="Q216">
            <v>1321.907306271082</v>
          </cell>
          <cell r="R216">
            <v>1226.1796509327999</v>
          </cell>
          <cell r="T216">
            <v>1583.0766570599858</v>
          </cell>
          <cell r="U216">
            <v>1634.677930355642</v>
          </cell>
          <cell r="V216">
            <v>1537.0252846987214</v>
          </cell>
          <cell r="X216">
            <v>1591.4400957575356</v>
          </cell>
          <cell r="Z216">
            <v>1663.9470246008566</v>
          </cell>
          <cell r="AA216">
            <v>1118.1421252571961</v>
          </cell>
          <cell r="AB216">
            <v>3303.0227183846469</v>
          </cell>
          <cell r="AC216">
            <v>545.80489934366051</v>
          </cell>
          <cell r="AD216">
            <v>1639.0756937837903</v>
          </cell>
        </row>
        <row r="217">
          <cell r="A217" t="str">
            <v>CGI011-qtz05-CL-fit-3-offset</v>
          </cell>
          <cell r="B217">
            <v>750</v>
          </cell>
          <cell r="C217">
            <v>8.0537892000481889E-22</v>
          </cell>
          <cell r="D217">
            <v>2200</v>
          </cell>
          <cell r="E217">
            <v>1024</v>
          </cell>
          <cell r="F217">
            <v>2.1484375</v>
          </cell>
          <cell r="H217">
            <v>1163.6404531905248</v>
          </cell>
          <cell r="I217">
            <v>686.25820423344169</v>
          </cell>
          <cell r="J217">
            <v>597.25731700004701</v>
          </cell>
          <cell r="K217">
            <v>660.88017793758183</v>
          </cell>
          <cell r="L217">
            <v>845.22231855330517</v>
          </cell>
          <cell r="M217">
            <v>307.66196698862149</v>
          </cell>
          <cell r="N217">
            <v>722.92545790778127</v>
          </cell>
          <cell r="O217">
            <v>1060.4487553180763</v>
          </cell>
          <cell r="P217">
            <v>923.92987845358766</v>
          </cell>
          <cell r="Q217">
            <v>940.10964081660529</v>
          </cell>
          <cell r="R217">
            <v>1411.2485489502244</v>
          </cell>
          <cell r="T217">
            <v>825.30383920212341</v>
          </cell>
          <cell r="U217">
            <v>820.7910485957002</v>
          </cell>
          <cell r="V217">
            <v>845.22231855330517</v>
          </cell>
          <cell r="X217">
            <v>808.03022622458684</v>
          </cell>
          <cell r="Z217">
            <v>811.13234610351276</v>
          </cell>
          <cell r="AA217">
            <v>332.73751495932839</v>
          </cell>
          <cell r="AB217">
            <v>1552.3252690941677</v>
          </cell>
          <cell r="AC217">
            <v>478.39483114418437</v>
          </cell>
          <cell r="AD217">
            <v>741.19292299065489</v>
          </cell>
        </row>
        <row r="218">
          <cell r="A218" t="str">
            <v>CGI011-qtz05-CL-fit-4-offset</v>
          </cell>
          <cell r="B218">
            <v>750</v>
          </cell>
          <cell r="C218">
            <v>8.0537892000481889E-22</v>
          </cell>
          <cell r="D218">
            <v>2200</v>
          </cell>
          <cell r="E218">
            <v>1024</v>
          </cell>
          <cell r="F218">
            <v>2.1484375</v>
          </cell>
          <cell r="H218">
            <v>397.06822283531358</v>
          </cell>
          <cell r="I218">
            <v>386.8732284946384</v>
          </cell>
          <cell r="J218">
            <v>199.95791309453099</v>
          </cell>
          <cell r="K218">
            <v>73.79490023848561</v>
          </cell>
          <cell r="L218">
            <v>463.12614989724813</v>
          </cell>
          <cell r="M218">
            <v>217.09986379259664</v>
          </cell>
          <cell r="N218">
            <v>287.07307649349718</v>
          </cell>
          <cell r="O218">
            <v>212.3273135977042</v>
          </cell>
          <cell r="P218">
            <v>98.811654614112783</v>
          </cell>
          <cell r="Q218">
            <v>86.863486603171168</v>
          </cell>
          <cell r="R218">
            <v>319.62767996221277</v>
          </cell>
          <cell r="T218">
            <v>262.69150858161748</v>
          </cell>
          <cell r="U218">
            <v>231.13581520069422</v>
          </cell>
          <cell r="V218">
            <v>217.09986379259664</v>
          </cell>
          <cell r="X218">
            <v>248.39163919288447</v>
          </cell>
          <cell r="Z218">
            <v>251.66139991602589</v>
          </cell>
          <cell r="AA218">
            <v>44.612561950807702</v>
          </cell>
          <cell r="AB218">
            <v>663.78874973279767</v>
          </cell>
          <cell r="AC218">
            <v>207.04883796521818</v>
          </cell>
          <cell r="AD218">
            <v>412.12734981677181</v>
          </cell>
        </row>
        <row r="219">
          <cell r="A219" t="str">
            <v>CGI011-qtz05-CL-fit-5-offset</v>
          </cell>
          <cell r="B219">
            <v>750</v>
          </cell>
          <cell r="C219">
            <v>8.0537892000481889E-22</v>
          </cell>
          <cell r="D219">
            <v>2200</v>
          </cell>
          <cell r="E219">
            <v>1024</v>
          </cell>
          <cell r="F219">
            <v>2.1484375</v>
          </cell>
          <cell r="H219">
            <v>235.59306241795255</v>
          </cell>
          <cell r="I219">
            <v>261.21684637409442</v>
          </cell>
          <cell r="J219">
            <v>182.72403719461096</v>
          </cell>
          <cell r="K219">
            <v>205.27381782978154</v>
          </cell>
          <cell r="L219">
            <v>351.01620093013833</v>
          </cell>
          <cell r="M219">
            <v>297.72243537002788</v>
          </cell>
          <cell r="N219">
            <v>182.91816004416594</v>
          </cell>
          <cell r="O219">
            <v>268.80719885293058</v>
          </cell>
          <cell r="P219">
            <v>126.67378433677855</v>
          </cell>
          <cell r="Q219">
            <v>287.99111886461094</v>
          </cell>
          <cell r="R219">
            <v>336.72955774118009</v>
          </cell>
          <cell r="T219">
            <v>250.6763166748286</v>
          </cell>
          <cell r="U219">
            <v>244.04613272319136</v>
          </cell>
          <cell r="V219">
            <v>261.21684637409442</v>
          </cell>
          <cell r="X219">
            <v>246.62514472059974</v>
          </cell>
          <cell r="Z219">
            <v>241.13414157035342</v>
          </cell>
          <cell r="AA219">
            <v>75.309701187927786</v>
          </cell>
          <cell r="AB219">
            <v>471.15200445716926</v>
          </cell>
          <cell r="AC219">
            <v>165.82444038242562</v>
          </cell>
          <cell r="AD219">
            <v>230.01786288681583</v>
          </cell>
        </row>
        <row r="220">
          <cell r="A220" t="str">
            <v>CGI011-qtz06-CL-fit-1-offset</v>
          </cell>
          <cell r="B220">
            <v>750</v>
          </cell>
          <cell r="C220">
            <v>8.0537892000481889E-22</v>
          </cell>
          <cell r="D220">
            <v>1650</v>
          </cell>
          <cell r="E220">
            <v>1024</v>
          </cell>
          <cell r="F220">
            <v>1.611328125</v>
          </cell>
          <cell r="H220">
            <v>2891.1153320647813</v>
          </cell>
          <cell r="I220">
            <v>3347.7772877722609</v>
          </cell>
          <cell r="J220">
            <v>2549.0450650422645</v>
          </cell>
          <cell r="K220">
            <v>3805.7927139856952</v>
          </cell>
          <cell r="L220">
            <v>3932.9086971338152</v>
          </cell>
          <cell r="M220">
            <v>4147.860982253218</v>
          </cell>
          <cell r="N220">
            <v>3387.5758369292871</v>
          </cell>
          <cell r="O220">
            <v>2815.3451162103675</v>
          </cell>
          <cell r="P220">
            <v>4041.3608294478149</v>
          </cell>
          <cell r="Q220">
            <v>3503.9088039909579</v>
          </cell>
          <cell r="R220">
            <v>2887.9158315301215</v>
          </cell>
          <cell r="T220">
            <v>3391.6350864040255</v>
          </cell>
          <cell r="U220">
            <v>3371.3078576102744</v>
          </cell>
          <cell r="V220">
            <v>3387.5758369292871</v>
          </cell>
          <cell r="X220">
            <v>3373.8629898350091</v>
          </cell>
          <cell r="Z220">
            <v>3420.3912142350364</v>
          </cell>
          <cell r="AA220">
            <v>2210.0288972553203</v>
          </cell>
          <cell r="AB220">
            <v>5190.2063147775316</v>
          </cell>
          <cell r="AC220">
            <v>1210.3623169797161</v>
          </cell>
          <cell r="AD220">
            <v>1769.8151005424952</v>
          </cell>
        </row>
        <row r="221">
          <cell r="A221" t="str">
            <v>CGI011-qtz06-CL-fit-2-offset</v>
          </cell>
          <cell r="B221">
            <v>750</v>
          </cell>
          <cell r="C221">
            <v>8.0537892000481889E-22</v>
          </cell>
          <cell r="D221">
            <v>1650</v>
          </cell>
          <cell r="E221">
            <v>1024</v>
          </cell>
          <cell r="F221">
            <v>1.611328125</v>
          </cell>
          <cell r="H221">
            <v>981.85434355032078</v>
          </cell>
          <cell r="I221">
            <v>984.50875538591686</v>
          </cell>
          <cell r="J221">
            <v>861.48758261294938</v>
          </cell>
          <cell r="K221">
            <v>1150.0783430262311</v>
          </cell>
          <cell r="L221">
            <v>1029.6420026669634</v>
          </cell>
          <cell r="M221">
            <v>1256.563416383877</v>
          </cell>
          <cell r="N221">
            <v>1127.4372524617206</v>
          </cell>
          <cell r="O221">
            <v>1329.8222950769132</v>
          </cell>
          <cell r="P221">
            <v>944.78751848445404</v>
          </cell>
          <cell r="Q221">
            <v>1090.0427367574414</v>
          </cell>
          <cell r="R221">
            <v>1020.1290183758709</v>
          </cell>
          <cell r="T221">
            <v>1080.2529146080174</v>
          </cell>
          <cell r="U221">
            <v>1066.6051493227314</v>
          </cell>
          <cell r="V221">
            <v>1029.6420026669634</v>
          </cell>
          <cell r="X221">
            <v>1059.1375313809631</v>
          </cell>
          <cell r="Z221">
            <v>1078.8322349321186</v>
          </cell>
          <cell r="AA221">
            <v>685.62008331676327</v>
          </cell>
          <cell r="AB221">
            <v>1651.4444889429992</v>
          </cell>
          <cell r="AC221">
            <v>393.21215161535531</v>
          </cell>
          <cell r="AD221">
            <v>572.61225401088063</v>
          </cell>
        </row>
        <row r="222">
          <cell r="A222" t="str">
            <v>CGI011-qtz06-CL-fit-3-offset</v>
          </cell>
          <cell r="B222">
            <v>750</v>
          </cell>
          <cell r="C222">
            <v>8.0537892000481889E-22</v>
          </cell>
          <cell r="D222">
            <v>1650</v>
          </cell>
          <cell r="E222">
            <v>1024</v>
          </cell>
          <cell r="F222">
            <v>1.611328125</v>
          </cell>
          <cell r="H222">
            <v>324.33429405607342</v>
          </cell>
          <cell r="I222">
            <v>253.39806453438774</v>
          </cell>
          <cell r="J222">
            <v>176.07268870828906</v>
          </cell>
          <cell r="K222">
            <v>289.84501272038722</v>
          </cell>
          <cell r="L222">
            <v>486.688612028168</v>
          </cell>
          <cell r="M222">
            <v>275.61810824153605</v>
          </cell>
          <cell r="N222">
            <v>491.43594787396432</v>
          </cell>
          <cell r="O222">
            <v>325.17003058318181</v>
          </cell>
          <cell r="P222">
            <v>343.98932103634905</v>
          </cell>
          <cell r="Q222">
            <v>294.05027837492429</v>
          </cell>
          <cell r="R222">
            <v>477.3152186918889</v>
          </cell>
          <cell r="T222">
            <v>329.55857390106434</v>
          </cell>
          <cell r="U222">
            <v>332.65722077756567</v>
          </cell>
          <cell r="V222">
            <v>324.33429405607342</v>
          </cell>
          <cell r="X222">
            <v>320.57035100669918</v>
          </cell>
          <cell r="Z222">
            <v>321.33938094051837</v>
          </cell>
          <cell r="AA222">
            <v>155.86851310913485</v>
          </cell>
          <cell r="AB222">
            <v>530.23145777884031</v>
          </cell>
          <cell r="AC222">
            <v>165.47086783138352</v>
          </cell>
          <cell r="AD222">
            <v>208.89207683832194</v>
          </cell>
        </row>
        <row r="223">
          <cell r="A223" t="str">
            <v>CGI011-qtz06-CL-fit-4-offset</v>
          </cell>
          <cell r="B223">
            <v>750</v>
          </cell>
          <cell r="C223">
            <v>8.0537892000481889E-22</v>
          </cell>
          <cell r="D223">
            <v>1650</v>
          </cell>
          <cell r="E223">
            <v>1024</v>
          </cell>
          <cell r="F223">
            <v>1.611328125</v>
          </cell>
          <cell r="H223">
            <v>188.93036690810064</v>
          </cell>
          <cell r="I223">
            <v>128.42792517807769</v>
          </cell>
          <cell r="J223">
            <v>225.28619123870351</v>
          </cell>
          <cell r="K223">
            <v>259.20299065438962</v>
          </cell>
          <cell r="L223">
            <v>379.49676528681903</v>
          </cell>
          <cell r="M223">
            <v>87.759590895418</v>
          </cell>
          <cell r="N223">
            <v>283.65400915542926</v>
          </cell>
          <cell r="O223">
            <v>165.76064308816433</v>
          </cell>
          <cell r="P223">
            <v>281.34031174930254</v>
          </cell>
          <cell r="Q223">
            <v>162.51303036670009</v>
          </cell>
          <cell r="R223">
            <v>382.86031022853768</v>
          </cell>
          <cell r="T223">
            <v>234.61198392454742</v>
          </cell>
          <cell r="U223">
            <v>221.84943312168383</v>
          </cell>
          <cell r="V223">
            <v>225.28619123870351</v>
          </cell>
          <cell r="X223">
            <v>220.35358906031999</v>
          </cell>
          <cell r="Z223">
            <v>221.36848733246944</v>
          </cell>
          <cell r="AA223">
            <v>77.395244496387861</v>
          </cell>
          <cell r="AB223">
            <v>471.03730116046682</v>
          </cell>
          <cell r="AC223">
            <v>143.97324283608157</v>
          </cell>
          <cell r="AD223">
            <v>249.66881382799738</v>
          </cell>
        </row>
        <row r="224">
          <cell r="A224" t="str">
            <v>CGI011-qtz07-CL-fit-1-offset</v>
          </cell>
          <cell r="B224">
            <v>750</v>
          </cell>
          <cell r="C224">
            <v>8.0537892000481889E-22</v>
          </cell>
          <cell r="D224">
            <v>1250</v>
          </cell>
          <cell r="E224">
            <v>1024</v>
          </cell>
          <cell r="F224">
            <v>1.220703125</v>
          </cell>
          <cell r="H224">
            <v>456.831904818113</v>
          </cell>
          <cell r="I224">
            <v>418.73057788708024</v>
          </cell>
          <cell r="J224">
            <v>567.48297142730769</v>
          </cell>
          <cell r="K224">
            <v>396.05932363069348</v>
          </cell>
          <cell r="L224">
            <v>555.23071823682938</v>
          </cell>
          <cell r="M224">
            <v>257.65466550660443</v>
          </cell>
          <cell r="N224">
            <v>367.84492101574057</v>
          </cell>
          <cell r="O224">
            <v>460.0383803342466</v>
          </cell>
          <cell r="P224">
            <v>328.29892350120315</v>
          </cell>
          <cell r="Q224">
            <v>359.40291586511961</v>
          </cell>
          <cell r="R224">
            <v>303.88242590769676</v>
          </cell>
          <cell r="T224">
            <v>391.71369256364358</v>
          </cell>
          <cell r="U224">
            <v>401.13386404119518</v>
          </cell>
          <cell r="V224">
            <v>396.05932363069348</v>
          </cell>
          <cell r="X224">
            <v>382.40034151868372</v>
          </cell>
          <cell r="Z224">
            <v>390.09822846106289</v>
          </cell>
          <cell r="AA224">
            <v>231.66736504797618</v>
          </cell>
          <cell r="AB224">
            <v>668.72633601853511</v>
          </cell>
          <cell r="AC224">
            <v>158.43086341308671</v>
          </cell>
          <cell r="AD224">
            <v>278.62810755747222</v>
          </cell>
        </row>
        <row r="225">
          <cell r="A225" t="str">
            <v>CGI011-qtz07-CL-fit-2-offset</v>
          </cell>
          <cell r="B225">
            <v>750</v>
          </cell>
          <cell r="C225">
            <v>8.0537892000481889E-22</v>
          </cell>
          <cell r="D225">
            <v>1250</v>
          </cell>
          <cell r="E225">
            <v>1024</v>
          </cell>
          <cell r="F225">
            <v>1.220703125</v>
          </cell>
          <cell r="H225">
            <v>162.49246280228908</v>
          </cell>
          <cell r="I225">
            <v>278.38848854617504</v>
          </cell>
          <cell r="J225">
            <v>183.3815157798679</v>
          </cell>
          <cell r="K225">
            <v>171.36953164709126</v>
          </cell>
          <cell r="L225">
            <v>296.23913053465793</v>
          </cell>
          <cell r="M225">
            <v>236.04825859471916</v>
          </cell>
          <cell r="N225">
            <v>204.55742499315383</v>
          </cell>
          <cell r="O225">
            <v>119.63626270021452</v>
          </cell>
          <cell r="P225">
            <v>103.41469936855975</v>
          </cell>
          <cell r="Q225">
            <v>174.24173990879609</v>
          </cell>
          <cell r="R225">
            <v>166.67536755667132</v>
          </cell>
          <cell r="T225">
            <v>182.93697720437461</v>
          </cell>
          <cell r="U225">
            <v>186.34780657682936</v>
          </cell>
          <cell r="V225">
            <v>174.24173990879609</v>
          </cell>
          <cell r="X225">
            <v>180.07439069488831</v>
          </cell>
          <cell r="Z225">
            <v>180.3776805942893</v>
          </cell>
          <cell r="AA225">
            <v>91.269274626493285</v>
          </cell>
          <cell r="AB225">
            <v>326.21364865610724</v>
          </cell>
          <cell r="AC225">
            <v>89.108405967796017</v>
          </cell>
          <cell r="AD225">
            <v>145.83596806181794</v>
          </cell>
        </row>
        <row r="226">
          <cell r="A226" t="str">
            <v>CGI011-qtz07-CL-fit-3-offset</v>
          </cell>
          <cell r="B226">
            <v>750</v>
          </cell>
          <cell r="C226">
            <v>8.0537892000481889E-22</v>
          </cell>
          <cell r="D226">
            <v>1250</v>
          </cell>
          <cell r="E226">
            <v>1024</v>
          </cell>
          <cell r="F226">
            <v>1.220703125</v>
          </cell>
          <cell r="H226">
            <v>259.35173139110941</v>
          </cell>
          <cell r="I226">
            <v>198.07835238569996</v>
          </cell>
          <cell r="J226">
            <v>149.946452956429</v>
          </cell>
          <cell r="K226">
            <v>155.40299313132763</v>
          </cell>
          <cell r="L226">
            <v>70.141700161910251</v>
          </cell>
          <cell r="M226">
            <v>249.27031697705507</v>
          </cell>
          <cell r="N226">
            <v>165.08869690727474</v>
          </cell>
          <cell r="O226">
            <v>109.40405188707564</v>
          </cell>
          <cell r="P226">
            <v>182.69506168715105</v>
          </cell>
          <cell r="Q226">
            <v>151.33992073339414</v>
          </cell>
          <cell r="R226">
            <v>171.8948318286715</v>
          </cell>
          <cell r="T226">
            <v>161.65287966226057</v>
          </cell>
          <cell r="U226">
            <v>164.98426974953753</v>
          </cell>
          <cell r="V226">
            <v>165.08869690727474</v>
          </cell>
          <cell r="X226">
            <v>158.4393070557835</v>
          </cell>
          <cell r="Z226">
            <v>158.00996056614912</v>
          </cell>
          <cell r="AA226">
            <v>72.06669109393296</v>
          </cell>
          <cell r="AB226">
            <v>257.90123063350541</v>
          </cell>
          <cell r="AC226">
            <v>85.943269472216159</v>
          </cell>
          <cell r="AD226">
            <v>99.891270067356288</v>
          </cell>
        </row>
        <row r="227">
          <cell r="A227" t="str">
            <v>CGI011-qtz08-CL-fit-1-offset</v>
          </cell>
          <cell r="B227">
            <v>750</v>
          </cell>
          <cell r="C227">
            <v>8.0537892000481889E-22</v>
          </cell>
          <cell r="D227">
            <v>1300</v>
          </cell>
          <cell r="E227">
            <v>1024</v>
          </cell>
          <cell r="F227">
            <v>1.26953125</v>
          </cell>
          <cell r="H227">
            <v>0</v>
          </cell>
          <cell r="I227">
            <v>397.63397588134359</v>
          </cell>
          <cell r="J227">
            <v>749.36574636705245</v>
          </cell>
          <cell r="K227">
            <v>701.57656644851602</v>
          </cell>
          <cell r="L227">
            <v>713.35518508678194</v>
          </cell>
          <cell r="M227">
            <v>247.60149617757969</v>
          </cell>
          <cell r="N227">
            <v>559.73170623933356</v>
          </cell>
          <cell r="O227">
            <v>180.27913398950426</v>
          </cell>
          <cell r="P227">
            <v>287.96549864595841</v>
          </cell>
          <cell r="Q227">
            <v>290.4686249826662</v>
          </cell>
          <cell r="R227">
            <v>0</v>
          </cell>
          <cell r="T227">
            <v>399.08702086260234</v>
          </cell>
          <cell r="U227">
            <v>433.30959625490146</v>
          </cell>
          <cell r="V227">
            <v>397.63397588134359</v>
          </cell>
          <cell r="X227">
            <v>390.82382335254181</v>
          </cell>
          <cell r="Z227">
            <v>574.9185742959005</v>
          </cell>
          <cell r="AA227">
            <v>75.111627125968127</v>
          </cell>
          <cell r="AB227">
            <v>3739.6059677144003</v>
          </cell>
          <cell r="AC227">
            <v>499.80694716993236</v>
          </cell>
          <cell r="AD227">
            <v>3164.6873934184996</v>
          </cell>
        </row>
        <row r="228">
          <cell r="A228" t="str">
            <v>CGI011-qtz08-CL-fit-2-offset</v>
          </cell>
          <cell r="B228">
            <v>750</v>
          </cell>
          <cell r="C228">
            <v>8.0537892000481889E-22</v>
          </cell>
          <cell r="D228">
            <v>1300</v>
          </cell>
          <cell r="E228">
            <v>1024</v>
          </cell>
          <cell r="F228">
            <v>1.26953125</v>
          </cell>
          <cell r="H228">
            <v>3163.6494911287482</v>
          </cell>
          <cell r="I228">
            <v>2874.1599976555772</v>
          </cell>
          <cell r="J228">
            <v>3553.9974686887372</v>
          </cell>
          <cell r="K228">
            <v>4522.3714056853742</v>
          </cell>
          <cell r="L228">
            <v>3194.2096074875944</v>
          </cell>
          <cell r="M228">
            <v>2645.8238674003533</v>
          </cell>
          <cell r="N228">
            <v>4355.9449000457898</v>
          </cell>
          <cell r="O228">
            <v>2835.4855997703339</v>
          </cell>
          <cell r="P228">
            <v>2244.91030428145</v>
          </cell>
          <cell r="Q228">
            <v>2926.2135624964585</v>
          </cell>
          <cell r="R228">
            <v>2097.7309291558959</v>
          </cell>
          <cell r="T228">
            <v>3053.638996831126</v>
          </cell>
          <cell r="U228">
            <v>3087.3303163498113</v>
          </cell>
          <cell r="V228">
            <v>2926.2135624964585</v>
          </cell>
          <cell r="X228">
            <v>3010.7940834919814</v>
          </cell>
          <cell r="Z228">
            <v>3074.5752828250565</v>
          </cell>
          <cell r="AA228">
            <v>2068.7708040759107</v>
          </cell>
          <cell r="AB228">
            <v>4437.9173028604828</v>
          </cell>
          <cell r="AC228">
            <v>1005.8044787491458</v>
          </cell>
          <cell r="AD228">
            <v>1363.3420200354262</v>
          </cell>
        </row>
        <row r="229">
          <cell r="A229" t="str">
            <v>CGI011-qtz08-CL-fit-3-offset</v>
          </cell>
          <cell r="B229">
            <v>750</v>
          </cell>
          <cell r="C229">
            <v>8.0537892000481889E-22</v>
          </cell>
          <cell r="D229">
            <v>1300</v>
          </cell>
          <cell r="E229">
            <v>1024</v>
          </cell>
          <cell r="F229">
            <v>1.26953125</v>
          </cell>
          <cell r="H229">
            <v>318.37888705237236</v>
          </cell>
          <cell r="I229">
            <v>329.18510959531</v>
          </cell>
          <cell r="J229">
            <v>244.94590720225773</v>
          </cell>
          <cell r="K229">
            <v>501.25357396989483</v>
          </cell>
          <cell r="L229">
            <v>506.00339912514704</v>
          </cell>
          <cell r="M229">
            <v>345.078053198178</v>
          </cell>
          <cell r="N229">
            <v>614.04904833493595</v>
          </cell>
          <cell r="O229">
            <v>451.60442568793752</v>
          </cell>
          <cell r="P229">
            <v>598.67850727222242</v>
          </cell>
          <cell r="Q229">
            <v>673.58477816619165</v>
          </cell>
          <cell r="R229">
            <v>457.06574272141808</v>
          </cell>
          <cell r="T229">
            <v>451.50719309705613</v>
          </cell>
          <cell r="U229">
            <v>448.39366016134119</v>
          </cell>
          <cell r="V229">
            <v>457.06574272141808</v>
          </cell>
          <cell r="X229">
            <v>461.78565403136486</v>
          </cell>
          <cell r="Z229">
            <v>450.87228693435645</v>
          </cell>
          <cell r="AA229">
            <v>270.53665671263531</v>
          </cell>
          <cell r="AB229">
            <v>678.84118452362554</v>
          </cell>
          <cell r="AC229">
            <v>180.33563022172115</v>
          </cell>
          <cell r="AD229">
            <v>227.96889758926909</v>
          </cell>
        </row>
        <row r="230">
          <cell r="A230" t="str">
            <v>CGI011-qtz08-CL-fit-4-offset</v>
          </cell>
          <cell r="B230">
            <v>750</v>
          </cell>
          <cell r="C230">
            <v>8.0537892000481889E-22</v>
          </cell>
          <cell r="D230">
            <v>1300</v>
          </cell>
          <cell r="E230">
            <v>1024</v>
          </cell>
          <cell r="F230">
            <v>1.26953125</v>
          </cell>
          <cell r="H230">
            <v>104.00256839848284</v>
          </cell>
          <cell r="I230">
            <v>89.924121612179775</v>
          </cell>
          <cell r="J230">
            <v>75.831438409503207</v>
          </cell>
          <cell r="K230">
            <v>113.15582790216979</v>
          </cell>
          <cell r="L230">
            <v>80.093986423878306</v>
          </cell>
          <cell r="M230">
            <v>46.022912081663975</v>
          </cell>
          <cell r="N230">
            <v>48.440090078810329</v>
          </cell>
          <cell r="O230">
            <v>70.164297742027202</v>
          </cell>
          <cell r="P230">
            <v>34.618957098750521</v>
          </cell>
          <cell r="Q230">
            <v>47.684738578019356</v>
          </cell>
          <cell r="R230">
            <v>68.444616074378615</v>
          </cell>
          <cell r="T230">
            <v>69.593462316241968</v>
          </cell>
          <cell r="U230">
            <v>68.677037535700549</v>
          </cell>
          <cell r="V230">
            <v>70.164297742027202</v>
          </cell>
          <cell r="X230">
            <v>65.693332211136067</v>
          </cell>
          <cell r="Z230">
            <v>65.632278977593145</v>
          </cell>
          <cell r="AA230">
            <v>12.376031522827013</v>
          </cell>
          <cell r="AB230">
            <v>146.90741842411114</v>
          </cell>
          <cell r="AC230">
            <v>53.256247454766132</v>
          </cell>
          <cell r="AD230">
            <v>81.275139446517997</v>
          </cell>
        </row>
        <row r="231">
          <cell r="A231" t="str">
            <v>CGI011-qtz08-CL-fit-5-offset</v>
          </cell>
          <cell r="B231">
            <v>750</v>
          </cell>
          <cell r="C231">
            <v>8.0537892000481889E-22</v>
          </cell>
          <cell r="D231">
            <v>1300</v>
          </cell>
          <cell r="E231">
            <v>1024</v>
          </cell>
          <cell r="F231">
            <v>1.26953125</v>
          </cell>
          <cell r="H231">
            <v>208.85436954386466</v>
          </cell>
          <cell r="I231">
            <v>248.3714181464041</v>
          </cell>
          <cell r="J231">
            <v>336.12062295572304</v>
          </cell>
          <cell r="K231">
            <v>395.4481667497119</v>
          </cell>
          <cell r="L231">
            <v>456.91165623223742</v>
          </cell>
          <cell r="M231">
            <v>402.84420984155605</v>
          </cell>
          <cell r="N231">
            <v>239.17293763226871</v>
          </cell>
          <cell r="O231">
            <v>349.65286764069231</v>
          </cell>
          <cell r="P231">
            <v>360.02569459955868</v>
          </cell>
          <cell r="Q231">
            <v>229.43300247522865</v>
          </cell>
          <cell r="R231">
            <v>335.85581324546234</v>
          </cell>
          <cell r="T231">
            <v>307.83072201380526</v>
          </cell>
          <cell r="U231">
            <v>319.07547864961401</v>
          </cell>
          <cell r="V231">
            <v>336.12062295572304</v>
          </cell>
          <cell r="X231">
            <v>295.19797578598462</v>
          </cell>
          <cell r="Z231">
            <v>304.89271245156323</v>
          </cell>
          <cell r="AA231">
            <v>164.23237688523847</v>
          </cell>
          <cell r="AB231">
            <v>525.02473513897417</v>
          </cell>
          <cell r="AC231">
            <v>140.66033556632476</v>
          </cell>
          <cell r="AD231">
            <v>220.13202268741094</v>
          </cell>
        </row>
        <row r="232">
          <cell r="A232" t="str">
            <v>CGI011-qtz09-CL-fit-1-offset</v>
          </cell>
          <cell r="B232">
            <v>750</v>
          </cell>
          <cell r="C232">
            <v>8.0537892000481889E-22</v>
          </cell>
          <cell r="D232">
            <v>1100</v>
          </cell>
          <cell r="E232">
            <v>1024</v>
          </cell>
          <cell r="F232">
            <v>1.07421875</v>
          </cell>
          <cell r="H232">
            <v>145.53493921780844</v>
          </cell>
          <cell r="I232">
            <v>167.63139171647808</v>
          </cell>
          <cell r="J232">
            <v>124.50748067496443</v>
          </cell>
          <cell r="K232">
            <v>0</v>
          </cell>
          <cell r="L232">
            <v>324.00533194767053</v>
          </cell>
          <cell r="M232">
            <v>314.074735555735</v>
          </cell>
          <cell r="N232">
            <v>8.0259349695952373</v>
          </cell>
          <cell r="O232">
            <v>31.621184735841105</v>
          </cell>
          <cell r="P232">
            <v>467.58866940089678</v>
          </cell>
          <cell r="Q232">
            <v>409.61950807112561</v>
          </cell>
          <cell r="R232">
            <v>242.01201181435997</v>
          </cell>
          <cell r="T232">
            <v>192.87366785932636</v>
          </cell>
          <cell r="U232">
            <v>189.79886026475245</v>
          </cell>
          <cell r="V232">
            <v>203.11935394047757</v>
          </cell>
          <cell r="X232">
            <v>178.10488409294155</v>
          </cell>
          <cell r="Z232">
            <v>199.01839981287117</v>
          </cell>
          <cell r="AA232">
            <v>1.3839299723776863</v>
          </cell>
          <cell r="AB232">
            <v>944.86447826114113</v>
          </cell>
          <cell r="AC232">
            <v>197.63446984049347</v>
          </cell>
          <cell r="AD232">
            <v>745.84607844826996</v>
          </cell>
        </row>
        <row r="233">
          <cell r="A233" t="str">
            <v>CGI011-qtz09-CL-fit-2-offset</v>
          </cell>
          <cell r="B233">
            <v>750</v>
          </cell>
          <cell r="C233">
            <v>8.0537892000481889E-22</v>
          </cell>
          <cell r="D233">
            <v>1100</v>
          </cell>
          <cell r="E233">
            <v>1024</v>
          </cell>
          <cell r="F233">
            <v>1.07421875</v>
          </cell>
          <cell r="H233">
            <v>830.33620332299313</v>
          </cell>
          <cell r="I233">
            <v>503.51498472259169</v>
          </cell>
          <cell r="J233">
            <v>763.47598429336188</v>
          </cell>
          <cell r="K233">
            <v>275.58353819004901</v>
          </cell>
          <cell r="L233">
            <v>522.80148783389757</v>
          </cell>
          <cell r="M233">
            <v>249.6053962615222</v>
          </cell>
          <cell r="N233">
            <v>356.56260735131298</v>
          </cell>
          <cell r="O233">
            <v>486.16177492511332</v>
          </cell>
          <cell r="P233">
            <v>433.87166643825321</v>
          </cell>
          <cell r="Q233">
            <v>146.3142945852268</v>
          </cell>
          <cell r="R233">
            <v>0</v>
          </cell>
          <cell r="T233">
            <v>421.80805011032629</v>
          </cell>
          <cell r="U233">
            <v>432.67246130124568</v>
          </cell>
          <cell r="V233">
            <v>459.64493160364043</v>
          </cell>
          <cell r="X233">
            <v>391.76101504614871</v>
          </cell>
          <cell r="Z233">
            <v>438.92693766106675</v>
          </cell>
          <cell r="AA233">
            <v>150.75944311580622</v>
          </cell>
          <cell r="AB233">
            <v>1197.4405703366385</v>
          </cell>
          <cell r="AC233">
            <v>288.16749454526052</v>
          </cell>
          <cell r="AD233">
            <v>758.51363267557178</v>
          </cell>
        </row>
        <row r="234">
          <cell r="A234" t="str">
            <v>CGI011-qtz09-CL-fit-3-offset</v>
          </cell>
          <cell r="B234">
            <v>750</v>
          </cell>
          <cell r="C234">
            <v>8.0537892000481889E-22</v>
          </cell>
          <cell r="D234">
            <v>1100</v>
          </cell>
          <cell r="E234">
            <v>1024</v>
          </cell>
          <cell r="F234">
            <v>1.07421875</v>
          </cell>
          <cell r="H234">
            <v>299.66714276629779</v>
          </cell>
          <cell r="I234">
            <v>501.92361171713264</v>
          </cell>
          <cell r="J234">
            <v>147.89455868600544</v>
          </cell>
          <cell r="K234">
            <v>216.78232017014477</v>
          </cell>
          <cell r="L234">
            <v>189.92167656331284</v>
          </cell>
          <cell r="M234">
            <v>132.1042316220836</v>
          </cell>
          <cell r="N234">
            <v>332.77691667124628</v>
          </cell>
          <cell r="O234">
            <v>186.7125092989173</v>
          </cell>
          <cell r="P234">
            <v>157.01517621213821</v>
          </cell>
          <cell r="Q234">
            <v>160.51320568302899</v>
          </cell>
          <cell r="R234">
            <v>189.57648669404551</v>
          </cell>
          <cell r="T234">
            <v>214.80586359796487</v>
          </cell>
          <cell r="U234">
            <v>218.90336932581721</v>
          </cell>
          <cell r="V234">
            <v>189.57648669404551</v>
          </cell>
          <cell r="X234">
            <v>211.03464054826867</v>
          </cell>
          <cell r="Z234">
            <v>215.71726190694997</v>
          </cell>
          <cell r="AA234">
            <v>100.51243228276951</v>
          </cell>
          <cell r="AB234">
            <v>446.86756828487302</v>
          </cell>
          <cell r="AC234">
            <v>115.20482962418046</v>
          </cell>
          <cell r="AD234">
            <v>231.15030637792304</v>
          </cell>
        </row>
        <row r="235">
          <cell r="A235" t="str">
            <v>CGI011-qtz09-CL-fit-4-offset</v>
          </cell>
          <cell r="B235">
            <v>750</v>
          </cell>
          <cell r="C235">
            <v>8.0537892000481889E-22</v>
          </cell>
          <cell r="D235">
            <v>1100</v>
          </cell>
          <cell r="E235">
            <v>1024</v>
          </cell>
          <cell r="F235">
            <v>1.07421875</v>
          </cell>
          <cell r="H235">
            <v>225.31257650394562</v>
          </cell>
          <cell r="I235">
            <v>85.449314492730736</v>
          </cell>
          <cell r="J235">
            <v>31.472633023110241</v>
          </cell>
          <cell r="K235">
            <v>101.78398165951228</v>
          </cell>
          <cell r="L235">
            <v>36.8259023615148</v>
          </cell>
          <cell r="M235">
            <v>145.44231769091195</v>
          </cell>
          <cell r="N235">
            <v>95.00376884809836</v>
          </cell>
          <cell r="O235">
            <v>222.85715886156106</v>
          </cell>
          <cell r="P235">
            <v>340.0785195293812</v>
          </cell>
          <cell r="Q235">
            <v>73.028823433749693</v>
          </cell>
          <cell r="R235">
            <v>79.834763114370887</v>
          </cell>
          <cell r="T235">
            <v>114.88641794294671</v>
          </cell>
          <cell r="U235">
            <v>116.402239779037</v>
          </cell>
          <cell r="V235">
            <v>95.00376884809836</v>
          </cell>
          <cell r="X235">
            <v>113.67854009216592</v>
          </cell>
          <cell r="Z235">
            <v>111.1801418270265</v>
          </cell>
          <cell r="AA235">
            <v>16.136380659349506</v>
          </cell>
          <cell r="AB235">
            <v>258.6038269962034</v>
          </cell>
          <cell r="AC235">
            <v>95.04376116767699</v>
          </cell>
          <cell r="AD235">
            <v>147.42368516917691</v>
          </cell>
        </row>
        <row r="236">
          <cell r="A236" t="str">
            <v>CGI011-qtz11-CL-fit-1-offset</v>
          </cell>
          <cell r="B236">
            <v>750</v>
          </cell>
          <cell r="C236">
            <v>8.0537892000481889E-22</v>
          </cell>
          <cell r="D236">
            <v>1600</v>
          </cell>
          <cell r="E236">
            <v>1024</v>
          </cell>
          <cell r="F236">
            <v>1.5625</v>
          </cell>
          <cell r="H236">
            <v>606.02232099101525</v>
          </cell>
          <cell r="I236">
            <v>781.75101012319487</v>
          </cell>
          <cell r="J236">
            <v>875.37778558985212</v>
          </cell>
          <cell r="K236">
            <v>1379.9440818098631</v>
          </cell>
          <cell r="L236">
            <v>1492.7212609795049</v>
          </cell>
          <cell r="M236">
            <v>1395.0093418805816</v>
          </cell>
          <cell r="N236">
            <v>1927.6753521045139</v>
          </cell>
          <cell r="O236">
            <v>1865.0748283815176</v>
          </cell>
          <cell r="P236">
            <v>1920.2332432801534</v>
          </cell>
          <cell r="Q236">
            <v>2198.5037486609822</v>
          </cell>
          <cell r="R236">
            <v>1476.6112996377103</v>
          </cell>
          <cell r="T236">
            <v>1334.4568167029622</v>
          </cell>
          <cell r="U236">
            <v>1399.606536501952</v>
          </cell>
          <cell r="V236">
            <v>1476.6112996377103</v>
          </cell>
          <cell r="X236">
            <v>1318.8952988536698</v>
          </cell>
          <cell r="Z236">
            <v>1327.6239732074926</v>
          </cell>
          <cell r="AA236">
            <v>836.81523585813363</v>
          </cell>
          <cell r="AB236">
            <v>1940.3541939678244</v>
          </cell>
          <cell r="AC236">
            <v>490.80873734935892</v>
          </cell>
          <cell r="AD236">
            <v>612.7302207603318</v>
          </cell>
        </row>
        <row r="237">
          <cell r="A237" t="str">
            <v>CGI011-qtz11-CL-fit-2-offset</v>
          </cell>
          <cell r="B237">
            <v>750</v>
          </cell>
          <cell r="C237">
            <v>8.0537892000481889E-22</v>
          </cell>
          <cell r="D237">
            <v>1600</v>
          </cell>
          <cell r="E237">
            <v>1024</v>
          </cell>
          <cell r="F237">
            <v>1.5625</v>
          </cell>
          <cell r="H237">
            <v>1083.4255454373581</v>
          </cell>
          <cell r="I237">
            <v>595.8437848709541</v>
          </cell>
          <cell r="J237">
            <v>691.49703208024278</v>
          </cell>
          <cell r="K237">
            <v>806.20089957083951</v>
          </cell>
          <cell r="L237">
            <v>801.70505215138189</v>
          </cell>
          <cell r="M237">
            <v>679.33576663474435</v>
          </cell>
          <cell r="N237">
            <v>695.03851757458517</v>
          </cell>
          <cell r="O237">
            <v>522.00255544764252</v>
          </cell>
          <cell r="P237">
            <v>720.89280715861014</v>
          </cell>
          <cell r="Q237">
            <v>648.09725852407473</v>
          </cell>
          <cell r="R237">
            <v>761.37178706637155</v>
          </cell>
          <cell r="T237">
            <v>721.412480089057</v>
          </cell>
          <cell r="U237">
            <v>721.67910273126483</v>
          </cell>
          <cell r="V237">
            <v>695.03851757458517</v>
          </cell>
          <cell r="X237">
            <v>734.8387752388187</v>
          </cell>
          <cell r="Z237">
            <v>730.56117725617003</v>
          </cell>
          <cell r="AA237">
            <v>516.15436018805997</v>
          </cell>
          <cell r="AB237">
            <v>990.98900830554794</v>
          </cell>
          <cell r="AC237">
            <v>214.40681706811006</v>
          </cell>
          <cell r="AD237">
            <v>260.42783104937791</v>
          </cell>
        </row>
        <row r="238">
          <cell r="A238" t="str">
            <v>CGI011-qtz11-CL-fit-3-offset</v>
          </cell>
          <cell r="B238">
            <v>750</v>
          </cell>
          <cell r="C238">
            <v>8.0537892000481889E-22</v>
          </cell>
          <cell r="D238">
            <v>1600</v>
          </cell>
          <cell r="E238">
            <v>1024</v>
          </cell>
          <cell r="F238">
            <v>1.5625</v>
          </cell>
          <cell r="H238">
            <v>587.1172515586029</v>
          </cell>
          <cell r="I238">
            <v>386.54508872569346</v>
          </cell>
          <cell r="J238">
            <v>475.38874156942586</v>
          </cell>
          <cell r="K238">
            <v>360.14408067899001</v>
          </cell>
          <cell r="L238">
            <v>422.52306854858017</v>
          </cell>
          <cell r="M238">
            <v>454.7683807688698</v>
          </cell>
          <cell r="N238">
            <v>500.45824022123861</v>
          </cell>
          <cell r="O238">
            <v>484.24446989393959</v>
          </cell>
          <cell r="P238">
            <v>255.07119045122141</v>
          </cell>
          <cell r="Q238">
            <v>387.72321126464425</v>
          </cell>
          <cell r="R238">
            <v>333.34682683770757</v>
          </cell>
          <cell r="T238">
            <v>432.68793310057197</v>
          </cell>
          <cell r="U238">
            <v>417.82591607300844</v>
          </cell>
          <cell r="V238">
            <v>422.52306854858017</v>
          </cell>
          <cell r="X238">
            <v>438.53277679983313</v>
          </cell>
          <cell r="Z238">
            <v>434.28217021080451</v>
          </cell>
          <cell r="AA238">
            <v>231.52415121845661</v>
          </cell>
          <cell r="AB238">
            <v>708.007571278976</v>
          </cell>
          <cell r="AC238">
            <v>202.7580189923479</v>
          </cell>
          <cell r="AD238">
            <v>273.72540106817149</v>
          </cell>
        </row>
        <row r="239">
          <cell r="A239" t="str">
            <v>CGI011-qtz11-CL-fit-4-offset</v>
          </cell>
          <cell r="B239">
            <v>750</v>
          </cell>
          <cell r="C239">
            <v>8.0537892000481889E-22</v>
          </cell>
          <cell r="D239">
            <v>1600</v>
          </cell>
          <cell r="E239">
            <v>1024</v>
          </cell>
          <cell r="F239">
            <v>1.5625</v>
          </cell>
          <cell r="H239">
            <v>207.3303942023054</v>
          </cell>
          <cell r="I239">
            <v>171.83553027526119</v>
          </cell>
          <cell r="J239">
            <v>152.96171491798984</v>
          </cell>
          <cell r="K239">
            <v>165.91757478476251</v>
          </cell>
          <cell r="L239">
            <v>22.703053479239358</v>
          </cell>
          <cell r="M239">
            <v>9.0669402130937318</v>
          </cell>
          <cell r="N239">
            <v>40.939347748441428</v>
          </cell>
          <cell r="O239">
            <v>82.466515163452868</v>
          </cell>
          <cell r="P239">
            <v>138.81122949391948</v>
          </cell>
          <cell r="Q239">
            <v>117.6167514460447</v>
          </cell>
          <cell r="R239">
            <v>116.53228497385125</v>
          </cell>
          <cell r="T239">
            <v>103.93154682136209</v>
          </cell>
          <cell r="U239">
            <v>98.97283961609557</v>
          </cell>
          <cell r="V239">
            <v>117.6167514460447</v>
          </cell>
          <cell r="X239">
            <v>88.978057762095602</v>
          </cell>
          <cell r="Z239">
            <v>83.436132711881513</v>
          </cell>
          <cell r="AA239">
            <v>9.4281706148117195</v>
          </cell>
          <cell r="AB239">
            <v>208.05319952465052</v>
          </cell>
          <cell r="AC239">
            <v>74.007962097069793</v>
          </cell>
          <cell r="AD239">
            <v>124.61706681276901</v>
          </cell>
        </row>
        <row r="240">
          <cell r="A240" t="str">
            <v>CGI011-qtz12-CL-fit-1-offset</v>
          </cell>
          <cell r="B240">
            <v>750</v>
          </cell>
          <cell r="C240">
            <v>8.0537892000481889E-22</v>
          </cell>
          <cell r="D240">
            <v>1550</v>
          </cell>
          <cell r="E240">
            <v>1024</v>
          </cell>
          <cell r="F240">
            <v>1.513671875</v>
          </cell>
          <cell r="H240">
            <v>782.04827624480777</v>
          </cell>
          <cell r="I240">
            <v>398.35889529804814</v>
          </cell>
          <cell r="J240">
            <v>444.93528155439355</v>
          </cell>
          <cell r="K240">
            <v>379.635618045179</v>
          </cell>
          <cell r="L240">
            <v>453.49823256728831</v>
          </cell>
          <cell r="M240">
            <v>359.52348412063321</v>
          </cell>
          <cell r="N240">
            <v>525.42271243803589</v>
          </cell>
          <cell r="O240">
            <v>388.68554013740334</v>
          </cell>
          <cell r="P240">
            <v>1410.1392210676927</v>
          </cell>
          <cell r="Q240">
            <v>918.72816348449453</v>
          </cell>
          <cell r="R240">
            <v>772.51201083571834</v>
          </cell>
          <cell r="T240">
            <v>562.33232957171037</v>
          </cell>
          <cell r="U240">
            <v>589.39501172788869</v>
          </cell>
          <cell r="V240">
            <v>453.49823256728831</v>
          </cell>
          <cell r="X240">
            <v>541.67658272340987</v>
          </cell>
          <cell r="Z240">
            <v>576.13989240011006</v>
          </cell>
          <cell r="AA240">
            <v>210.17355628234969</v>
          </cell>
          <cell r="AB240">
            <v>1093.2814582906631</v>
          </cell>
          <cell r="AC240">
            <v>365.96633611776036</v>
          </cell>
          <cell r="AD240">
            <v>517.14156589055301</v>
          </cell>
        </row>
        <row r="241">
          <cell r="A241" t="str">
            <v>CGI011-qtz12-CL-fit-2-offset</v>
          </cell>
          <cell r="B241">
            <v>750</v>
          </cell>
          <cell r="C241">
            <v>8.0537892000481889E-22</v>
          </cell>
          <cell r="D241">
            <v>1550</v>
          </cell>
          <cell r="E241">
            <v>1024</v>
          </cell>
          <cell r="F241">
            <v>1.513671875</v>
          </cell>
          <cell r="H241">
            <v>790.10559826875419</v>
          </cell>
          <cell r="I241">
            <v>587.80012611657708</v>
          </cell>
          <cell r="J241">
            <v>989.43758603701167</v>
          </cell>
          <cell r="K241">
            <v>531.47438431037506</v>
          </cell>
          <cell r="L241">
            <v>862.95752080682632</v>
          </cell>
          <cell r="M241">
            <v>771.93060268752618</v>
          </cell>
          <cell r="N241">
            <v>802.51344122535545</v>
          </cell>
          <cell r="O241">
            <v>1050.0768729337797</v>
          </cell>
          <cell r="P241">
            <v>500.77394642865539</v>
          </cell>
          <cell r="Q241">
            <v>806.16258428795709</v>
          </cell>
          <cell r="R241">
            <v>469.12857099617554</v>
          </cell>
          <cell r="T241">
            <v>713.6802179093113</v>
          </cell>
          <cell r="U241">
            <v>729.91413734674848</v>
          </cell>
          <cell r="V241">
            <v>790.10559826875419</v>
          </cell>
          <cell r="X241">
            <v>700.46040956587331</v>
          </cell>
          <cell r="Z241">
            <v>705.15059127326651</v>
          </cell>
          <cell r="AA241">
            <v>445.64634994683155</v>
          </cell>
          <cell r="AB241">
            <v>1183.4446329697339</v>
          </cell>
          <cell r="AC241">
            <v>259.50424132643496</v>
          </cell>
          <cell r="AD241">
            <v>478.29404169646739</v>
          </cell>
        </row>
        <row r="242">
          <cell r="A242" t="str">
            <v>CGI011-qtz12-CL-fit-3-offset</v>
          </cell>
          <cell r="B242">
            <v>750</v>
          </cell>
          <cell r="C242">
            <v>8.0537892000481889E-22</v>
          </cell>
          <cell r="D242">
            <v>1550</v>
          </cell>
          <cell r="E242">
            <v>1024</v>
          </cell>
          <cell r="F242">
            <v>1.513671875</v>
          </cell>
          <cell r="H242">
            <v>0</v>
          </cell>
          <cell r="I242">
            <v>629.94719188104136</v>
          </cell>
          <cell r="J242">
            <v>788.70166426658045</v>
          </cell>
          <cell r="K242">
            <v>294.10710507174969</v>
          </cell>
          <cell r="L242">
            <v>433.21651811902848</v>
          </cell>
          <cell r="M242">
            <v>470.16695388780181</v>
          </cell>
          <cell r="N242">
            <v>361.27739370679677</v>
          </cell>
          <cell r="O242">
            <v>564.69990888903328</v>
          </cell>
          <cell r="P242">
            <v>434.69474172510689</v>
          </cell>
          <cell r="Q242">
            <v>780.35870784665008</v>
          </cell>
          <cell r="R242">
            <v>475.90914561758228</v>
          </cell>
          <cell r="T242">
            <v>543.98712768202734</v>
          </cell>
          <cell r="U242">
            <v>511.66264306346284</v>
          </cell>
          <cell r="V242">
            <v>473.03369319649732</v>
          </cell>
          <cell r="X242">
            <v>519.51925106013664</v>
          </cell>
          <cell r="Z242">
            <v>512.17711318168688</v>
          </cell>
          <cell r="AA242">
            <v>231.69133076180515</v>
          </cell>
          <cell r="AB242">
            <v>958.65479207628232</v>
          </cell>
          <cell r="AC242">
            <v>280.48578241988173</v>
          </cell>
          <cell r="AD242">
            <v>446.47767889459544</v>
          </cell>
        </row>
        <row r="243">
          <cell r="A243" t="str">
            <v>CGI011-qtz12-CL-fit-4-offset</v>
          </cell>
          <cell r="B243">
            <v>750</v>
          </cell>
          <cell r="C243">
            <v>8.0537892000481889E-22</v>
          </cell>
          <cell r="D243">
            <v>1550</v>
          </cell>
          <cell r="E243">
            <v>1024</v>
          </cell>
          <cell r="F243">
            <v>1.513671875</v>
          </cell>
          <cell r="H243">
            <v>197.86312458797426</v>
          </cell>
          <cell r="I243">
            <v>227.93410741829862</v>
          </cell>
          <cell r="J243">
            <v>445.36727307237982</v>
          </cell>
          <cell r="K243">
            <v>336.36600783377469</v>
          </cell>
          <cell r="L243">
            <v>293.49677559556073</v>
          </cell>
          <cell r="M243">
            <v>263.08906051119192</v>
          </cell>
          <cell r="N243">
            <v>218.83844906297563</v>
          </cell>
          <cell r="O243">
            <v>308.13718004369878</v>
          </cell>
          <cell r="P243">
            <v>476.30676891116116</v>
          </cell>
          <cell r="Q243">
            <v>373.75155335288173</v>
          </cell>
          <cell r="R243">
            <v>272.13734479321562</v>
          </cell>
          <cell r="T243">
            <v>294.29717612324373</v>
          </cell>
          <cell r="U243">
            <v>304.53539607543092</v>
          </cell>
          <cell r="V243">
            <v>293.49677559556073</v>
          </cell>
          <cell r="X243">
            <v>296.43183134491022</v>
          </cell>
          <cell r="Z243">
            <v>307.11788031197125</v>
          </cell>
          <cell r="AA243">
            <v>163.80766267693252</v>
          </cell>
          <cell r="AB243">
            <v>528.10707398394209</v>
          </cell>
          <cell r="AC243">
            <v>143.31021763503873</v>
          </cell>
          <cell r="AD243">
            <v>220.98919367197084</v>
          </cell>
        </row>
        <row r="244">
          <cell r="A244" t="str">
            <v>CGI014-qtz01-CL-fit-1-offset</v>
          </cell>
          <cell r="B244">
            <v>750</v>
          </cell>
          <cell r="C244">
            <v>8.0537892000481889E-22</v>
          </cell>
          <cell r="D244">
            <v>1600</v>
          </cell>
          <cell r="E244">
            <v>1024</v>
          </cell>
          <cell r="F244">
            <v>1.5625</v>
          </cell>
          <cell r="H244">
            <v>9.1982243225896015E-2</v>
          </cell>
          <cell r="I244">
            <v>666.79212082454865</v>
          </cell>
          <cell r="J244">
            <v>853.24599781828863</v>
          </cell>
          <cell r="K244">
            <v>43.938190140567713</v>
          </cell>
          <cell r="L244">
            <v>167.36716362894424</v>
          </cell>
          <cell r="M244">
            <v>42.170972504913244</v>
          </cell>
          <cell r="N244">
            <v>319.81503741773088</v>
          </cell>
          <cell r="O244">
            <v>2.4472776098301979E-4</v>
          </cell>
          <cell r="P244">
            <v>178.27592879274809</v>
          </cell>
          <cell r="Q244">
            <v>0.13894109593459872</v>
          </cell>
          <cell r="R244">
            <v>250.33144324131567</v>
          </cell>
          <cell r="T244">
            <v>151.04912650881113</v>
          </cell>
          <cell r="U244">
            <v>137.19045884225554</v>
          </cell>
          <cell r="V244">
            <v>167.36716362894424</v>
          </cell>
          <cell r="X244">
            <v>125.2037972569988</v>
          </cell>
          <cell r="Z244">
            <v>206.59665961485643</v>
          </cell>
          <cell r="AA244">
            <v>3.0604645089990865E-3</v>
          </cell>
          <cell r="AB244">
            <v>3204.511769728842</v>
          </cell>
          <cell r="AC244">
            <v>206.59359915034744</v>
          </cell>
          <cell r="AD244">
            <v>2997.9151101139855</v>
          </cell>
        </row>
        <row r="245">
          <cell r="A245" t="str">
            <v>CGI014-qtz01-CL-fit-2-offset</v>
          </cell>
          <cell r="B245">
            <v>750</v>
          </cell>
          <cell r="C245">
            <v>8.0537892000481889E-22</v>
          </cell>
          <cell r="D245">
            <v>1600</v>
          </cell>
          <cell r="E245">
            <v>1024</v>
          </cell>
          <cell r="F245">
            <v>1.5625</v>
          </cell>
          <cell r="H245">
            <v>1.2821695045259249</v>
          </cell>
          <cell r="I245">
            <v>1.4006454422677053</v>
          </cell>
          <cell r="J245">
            <v>41.500852827339536</v>
          </cell>
          <cell r="K245">
            <v>0.27946518167788609</v>
          </cell>
          <cell r="L245">
            <v>1.3959031434750706</v>
          </cell>
          <cell r="M245">
            <v>37.397416027363768</v>
          </cell>
          <cell r="N245">
            <v>27.882234415419717</v>
          </cell>
          <cell r="O245">
            <v>1.2238735008699315</v>
          </cell>
          <cell r="P245">
            <v>36.452745641004846</v>
          </cell>
          <cell r="Q245">
            <v>1.0185680380855346</v>
          </cell>
          <cell r="R245">
            <v>160.4935019948089</v>
          </cell>
          <cell r="T245">
            <v>1.5945183651781865</v>
          </cell>
          <cell r="U245">
            <v>15.058287839670585</v>
          </cell>
          <cell r="V245">
            <v>1.4006454422677053</v>
          </cell>
          <cell r="X245">
            <v>6.7489338454310692</v>
          </cell>
          <cell r="Z245">
            <v>20.556500893353537</v>
          </cell>
          <cell r="AA245">
            <v>1.0144818425542802E-11</v>
          </cell>
          <cell r="AB245">
            <v>379.1410260601906</v>
          </cell>
          <cell r="AC245">
            <v>20.55650089334339</v>
          </cell>
          <cell r="AD245">
            <v>358.58452516683707</v>
          </cell>
        </row>
        <row r="246">
          <cell r="A246" t="str">
            <v>CGI014-qtz02-CL-fit-1-offset</v>
          </cell>
          <cell r="B246">
            <v>750</v>
          </cell>
          <cell r="C246">
            <v>8.0537892000481889E-22</v>
          </cell>
          <cell r="D246">
            <v>2000</v>
          </cell>
          <cell r="E246">
            <v>1024</v>
          </cell>
          <cell r="F246">
            <v>1.953125</v>
          </cell>
          <cell r="H246">
            <v>529.05382786647726</v>
          </cell>
          <cell r="I246">
            <v>709.81042892339872</v>
          </cell>
          <cell r="J246">
            <v>671.30456551219743</v>
          </cell>
          <cell r="K246">
            <v>413.85837699719383</v>
          </cell>
          <cell r="L246">
            <v>802.61229558786613</v>
          </cell>
          <cell r="M246">
            <v>731.37345702801247</v>
          </cell>
          <cell r="N246">
            <v>655.04747669329583</v>
          </cell>
          <cell r="O246">
            <v>804.66869645127304</v>
          </cell>
          <cell r="P246">
            <v>595.78345304476909</v>
          </cell>
          <cell r="Q246">
            <v>292.90554416240798</v>
          </cell>
          <cell r="R246">
            <v>526.57738750534429</v>
          </cell>
          <cell r="T246">
            <v>583.93100904884272</v>
          </cell>
          <cell r="U246">
            <v>601.14941860985584</v>
          </cell>
          <cell r="V246">
            <v>655.04747669329583</v>
          </cell>
          <cell r="X246">
            <v>585.05638387753481</v>
          </cell>
          <cell r="Z246">
            <v>598.81374628857259</v>
          </cell>
          <cell r="AA246">
            <v>321.82777465852945</v>
          </cell>
          <cell r="AB246">
            <v>969.79097904244577</v>
          </cell>
          <cell r="AC246">
            <v>276.98597163004314</v>
          </cell>
          <cell r="AD246">
            <v>370.97723275387318</v>
          </cell>
        </row>
        <row r="247">
          <cell r="A247" t="str">
            <v>CGI014-qtz02-CL-fit-2-offset</v>
          </cell>
          <cell r="B247">
            <v>750</v>
          </cell>
          <cell r="C247">
            <v>8.0537892000481889E-22</v>
          </cell>
          <cell r="D247">
            <v>2000</v>
          </cell>
          <cell r="E247">
            <v>1024</v>
          </cell>
          <cell r="F247">
            <v>1.953125</v>
          </cell>
          <cell r="H247">
            <v>343.00252902810541</v>
          </cell>
          <cell r="I247">
            <v>67.350096858989673</v>
          </cell>
          <cell r="J247">
            <v>189.60588854152607</v>
          </cell>
          <cell r="K247">
            <v>429.68794184005742</v>
          </cell>
          <cell r="L247">
            <v>67.112049556395306</v>
          </cell>
          <cell r="M247">
            <v>147.17188717996515</v>
          </cell>
          <cell r="N247">
            <v>27.22440501613416</v>
          </cell>
          <cell r="O247">
            <v>102.31839149225344</v>
          </cell>
          <cell r="P247">
            <v>230.63035138073525</v>
          </cell>
          <cell r="Q247">
            <v>114.88812964678641</v>
          </cell>
          <cell r="R247">
            <v>60.70257146581428</v>
          </cell>
          <cell r="T247">
            <v>114.22950556017365</v>
          </cell>
          <cell r="U247">
            <v>140.91542696277955</v>
          </cell>
          <cell r="V247">
            <v>114.88812964678641</v>
          </cell>
          <cell r="X247">
            <v>118.62368175012168</v>
          </cell>
          <cell r="Z247">
            <v>132.73845132303202</v>
          </cell>
          <cell r="AA247">
            <v>16.202582211324451</v>
          </cell>
          <cell r="AB247">
            <v>588.46683026981532</v>
          </cell>
          <cell r="AC247">
            <v>116.53586911170757</v>
          </cell>
          <cell r="AD247">
            <v>455.72837894678332</v>
          </cell>
        </row>
        <row r="248">
          <cell r="A248" t="str">
            <v>CGI014-qtz02-CL-fit-3-offset</v>
          </cell>
          <cell r="B248">
            <v>750</v>
          </cell>
          <cell r="C248">
            <v>8.0537892000481889E-22</v>
          </cell>
          <cell r="D248">
            <v>2000</v>
          </cell>
          <cell r="E248">
            <v>1024</v>
          </cell>
          <cell r="F248">
            <v>1.953125</v>
          </cell>
          <cell r="H248">
            <v>151.36274661167533</v>
          </cell>
          <cell r="I248">
            <v>68.28663885308805</v>
          </cell>
          <cell r="J248">
            <v>128.58472470250581</v>
          </cell>
          <cell r="K248">
            <v>19.647849954188381</v>
          </cell>
          <cell r="L248">
            <v>200.19338921818542</v>
          </cell>
          <cell r="M248">
            <v>14.357192030289797</v>
          </cell>
          <cell r="N248">
            <v>30.62543684992626</v>
          </cell>
          <cell r="O248">
            <v>0.14234559030635463</v>
          </cell>
          <cell r="P248">
            <v>0.7920894383209689</v>
          </cell>
          <cell r="Q248">
            <v>29.418234763821655</v>
          </cell>
          <cell r="R248">
            <v>21.097687154082422</v>
          </cell>
          <cell r="T248">
            <v>32.771910646542224</v>
          </cell>
          <cell r="U248">
            <v>41.772820375008273</v>
          </cell>
          <cell r="V248">
            <v>29.418234763821655</v>
          </cell>
          <cell r="X248">
            <v>29.687551183558259</v>
          </cell>
          <cell r="Z248">
            <v>49.860069946494157</v>
          </cell>
          <cell r="AA248">
            <v>1.3429039733603303</v>
          </cell>
          <cell r="AB248">
            <v>444.88194995469883</v>
          </cell>
          <cell r="AC248">
            <v>48.517165973133828</v>
          </cell>
          <cell r="AD248">
            <v>395.02188000820468</v>
          </cell>
        </row>
        <row r="249">
          <cell r="A249" t="str">
            <v>CGI014-qtz02-CL-fit-4-offset</v>
          </cell>
          <cell r="B249">
            <v>750</v>
          </cell>
          <cell r="C249">
            <v>8.0537892000481889E-22</v>
          </cell>
          <cell r="D249">
            <v>2000</v>
          </cell>
          <cell r="E249">
            <v>1024</v>
          </cell>
          <cell r="F249">
            <v>1.953125</v>
          </cell>
          <cell r="H249">
            <v>0.89490012589751511</v>
          </cell>
          <cell r="I249">
            <v>33.115877608586388</v>
          </cell>
          <cell r="J249">
            <v>0.23526014499983539</v>
          </cell>
          <cell r="K249">
            <v>0.78716679641032172</v>
          </cell>
          <cell r="L249">
            <v>0.11080672389575674</v>
          </cell>
          <cell r="M249">
            <v>0.93440260837833911</v>
          </cell>
          <cell r="N249">
            <v>2.2594764280623352</v>
          </cell>
          <cell r="O249">
            <v>29.81193659746889</v>
          </cell>
          <cell r="P249">
            <v>9.5590871865490925</v>
          </cell>
          <cell r="Q249">
            <v>5.9629661165708701</v>
          </cell>
          <cell r="R249">
            <v>12.273649487255835</v>
          </cell>
          <cell r="T249">
            <v>10.794290306364266</v>
          </cell>
          <cell r="U249">
            <v>5.3204338565466571</v>
          </cell>
          <cell r="V249">
            <v>2.2594764280623352</v>
          </cell>
          <cell r="X249">
            <v>2.5945031091162289</v>
          </cell>
          <cell r="Z249">
            <v>6.1824682233695016</v>
          </cell>
          <cell r="AA249">
            <v>7.343536060664217E-3</v>
          </cell>
          <cell r="AB249">
            <v>42.615373700865533</v>
          </cell>
          <cell r="AC249">
            <v>6.1751246873088377</v>
          </cell>
          <cell r="AD249">
            <v>36.432905477496028</v>
          </cell>
        </row>
        <row r="250">
          <cell r="A250" t="str">
            <v>CGI014-qtz03-CL-fit-1-offset</v>
          </cell>
          <cell r="B250">
            <v>750</v>
          </cell>
          <cell r="C250">
            <v>8.0537892000481889E-22</v>
          </cell>
          <cell r="D250">
            <v>1800</v>
          </cell>
          <cell r="E250">
            <v>1024</v>
          </cell>
          <cell r="F250">
            <v>1.7578125</v>
          </cell>
          <cell r="H250">
            <v>2379.0495459760605</v>
          </cell>
          <cell r="I250">
            <v>688.05631972088463</v>
          </cell>
          <cell r="J250">
            <v>2281.3242068852983</v>
          </cell>
          <cell r="K250">
            <v>1619.1177170533313</v>
          </cell>
          <cell r="L250">
            <v>3504.8184083472024</v>
          </cell>
          <cell r="M250">
            <v>2571.5393765692888</v>
          </cell>
          <cell r="N250">
            <v>1563.4928290295059</v>
          </cell>
          <cell r="O250">
            <v>1414.2236969053724</v>
          </cell>
          <cell r="P250">
            <v>1694.9416503140467</v>
          </cell>
          <cell r="Q250">
            <v>3123.2062658683826</v>
          </cell>
          <cell r="R250">
            <v>5002.3859507404359</v>
          </cell>
          <cell r="T250">
            <v>2040.275749340472</v>
          </cell>
          <cell r="U250">
            <v>2216.2671946491237</v>
          </cell>
          <cell r="V250">
            <v>2281.3242068852983</v>
          </cell>
          <cell r="X250">
            <v>1995.2244413270132</v>
          </cell>
          <cell r="Z250">
            <v>1977.2992972560255</v>
          </cell>
          <cell r="AA250">
            <v>722.30664443681314</v>
          </cell>
          <cell r="AB250">
            <v>4031.619017460237</v>
          </cell>
          <cell r="AC250">
            <v>1254.9926528192123</v>
          </cell>
          <cell r="AD250">
            <v>2054.3197202042115</v>
          </cell>
        </row>
        <row r="251">
          <cell r="A251" t="str">
            <v>CGI014-qtz03-CL-fit-2-offset</v>
          </cell>
          <cell r="B251">
            <v>750</v>
          </cell>
          <cell r="C251">
            <v>8.0537892000481889E-22</v>
          </cell>
          <cell r="D251">
            <v>1800</v>
          </cell>
          <cell r="E251">
            <v>1024</v>
          </cell>
          <cell r="F251">
            <v>1.7578125</v>
          </cell>
          <cell r="H251">
            <v>1346.0535653314892</v>
          </cell>
          <cell r="I251">
            <v>1085.3609770482274</v>
          </cell>
          <cell r="J251">
            <v>627.77273226996533</v>
          </cell>
          <cell r="K251">
            <v>898.93119559129525</v>
          </cell>
          <cell r="L251">
            <v>1150.6436409848616</v>
          </cell>
          <cell r="M251">
            <v>89.637244354132719</v>
          </cell>
          <cell r="N251">
            <v>733.45025109620224</v>
          </cell>
          <cell r="O251">
            <v>589.60777192941612</v>
          </cell>
          <cell r="P251">
            <v>532.70677144829563</v>
          </cell>
          <cell r="Q251">
            <v>353.45360913049728</v>
          </cell>
          <cell r="R251">
            <v>320.57416685236905</v>
          </cell>
          <cell r="T251">
            <v>669.75190597053188</v>
          </cell>
          <cell r="U251">
            <v>644.27981219394064</v>
          </cell>
          <cell r="V251">
            <v>627.77273226996533</v>
          </cell>
          <cell r="X251">
            <v>575.72197979930354</v>
          </cell>
          <cell r="Z251">
            <v>589.46066846942722</v>
          </cell>
          <cell r="AA251">
            <v>44.0392761959016</v>
          </cell>
          <cell r="AB251">
            <v>2016.6297553018064</v>
          </cell>
          <cell r="AC251">
            <v>545.42139227352561</v>
          </cell>
          <cell r="AD251">
            <v>1427.1690868323792</v>
          </cell>
        </row>
        <row r="252">
          <cell r="A252" t="str">
            <v>CGI014-qtz03-CL-fit-3-offset</v>
          </cell>
          <cell r="B252">
            <v>750</v>
          </cell>
          <cell r="C252">
            <v>8.0537892000481889E-22</v>
          </cell>
          <cell r="D252">
            <v>1800</v>
          </cell>
          <cell r="E252">
            <v>1024</v>
          </cell>
          <cell r="F252">
            <v>1.7578125</v>
          </cell>
          <cell r="H252">
            <v>44.93308007310906</v>
          </cell>
          <cell r="I252">
            <v>70.545088976841768</v>
          </cell>
          <cell r="J252">
            <v>169.61237463920327</v>
          </cell>
          <cell r="K252">
            <v>15.664721063772012</v>
          </cell>
          <cell r="L252">
            <v>1.6761723214147231</v>
          </cell>
          <cell r="M252">
            <v>250.31042860409016</v>
          </cell>
          <cell r="N252">
            <v>153.6524102146507</v>
          </cell>
          <cell r="O252">
            <v>9.0853123360021044</v>
          </cell>
          <cell r="P252">
            <v>67.25982524085029</v>
          </cell>
          <cell r="Q252">
            <v>20.223776402092973</v>
          </cell>
          <cell r="R252">
            <v>204.78517903100112</v>
          </cell>
          <cell r="T252">
            <v>48.502154132904849</v>
          </cell>
          <cell r="U252">
            <v>69.370812089458781</v>
          </cell>
          <cell r="V252">
            <v>67.25982524085029</v>
          </cell>
          <cell r="X252">
            <v>38.541923767026837</v>
          </cell>
          <cell r="Z252">
            <v>45.604176346747153</v>
          </cell>
          <cell r="AA252">
            <v>1.576003579115111E-11</v>
          </cell>
          <cell r="AB252">
            <v>293.7864792798988</v>
          </cell>
          <cell r="AC252">
            <v>45.604176346731393</v>
          </cell>
          <cell r="AD252">
            <v>248.18230293315165</v>
          </cell>
        </row>
        <row r="253">
          <cell r="A253" t="str">
            <v>CGI014-qtz03-CL-fit-4-offset</v>
          </cell>
          <cell r="B253">
            <v>750</v>
          </cell>
          <cell r="C253">
            <v>8.0537892000481889E-22</v>
          </cell>
          <cell r="D253">
            <v>1800</v>
          </cell>
          <cell r="E253">
            <v>1024</v>
          </cell>
          <cell r="F253">
            <v>1.7578125</v>
          </cell>
          <cell r="H253">
            <v>314.34116073046346</v>
          </cell>
          <cell r="I253">
            <v>12.300318991095693</v>
          </cell>
          <cell r="J253">
            <v>5.1112470696037332E-2</v>
          </cell>
          <cell r="K253">
            <v>11.374285276679309</v>
          </cell>
          <cell r="L253">
            <v>9.0715699263937952E-2</v>
          </cell>
          <cell r="M253">
            <v>358.73650636545608</v>
          </cell>
          <cell r="N253">
            <v>33.398239483885163</v>
          </cell>
          <cell r="O253">
            <v>58.882168517662805</v>
          </cell>
          <cell r="P253">
            <v>81.25058195756678</v>
          </cell>
          <cell r="Q253">
            <v>1.8587693824802387</v>
          </cell>
          <cell r="R253">
            <v>140.15246093860404</v>
          </cell>
          <cell r="T253">
            <v>23.265286845786736</v>
          </cell>
          <cell r="U253">
            <v>52.556582697646988</v>
          </cell>
          <cell r="V253">
            <v>33.398239483885163</v>
          </cell>
          <cell r="X253">
            <v>4.8967583844457732</v>
          </cell>
          <cell r="Z253">
            <v>29.738358331196846</v>
          </cell>
          <cell r="AA253">
            <v>1.5456818950194019E-13</v>
          </cell>
          <cell r="AB253">
            <v>486.17806586206319</v>
          </cell>
          <cell r="AC253">
            <v>29.738358331196689</v>
          </cell>
          <cell r="AD253">
            <v>456.43970753086637</v>
          </cell>
        </row>
        <row r="254">
          <cell r="A254" t="str">
            <v>CGI014-qtz03-CL-fit-5-offset</v>
          </cell>
          <cell r="B254">
            <v>750</v>
          </cell>
          <cell r="C254">
            <v>8.0537892000481889E-22</v>
          </cell>
          <cell r="D254">
            <v>1800</v>
          </cell>
          <cell r="E254">
            <v>1024</v>
          </cell>
          <cell r="F254">
            <v>1.7578125</v>
          </cell>
          <cell r="H254">
            <v>169.80564617285935</v>
          </cell>
          <cell r="I254">
            <v>243.91904096416721</v>
          </cell>
          <cell r="J254">
            <v>3.706180832546988</v>
          </cell>
          <cell r="K254">
            <v>157.65274209991946</v>
          </cell>
          <cell r="L254">
            <v>1.0488383494708069</v>
          </cell>
          <cell r="M254">
            <v>1.70116094169252</v>
          </cell>
          <cell r="N254">
            <v>35.298559286590326</v>
          </cell>
          <cell r="O254">
            <v>1.2752879202695704</v>
          </cell>
          <cell r="P254">
            <v>4.3600054757903575</v>
          </cell>
          <cell r="Q254">
            <v>17.84313509221024</v>
          </cell>
          <cell r="R254">
            <v>0.84238950019475867</v>
          </cell>
          <cell r="T254">
            <v>41.268511555940286</v>
          </cell>
          <cell r="U254">
            <v>29.513477699529542</v>
          </cell>
          <cell r="V254">
            <v>4.3600054757903575</v>
          </cell>
          <cell r="X254">
            <v>3.8197624187880632</v>
          </cell>
          <cell r="Z254">
            <v>25.363679223021347</v>
          </cell>
          <cell r="AA254">
            <v>9.3761285723004909E-3</v>
          </cell>
          <cell r="AB254">
            <v>668.49941822842788</v>
          </cell>
          <cell r="AC254">
            <v>25.354303094449048</v>
          </cell>
          <cell r="AD254">
            <v>643.13573900540655</v>
          </cell>
        </row>
        <row r="255">
          <cell r="A255" t="str">
            <v>CGI014-qtz04-CL-fit-1-offset</v>
          </cell>
          <cell r="B255">
            <v>750</v>
          </cell>
          <cell r="C255">
            <v>8.0537892000481889E-22</v>
          </cell>
          <cell r="D255">
            <v>1600</v>
          </cell>
          <cell r="E255">
            <v>1024</v>
          </cell>
          <cell r="F255">
            <v>1.5625</v>
          </cell>
          <cell r="H255">
            <v>0</v>
          </cell>
          <cell r="I255">
            <v>0</v>
          </cell>
          <cell r="J255">
            <v>2102.8400832847192</v>
          </cell>
          <cell r="K255">
            <v>1736.6983294387478</v>
          </cell>
          <cell r="L255">
            <v>920.16230561501618</v>
          </cell>
          <cell r="M255">
            <v>750.90617790476142</v>
          </cell>
          <cell r="N255">
            <v>1544.5265624595368</v>
          </cell>
          <cell r="O255">
            <v>997.00601453104719</v>
          </cell>
          <cell r="P255">
            <v>1459.8901833598532</v>
          </cell>
          <cell r="Q255">
            <v>1126.1392237112962</v>
          </cell>
          <cell r="R255">
            <v>1241.9048070655065</v>
          </cell>
          <cell r="T255">
            <v>1334.4671619345584</v>
          </cell>
          <cell r="U255">
            <v>1289.2115989200411</v>
          </cell>
          <cell r="V255">
            <v>1241.9048070655065</v>
          </cell>
          <cell r="X255">
            <v>1366.1257992811459</v>
          </cell>
          <cell r="Z255">
            <v>1343.7430262510779</v>
          </cell>
          <cell r="AA255">
            <v>543.15582704502754</v>
          </cell>
          <cell r="AB255">
            <v>2438.3595570567036</v>
          </cell>
          <cell r="AC255">
            <v>800.5871992060504</v>
          </cell>
          <cell r="AD255">
            <v>1094.6165308056256</v>
          </cell>
        </row>
        <row r="256">
          <cell r="A256" t="str">
            <v>CGI014-qtz04-CL-fit-2-offset</v>
          </cell>
          <cell r="B256">
            <v>750</v>
          </cell>
          <cell r="C256">
            <v>8.0537892000481889E-22</v>
          </cell>
          <cell r="D256">
            <v>1600</v>
          </cell>
          <cell r="E256">
            <v>1024</v>
          </cell>
          <cell r="F256">
            <v>1.5625</v>
          </cell>
          <cell r="H256">
            <v>372.44590231103672</v>
          </cell>
          <cell r="I256">
            <v>521.88855699253293</v>
          </cell>
          <cell r="J256">
            <v>1.0680208453442832</v>
          </cell>
          <cell r="K256">
            <v>557.95114592073583</v>
          </cell>
          <cell r="L256">
            <v>583.22057253508115</v>
          </cell>
          <cell r="M256">
            <v>215.20755943042326</v>
          </cell>
          <cell r="N256">
            <v>36.454280300463935</v>
          </cell>
          <cell r="O256">
            <v>104.07510676690873</v>
          </cell>
          <cell r="P256">
            <v>145.16421664894798</v>
          </cell>
          <cell r="Q256">
            <v>312.08118741203305</v>
          </cell>
          <cell r="R256">
            <v>182.14253865057069</v>
          </cell>
          <cell r="T256">
            <v>241.75362513024072</v>
          </cell>
          <cell r="U256">
            <v>225.18495253620139</v>
          </cell>
          <cell r="V256">
            <v>215.20755943042326</v>
          </cell>
          <cell r="X256">
            <v>174.87652592040533</v>
          </cell>
          <cell r="Z256">
            <v>469.88269825184852</v>
          </cell>
          <cell r="AA256">
            <v>0.2276029405973124</v>
          </cell>
          <cell r="AB256">
            <v>35858.035990342345</v>
          </cell>
          <cell r="AC256">
            <v>469.65509531125122</v>
          </cell>
          <cell r="AD256">
            <v>35388.153292090494</v>
          </cell>
        </row>
        <row r="257">
          <cell r="A257" t="str">
            <v>CGI014-qtz04-CL-fit-3-offset</v>
          </cell>
          <cell r="B257">
            <v>750</v>
          </cell>
          <cell r="C257">
            <v>8.0537892000481889E-22</v>
          </cell>
          <cell r="D257">
            <v>1600</v>
          </cell>
          <cell r="E257">
            <v>1024</v>
          </cell>
          <cell r="F257">
            <v>1.5625</v>
          </cell>
          <cell r="H257">
            <v>25.315332759768651</v>
          </cell>
          <cell r="I257">
            <v>3.6357159529527165</v>
          </cell>
          <cell r="J257">
            <v>2.1653039376032456E-16</v>
          </cell>
          <cell r="K257">
            <v>25.324131120332972</v>
          </cell>
          <cell r="L257">
            <v>0.27013650668751638</v>
          </cell>
          <cell r="M257">
            <v>43.621709731463447</v>
          </cell>
          <cell r="N257">
            <v>257.12677078750556</v>
          </cell>
          <cell r="O257">
            <v>20.358075089951974</v>
          </cell>
          <cell r="P257">
            <v>10.287914113041777</v>
          </cell>
          <cell r="Q257">
            <v>2.5371289330374176</v>
          </cell>
          <cell r="R257">
            <v>2.8151283160631224</v>
          </cell>
          <cell r="T257">
            <v>25.303581668675228</v>
          </cell>
          <cell r="U257">
            <v>17.579139419022543</v>
          </cell>
          <cell r="V257">
            <v>10.287914113041777</v>
          </cell>
          <cell r="X257">
            <v>4.5803493520661531</v>
          </cell>
          <cell r="Z257">
            <v>15.114616788079243</v>
          </cell>
          <cell r="AA257">
            <v>0.25402925432351647</v>
          </cell>
          <cell r="AB257">
            <v>132.94072588366859</v>
          </cell>
          <cell r="AC257">
            <v>14.860587533755726</v>
          </cell>
          <cell r="AD257">
            <v>117.82610909558935</v>
          </cell>
        </row>
        <row r="258">
          <cell r="A258" t="str">
            <v>CGI014-qtz05-CL-fit-1-offset</v>
          </cell>
          <cell r="B258">
            <v>750</v>
          </cell>
          <cell r="C258">
            <v>8.0537892000481889E-22</v>
          </cell>
          <cell r="D258">
            <v>1900</v>
          </cell>
          <cell r="E258">
            <v>1024</v>
          </cell>
          <cell r="F258">
            <v>1.85546875</v>
          </cell>
          <cell r="H258">
            <v>5351.2209648303251</v>
          </cell>
          <cell r="I258">
            <v>7459.5233770579116</v>
          </cell>
          <cell r="J258">
            <v>4371.7236039403724</v>
          </cell>
          <cell r="K258">
            <v>4884.8928696892044</v>
          </cell>
          <cell r="L258">
            <v>3529.195375909715</v>
          </cell>
          <cell r="M258">
            <v>4678.5443329767422</v>
          </cell>
          <cell r="N258">
            <v>4443.0383263727899</v>
          </cell>
          <cell r="O258">
            <v>2356.2283608025409</v>
          </cell>
          <cell r="P258">
            <v>3355.2555841417739</v>
          </cell>
          <cell r="Q258">
            <v>4889.0502195982208</v>
          </cell>
          <cell r="R258">
            <v>3723.281899231808</v>
          </cell>
          <cell r="T258">
            <v>4361.3035959742074</v>
          </cell>
          <cell r="U258">
            <v>4372.823871959853</v>
          </cell>
          <cell r="V258">
            <v>4443.0383263727899</v>
          </cell>
          <cell r="X258">
            <v>4286.1732008129466</v>
          </cell>
          <cell r="Z258">
            <v>4272.0906433073887</v>
          </cell>
          <cell r="AA258">
            <v>2671.3223741670645</v>
          </cell>
          <cell r="AB258">
            <v>6139.2964603141118</v>
          </cell>
          <cell r="AC258">
            <v>1600.7682691403243</v>
          </cell>
          <cell r="AD258">
            <v>1867.205817006723</v>
          </cell>
        </row>
        <row r="259">
          <cell r="A259" t="str">
            <v>CGI014-qtz05-CL-fit-2-offset</v>
          </cell>
          <cell r="B259">
            <v>750</v>
          </cell>
          <cell r="C259">
            <v>8.0537892000481889E-22</v>
          </cell>
          <cell r="D259">
            <v>1900</v>
          </cell>
          <cell r="E259">
            <v>1024</v>
          </cell>
          <cell r="F259">
            <v>1.85546875</v>
          </cell>
          <cell r="H259">
            <v>1357.7943609804499</v>
          </cell>
          <cell r="I259">
            <v>1055.3653835185696</v>
          </cell>
          <cell r="J259">
            <v>1138.4064159079371</v>
          </cell>
          <cell r="K259">
            <v>846.02039242915043</v>
          </cell>
          <cell r="L259">
            <v>774.62234952001336</v>
          </cell>
          <cell r="M259">
            <v>753.19343606519726</v>
          </cell>
          <cell r="N259">
            <v>647.59296744466167</v>
          </cell>
          <cell r="O259">
            <v>509.9271637620642</v>
          </cell>
          <cell r="P259">
            <v>499.99266215738885</v>
          </cell>
          <cell r="Q259">
            <v>752.00420961184466</v>
          </cell>
          <cell r="R259">
            <v>692.80473651527905</v>
          </cell>
          <cell r="T259">
            <v>805.59808256629458</v>
          </cell>
          <cell r="U259">
            <v>802.28798865984027</v>
          </cell>
          <cell r="V259">
            <v>753.19343606519726</v>
          </cell>
          <cell r="X259">
            <v>797.24873488701098</v>
          </cell>
          <cell r="Z259">
            <v>799.89295683036801</v>
          </cell>
          <cell r="AA259">
            <v>497.58910975693624</v>
          </cell>
          <cell r="AB259">
            <v>1162.8865231944371</v>
          </cell>
          <cell r="AC259">
            <v>302.30384707343177</v>
          </cell>
          <cell r="AD259">
            <v>362.99356636406912</v>
          </cell>
        </row>
        <row r="260">
          <cell r="A260" t="str">
            <v>CGI014-qtz05-CL-fit-3-offset</v>
          </cell>
          <cell r="B260">
            <v>750</v>
          </cell>
          <cell r="C260">
            <v>8.0537892000481889E-22</v>
          </cell>
          <cell r="D260">
            <v>1900</v>
          </cell>
          <cell r="E260">
            <v>1024</v>
          </cell>
          <cell r="F260">
            <v>1.85546875</v>
          </cell>
          <cell r="H260">
            <v>368.78126073556729</v>
          </cell>
          <cell r="I260">
            <v>288.82452353191962</v>
          </cell>
          <cell r="J260">
            <v>362.78996899355047</v>
          </cell>
          <cell r="K260">
            <v>617.80696397404017</v>
          </cell>
          <cell r="L260">
            <v>546.93839955034844</v>
          </cell>
          <cell r="M260">
            <v>379.08694468060304</v>
          </cell>
          <cell r="N260">
            <v>811.86558084771377</v>
          </cell>
          <cell r="O260">
            <v>504.38952053008052</v>
          </cell>
          <cell r="P260">
            <v>564.96802988867421</v>
          </cell>
          <cell r="Q260">
            <v>808.23903637231274</v>
          </cell>
          <cell r="R260">
            <v>508.49835250132588</v>
          </cell>
          <cell r="T260">
            <v>482.93435798197231</v>
          </cell>
          <cell r="U260">
            <v>511.00056337072203</v>
          </cell>
          <cell r="V260">
            <v>508.49835250132588</v>
          </cell>
          <cell r="X260">
            <v>463.33627682385401</v>
          </cell>
          <cell r="Z260">
            <v>465.30572657226276</v>
          </cell>
          <cell r="AA260">
            <v>231.49563800268396</v>
          </cell>
          <cell r="AB260">
            <v>841.38797940190852</v>
          </cell>
          <cell r="AC260">
            <v>233.8100885695788</v>
          </cell>
          <cell r="AD260">
            <v>376.08225282964577</v>
          </cell>
        </row>
        <row r="261">
          <cell r="A261" t="str">
            <v>CGI014-qtz05-CL-fit-4-offset</v>
          </cell>
          <cell r="B261">
            <v>750</v>
          </cell>
          <cell r="C261">
            <v>8.0537892000481889E-22</v>
          </cell>
          <cell r="D261">
            <v>1900</v>
          </cell>
          <cell r="E261">
            <v>1024</v>
          </cell>
          <cell r="F261">
            <v>1.85546875</v>
          </cell>
          <cell r="H261">
            <v>8084.0137921745627</v>
          </cell>
          <cell r="I261">
            <v>8213.7982416489922</v>
          </cell>
          <cell r="J261">
            <v>4629.1072287914403</v>
          </cell>
          <cell r="K261">
            <v>6145.5810806303789</v>
          </cell>
          <cell r="L261">
            <v>5221.9541946175532</v>
          </cell>
          <cell r="M261">
            <v>3242.337257263634</v>
          </cell>
          <cell r="N261">
            <v>5735.9295522207631</v>
          </cell>
          <cell r="O261">
            <v>4771.591816896449</v>
          </cell>
          <cell r="P261">
            <v>5375.1888191348689</v>
          </cell>
          <cell r="Q261">
            <v>11780.975518400586</v>
          </cell>
          <cell r="R261">
            <v>4633.9735366165478</v>
          </cell>
          <cell r="T261">
            <v>5948.87688585867</v>
          </cell>
          <cell r="U261">
            <v>5983.9911309217377</v>
          </cell>
          <cell r="V261">
            <v>5375.1888191348689</v>
          </cell>
          <cell r="X261">
            <v>5978.7485971947635</v>
          </cell>
          <cell r="Z261">
            <v>5915.9472235899711</v>
          </cell>
          <cell r="AA261">
            <v>3541.0133246002201</v>
          </cell>
          <cell r="AB261">
            <v>10173.116639752112</v>
          </cell>
          <cell r="AC261">
            <v>2374.933898989751</v>
          </cell>
          <cell r="AD261">
            <v>4257.1694161621408</v>
          </cell>
        </row>
        <row r="262">
          <cell r="A262" t="str">
            <v>CGI014-qtz05-CL-fit-5-offset</v>
          </cell>
          <cell r="B262">
            <v>750</v>
          </cell>
          <cell r="C262">
            <v>8.0537892000481889E-22</v>
          </cell>
          <cell r="D262">
            <v>1900</v>
          </cell>
          <cell r="E262">
            <v>1024</v>
          </cell>
          <cell r="F262">
            <v>1.85546875</v>
          </cell>
          <cell r="H262">
            <v>173.824346486308</v>
          </cell>
          <cell r="I262">
            <v>134.07145282920075</v>
          </cell>
          <cell r="J262">
            <v>135.06896884104148</v>
          </cell>
          <cell r="K262">
            <v>351.13142509678516</v>
          </cell>
          <cell r="L262">
            <v>227.55836737619885</v>
          </cell>
          <cell r="M262">
            <v>135.10396639390561</v>
          </cell>
          <cell r="N262">
            <v>154.39546025733407</v>
          </cell>
          <cell r="O262">
            <v>174.47111579074826</v>
          </cell>
          <cell r="P262">
            <v>129.56307101434743</v>
          </cell>
          <cell r="Q262">
            <v>73.130766447938214</v>
          </cell>
          <cell r="R262">
            <v>164.73365249092669</v>
          </cell>
          <cell r="T262">
            <v>168.46876413821735</v>
          </cell>
          <cell r="U262">
            <v>162.52886117886405</v>
          </cell>
          <cell r="V262">
            <v>154.39546025733407</v>
          </cell>
          <cell r="X262">
            <v>170.93618973961205</v>
          </cell>
          <cell r="Z262">
            <v>166.30040351012778</v>
          </cell>
          <cell r="AA262">
            <v>54.635545802403996</v>
          </cell>
          <cell r="AB262">
            <v>330.47143039820219</v>
          </cell>
          <cell r="AC262">
            <v>111.66485770772378</v>
          </cell>
          <cell r="AD262">
            <v>164.17102688807441</v>
          </cell>
        </row>
        <row r="263">
          <cell r="A263" t="str">
            <v>CGI014-qtz05-CL-fit-6-offset</v>
          </cell>
          <cell r="B263">
            <v>750</v>
          </cell>
          <cell r="C263">
            <v>8.0537892000481889E-22</v>
          </cell>
          <cell r="D263">
            <v>1900</v>
          </cell>
          <cell r="E263">
            <v>1024</v>
          </cell>
          <cell r="F263">
            <v>1.85546875</v>
          </cell>
          <cell r="H263">
            <v>2.1816096186241118</v>
          </cell>
          <cell r="I263">
            <v>35.638709014307381</v>
          </cell>
          <cell r="J263">
            <v>10.017672114444951</v>
          </cell>
          <cell r="K263">
            <v>38.640109090349029</v>
          </cell>
          <cell r="L263">
            <v>54.824851302433153</v>
          </cell>
          <cell r="M263">
            <v>8.7940952120237323</v>
          </cell>
          <cell r="N263">
            <v>39.073768528820963</v>
          </cell>
          <cell r="O263">
            <v>1.6555342177484511</v>
          </cell>
          <cell r="P263">
            <v>12.445939479011438</v>
          </cell>
          <cell r="Q263">
            <v>40.728395654035623</v>
          </cell>
          <cell r="R263">
            <v>33.744996865206417</v>
          </cell>
          <cell r="T263">
            <v>38.397611738826633</v>
          </cell>
          <cell r="U263">
            <v>21.038298799141405</v>
          </cell>
          <cell r="V263">
            <v>33.744996865206417</v>
          </cell>
          <cell r="X263">
            <v>22.208003572052515</v>
          </cell>
          <cell r="Z263">
            <v>21.320811113790125</v>
          </cell>
          <cell r="AA263">
            <v>1.4987759936008203</v>
          </cell>
          <cell r="AB263">
            <v>103.71005786290978</v>
          </cell>
          <cell r="AC263">
            <v>19.822035120189305</v>
          </cell>
          <cell r="AD263">
            <v>82.38924674911965</v>
          </cell>
        </row>
        <row r="264">
          <cell r="A264" t="str">
            <v>CGI014-qtz07-CL-fit-1-offset</v>
          </cell>
          <cell r="B264">
            <v>750</v>
          </cell>
          <cell r="C264">
            <v>8.0537892000481889E-22</v>
          </cell>
          <cell r="D264">
            <v>1500</v>
          </cell>
          <cell r="E264">
            <v>1024</v>
          </cell>
          <cell r="F264">
            <v>1.46484375</v>
          </cell>
          <cell r="H264">
            <v>186.59445508038414</v>
          </cell>
          <cell r="I264">
            <v>161.36150268447702</v>
          </cell>
          <cell r="J264">
            <v>178.98702554669461</v>
          </cell>
          <cell r="K264">
            <v>147.79974466499817</v>
          </cell>
          <cell r="L264">
            <v>109.50180695386847</v>
          </cell>
          <cell r="M264">
            <v>148.43120431679486</v>
          </cell>
          <cell r="N264">
            <v>268.70660281691829</v>
          </cell>
          <cell r="O264">
            <v>125.93688891599874</v>
          </cell>
          <cell r="P264">
            <v>183.68337717996636</v>
          </cell>
          <cell r="Q264">
            <v>160.76490950445069</v>
          </cell>
          <cell r="R264">
            <v>236.84549398374892</v>
          </cell>
          <cell r="T264">
            <v>175.90799776207868</v>
          </cell>
          <cell r="U264">
            <v>170.8551444400953</v>
          </cell>
          <cell r="V264">
            <v>161.36150268447702</v>
          </cell>
          <cell r="X264">
            <v>173.38836476810869</v>
          </cell>
          <cell r="Z264">
            <v>175.17126087787307</v>
          </cell>
          <cell r="AA264">
            <v>80.962347371425835</v>
          </cell>
          <cell r="AB264">
            <v>294.31103644285105</v>
          </cell>
          <cell r="AC264">
            <v>94.208913506447232</v>
          </cell>
          <cell r="AD264">
            <v>119.13977556497798</v>
          </cell>
        </row>
        <row r="265">
          <cell r="A265" t="str">
            <v>CGI014-qtz07-CL-fit-2-offset</v>
          </cell>
          <cell r="B265">
            <v>750</v>
          </cell>
          <cell r="C265">
            <v>8.0537892000481889E-22</v>
          </cell>
          <cell r="D265">
            <v>1500</v>
          </cell>
          <cell r="E265">
            <v>1024</v>
          </cell>
          <cell r="F265">
            <v>1.46484375</v>
          </cell>
          <cell r="H265">
            <v>61.918814804110035</v>
          </cell>
          <cell r="I265">
            <v>73.847894323963061</v>
          </cell>
          <cell r="J265">
            <v>110.2107986038443</v>
          </cell>
          <cell r="K265">
            <v>114.87100734277658</v>
          </cell>
          <cell r="L265">
            <v>104.40504243678706</v>
          </cell>
          <cell r="M265">
            <v>21.336392678572999</v>
          </cell>
          <cell r="N265">
            <v>60.024043190906006</v>
          </cell>
          <cell r="O265">
            <v>1.3384072166923335</v>
          </cell>
          <cell r="P265">
            <v>1.275858422509107</v>
          </cell>
          <cell r="Q265">
            <v>25.952363001424608</v>
          </cell>
          <cell r="R265">
            <v>50.059718464826354</v>
          </cell>
          <cell r="T265">
            <v>45.719641446088822</v>
          </cell>
          <cell r="U265">
            <v>46.139727821757148</v>
          </cell>
          <cell r="V265">
            <v>60.024043190906006</v>
          </cell>
          <cell r="X265">
            <v>45.895015640166953</v>
          </cell>
          <cell r="Z265">
            <v>92.435051081083898</v>
          </cell>
          <cell r="AA265">
            <v>1.200269278874728</v>
          </cell>
          <cell r="AB265">
            <v>2184.3341390037785</v>
          </cell>
          <cell r="AC265">
            <v>91.23478180220917</v>
          </cell>
          <cell r="AD265">
            <v>2091.8990879226944</v>
          </cell>
        </row>
        <row r="266">
          <cell r="A266" t="str">
            <v>CGI014-qtz07-CL-fit-3-offset</v>
          </cell>
          <cell r="B266">
            <v>750</v>
          </cell>
          <cell r="C266">
            <v>8.0537892000481889E-22</v>
          </cell>
          <cell r="D266">
            <v>1500</v>
          </cell>
          <cell r="E266">
            <v>1024</v>
          </cell>
          <cell r="F266">
            <v>1.46484375</v>
          </cell>
          <cell r="H266">
            <v>138.11594314392948</v>
          </cell>
          <cell r="I266">
            <v>178.44490198981248</v>
          </cell>
          <cell r="J266">
            <v>186.16796747364737</v>
          </cell>
          <cell r="K266">
            <v>172.44179772659189</v>
          </cell>
          <cell r="L266">
            <v>205.69217335989265</v>
          </cell>
          <cell r="M266">
            <v>68.248666640415351</v>
          </cell>
          <cell r="N266">
            <v>162.92553305406406</v>
          </cell>
          <cell r="O266">
            <v>103.98028199026025</v>
          </cell>
          <cell r="P266">
            <v>219.66929185857532</v>
          </cell>
          <cell r="Q266">
            <v>187.03588271675312</v>
          </cell>
          <cell r="R266">
            <v>111.44740353570181</v>
          </cell>
          <cell r="T266">
            <v>157.90299654414957</v>
          </cell>
          <cell r="U266">
            <v>153.99775134635735</v>
          </cell>
          <cell r="V266">
            <v>172.44179772659189</v>
          </cell>
          <cell r="X266">
            <v>161.59976466565996</v>
          </cell>
          <cell r="Z266">
            <v>158.96945548267433</v>
          </cell>
          <cell r="AA266">
            <v>33.083240381105661</v>
          </cell>
          <cell r="AB266">
            <v>353.87035712844465</v>
          </cell>
          <cell r="AC266">
            <v>125.88621510156867</v>
          </cell>
          <cell r="AD266">
            <v>194.90090164577032</v>
          </cell>
        </row>
        <row r="267">
          <cell r="A267" t="str">
            <v>CGI014-qtz07-CL-fit-4-offset</v>
          </cell>
          <cell r="B267">
            <v>750</v>
          </cell>
          <cell r="C267">
            <v>8.0537892000481889E-22</v>
          </cell>
          <cell r="D267">
            <v>1500</v>
          </cell>
          <cell r="E267">
            <v>1024</v>
          </cell>
          <cell r="F267">
            <v>1.46484375</v>
          </cell>
          <cell r="H267">
            <v>36.506229525459382</v>
          </cell>
          <cell r="I267">
            <v>139.82560299123048</v>
          </cell>
          <cell r="J267">
            <v>85.311353307917727</v>
          </cell>
          <cell r="K267">
            <v>159.63345720180317</v>
          </cell>
          <cell r="L267">
            <v>54.578222828004471</v>
          </cell>
          <cell r="M267">
            <v>28.351332924277973</v>
          </cell>
          <cell r="N267">
            <v>11.244375897774173</v>
          </cell>
          <cell r="O267">
            <v>144.40285740962531</v>
          </cell>
          <cell r="P267">
            <v>103.03864521090001</v>
          </cell>
          <cell r="Q267">
            <v>62.525611535192716</v>
          </cell>
          <cell r="R267">
            <v>106.007297353552</v>
          </cell>
          <cell r="T267">
            <v>70.402903216514886</v>
          </cell>
          <cell r="U267">
            <v>76.442099290399128</v>
          </cell>
          <cell r="V267">
            <v>85.311353307917727</v>
          </cell>
          <cell r="X267">
            <v>69.777788758380524</v>
          </cell>
          <cell r="Z267">
            <v>59.386951841613907</v>
          </cell>
          <cell r="AA267">
            <v>0.91255547928388414</v>
          </cell>
          <cell r="AB267">
            <v>215.34086986621881</v>
          </cell>
          <cell r="AC267">
            <v>58.474396362330026</v>
          </cell>
          <cell r="AD267">
            <v>155.95391802460489</v>
          </cell>
        </row>
        <row r="268">
          <cell r="A268" t="str">
            <v>CGI014-qtz08-CL-fit-1-offset</v>
          </cell>
          <cell r="B268">
            <v>750</v>
          </cell>
          <cell r="C268">
            <v>8.0537892000481889E-22</v>
          </cell>
          <cell r="D268">
            <v>1550</v>
          </cell>
          <cell r="E268">
            <v>1024</v>
          </cell>
          <cell r="F268">
            <v>1.513671875</v>
          </cell>
          <cell r="H268">
            <v>6201.9084800982037</v>
          </cell>
          <cell r="I268">
            <v>5468.5500901640708</v>
          </cell>
          <cell r="J268">
            <v>5143.1051325847884</v>
          </cell>
          <cell r="K268">
            <v>5702.2059992679542</v>
          </cell>
          <cell r="L268">
            <v>4461.8443452146385</v>
          </cell>
          <cell r="M268">
            <v>4657.963781111428</v>
          </cell>
          <cell r="N268">
            <v>5467.6885761163912</v>
          </cell>
          <cell r="O268">
            <v>5588.6802976688878</v>
          </cell>
          <cell r="P268">
            <v>5403.2103442318585</v>
          </cell>
          <cell r="Q268">
            <v>4342.0384162383907</v>
          </cell>
          <cell r="R268">
            <v>3855.5363351102019</v>
          </cell>
          <cell r="T268">
            <v>5116.2257150148544</v>
          </cell>
          <cell r="U268">
            <v>5094.9940345274745</v>
          </cell>
          <cell r="V268">
            <v>5403.2103442318585</v>
          </cell>
          <cell r="X268">
            <v>4988.1790093328409</v>
          </cell>
          <cell r="Z268">
            <v>5046.340195695796</v>
          </cell>
          <cell r="AA268">
            <v>3867.7684243242425</v>
          </cell>
          <cell r="AB268">
            <v>6481.9648497823473</v>
          </cell>
          <cell r="AC268">
            <v>1178.5717713715535</v>
          </cell>
          <cell r="AD268">
            <v>1435.6246540865513</v>
          </cell>
        </row>
        <row r="269">
          <cell r="A269" t="str">
            <v>CGI014-qtz08-CL-fit-2-offset</v>
          </cell>
          <cell r="B269">
            <v>750</v>
          </cell>
          <cell r="C269">
            <v>8.0537892000481889E-22</v>
          </cell>
          <cell r="D269">
            <v>1550</v>
          </cell>
          <cell r="E269">
            <v>1024</v>
          </cell>
          <cell r="F269">
            <v>1.513671875</v>
          </cell>
          <cell r="H269">
            <v>1147.6169234029821</v>
          </cell>
          <cell r="I269">
            <v>853.20971529419944</v>
          </cell>
          <cell r="J269">
            <v>847.18208260485051</v>
          </cell>
          <cell r="K269">
            <v>749.60150034335675</v>
          </cell>
          <cell r="L269">
            <v>986.31519196927627</v>
          </cell>
          <cell r="M269">
            <v>597.09366989648822</v>
          </cell>
          <cell r="N269">
            <v>653.56155689602031</v>
          </cell>
          <cell r="O269">
            <v>790.2333898394395</v>
          </cell>
          <cell r="P269">
            <v>744.95343316068659</v>
          </cell>
          <cell r="Q269">
            <v>799.7629866945332</v>
          </cell>
          <cell r="R269">
            <v>1336.4808035926808</v>
          </cell>
          <cell r="T269">
            <v>871.67957334628761</v>
          </cell>
          <cell r="U269">
            <v>852.74838831843454</v>
          </cell>
          <cell r="V269">
            <v>799.7629866945332</v>
          </cell>
          <cell r="X269">
            <v>863.02283827321526</v>
          </cell>
          <cell r="Z269">
            <v>857.92037116514314</v>
          </cell>
          <cell r="AA269">
            <v>568.07495142820608</v>
          </cell>
          <cell r="AB269">
            <v>1215.9636760501905</v>
          </cell>
          <cell r="AC269">
            <v>289.84541973693706</v>
          </cell>
          <cell r="AD269">
            <v>358.04330488504741</v>
          </cell>
        </row>
        <row r="270">
          <cell r="A270" t="str">
            <v>CGI014-qtz08-CL-fit-3-offset</v>
          </cell>
          <cell r="B270">
            <v>750</v>
          </cell>
          <cell r="C270">
            <v>8.0537892000481889E-22</v>
          </cell>
          <cell r="D270">
            <v>1550</v>
          </cell>
          <cell r="E270">
            <v>1024</v>
          </cell>
          <cell r="F270">
            <v>1.513671875</v>
          </cell>
          <cell r="H270">
            <v>1118.5986843374544</v>
          </cell>
          <cell r="I270">
            <v>1023.3606240641341</v>
          </cell>
          <cell r="J270">
            <v>2066.2343698559439</v>
          </cell>
          <cell r="K270">
            <v>1838.830246821748</v>
          </cell>
          <cell r="L270">
            <v>1141.0917665701716</v>
          </cell>
          <cell r="M270">
            <v>765.38481355168369</v>
          </cell>
          <cell r="N270">
            <v>921.063545977731</v>
          </cell>
          <cell r="O270">
            <v>311.90759083319705</v>
          </cell>
          <cell r="P270">
            <v>720.99132100754798</v>
          </cell>
          <cell r="Q270">
            <v>794.99644349203538</v>
          </cell>
          <cell r="R270">
            <v>635.5869680964629</v>
          </cell>
          <cell r="T270">
            <v>897.92892221623731</v>
          </cell>
          <cell r="U270">
            <v>975.06470913386681</v>
          </cell>
          <cell r="V270">
            <v>921.063545977731</v>
          </cell>
          <cell r="X270">
            <v>887.65211829733187</v>
          </cell>
          <cell r="Z270">
            <v>960.29662002853274</v>
          </cell>
          <cell r="AA270">
            <v>327.97424797584114</v>
          </cell>
          <cell r="AB270">
            <v>2659.272021390967</v>
          </cell>
          <cell r="AC270">
            <v>632.32237205269166</v>
          </cell>
          <cell r="AD270">
            <v>1698.9754013624342</v>
          </cell>
        </row>
        <row r="271">
          <cell r="A271" t="str">
            <v>CGI014-qtz08-CL-fit-4-offset</v>
          </cell>
          <cell r="B271">
            <v>750</v>
          </cell>
          <cell r="C271">
            <v>8.0537892000481889E-22</v>
          </cell>
          <cell r="D271">
            <v>1550</v>
          </cell>
          <cell r="E271">
            <v>1024</v>
          </cell>
          <cell r="F271">
            <v>1.513671875</v>
          </cell>
          <cell r="H271">
            <v>742.89071301302727</v>
          </cell>
          <cell r="I271">
            <v>705.72794597759923</v>
          </cell>
          <cell r="J271">
            <v>573.05556913723876</v>
          </cell>
          <cell r="K271">
            <v>519.78920099781089</v>
          </cell>
          <cell r="L271">
            <v>867.11868309152885</v>
          </cell>
          <cell r="M271">
            <v>525.86765638610518</v>
          </cell>
          <cell r="N271">
            <v>404.11437276323738</v>
          </cell>
          <cell r="O271">
            <v>536.95801567573244</v>
          </cell>
          <cell r="P271">
            <v>869.39147297420732</v>
          </cell>
          <cell r="Q271">
            <v>783.62963485792295</v>
          </cell>
          <cell r="R271">
            <v>572.9746625699587</v>
          </cell>
          <cell r="T271">
            <v>647.72630397399712</v>
          </cell>
          <cell r="U271">
            <v>637.00428157818419</v>
          </cell>
          <cell r="V271">
            <v>573.05556913723876</v>
          </cell>
          <cell r="X271">
            <v>656.87075281841317</v>
          </cell>
          <cell r="Z271">
            <v>663.08895158915448</v>
          </cell>
          <cell r="AA271">
            <v>413.51141614220131</v>
          </cell>
          <cell r="AB271">
            <v>1041.3517680455932</v>
          </cell>
          <cell r="AC271">
            <v>249.57753544695316</v>
          </cell>
          <cell r="AD271">
            <v>378.26281645643871</v>
          </cell>
        </row>
        <row r="272">
          <cell r="A272" t="str">
            <v>CGI014-qtz09-CL-fit-1-offset</v>
          </cell>
          <cell r="B272">
            <v>750</v>
          </cell>
          <cell r="C272">
            <v>8.0537892000481889E-22</v>
          </cell>
          <cell r="D272">
            <v>1550</v>
          </cell>
          <cell r="E272">
            <v>1024</v>
          </cell>
          <cell r="F272">
            <v>1.513671875</v>
          </cell>
          <cell r="H272">
            <v>1.3615226429977811</v>
          </cell>
          <cell r="I272">
            <v>15.860869639794235</v>
          </cell>
          <cell r="J272">
            <v>200.00762882051467</v>
          </cell>
          <cell r="K272">
            <v>4789.1853299152144</v>
          </cell>
          <cell r="L272">
            <v>2.1793524900807242</v>
          </cell>
          <cell r="M272">
            <v>165.87115918186078</v>
          </cell>
          <cell r="N272">
            <v>7.2332095172657762E-2</v>
          </cell>
          <cell r="O272">
            <v>7.7484125912942675E-4</v>
          </cell>
          <cell r="P272">
            <v>473.68798362256138</v>
          </cell>
          <cell r="Q272">
            <v>88.024343280444555</v>
          </cell>
          <cell r="R272">
            <v>1.0164433550873135</v>
          </cell>
          <cell r="T272">
            <v>135.0923168244779</v>
          </cell>
          <cell r="U272">
            <v>151.29580010218791</v>
          </cell>
          <cell r="V272">
            <v>15.860869639794235</v>
          </cell>
          <cell r="X272">
            <v>80.331562038181588</v>
          </cell>
          <cell r="Z272">
            <v>249.78747061989904</v>
          </cell>
          <cell r="AA272">
            <v>1.5504305862467093E-4</v>
          </cell>
          <cell r="AB272">
            <v>25890.403301717761</v>
          </cell>
          <cell r="AC272">
            <v>249.78731557684043</v>
          </cell>
          <cell r="AD272">
            <v>25640.615831097861</v>
          </cell>
        </row>
        <row r="273">
          <cell r="A273" t="str">
            <v>CGI014-qtz09-CL-fit-2-offset</v>
          </cell>
          <cell r="B273">
            <v>750</v>
          </cell>
          <cell r="C273">
            <v>8.0537892000481889E-22</v>
          </cell>
          <cell r="D273">
            <v>1550</v>
          </cell>
          <cell r="E273">
            <v>1024</v>
          </cell>
          <cell r="F273">
            <v>1.513671875</v>
          </cell>
          <cell r="H273">
            <v>36.322611942870033</v>
          </cell>
          <cell r="I273">
            <v>206.21357906650843</v>
          </cell>
          <cell r="J273">
            <v>1.7251260179252033</v>
          </cell>
          <cell r="K273">
            <v>110.22535240091432</v>
          </cell>
          <cell r="L273">
            <v>5.7875873002632895E-2</v>
          </cell>
          <cell r="M273">
            <v>1.2081393564617273</v>
          </cell>
          <cell r="N273">
            <v>1.1523184005136939</v>
          </cell>
          <cell r="O273">
            <v>0.21346211631348019</v>
          </cell>
          <cell r="P273">
            <v>13.746090867705396</v>
          </cell>
          <cell r="Q273">
            <v>0</v>
          </cell>
          <cell r="R273">
            <v>15.727002991383811</v>
          </cell>
          <cell r="T273">
            <v>61.461577845799006</v>
          </cell>
          <cell r="U273">
            <v>18.273691778533031</v>
          </cell>
          <cell r="V273">
            <v>6.3026419470396187</v>
          </cell>
          <cell r="X273">
            <v>60.006408318345621</v>
          </cell>
          <cell r="Z273">
            <v>114.28411524176727</v>
          </cell>
          <cell r="AA273">
            <v>7.7918326118945641E-2</v>
          </cell>
          <cell r="AB273">
            <v>1971.0800910980461</v>
          </cell>
          <cell r="AC273">
            <v>114.20619691564832</v>
          </cell>
          <cell r="AD273">
            <v>1856.7959758562788</v>
          </cell>
        </row>
        <row r="274">
          <cell r="A274" t="str">
            <v>CGI014-qtz09-CL-fit-3-offset</v>
          </cell>
          <cell r="B274">
            <v>750</v>
          </cell>
          <cell r="C274">
            <v>8.0537892000481889E-22</v>
          </cell>
          <cell r="D274">
            <v>1550</v>
          </cell>
          <cell r="E274">
            <v>1024</v>
          </cell>
          <cell r="F274">
            <v>1.513671875</v>
          </cell>
          <cell r="H274">
            <v>5.5918556557079903E-3</v>
          </cell>
          <cell r="I274">
            <v>0.69579800642805578</v>
          </cell>
          <cell r="J274">
            <v>5.3021372805717525E-2</v>
          </cell>
          <cell r="K274">
            <v>1.0683914413366531</v>
          </cell>
          <cell r="L274">
            <v>1.8919765520384457</v>
          </cell>
          <cell r="M274">
            <v>0.37720221293575112</v>
          </cell>
          <cell r="N274">
            <v>3.173685458174226E-2</v>
          </cell>
          <cell r="O274">
            <v>1.1681344179294197</v>
          </cell>
          <cell r="P274">
            <v>23.549418131718994</v>
          </cell>
          <cell r="Q274">
            <v>0.75940742893430546</v>
          </cell>
          <cell r="R274">
            <v>9.0303242117685839E-2</v>
          </cell>
          <cell r="T274">
            <v>1.1400264576068611</v>
          </cell>
          <cell r="U274">
            <v>1.0827626902760226</v>
          </cell>
          <cell r="V274">
            <v>0.69579800642805578</v>
          </cell>
          <cell r="X274">
            <v>1.0353405456824096</v>
          </cell>
          <cell r="Z274">
            <v>14.57195377073495</v>
          </cell>
          <cell r="AA274">
            <v>4.6147736399131023E-11</v>
          </cell>
          <cell r="AB274">
            <v>662.32144072563437</v>
          </cell>
          <cell r="AC274">
            <v>14.571953770688802</v>
          </cell>
          <cell r="AD274">
            <v>647.74948695489945</v>
          </cell>
        </row>
        <row r="275">
          <cell r="A275" t="str">
            <v>CGI014-qtz09-CL-fit-4-offset</v>
          </cell>
          <cell r="B275">
            <v>750</v>
          </cell>
          <cell r="C275">
            <v>8.0537892000481889E-22</v>
          </cell>
          <cell r="D275">
            <v>1550</v>
          </cell>
          <cell r="E275">
            <v>1024</v>
          </cell>
          <cell r="F275">
            <v>1.513671875</v>
          </cell>
          <cell r="H275">
            <v>41.277186901044942</v>
          </cell>
          <cell r="I275">
            <v>0.21309727006095047</v>
          </cell>
          <cell r="J275">
            <v>181.45785791171315</v>
          </cell>
          <cell r="K275">
            <v>0.60639671975617537</v>
          </cell>
          <cell r="L275">
            <v>286.18157761165344</v>
          </cell>
          <cell r="M275">
            <v>323.42124684790758</v>
          </cell>
          <cell r="N275">
            <v>219.41101037267322</v>
          </cell>
          <cell r="O275">
            <v>2.3144415930410798E-3</v>
          </cell>
          <cell r="P275">
            <v>0.32003548648700209</v>
          </cell>
          <cell r="Q275">
            <v>0.12361297537682468</v>
          </cell>
          <cell r="R275">
            <v>177.59463164731059</v>
          </cell>
          <cell r="T275">
            <v>254.35727847332595</v>
          </cell>
          <cell r="U275">
            <v>59.773571351664444</v>
          </cell>
          <cell r="V275">
            <v>41.277186901044942</v>
          </cell>
          <cell r="X275">
            <v>123.44399295080919</v>
          </cell>
          <cell r="Z275">
            <v>219.80311547631322</v>
          </cell>
          <cell r="AA275">
            <v>5.3633141761077309E-3</v>
          </cell>
          <cell r="AB275">
            <v>2700.6740649065614</v>
          </cell>
          <cell r="AC275">
            <v>219.79775216213713</v>
          </cell>
          <cell r="AD275">
            <v>2480.8709494302484</v>
          </cell>
        </row>
        <row r="276">
          <cell r="A276" t="str">
            <v>CGI014-qtz09-CL-fit-5-offset</v>
          </cell>
          <cell r="B276">
            <v>750</v>
          </cell>
          <cell r="C276">
            <v>8.0537892000481889E-22</v>
          </cell>
          <cell r="D276">
            <v>1550</v>
          </cell>
          <cell r="E276">
            <v>1024</v>
          </cell>
          <cell r="F276">
            <v>1.513671875</v>
          </cell>
          <cell r="H276">
            <v>155.18388453821123</v>
          </cell>
          <cell r="I276">
            <v>23.467880633919872</v>
          </cell>
          <cell r="J276">
            <v>36.879733589703719</v>
          </cell>
          <cell r="K276">
            <v>17.599590575938681</v>
          </cell>
          <cell r="L276">
            <v>120.97909231782893</v>
          </cell>
          <cell r="M276">
            <v>57.988263911980276</v>
          </cell>
          <cell r="N276">
            <v>50.473447599791072</v>
          </cell>
          <cell r="O276">
            <v>83.96137641242008</v>
          </cell>
          <cell r="P276">
            <v>75.234423359311066</v>
          </cell>
          <cell r="Q276">
            <v>54.474879701192975</v>
          </cell>
          <cell r="R276">
            <v>90.013777112642316</v>
          </cell>
          <cell r="T276">
            <v>70.42616257879088</v>
          </cell>
          <cell r="U276">
            <v>63.990274428736022</v>
          </cell>
          <cell r="V276">
            <v>57.988263911980276</v>
          </cell>
          <cell r="X276">
            <v>64.798129281866494</v>
          </cell>
          <cell r="Z276">
            <v>73.822248203758832</v>
          </cell>
          <cell r="AA276">
            <v>18.133093894476197</v>
          </cell>
          <cell r="AB276">
            <v>242.61153557460267</v>
          </cell>
          <cell r="AC276">
            <v>55.689154309282635</v>
          </cell>
          <cell r="AD276">
            <v>168.78928737084385</v>
          </cell>
        </row>
        <row r="277">
          <cell r="A277" t="str">
            <v>CGI014-qtz10-CL-fit-1-offset</v>
          </cell>
          <cell r="B277">
            <v>750</v>
          </cell>
          <cell r="C277">
            <v>8.0537892000481889E-22</v>
          </cell>
          <cell r="D277">
            <v>1550</v>
          </cell>
          <cell r="E277">
            <v>1024</v>
          </cell>
          <cell r="F277">
            <v>1.513671875</v>
          </cell>
          <cell r="H277">
            <v>324.12164456660543</v>
          </cell>
          <cell r="I277">
            <v>275.99092651582913</v>
          </cell>
          <cell r="J277">
            <v>296.47111521139146</v>
          </cell>
          <cell r="K277">
            <v>296.48499152141324</v>
          </cell>
          <cell r="L277">
            <v>533.16424075227951</v>
          </cell>
          <cell r="M277">
            <v>243.53197753077208</v>
          </cell>
          <cell r="N277">
            <v>237.1765818672913</v>
          </cell>
          <cell r="O277">
            <v>209.78229074263018</v>
          </cell>
          <cell r="P277">
            <v>358.57940356225919</v>
          </cell>
          <cell r="Q277">
            <v>131.56778777021404</v>
          </cell>
          <cell r="R277">
            <v>135.8262851116335</v>
          </cell>
          <cell r="T277">
            <v>267.50855938467026</v>
          </cell>
          <cell r="U277">
            <v>266.8608513783563</v>
          </cell>
          <cell r="V277">
            <v>275.99092651582913</v>
          </cell>
          <cell r="X277">
            <v>268.48658548572718</v>
          </cell>
          <cell r="Z277">
            <v>269.81134191646015</v>
          </cell>
          <cell r="AA277">
            <v>103.8144879201721</v>
          </cell>
          <cell r="AB277">
            <v>551.59180675964944</v>
          </cell>
          <cell r="AC277">
            <v>165.99685399628805</v>
          </cell>
          <cell r="AD277">
            <v>281.78046484318929</v>
          </cell>
        </row>
        <row r="278">
          <cell r="A278" t="str">
            <v>CGI014-qtz10-CL-fit-2-offset</v>
          </cell>
          <cell r="B278">
            <v>750</v>
          </cell>
          <cell r="C278">
            <v>8.0537892000481889E-22</v>
          </cell>
          <cell r="D278">
            <v>1550</v>
          </cell>
          <cell r="E278">
            <v>1024</v>
          </cell>
          <cell r="F278">
            <v>1.513671875</v>
          </cell>
          <cell r="H278">
            <v>716.04498613787905</v>
          </cell>
          <cell r="I278">
            <v>1074.7848269722228</v>
          </cell>
          <cell r="J278">
            <v>942.66681043584492</v>
          </cell>
          <cell r="K278">
            <v>867.62648487863612</v>
          </cell>
          <cell r="L278">
            <v>1424.7267885085676</v>
          </cell>
          <cell r="M278">
            <v>1089.2057204742209</v>
          </cell>
          <cell r="N278">
            <v>2240.5314075926694</v>
          </cell>
          <cell r="O278">
            <v>1256.3928355320757</v>
          </cell>
          <cell r="P278">
            <v>837.60553155322248</v>
          </cell>
          <cell r="Q278">
            <v>273.61893863317243</v>
          </cell>
          <cell r="R278">
            <v>1009.3725420554543</v>
          </cell>
          <cell r="T278">
            <v>1064.3792228278464</v>
          </cell>
          <cell r="U278">
            <v>1015.1947609033383</v>
          </cell>
          <cell r="V278">
            <v>1009.3725420554543</v>
          </cell>
          <cell r="X278">
            <v>1111.6901556747268</v>
          </cell>
          <cell r="Z278">
            <v>1131.237728240478</v>
          </cell>
          <cell r="AA278">
            <v>273.08345819759023</v>
          </cell>
          <cell r="AB278">
            <v>2844.0367821135633</v>
          </cell>
          <cell r="AC278">
            <v>858.15427004288767</v>
          </cell>
          <cell r="AD278">
            <v>1712.7990538730853</v>
          </cell>
        </row>
        <row r="279">
          <cell r="A279" t="str">
            <v>CGI014-qtz10-CL-fit-3-offset</v>
          </cell>
          <cell r="B279">
            <v>750</v>
          </cell>
          <cell r="C279">
            <v>8.0537892000481889E-22</v>
          </cell>
          <cell r="D279">
            <v>1550</v>
          </cell>
          <cell r="E279">
            <v>1024</v>
          </cell>
          <cell r="F279">
            <v>1.513671875</v>
          </cell>
          <cell r="H279">
            <v>65.196783251614775</v>
          </cell>
          <cell r="I279">
            <v>76.938431607362389</v>
          </cell>
          <cell r="J279">
            <v>13.59438070202593</v>
          </cell>
          <cell r="K279">
            <v>95.108603749036931</v>
          </cell>
          <cell r="L279">
            <v>133.00101184962074</v>
          </cell>
          <cell r="M279">
            <v>109.88228043293043</v>
          </cell>
          <cell r="N279">
            <v>58.199519956735763</v>
          </cell>
          <cell r="O279">
            <v>164.48896059745434</v>
          </cell>
          <cell r="P279">
            <v>20.709268819100785</v>
          </cell>
          <cell r="Q279">
            <v>30.76308370127872</v>
          </cell>
          <cell r="R279">
            <v>125.83055078342549</v>
          </cell>
          <cell r="T279">
            <v>60.989973061857803</v>
          </cell>
          <cell r="U279">
            <v>73.132363612474123</v>
          </cell>
          <cell r="V279">
            <v>76.938431607362389</v>
          </cell>
          <cell r="X279">
            <v>51.679609585974568</v>
          </cell>
          <cell r="Z279">
            <v>53.874878110237916</v>
          </cell>
          <cell r="AA279">
            <v>4.8783438989578459E-2</v>
          </cell>
          <cell r="AB279">
            <v>268.37034715511379</v>
          </cell>
          <cell r="AC279">
            <v>53.826094671248335</v>
          </cell>
          <cell r="AD279">
            <v>214.49546904487588</v>
          </cell>
        </row>
        <row r="280">
          <cell r="A280" t="str">
            <v>CGI014-qtz10-CL-fit-4-offset</v>
          </cell>
          <cell r="B280">
            <v>750</v>
          </cell>
          <cell r="C280">
            <v>8.0537892000481889E-22</v>
          </cell>
          <cell r="D280">
            <v>1550</v>
          </cell>
          <cell r="E280">
            <v>1024</v>
          </cell>
          <cell r="F280">
            <v>1.513671875</v>
          </cell>
          <cell r="H280">
            <v>12.974569080725958</v>
          </cell>
          <cell r="I280">
            <v>87.560161889904762</v>
          </cell>
          <cell r="J280">
            <v>71.051635899643401</v>
          </cell>
          <cell r="K280">
            <v>147.23315818867439</v>
          </cell>
          <cell r="L280">
            <v>80.348213480650671</v>
          </cell>
          <cell r="M280">
            <v>18.564570012520797</v>
          </cell>
          <cell r="N280">
            <v>63.065383113289435</v>
          </cell>
          <cell r="O280">
            <v>52.267923233001511</v>
          </cell>
          <cell r="P280">
            <v>97.937858329502248</v>
          </cell>
          <cell r="Q280">
            <v>100.57613402327016</v>
          </cell>
          <cell r="R280">
            <v>170.11517559682028</v>
          </cell>
          <cell r="T280">
            <v>81.502946352884578</v>
          </cell>
          <cell r="U280">
            <v>74.483035440942416</v>
          </cell>
          <cell r="V280">
            <v>80.348213480650671</v>
          </cell>
          <cell r="X280">
            <v>72.575046707909053</v>
          </cell>
          <cell r="Z280">
            <v>78.486806517972184</v>
          </cell>
          <cell r="AA280">
            <v>13.105667548602376</v>
          </cell>
          <cell r="AB280">
            <v>237.24960478915378</v>
          </cell>
          <cell r="AC280">
            <v>65.3811389693698</v>
          </cell>
          <cell r="AD280">
            <v>158.76279827118159</v>
          </cell>
        </row>
        <row r="281">
          <cell r="A281" t="str">
            <v>CGI014-qtz11-CL-fit-1-offset</v>
          </cell>
          <cell r="B281">
            <v>750</v>
          </cell>
          <cell r="C281">
            <v>8.0537892000481889E-22</v>
          </cell>
          <cell r="D281">
            <v>1500</v>
          </cell>
          <cell r="E281">
            <v>1024</v>
          </cell>
          <cell r="F281">
            <v>1.46484375</v>
          </cell>
          <cell r="H281">
            <v>972.39432719661806</v>
          </cell>
          <cell r="I281">
            <v>878.44663106712733</v>
          </cell>
          <cell r="J281">
            <v>731.4060888268798</v>
          </cell>
          <cell r="K281">
            <v>1369.370901670339</v>
          </cell>
          <cell r="L281">
            <v>772.64512091656547</v>
          </cell>
          <cell r="M281">
            <v>561.69844733793593</v>
          </cell>
          <cell r="N281">
            <v>392.47855355887549</v>
          </cell>
          <cell r="O281">
            <v>551.09373412875618</v>
          </cell>
          <cell r="P281">
            <v>631.64088797673378</v>
          </cell>
          <cell r="Q281">
            <v>587.24926211144464</v>
          </cell>
          <cell r="R281">
            <v>820.1586006146066</v>
          </cell>
          <cell r="T281">
            <v>708.722295681074</v>
          </cell>
          <cell r="U281">
            <v>732.23673801518407</v>
          </cell>
          <cell r="V281">
            <v>731.4060888268798</v>
          </cell>
          <cell r="X281">
            <v>694.16570096231771</v>
          </cell>
          <cell r="Z281">
            <v>716.63975609677914</v>
          </cell>
          <cell r="AA281">
            <v>345.0970653603203</v>
          </cell>
          <cell r="AB281">
            <v>1521.3477817009275</v>
          </cell>
          <cell r="AC281">
            <v>371.54269073645884</v>
          </cell>
          <cell r="AD281">
            <v>804.70802560414836</v>
          </cell>
        </row>
        <row r="282">
          <cell r="A282" t="str">
            <v>CGI014-qtz11-CL-fit-2-offset</v>
          </cell>
          <cell r="B282">
            <v>750</v>
          </cell>
          <cell r="C282">
            <v>8.0537892000481889E-22</v>
          </cell>
          <cell r="D282">
            <v>1500</v>
          </cell>
          <cell r="E282">
            <v>1024</v>
          </cell>
          <cell r="F282">
            <v>1.46484375</v>
          </cell>
          <cell r="H282">
            <v>2540.090146513819</v>
          </cell>
          <cell r="I282">
            <v>3233.4564166832529</v>
          </cell>
          <cell r="J282">
            <v>1898.5021462621371</v>
          </cell>
          <cell r="K282">
            <v>2269.5075106138625</v>
          </cell>
          <cell r="L282">
            <v>2514.2820408719112</v>
          </cell>
          <cell r="M282">
            <v>2585.3316044568214</v>
          </cell>
          <cell r="N282">
            <v>2397.2138635092469</v>
          </cell>
          <cell r="O282">
            <v>2679.8789733765993</v>
          </cell>
          <cell r="P282">
            <v>1656.8470953054307</v>
          </cell>
          <cell r="Q282">
            <v>2252.6508101066584</v>
          </cell>
          <cell r="R282">
            <v>2857.6987661185058</v>
          </cell>
          <cell r="T282">
            <v>2450.2904869236108</v>
          </cell>
          <cell r="U282">
            <v>2426.1495430339478</v>
          </cell>
          <cell r="V282">
            <v>2514.2820408719112</v>
          </cell>
          <cell r="X282">
            <v>2412.8218973660469</v>
          </cell>
          <cell r="Z282">
            <v>2419.8560979740992</v>
          </cell>
          <cell r="AA282">
            <v>1712.2162536748747</v>
          </cell>
          <cell r="AB282">
            <v>3426.7471559634237</v>
          </cell>
          <cell r="AC282">
            <v>707.63984429922448</v>
          </cell>
          <cell r="AD282">
            <v>1006.8910579893245</v>
          </cell>
        </row>
        <row r="283">
          <cell r="A283" t="str">
            <v>CGI014-qtz11-CL-fit-3-offset</v>
          </cell>
          <cell r="B283">
            <v>750</v>
          </cell>
          <cell r="C283">
            <v>8.0537892000481889E-22</v>
          </cell>
          <cell r="D283">
            <v>1500</v>
          </cell>
          <cell r="E283">
            <v>1024</v>
          </cell>
          <cell r="F283">
            <v>1.46484375</v>
          </cell>
          <cell r="H283">
            <v>187.82912655962113</v>
          </cell>
          <cell r="I283">
            <v>479.56833231167792</v>
          </cell>
          <cell r="J283">
            <v>497.34839938426876</v>
          </cell>
          <cell r="K283">
            <v>237.41134385228713</v>
          </cell>
          <cell r="L283">
            <v>487.08551979162019</v>
          </cell>
          <cell r="M283">
            <v>314.56272384053312</v>
          </cell>
          <cell r="N283">
            <v>414.39094623953662</v>
          </cell>
          <cell r="O283">
            <v>314.65476758640892</v>
          </cell>
          <cell r="P283">
            <v>419.23730622374319</v>
          </cell>
          <cell r="Q283">
            <v>459.44101417896263</v>
          </cell>
          <cell r="R283">
            <v>441.86149457184473</v>
          </cell>
          <cell r="T283">
            <v>386.62380383941576</v>
          </cell>
          <cell r="U283">
            <v>378.99237349884964</v>
          </cell>
          <cell r="V283">
            <v>419.23730622374319</v>
          </cell>
          <cell r="X283">
            <v>394.2613572813612</v>
          </cell>
          <cell r="Z283">
            <v>389.70130338710345</v>
          </cell>
          <cell r="AA283">
            <v>222.87356253846764</v>
          </cell>
          <cell r="AB283">
            <v>624.3473350936797</v>
          </cell>
          <cell r="AC283">
            <v>166.82774084863581</v>
          </cell>
          <cell r="AD283">
            <v>234.64603170657625</v>
          </cell>
        </row>
        <row r="284">
          <cell r="A284" t="str">
            <v>CGI014-qtz11-CL-fit-4-offset</v>
          </cell>
          <cell r="B284">
            <v>750</v>
          </cell>
          <cell r="C284">
            <v>8.0537892000481889E-22</v>
          </cell>
          <cell r="D284">
            <v>1500</v>
          </cell>
          <cell r="E284">
            <v>1024</v>
          </cell>
          <cell r="F284">
            <v>1.46484375</v>
          </cell>
          <cell r="H284">
            <v>104.51380650134344</v>
          </cell>
          <cell r="I284">
            <v>165.40037909980174</v>
          </cell>
          <cell r="J284">
            <v>126.72505621286807</v>
          </cell>
          <cell r="K284">
            <v>94.128925152799383</v>
          </cell>
          <cell r="L284">
            <v>96.246098350382297</v>
          </cell>
          <cell r="M284">
            <v>87.856008533026341</v>
          </cell>
          <cell r="N284">
            <v>85.480179097849145</v>
          </cell>
          <cell r="O284">
            <v>61.165408302188659</v>
          </cell>
          <cell r="P284">
            <v>95.992020285849179</v>
          </cell>
          <cell r="Q284">
            <v>82.233575501259892</v>
          </cell>
          <cell r="R284">
            <v>16.611353515166879</v>
          </cell>
          <cell r="T284">
            <v>87.475054357143222</v>
          </cell>
          <cell r="U284">
            <v>88.077896638548779</v>
          </cell>
          <cell r="V284">
            <v>94.128925152799383</v>
          </cell>
          <cell r="X284">
            <v>83.669075641739568</v>
          </cell>
          <cell r="Z284">
            <v>73.851716608012524</v>
          </cell>
          <cell r="AA284">
            <v>2.3942257098571944</v>
          </cell>
          <cell r="AB284">
            <v>222.93835506140198</v>
          </cell>
          <cell r="AC284">
            <v>71.457490898155328</v>
          </cell>
          <cell r="AD284">
            <v>149.08663845338947</v>
          </cell>
        </row>
        <row r="285">
          <cell r="A285" t="str">
            <v>CGI014-qtz11-CL-fit-5-offset</v>
          </cell>
          <cell r="B285">
            <v>750</v>
          </cell>
          <cell r="C285">
            <v>8.0537892000481889E-22</v>
          </cell>
          <cell r="D285">
            <v>1500</v>
          </cell>
          <cell r="E285">
            <v>1024</v>
          </cell>
          <cell r="F285">
            <v>1.46484375</v>
          </cell>
          <cell r="H285">
            <v>26.835336586486378</v>
          </cell>
          <cell r="I285">
            <v>77.718538225591999</v>
          </cell>
          <cell r="J285">
            <v>63.29475970869283</v>
          </cell>
          <cell r="K285">
            <v>30.852495480779091</v>
          </cell>
          <cell r="L285">
            <v>35.952483484286127</v>
          </cell>
          <cell r="M285">
            <v>47.435521703952297</v>
          </cell>
          <cell r="N285">
            <v>1.0476634895976924</v>
          </cell>
          <cell r="O285">
            <v>15.461324114996353</v>
          </cell>
          <cell r="P285">
            <v>31.794621916079862</v>
          </cell>
          <cell r="Q285">
            <v>27.417302124211464</v>
          </cell>
          <cell r="R285">
            <v>14.440453656400237</v>
          </cell>
          <cell r="T285">
            <v>38.523740081761716</v>
          </cell>
          <cell r="U285">
            <v>29.772212052608698</v>
          </cell>
          <cell r="V285">
            <v>30.852495480779091</v>
          </cell>
          <cell r="X285">
            <v>31.391710850805339</v>
          </cell>
          <cell r="Z285">
            <v>28.494821323266848</v>
          </cell>
          <cell r="AA285">
            <v>1.1031225812102408</v>
          </cell>
          <cell r="AB285">
            <v>98.761825902393497</v>
          </cell>
          <cell r="AC285">
            <v>27.391698742056608</v>
          </cell>
          <cell r="AD285">
            <v>70.267004579126649</v>
          </cell>
        </row>
        <row r="286">
          <cell r="A286" t="str">
            <v>CGI014-qtz12-CL-fit-1-offset</v>
          </cell>
          <cell r="B286">
            <v>750</v>
          </cell>
          <cell r="C286">
            <v>8.0537892000481889E-22</v>
          </cell>
          <cell r="D286">
            <v>1650</v>
          </cell>
          <cell r="E286">
            <v>1024</v>
          </cell>
          <cell r="F286">
            <v>1.611328125</v>
          </cell>
          <cell r="H286">
            <v>4337.2059730379297</v>
          </cell>
          <cell r="I286">
            <v>5328.0770781339397</v>
          </cell>
          <cell r="J286">
            <v>4258.1587917824145</v>
          </cell>
          <cell r="K286">
            <v>7993.0449606928387</v>
          </cell>
          <cell r="L286">
            <v>7331.6417026338277</v>
          </cell>
          <cell r="M286">
            <v>5255.5540876189816</v>
          </cell>
          <cell r="N286">
            <v>4928.857832415245</v>
          </cell>
          <cell r="O286">
            <v>5402.177452897784</v>
          </cell>
          <cell r="P286">
            <v>4028.7482765571567</v>
          </cell>
          <cell r="Q286">
            <v>5481.3652968031356</v>
          </cell>
          <cell r="R286">
            <v>6549.9529707820138</v>
          </cell>
          <cell r="T286">
            <v>5434.6268981042804</v>
          </cell>
          <cell r="U286">
            <v>5472.9802424325153</v>
          </cell>
          <cell r="V286">
            <v>5328.0770781339397</v>
          </cell>
          <cell r="X286">
            <v>5430.9733549733173</v>
          </cell>
          <cell r="Z286">
            <v>5465.5844512536351</v>
          </cell>
          <cell r="AA286">
            <v>3615.5710036046548</v>
          </cell>
          <cell r="AB286">
            <v>8409.7312442490547</v>
          </cell>
          <cell r="AC286">
            <v>1850.0134476489802</v>
          </cell>
          <cell r="AD286">
            <v>2944.1467929954197</v>
          </cell>
        </row>
        <row r="287">
          <cell r="A287" t="str">
            <v>CGI014-qtz12-CL-fit-2-offset</v>
          </cell>
          <cell r="B287">
            <v>750</v>
          </cell>
          <cell r="C287">
            <v>8.0537892000481889E-22</v>
          </cell>
          <cell r="D287">
            <v>1650</v>
          </cell>
          <cell r="E287">
            <v>1024</v>
          </cell>
          <cell r="F287">
            <v>1.611328125</v>
          </cell>
          <cell r="H287">
            <v>1145.8475144430699</v>
          </cell>
          <cell r="I287">
            <v>1772.2301417999859</v>
          </cell>
          <cell r="J287">
            <v>1232.0326098012856</v>
          </cell>
          <cell r="K287">
            <v>0</v>
          </cell>
          <cell r="L287">
            <v>1483.1189631448688</v>
          </cell>
          <cell r="M287">
            <v>1005.2205283348543</v>
          </cell>
          <cell r="N287">
            <v>1822.4827872689798</v>
          </cell>
          <cell r="O287">
            <v>0</v>
          </cell>
          <cell r="P287">
            <v>462.26830993306714</v>
          </cell>
          <cell r="Q287">
            <v>0</v>
          </cell>
          <cell r="R287">
            <v>669.77754743332491</v>
          </cell>
          <cell r="T287">
            <v>1191.2656212297675</v>
          </cell>
          <cell r="U287">
            <v>1150.3636130440705</v>
          </cell>
          <cell r="V287">
            <v>1188.5494667541645</v>
          </cell>
          <cell r="X287">
            <v>1121.4986853123476</v>
          </cell>
          <cell r="Z287">
            <v>1157.6032409022405</v>
          </cell>
          <cell r="AA287">
            <v>357.57446339906375</v>
          </cell>
          <cell r="AB287">
            <v>2643.9280111823778</v>
          </cell>
          <cell r="AC287">
            <v>800.0287775031768</v>
          </cell>
          <cell r="AD287">
            <v>1486.3247702801373</v>
          </cell>
        </row>
        <row r="288">
          <cell r="A288" t="str">
            <v>CGI014-qtz12-CL-fit-3-offset</v>
          </cell>
          <cell r="B288">
            <v>750</v>
          </cell>
          <cell r="C288">
            <v>8.0537892000481889E-22</v>
          </cell>
          <cell r="D288">
            <v>1650</v>
          </cell>
          <cell r="E288">
            <v>1024</v>
          </cell>
          <cell r="F288">
            <v>1.611328125</v>
          </cell>
          <cell r="H288">
            <v>137.56560654868559</v>
          </cell>
          <cell r="I288">
            <v>310.61382894883525</v>
          </cell>
          <cell r="J288">
            <v>334.64374368978076</v>
          </cell>
          <cell r="K288">
            <v>338.05748828055454</v>
          </cell>
          <cell r="L288">
            <v>421.55938689096968</v>
          </cell>
          <cell r="M288">
            <v>372.48153850724378</v>
          </cell>
          <cell r="N288">
            <v>224.62571134986729</v>
          </cell>
          <cell r="O288">
            <v>644.80284013962194</v>
          </cell>
          <cell r="P288">
            <v>744.00089365172562</v>
          </cell>
          <cell r="Q288">
            <v>793.68682644803732</v>
          </cell>
          <cell r="R288">
            <v>701.73637164068066</v>
          </cell>
          <cell r="T288">
            <v>420.38079828206787</v>
          </cell>
          <cell r="U288">
            <v>430.31353780620702</v>
          </cell>
          <cell r="V288">
            <v>372.48153850724378</v>
          </cell>
          <cell r="X288">
            <v>435.05967477280984</v>
          </cell>
          <cell r="Z288">
            <v>440.18167093208223</v>
          </cell>
          <cell r="AA288">
            <v>204.09556551166236</v>
          </cell>
          <cell r="AB288">
            <v>804.116141671891</v>
          </cell>
          <cell r="AC288">
            <v>236.08610542041987</v>
          </cell>
          <cell r="AD288">
            <v>363.93447073980877</v>
          </cell>
        </row>
        <row r="289">
          <cell r="A289" t="str">
            <v>CGI015-qtz01-CL-fit-1-offset</v>
          </cell>
          <cell r="B289">
            <v>750</v>
          </cell>
          <cell r="C289">
            <v>8.0537892000481889E-22</v>
          </cell>
          <cell r="D289">
            <v>1800</v>
          </cell>
          <cell r="E289">
            <v>1024</v>
          </cell>
          <cell r="F289">
            <v>1.7578125</v>
          </cell>
          <cell r="H289">
            <v>186.1271714343207</v>
          </cell>
          <cell r="I289">
            <v>1129.6107506395635</v>
          </cell>
          <cell r="J289">
            <v>317.54155653053169</v>
          </cell>
          <cell r="K289">
            <v>914.67437180383388</v>
          </cell>
          <cell r="L289">
            <v>1726.8576645201786</v>
          </cell>
          <cell r="M289">
            <v>106.91564412007678</v>
          </cell>
          <cell r="N289">
            <v>398.65597586989435</v>
          </cell>
          <cell r="O289">
            <v>318.87019082665876</v>
          </cell>
          <cell r="P289">
            <v>224.5697630559545</v>
          </cell>
          <cell r="Q289">
            <v>379.19385951772369</v>
          </cell>
          <cell r="R289">
            <v>16.090782990627915</v>
          </cell>
          <cell r="T289">
            <v>420.93209879767818</v>
          </cell>
          <cell r="U289">
            <v>412.84505046106074</v>
          </cell>
          <cell r="V289">
            <v>318.87019082665876</v>
          </cell>
          <cell r="X289">
            <v>401.47654907498287</v>
          </cell>
          <cell r="Z289">
            <v>415.80321623687325</v>
          </cell>
          <cell r="AA289">
            <v>21.53199665157209</v>
          </cell>
          <cell r="AB289">
            <v>1585.3348829414838</v>
          </cell>
          <cell r="AC289">
            <v>394.27121958530114</v>
          </cell>
          <cell r="AD289">
            <v>1169.5316667046104</v>
          </cell>
        </row>
        <row r="290">
          <cell r="A290" t="str">
            <v>CGI015-qtz01-CL-fit-2-offset</v>
          </cell>
          <cell r="B290">
            <v>750</v>
          </cell>
          <cell r="C290">
            <v>8.0537892000481889E-22</v>
          </cell>
          <cell r="D290">
            <v>1800</v>
          </cell>
          <cell r="E290">
            <v>1024</v>
          </cell>
          <cell r="F290">
            <v>1.7578125</v>
          </cell>
          <cell r="H290">
            <v>378.11392734025856</v>
          </cell>
          <cell r="I290">
            <v>274.20941551144955</v>
          </cell>
          <cell r="J290">
            <v>313.33238902190959</v>
          </cell>
          <cell r="K290">
            <v>283.57812063908</v>
          </cell>
          <cell r="L290">
            <v>275.19609355359307</v>
          </cell>
          <cell r="M290">
            <v>340.70290370119318</v>
          </cell>
          <cell r="N290">
            <v>342.57805788536314</v>
          </cell>
          <cell r="O290">
            <v>272.83264998525959</v>
          </cell>
          <cell r="P290">
            <v>305.95175769978249</v>
          </cell>
          <cell r="Q290">
            <v>507.1013753450992</v>
          </cell>
          <cell r="R290">
            <v>492.43162236999689</v>
          </cell>
          <cell r="T290">
            <v>338.8023496301422</v>
          </cell>
          <cell r="U290">
            <v>339.96745718990263</v>
          </cell>
          <cell r="V290">
            <v>313.33238902190959</v>
          </cell>
          <cell r="X290">
            <v>334.56276929647993</v>
          </cell>
          <cell r="Z290">
            <v>333.51308849275915</v>
          </cell>
          <cell r="AA290">
            <v>100.73410901261052</v>
          </cell>
          <cell r="AB290">
            <v>669.57564032980611</v>
          </cell>
          <cell r="AC290">
            <v>232.77897948014862</v>
          </cell>
          <cell r="AD290">
            <v>336.06255183704695</v>
          </cell>
        </row>
        <row r="291">
          <cell r="A291" t="str">
            <v>CGI015-qtz01-CL-fit-3-offset</v>
          </cell>
          <cell r="B291">
            <v>750</v>
          </cell>
          <cell r="C291">
            <v>8.0537892000481889E-22</v>
          </cell>
          <cell r="D291">
            <v>1800</v>
          </cell>
          <cell r="E291">
            <v>1024</v>
          </cell>
          <cell r="F291">
            <v>1.7578125</v>
          </cell>
          <cell r="H291">
            <v>446.19382613430145</v>
          </cell>
          <cell r="I291">
            <v>413.53189797302991</v>
          </cell>
          <cell r="J291">
            <v>474.5957492180421</v>
          </cell>
          <cell r="K291">
            <v>244.88633549225699</v>
          </cell>
          <cell r="L291">
            <v>466.07805471395096</v>
          </cell>
          <cell r="M291">
            <v>608.84741578515309</v>
          </cell>
          <cell r="N291">
            <v>649.88702228660975</v>
          </cell>
          <cell r="O291">
            <v>752.68904253099515</v>
          </cell>
          <cell r="P291">
            <v>488.74919392880491</v>
          </cell>
          <cell r="Q291">
            <v>396.4549650056212</v>
          </cell>
          <cell r="R291">
            <v>549.86338925613029</v>
          </cell>
          <cell r="T291">
            <v>482.0489852020832</v>
          </cell>
          <cell r="U291">
            <v>490.23031577627279</v>
          </cell>
          <cell r="V291">
            <v>474.5957492180421</v>
          </cell>
          <cell r="X291">
            <v>479.37768852454843</v>
          </cell>
          <cell r="Z291">
            <v>482.28610207792269</v>
          </cell>
          <cell r="AA291">
            <v>253.63781181220642</v>
          </cell>
          <cell r="AB291">
            <v>811.47218922724096</v>
          </cell>
          <cell r="AC291">
            <v>228.64829026571627</v>
          </cell>
          <cell r="AD291">
            <v>329.18608714931827</v>
          </cell>
        </row>
        <row r="292">
          <cell r="A292" t="str">
            <v>CGI015-qtz01-CL-fit-4-offset</v>
          </cell>
          <cell r="B292">
            <v>750</v>
          </cell>
          <cell r="C292">
            <v>8.0537892000481889E-22</v>
          </cell>
          <cell r="D292">
            <v>1800</v>
          </cell>
          <cell r="E292">
            <v>1024</v>
          </cell>
          <cell r="F292">
            <v>1.7578125</v>
          </cell>
          <cell r="H292">
            <v>272.14510767178064</v>
          </cell>
          <cell r="I292">
            <v>226.57686818883275</v>
          </cell>
          <cell r="J292">
            <v>289.45413816414788</v>
          </cell>
          <cell r="K292">
            <v>127.73445899907448</v>
          </cell>
          <cell r="L292">
            <v>162.19611267017174</v>
          </cell>
          <cell r="M292">
            <v>243.61576266744265</v>
          </cell>
          <cell r="N292">
            <v>183.7018031216885</v>
          </cell>
          <cell r="O292">
            <v>265.45664359391259</v>
          </cell>
          <cell r="P292">
            <v>217.22098282901797</v>
          </cell>
          <cell r="Q292">
            <v>153.55812968162164</v>
          </cell>
          <cell r="R292">
            <v>95.813886353094489</v>
          </cell>
          <cell r="T292">
            <v>197.1447530980102</v>
          </cell>
          <cell r="U292">
            <v>198.48625860178907</v>
          </cell>
          <cell r="V292">
            <v>217.22098282901797</v>
          </cell>
          <cell r="X292">
            <v>203.04517930209855</v>
          </cell>
          <cell r="Z292">
            <v>202.03184960978425</v>
          </cell>
          <cell r="AA292">
            <v>99.989314909624213</v>
          </cell>
          <cell r="AB292">
            <v>352.8302663139666</v>
          </cell>
          <cell r="AC292">
            <v>102.04253470016003</v>
          </cell>
          <cell r="AD292">
            <v>150.79841670418236</v>
          </cell>
        </row>
        <row r="293">
          <cell r="A293" t="str">
            <v>CGI015-qtz01-CL-fit-5-offset</v>
          </cell>
          <cell r="B293">
            <v>750</v>
          </cell>
          <cell r="C293">
            <v>8.0537892000481889E-22</v>
          </cell>
          <cell r="D293">
            <v>1800</v>
          </cell>
          <cell r="E293">
            <v>1024</v>
          </cell>
          <cell r="F293">
            <v>1.7578125</v>
          </cell>
          <cell r="H293">
            <v>94.359207983028881</v>
          </cell>
          <cell r="I293">
            <v>77.611804839447672</v>
          </cell>
          <cell r="J293">
            <v>211.7021939746206</v>
          </cell>
          <cell r="K293">
            <v>225.05210084517407</v>
          </cell>
          <cell r="L293">
            <v>227.34263005376383</v>
          </cell>
          <cell r="M293">
            <v>90.756473835719305</v>
          </cell>
          <cell r="N293">
            <v>130.6163953625929</v>
          </cell>
          <cell r="O293">
            <v>141.43715075100985</v>
          </cell>
          <cell r="P293">
            <v>482.7514838573378</v>
          </cell>
          <cell r="Q293">
            <v>103.09690272329763</v>
          </cell>
          <cell r="R293">
            <v>280.1669837402797</v>
          </cell>
          <cell r="T293">
            <v>154.24323330000379</v>
          </cell>
          <cell r="U293">
            <v>173.4364538343319</v>
          </cell>
          <cell r="V293">
            <v>141.43715075100985</v>
          </cell>
          <cell r="X293">
            <v>139.48833778284651</v>
          </cell>
          <cell r="Z293">
            <v>152.63721053323826</v>
          </cell>
          <cell r="AA293">
            <v>52.880100144083983</v>
          </cell>
          <cell r="AB293">
            <v>329.82894841313345</v>
          </cell>
          <cell r="AC293">
            <v>99.757110389154278</v>
          </cell>
          <cell r="AD293">
            <v>177.19173787989519</v>
          </cell>
        </row>
        <row r="294">
          <cell r="A294" t="str">
            <v>CGI015-qtz01-CL-fit-6-offset</v>
          </cell>
          <cell r="B294">
            <v>750</v>
          </cell>
          <cell r="C294">
            <v>8.0537892000481889E-22</v>
          </cell>
          <cell r="D294">
            <v>1800</v>
          </cell>
          <cell r="E294">
            <v>1024</v>
          </cell>
          <cell r="F294">
            <v>1.7578125</v>
          </cell>
          <cell r="H294">
            <v>23.854059501823322</v>
          </cell>
          <cell r="I294">
            <v>19.21220930000138</v>
          </cell>
          <cell r="J294">
            <v>16.787852193592762</v>
          </cell>
          <cell r="K294">
            <v>23.414852684307849</v>
          </cell>
          <cell r="L294">
            <v>10.15740892114613</v>
          </cell>
          <cell r="M294">
            <v>2.2964413220076558</v>
          </cell>
          <cell r="N294">
            <v>27.253893304481721</v>
          </cell>
          <cell r="O294">
            <v>2.4544165859217508</v>
          </cell>
          <cell r="P294">
            <v>35.99476520100373</v>
          </cell>
          <cell r="Q294">
            <v>2.5727893418283778</v>
          </cell>
          <cell r="R294">
            <v>52.477272106708753</v>
          </cell>
          <cell r="T294">
            <v>23.727338449940575</v>
          </cell>
          <cell r="U294">
            <v>16.395691235977107</v>
          </cell>
          <cell r="V294">
            <v>19.21220930000138</v>
          </cell>
          <cell r="X294">
            <v>18.673899252885626</v>
          </cell>
          <cell r="Z294">
            <v>20.856984604020287</v>
          </cell>
          <cell r="AA294">
            <v>0.25096879429829627</v>
          </cell>
          <cell r="AB294">
            <v>112.29015574295113</v>
          </cell>
          <cell r="AC294">
            <v>20.606015809721992</v>
          </cell>
          <cell r="AD294">
            <v>91.433171138930845</v>
          </cell>
        </row>
        <row r="295">
          <cell r="A295" t="str">
            <v>CGI015-qtz02-CL-fit-1-offset</v>
          </cell>
          <cell r="B295">
            <v>750</v>
          </cell>
          <cell r="C295">
            <v>8.0537892000481889E-22</v>
          </cell>
          <cell r="D295">
            <v>1550</v>
          </cell>
          <cell r="E295">
            <v>1024</v>
          </cell>
          <cell r="F295">
            <v>1.513671875</v>
          </cell>
          <cell r="H295">
            <v>4765.4828354599449</v>
          </cell>
          <cell r="I295">
            <v>4842.4718614315561</v>
          </cell>
          <cell r="J295">
            <v>5061.7078065019105</v>
          </cell>
          <cell r="K295">
            <v>4573.0261570829898</v>
          </cell>
          <cell r="L295">
            <v>4911.7211141721627</v>
          </cell>
          <cell r="M295">
            <v>4270.8649206194359</v>
          </cell>
          <cell r="N295">
            <v>3578.4262009537301</v>
          </cell>
          <cell r="O295">
            <v>5103.7159746852367</v>
          </cell>
          <cell r="P295">
            <v>6192.9178531772459</v>
          </cell>
          <cell r="Q295">
            <v>6326.1861523542402</v>
          </cell>
          <cell r="R295">
            <v>4491.5304690646326</v>
          </cell>
          <cell r="T295">
            <v>4860.3688759932447</v>
          </cell>
          <cell r="U295">
            <v>4891.5686928646601</v>
          </cell>
          <cell r="V295">
            <v>4842.4718614315561</v>
          </cell>
          <cell r="X295">
            <v>4903.3367709318436</v>
          </cell>
          <cell r="Z295">
            <v>4883.0761335645329</v>
          </cell>
          <cell r="AA295">
            <v>3350.8352658296317</v>
          </cell>
          <cell r="AB295">
            <v>6796.723895782503</v>
          </cell>
          <cell r="AC295">
            <v>1532.2408677349013</v>
          </cell>
          <cell r="AD295">
            <v>1913.64776221797</v>
          </cell>
        </row>
        <row r="296">
          <cell r="A296" t="str">
            <v>CGI015-qtz02-CL-fit-2-offset</v>
          </cell>
          <cell r="B296">
            <v>750</v>
          </cell>
          <cell r="C296">
            <v>8.0537892000481889E-22</v>
          </cell>
          <cell r="D296">
            <v>1550</v>
          </cell>
          <cell r="E296">
            <v>1024</v>
          </cell>
          <cell r="F296">
            <v>1.513671875</v>
          </cell>
          <cell r="H296">
            <v>139.08128571007967</v>
          </cell>
          <cell r="I296">
            <v>192.13311181374567</v>
          </cell>
          <cell r="J296">
            <v>169.61048566946323</v>
          </cell>
          <cell r="K296">
            <v>77.762492631410097</v>
          </cell>
          <cell r="L296">
            <v>193.23411482370059</v>
          </cell>
          <cell r="M296">
            <v>271.55368400938829</v>
          </cell>
          <cell r="N296">
            <v>221.26334488041221</v>
          </cell>
          <cell r="O296">
            <v>337.29156970116759</v>
          </cell>
          <cell r="P296">
            <v>298.76949368041068</v>
          </cell>
          <cell r="Q296">
            <v>270.10794762816215</v>
          </cell>
          <cell r="R296">
            <v>160.09575803173686</v>
          </cell>
          <cell r="T296">
            <v>217.4897854220483</v>
          </cell>
          <cell r="U296">
            <v>204.98228811358882</v>
          </cell>
          <cell r="V296">
            <v>193.23411482370059</v>
          </cell>
          <cell r="X296">
            <v>203.29691455328782</v>
          </cell>
          <cell r="Z296">
            <v>201.77541071850675</v>
          </cell>
          <cell r="AA296">
            <v>84.622265885761479</v>
          </cell>
          <cell r="AB296">
            <v>327.19714276781605</v>
          </cell>
          <cell r="AC296">
            <v>117.15314483274527</v>
          </cell>
          <cell r="AD296">
            <v>125.4217320493093</v>
          </cell>
        </row>
        <row r="297">
          <cell r="A297" t="str">
            <v>CGI015-qtz02-CL-fit-3-offset</v>
          </cell>
          <cell r="B297">
            <v>750</v>
          </cell>
          <cell r="C297">
            <v>8.0537892000481889E-22</v>
          </cell>
          <cell r="D297">
            <v>1550</v>
          </cell>
          <cell r="E297">
            <v>1024</v>
          </cell>
          <cell r="F297">
            <v>1.513671875</v>
          </cell>
          <cell r="H297">
            <v>161.6409635340749</v>
          </cell>
          <cell r="I297">
            <v>121.486071368522</v>
          </cell>
          <cell r="J297">
            <v>95.033516089680603</v>
          </cell>
          <cell r="K297">
            <v>176.20907331459907</v>
          </cell>
          <cell r="L297">
            <v>160.56434784227974</v>
          </cell>
          <cell r="M297">
            <v>125.75016481216969</v>
          </cell>
          <cell r="N297">
            <v>109.54846369544009</v>
          </cell>
          <cell r="O297">
            <v>94.565791419254879</v>
          </cell>
          <cell r="P297">
            <v>106.84136079442963</v>
          </cell>
          <cell r="Q297">
            <v>225.34171440444928</v>
          </cell>
          <cell r="R297">
            <v>70.545482077609861</v>
          </cell>
          <cell r="T297">
            <v>127.2584270966083</v>
          </cell>
          <cell r="U297">
            <v>128.26998755520037</v>
          </cell>
          <cell r="V297">
            <v>121.486071368522</v>
          </cell>
          <cell r="X297">
            <v>129.93516572719753</v>
          </cell>
          <cell r="Z297">
            <v>129.80502407246829</v>
          </cell>
          <cell r="AA297">
            <v>43.273358721208865</v>
          </cell>
          <cell r="AB297">
            <v>254.33257514052491</v>
          </cell>
          <cell r="AC297">
            <v>86.53166535125942</v>
          </cell>
          <cell r="AD297">
            <v>124.52755106805662</v>
          </cell>
        </row>
        <row r="298">
          <cell r="A298" t="str">
            <v>CGI015-qtz02-CL-fit-4-offset</v>
          </cell>
          <cell r="B298">
            <v>750</v>
          </cell>
          <cell r="C298">
            <v>8.0537892000481889E-22</v>
          </cell>
          <cell r="D298">
            <v>1550</v>
          </cell>
          <cell r="E298">
            <v>1024</v>
          </cell>
          <cell r="F298">
            <v>1.513671875</v>
          </cell>
          <cell r="H298">
            <v>17.79365638806923</v>
          </cell>
          <cell r="I298">
            <v>13.234435443399924</v>
          </cell>
          <cell r="J298">
            <v>9.6402565156618856</v>
          </cell>
          <cell r="K298">
            <v>12.738030551507697</v>
          </cell>
          <cell r="L298">
            <v>15.801528748476322</v>
          </cell>
          <cell r="M298">
            <v>18.574674762908636</v>
          </cell>
          <cell r="N298">
            <v>16.336216782005504</v>
          </cell>
          <cell r="O298">
            <v>25.641650263023433</v>
          </cell>
          <cell r="P298">
            <v>20.477094191989536</v>
          </cell>
          <cell r="Q298">
            <v>23.555725237566364</v>
          </cell>
          <cell r="R298">
            <v>15.128854523928931</v>
          </cell>
          <cell r="T298">
            <v>18.479869201922227</v>
          </cell>
          <cell r="U298">
            <v>16.876237494525622</v>
          </cell>
          <cell r="V298">
            <v>16.336216782005504</v>
          </cell>
          <cell r="X298">
            <v>17.418851841083622</v>
          </cell>
          <cell r="Z298">
            <v>14.999675680308387</v>
          </cell>
          <cell r="AA298">
            <v>0.11118404814089591</v>
          </cell>
          <cell r="AB298">
            <v>47.114551789696172</v>
          </cell>
          <cell r="AC298">
            <v>14.888491632167492</v>
          </cell>
          <cell r="AD298">
            <v>32.114876109387787</v>
          </cell>
        </row>
        <row r="299">
          <cell r="A299" t="str">
            <v>CGI015-qtz03-CL-fit-1-offset</v>
          </cell>
          <cell r="B299">
            <v>750</v>
          </cell>
          <cell r="C299">
            <v>8.0537892000481889E-22</v>
          </cell>
          <cell r="D299">
            <v>1750</v>
          </cell>
          <cell r="E299">
            <v>1024</v>
          </cell>
          <cell r="F299">
            <v>1.708984375</v>
          </cell>
          <cell r="H299">
            <v>1395.0485585616273</v>
          </cell>
          <cell r="I299">
            <v>1549.8813537896119</v>
          </cell>
          <cell r="J299">
            <v>1496.1988822099436</v>
          </cell>
          <cell r="K299">
            <v>1299.4404007768048</v>
          </cell>
          <cell r="L299">
            <v>1282.8171920019656</v>
          </cell>
          <cell r="M299">
            <v>1782.9010741625571</v>
          </cell>
          <cell r="N299">
            <v>746.84556036519757</v>
          </cell>
          <cell r="O299">
            <v>851.4718463171771</v>
          </cell>
          <cell r="P299">
            <v>714.26829665305024</v>
          </cell>
          <cell r="Q299">
            <v>745.19128680206677</v>
          </cell>
          <cell r="R299">
            <v>1160.4906985648704</v>
          </cell>
          <cell r="T299">
            <v>1189.0930259773288</v>
          </cell>
          <cell r="U299">
            <v>1156.5356897619392</v>
          </cell>
          <cell r="V299">
            <v>1282.8171920019656</v>
          </cell>
          <cell r="X299">
            <v>1128.3123267142937</v>
          </cell>
          <cell r="Z299">
            <v>1160.568419769224</v>
          </cell>
          <cell r="AA299">
            <v>462.28084955925777</v>
          </cell>
          <cell r="AB299">
            <v>2361.32383823176</v>
          </cell>
          <cell r="AC299">
            <v>698.28757020996613</v>
          </cell>
          <cell r="AD299">
            <v>1200.755418462536</v>
          </cell>
        </row>
        <row r="300">
          <cell r="A300" t="str">
            <v>CGI015-qtz03-CL-fit-2-offset</v>
          </cell>
          <cell r="B300">
            <v>750</v>
          </cell>
          <cell r="C300">
            <v>8.0537892000481889E-22</v>
          </cell>
          <cell r="D300">
            <v>1750</v>
          </cell>
          <cell r="E300">
            <v>1024</v>
          </cell>
          <cell r="F300">
            <v>1.708984375</v>
          </cell>
          <cell r="H300">
            <v>696.31158949128917</v>
          </cell>
          <cell r="I300">
            <v>1338.7968136463562</v>
          </cell>
          <cell r="J300">
            <v>1505.4393816462027</v>
          </cell>
          <cell r="K300">
            <v>1021.848754066693</v>
          </cell>
          <cell r="L300">
            <v>1129.8407814588693</v>
          </cell>
          <cell r="M300">
            <v>1551.3631644000136</v>
          </cell>
          <cell r="N300">
            <v>1367.5148405658697</v>
          </cell>
          <cell r="O300">
            <v>1424.2974430904958</v>
          </cell>
          <cell r="P300">
            <v>1681.5635302962003</v>
          </cell>
          <cell r="Q300">
            <v>1655.6693738485851</v>
          </cell>
          <cell r="R300">
            <v>1212.083064044868</v>
          </cell>
          <cell r="T300">
            <v>1332.7197858218174</v>
          </cell>
          <cell r="U300">
            <v>1308.9638838884568</v>
          </cell>
          <cell r="V300">
            <v>1367.5148405658697</v>
          </cell>
          <cell r="X300">
            <v>1279.7781015540609</v>
          </cell>
          <cell r="Z300">
            <v>1289.8152897915525</v>
          </cell>
          <cell r="AA300">
            <v>699.54370786011077</v>
          </cell>
          <cell r="AB300">
            <v>2166.1278474166661</v>
          </cell>
          <cell r="AC300">
            <v>590.27158193144169</v>
          </cell>
          <cell r="AD300">
            <v>876.31255762511364</v>
          </cell>
        </row>
        <row r="301">
          <cell r="A301" t="str">
            <v>CGI015-qtz03-CL-fit-3-offset</v>
          </cell>
          <cell r="B301">
            <v>750</v>
          </cell>
          <cell r="C301">
            <v>8.0537892000481889E-22</v>
          </cell>
          <cell r="D301">
            <v>1750</v>
          </cell>
          <cell r="E301">
            <v>1024</v>
          </cell>
          <cell r="F301">
            <v>1.708984375</v>
          </cell>
          <cell r="H301">
            <v>376.602510440299</v>
          </cell>
          <cell r="I301">
            <v>406.72540063347537</v>
          </cell>
          <cell r="J301">
            <v>496.7739517679658</v>
          </cell>
          <cell r="K301">
            <v>269.56424283381477</v>
          </cell>
          <cell r="L301">
            <v>201.99138157115988</v>
          </cell>
          <cell r="M301">
            <v>281.696514301702</v>
          </cell>
          <cell r="N301">
            <v>275.60279450254922</v>
          </cell>
          <cell r="O301">
            <v>389.02919606014552</v>
          </cell>
          <cell r="P301">
            <v>448.22516540878951</v>
          </cell>
          <cell r="Q301">
            <v>295.53818090599884</v>
          </cell>
          <cell r="R301">
            <v>273.2689580963912</v>
          </cell>
          <cell r="T301">
            <v>327.77827096547003</v>
          </cell>
          <cell r="U301">
            <v>332.21762765188498</v>
          </cell>
          <cell r="V301">
            <v>295.53818090599884</v>
          </cell>
          <cell r="X301">
            <v>319.26326136405157</v>
          </cell>
          <cell r="Z301">
            <v>320.59505465194803</v>
          </cell>
          <cell r="AA301">
            <v>155.91995987377123</v>
          </cell>
          <cell r="AB301">
            <v>508.48342207385537</v>
          </cell>
          <cell r="AC301">
            <v>164.6750947781768</v>
          </cell>
          <cell r="AD301">
            <v>187.88836742190733</v>
          </cell>
        </row>
        <row r="302">
          <cell r="A302" t="str">
            <v>CGI015-qtz03-CL-fit-4-offset</v>
          </cell>
          <cell r="B302">
            <v>750</v>
          </cell>
          <cell r="C302">
            <v>8.0537892000481889E-22</v>
          </cell>
          <cell r="D302">
            <v>1750</v>
          </cell>
          <cell r="E302">
            <v>1024</v>
          </cell>
          <cell r="F302">
            <v>1.708984375</v>
          </cell>
          <cell r="H302">
            <v>602.84075236717263</v>
          </cell>
          <cell r="I302">
            <v>728.34468858641287</v>
          </cell>
          <cell r="J302">
            <v>647.4118692385872</v>
          </cell>
          <cell r="K302">
            <v>543.6029379833534</v>
          </cell>
          <cell r="L302">
            <v>353.39366147110218</v>
          </cell>
          <cell r="M302">
            <v>443.59609822225718</v>
          </cell>
          <cell r="N302">
            <v>404.98775982233985</v>
          </cell>
          <cell r="O302">
            <v>739.08688720277416</v>
          </cell>
          <cell r="P302">
            <v>151.81274298400001</v>
          </cell>
          <cell r="Q302">
            <v>166.51369019476846</v>
          </cell>
          <cell r="R302">
            <v>380.57766961953479</v>
          </cell>
          <cell r="T302">
            <v>421.12164363011971</v>
          </cell>
          <cell r="U302">
            <v>445.61237070507644</v>
          </cell>
          <cell r="V302">
            <v>443.59609822225718</v>
          </cell>
          <cell r="X302">
            <v>374.08695031885293</v>
          </cell>
          <cell r="Z302">
            <v>396.65206665463342</v>
          </cell>
          <cell r="AA302">
            <v>189.21626478176</v>
          </cell>
          <cell r="AB302">
            <v>802.28204678177735</v>
          </cell>
          <cell r="AC302">
            <v>207.43580187287341</v>
          </cell>
          <cell r="AD302">
            <v>405.62998012714394</v>
          </cell>
        </row>
        <row r="303">
          <cell r="A303" t="str">
            <v>CGI015-qtz03-CL-fit-5-offset</v>
          </cell>
          <cell r="B303">
            <v>750</v>
          </cell>
          <cell r="C303">
            <v>8.0537892000481889E-22</v>
          </cell>
          <cell r="D303">
            <v>1750</v>
          </cell>
          <cell r="E303">
            <v>1024</v>
          </cell>
          <cell r="F303">
            <v>1.708984375</v>
          </cell>
          <cell r="H303">
            <v>266.63528090391742</v>
          </cell>
          <cell r="I303">
            <v>89.129576147115372</v>
          </cell>
          <cell r="J303">
            <v>179.7697463064161</v>
          </cell>
          <cell r="K303">
            <v>84.172955670321087</v>
          </cell>
          <cell r="L303">
            <v>126.70834756238118</v>
          </cell>
          <cell r="M303">
            <v>136.05378671825511</v>
          </cell>
          <cell r="N303">
            <v>147.78137950339516</v>
          </cell>
          <cell r="O303">
            <v>134.12477946094339</v>
          </cell>
          <cell r="P303">
            <v>161.88019501478627</v>
          </cell>
          <cell r="Q303">
            <v>211.29091794129562</v>
          </cell>
          <cell r="R303">
            <v>277.98505908082541</v>
          </cell>
          <cell r="T303">
            <v>164.19714710379847</v>
          </cell>
          <cell r="U303">
            <v>159.54588766998199</v>
          </cell>
          <cell r="V303">
            <v>147.78137950339516</v>
          </cell>
          <cell r="X303">
            <v>157.02442756586422</v>
          </cell>
          <cell r="Z303">
            <v>158.21596161973744</v>
          </cell>
          <cell r="AA303">
            <v>42.18579896375654</v>
          </cell>
          <cell r="AB303">
            <v>351.39394957063837</v>
          </cell>
          <cell r="AC303">
            <v>116.0301626559809</v>
          </cell>
          <cell r="AD303">
            <v>193.17798795090093</v>
          </cell>
        </row>
        <row r="304">
          <cell r="A304" t="str">
            <v>CGI015-qtz04-CL-fit-1-offset</v>
          </cell>
          <cell r="B304">
            <v>750</v>
          </cell>
          <cell r="C304">
            <v>8.0537892000481889E-22</v>
          </cell>
          <cell r="D304">
            <v>2000</v>
          </cell>
          <cell r="E304">
            <v>1024</v>
          </cell>
          <cell r="F304">
            <v>1.953125</v>
          </cell>
          <cell r="H304">
            <v>685.60876825295145</v>
          </cell>
          <cell r="I304">
            <v>802.39141133056955</v>
          </cell>
          <cell r="J304">
            <v>933.22974852504319</v>
          </cell>
          <cell r="K304">
            <v>806.31678059860235</v>
          </cell>
          <cell r="L304">
            <v>740.98619360822295</v>
          </cell>
          <cell r="M304">
            <v>807.96347852294934</v>
          </cell>
          <cell r="N304">
            <v>803.30772496643476</v>
          </cell>
          <cell r="O304">
            <v>728.66064886890115</v>
          </cell>
          <cell r="P304">
            <v>780.19010937599785</v>
          </cell>
          <cell r="Q304">
            <v>796.11430932620465</v>
          </cell>
          <cell r="R304">
            <v>1044.1688800597437</v>
          </cell>
          <cell r="T304">
            <v>821.1027227073796</v>
          </cell>
          <cell r="U304">
            <v>809.13517026120121</v>
          </cell>
          <cell r="V304">
            <v>802.39141133056955</v>
          </cell>
          <cell r="X304">
            <v>800.73849441668278</v>
          </cell>
          <cell r="Z304">
            <v>811.99677329995745</v>
          </cell>
          <cell r="AA304">
            <v>535.27553648769083</v>
          </cell>
          <cell r="AB304">
            <v>1109.3933509506385</v>
          </cell>
          <cell r="AC304">
            <v>276.72123681226662</v>
          </cell>
          <cell r="AD304">
            <v>297.39657765068102</v>
          </cell>
        </row>
        <row r="305">
          <cell r="A305" t="str">
            <v>CGI015-qtz04-CL-fit-2-offset</v>
          </cell>
          <cell r="B305">
            <v>750</v>
          </cell>
          <cell r="C305">
            <v>8.0537892000481889E-22</v>
          </cell>
          <cell r="D305">
            <v>2000</v>
          </cell>
          <cell r="E305">
            <v>1024</v>
          </cell>
          <cell r="F305">
            <v>1.953125</v>
          </cell>
          <cell r="H305">
            <v>487.24325174788288</v>
          </cell>
          <cell r="I305">
            <v>560.34175362433336</v>
          </cell>
          <cell r="J305">
            <v>482.20794379223776</v>
          </cell>
          <cell r="K305">
            <v>558.260896354431</v>
          </cell>
          <cell r="L305">
            <v>348.80832893156327</v>
          </cell>
          <cell r="M305">
            <v>515.61609438210201</v>
          </cell>
          <cell r="N305">
            <v>405.64004330092467</v>
          </cell>
          <cell r="O305">
            <v>667.52334342491099</v>
          </cell>
          <cell r="P305">
            <v>502.65333635574183</v>
          </cell>
          <cell r="Q305">
            <v>523.56289769759724</v>
          </cell>
          <cell r="R305">
            <v>269.53312280201686</v>
          </cell>
          <cell r="T305">
            <v>501.65125839912167</v>
          </cell>
          <cell r="U305">
            <v>477.66634045600995</v>
          </cell>
          <cell r="V305">
            <v>502.65333635574183</v>
          </cell>
          <cell r="X305">
            <v>494.60455362395436</v>
          </cell>
          <cell r="Z305">
            <v>503.23912339802263</v>
          </cell>
          <cell r="AA305">
            <v>230.21720887402535</v>
          </cell>
          <cell r="AB305">
            <v>886.71752558300579</v>
          </cell>
          <cell r="AC305">
            <v>273.02191452399728</v>
          </cell>
          <cell r="AD305">
            <v>383.47840218498317</v>
          </cell>
        </row>
        <row r="306">
          <cell r="A306" t="str">
            <v>CGI015-qtz04-CL-fit-3-offset</v>
          </cell>
          <cell r="B306">
            <v>750</v>
          </cell>
          <cell r="C306">
            <v>8.0537892000481889E-22</v>
          </cell>
          <cell r="D306">
            <v>2000</v>
          </cell>
          <cell r="E306">
            <v>1024</v>
          </cell>
          <cell r="F306">
            <v>1.953125</v>
          </cell>
          <cell r="H306">
            <v>148.75905045291975</v>
          </cell>
          <cell r="I306">
            <v>74.473867425266448</v>
          </cell>
          <cell r="J306">
            <v>84.22033723035895</v>
          </cell>
          <cell r="K306">
            <v>67.642848987593069</v>
          </cell>
          <cell r="L306">
            <v>51.012699513466579</v>
          </cell>
          <cell r="M306">
            <v>144.77595393915394</v>
          </cell>
          <cell r="N306">
            <v>242.98708259834072</v>
          </cell>
          <cell r="O306">
            <v>115.39593674921106</v>
          </cell>
          <cell r="P306">
            <v>207.50305747841512</v>
          </cell>
          <cell r="Q306">
            <v>42.017101149432285</v>
          </cell>
          <cell r="R306">
            <v>80.179968891776682</v>
          </cell>
          <cell r="T306">
            <v>112.10175156887254</v>
          </cell>
          <cell r="U306">
            <v>106.60459084987932</v>
          </cell>
          <cell r="V306">
            <v>84.22033723035895</v>
          </cell>
          <cell r="X306">
            <v>104.23252127192886</v>
          </cell>
          <cell r="Z306">
            <v>100.17245560354748</v>
          </cell>
          <cell r="AA306">
            <v>2.5857122699181843</v>
          </cell>
          <cell r="AB306">
            <v>259.61287092249302</v>
          </cell>
          <cell r="AC306">
            <v>97.586743333629286</v>
          </cell>
          <cell r="AD306">
            <v>159.44041531894555</v>
          </cell>
        </row>
        <row r="307">
          <cell r="A307" t="str">
            <v>CGI015-qtz04-CL-fit-4-offset</v>
          </cell>
          <cell r="B307">
            <v>750</v>
          </cell>
          <cell r="C307">
            <v>8.0537892000481889E-22</v>
          </cell>
          <cell r="D307">
            <v>2000</v>
          </cell>
          <cell r="E307">
            <v>1024</v>
          </cell>
          <cell r="F307">
            <v>1.953125</v>
          </cell>
          <cell r="H307">
            <v>101.65081876740574</v>
          </cell>
          <cell r="I307">
            <v>2.4943514306478711</v>
          </cell>
          <cell r="J307">
            <v>66.909148844295856</v>
          </cell>
          <cell r="K307">
            <v>52.76125620143457</v>
          </cell>
          <cell r="L307">
            <v>53.85580403636299</v>
          </cell>
          <cell r="M307">
            <v>89.657364161110877</v>
          </cell>
          <cell r="N307">
            <v>63.408749804247037</v>
          </cell>
          <cell r="O307">
            <v>0.84917817259207706</v>
          </cell>
          <cell r="P307">
            <v>33.673177305468037</v>
          </cell>
          <cell r="Q307">
            <v>60.180893755477165</v>
          </cell>
          <cell r="R307">
            <v>38.655512568918965</v>
          </cell>
          <cell r="T307">
            <v>61.806776621600036</v>
          </cell>
          <cell r="U307">
            <v>43.529739373057552</v>
          </cell>
          <cell r="V307">
            <v>53.85580403636299</v>
          </cell>
          <cell r="X307">
            <v>57.843291503128881</v>
          </cell>
          <cell r="Z307">
            <v>60.821350248890091</v>
          </cell>
          <cell r="AA307">
            <v>1.2922443304678328</v>
          </cell>
          <cell r="AB307">
            <v>518.32289981155054</v>
          </cell>
          <cell r="AC307">
            <v>59.52910591842226</v>
          </cell>
          <cell r="AD307">
            <v>457.50154956266044</v>
          </cell>
        </row>
        <row r="308">
          <cell r="A308" t="str">
            <v>CGI015-qtz05-CL-fit-1-offset</v>
          </cell>
          <cell r="B308">
            <v>750</v>
          </cell>
          <cell r="C308">
            <v>8.0537892000481889E-22</v>
          </cell>
          <cell r="D308">
            <v>1900</v>
          </cell>
          <cell r="E308">
            <v>1024</v>
          </cell>
          <cell r="F308">
            <v>1.85546875</v>
          </cell>
          <cell r="H308">
            <v>2278.1952915986626</v>
          </cell>
          <cell r="I308">
            <v>1893.6487347982581</v>
          </cell>
          <cell r="J308">
            <v>3004.1310110893469</v>
          </cell>
          <cell r="K308">
            <v>2167.7055699088614</v>
          </cell>
          <cell r="L308">
            <v>2332.0529506407088</v>
          </cell>
          <cell r="M308">
            <v>1779.1175176159254</v>
          </cell>
          <cell r="N308">
            <v>3483.858777008068</v>
          </cell>
          <cell r="O308">
            <v>2117.5567900504275</v>
          </cell>
          <cell r="P308">
            <v>1149.5948677357937</v>
          </cell>
          <cell r="Q308">
            <v>866.82084362584453</v>
          </cell>
          <cell r="R308">
            <v>1759.4469816925657</v>
          </cell>
          <cell r="T308">
            <v>1920.1907194636151</v>
          </cell>
          <cell r="U308">
            <v>2012.0967679856692</v>
          </cell>
          <cell r="V308">
            <v>2117.5567900504275</v>
          </cell>
          <cell r="X308">
            <v>1892.7621471113637</v>
          </cell>
          <cell r="Z308">
            <v>1903.1486986731431</v>
          </cell>
          <cell r="AA308">
            <v>1218.2135868774556</v>
          </cell>
          <cell r="AB308">
            <v>2864.1327768659608</v>
          </cell>
          <cell r="AC308">
            <v>684.93511179568759</v>
          </cell>
          <cell r="AD308">
            <v>960.98407819281761</v>
          </cell>
        </row>
        <row r="309">
          <cell r="A309" t="str">
            <v>CGI015-qtz05-CL-fit-2-offset</v>
          </cell>
          <cell r="B309">
            <v>750</v>
          </cell>
          <cell r="C309">
            <v>8.0537892000481889E-22</v>
          </cell>
          <cell r="D309">
            <v>1900</v>
          </cell>
          <cell r="E309">
            <v>1024</v>
          </cell>
          <cell r="F309">
            <v>1.85546875</v>
          </cell>
          <cell r="H309">
            <v>301.03321699178906</v>
          </cell>
          <cell r="I309">
            <v>280.71944225089021</v>
          </cell>
          <cell r="J309">
            <v>281.08957960438221</v>
          </cell>
          <cell r="K309">
            <v>295.12009706163411</v>
          </cell>
          <cell r="L309">
            <v>306.93904714491504</v>
          </cell>
          <cell r="M309">
            <v>364.46633277966549</v>
          </cell>
          <cell r="N309">
            <v>467.07953917919355</v>
          </cell>
          <cell r="O309">
            <v>361.23517082161862</v>
          </cell>
          <cell r="P309">
            <v>433.26594561081788</v>
          </cell>
          <cell r="Q309">
            <v>208.8920889026256</v>
          </cell>
          <cell r="R309">
            <v>289.07586372446008</v>
          </cell>
          <cell r="T309">
            <v>320.07959191612804</v>
          </cell>
          <cell r="U309">
            <v>322.52580961923007</v>
          </cell>
          <cell r="V309">
            <v>301.03321699178906</v>
          </cell>
          <cell r="X309">
            <v>308.27099590730427</v>
          </cell>
          <cell r="Z309">
            <v>307.81823344675752</v>
          </cell>
          <cell r="AA309">
            <v>188.34618149363291</v>
          </cell>
          <cell r="AB309">
            <v>482.77566657848882</v>
          </cell>
          <cell r="AC309">
            <v>119.47205195312461</v>
          </cell>
          <cell r="AD309">
            <v>174.95743313173131</v>
          </cell>
        </row>
        <row r="310">
          <cell r="A310" t="str">
            <v>CGI015-qtz05-CL-fit-3-offset</v>
          </cell>
          <cell r="B310">
            <v>750</v>
          </cell>
          <cell r="C310">
            <v>8.0537892000481889E-22</v>
          </cell>
          <cell r="D310">
            <v>1900</v>
          </cell>
          <cell r="E310">
            <v>1024</v>
          </cell>
          <cell r="F310">
            <v>1.85546875</v>
          </cell>
          <cell r="H310">
            <v>246.08217177432974</v>
          </cell>
          <cell r="I310">
            <v>216.71782934203461</v>
          </cell>
          <cell r="J310">
            <v>167.26828217108277</v>
          </cell>
          <cell r="K310">
            <v>84.265000424325194</v>
          </cell>
          <cell r="L310">
            <v>40.643125073328676</v>
          </cell>
          <cell r="M310">
            <v>48.277488930380315</v>
          </cell>
          <cell r="N310">
            <v>163.04513291158827</v>
          </cell>
          <cell r="O310">
            <v>142.00168912523094</v>
          </cell>
          <cell r="P310">
            <v>44.355385129870292</v>
          </cell>
          <cell r="Q310">
            <v>76.140863398307147</v>
          </cell>
          <cell r="R310">
            <v>38.548084875663569</v>
          </cell>
          <cell r="T310">
            <v>109.62754403461172</v>
          </cell>
          <cell r="U310">
            <v>103.90000954236588</v>
          </cell>
          <cell r="V310">
            <v>84.265000424325194</v>
          </cell>
          <cell r="X310">
            <v>105.82631388074832</v>
          </cell>
          <cell r="Z310">
            <v>100.98150604368081</v>
          </cell>
          <cell r="AA310">
            <v>2.6243362697200912</v>
          </cell>
          <cell r="AB310">
            <v>231.66384860507941</v>
          </cell>
          <cell r="AC310">
            <v>98.35716977396072</v>
          </cell>
          <cell r="AD310">
            <v>130.6823425613986</v>
          </cell>
        </row>
        <row r="311">
          <cell r="A311" t="str">
            <v>CGI015-qtz05-CL-fit-4-offset</v>
          </cell>
          <cell r="B311">
            <v>750</v>
          </cell>
          <cell r="C311">
            <v>8.0537892000481889E-22</v>
          </cell>
          <cell r="D311">
            <v>1900</v>
          </cell>
          <cell r="E311">
            <v>1024</v>
          </cell>
          <cell r="F311">
            <v>1.85546875</v>
          </cell>
          <cell r="H311">
            <v>167.06313509247306</v>
          </cell>
          <cell r="I311">
            <v>207.35831986135346</v>
          </cell>
          <cell r="J311">
            <v>233.35940327195499</v>
          </cell>
          <cell r="K311">
            <v>212.94870059891736</v>
          </cell>
          <cell r="L311">
            <v>104.47210670426071</v>
          </cell>
          <cell r="M311">
            <v>159.03997636334074</v>
          </cell>
          <cell r="N311">
            <v>66.637802301437233</v>
          </cell>
          <cell r="O311">
            <v>23.875006450351361</v>
          </cell>
          <cell r="P311">
            <v>204.42589641853004</v>
          </cell>
          <cell r="Q311">
            <v>122.50996069748955</v>
          </cell>
          <cell r="R311">
            <v>36.426499983024684</v>
          </cell>
          <cell r="T311">
            <v>126.77628652612545</v>
          </cell>
          <cell r="U311">
            <v>128.0547072071605</v>
          </cell>
          <cell r="V311">
            <v>159.03997636334074</v>
          </cell>
          <cell r="X311">
            <v>119.97440325658327</v>
          </cell>
          <cell r="Z311">
            <v>113.29092075361821</v>
          </cell>
          <cell r="AA311">
            <v>1.8238996905869829</v>
          </cell>
          <cell r="AB311">
            <v>336.2371524865772</v>
          </cell>
          <cell r="AC311">
            <v>111.46702106303123</v>
          </cell>
          <cell r="AD311">
            <v>222.94623173295901</v>
          </cell>
        </row>
        <row r="312">
          <cell r="A312" t="str">
            <v>CGI015-qtz06-CL-fit-1-offset</v>
          </cell>
          <cell r="B312">
            <v>750</v>
          </cell>
          <cell r="C312">
            <v>8.0537892000481889E-22</v>
          </cell>
          <cell r="D312">
            <v>1700</v>
          </cell>
          <cell r="E312">
            <v>1024</v>
          </cell>
          <cell r="F312">
            <v>1.66015625</v>
          </cell>
          <cell r="H312">
            <v>795.91816990668337</v>
          </cell>
          <cell r="I312">
            <v>867.12477250334211</v>
          </cell>
          <cell r="J312">
            <v>673.8498758310368</v>
          </cell>
          <cell r="K312">
            <v>1071.6326811826286</v>
          </cell>
          <cell r="L312">
            <v>1263.4916316188182</v>
          </cell>
          <cell r="M312">
            <v>970.04309401893431</v>
          </cell>
          <cell r="N312">
            <v>943.0982186509093</v>
          </cell>
          <cell r="O312">
            <v>749.5002740594889</v>
          </cell>
          <cell r="P312">
            <v>633.80034830202214</v>
          </cell>
          <cell r="Q312">
            <v>1276.9755130945632</v>
          </cell>
          <cell r="R312">
            <v>1394.5124812207953</v>
          </cell>
          <cell r="T312">
            <v>928.76724878330936</v>
          </cell>
          <cell r="U312">
            <v>951.91787882242352</v>
          </cell>
          <cell r="V312">
            <v>943.0982186509093</v>
          </cell>
          <cell r="X312">
            <v>916.80699354515218</v>
          </cell>
          <cell r="Z312">
            <v>936.3809227408135</v>
          </cell>
          <cell r="AA312">
            <v>523.09726739284315</v>
          </cell>
          <cell r="AB312">
            <v>1542.5390590265692</v>
          </cell>
          <cell r="AC312">
            <v>413.28365534797035</v>
          </cell>
          <cell r="AD312">
            <v>606.15813628575575</v>
          </cell>
        </row>
        <row r="313">
          <cell r="A313" t="str">
            <v>CGI015-qtz06-CL-fit-2-offset</v>
          </cell>
          <cell r="B313">
            <v>750</v>
          </cell>
          <cell r="C313">
            <v>8.0537892000481889E-22</v>
          </cell>
          <cell r="D313">
            <v>1700</v>
          </cell>
          <cell r="E313">
            <v>1024</v>
          </cell>
          <cell r="F313">
            <v>1.66015625</v>
          </cell>
          <cell r="H313">
            <v>769.15540018414151</v>
          </cell>
          <cell r="I313">
            <v>396.39893295663092</v>
          </cell>
          <cell r="J313">
            <v>553.78618698089758</v>
          </cell>
          <cell r="K313">
            <v>518.03412520036818</v>
          </cell>
          <cell r="L313">
            <v>555.26606219825635</v>
          </cell>
          <cell r="M313">
            <v>684.1862636181985</v>
          </cell>
          <cell r="N313">
            <v>325.78236080881538</v>
          </cell>
          <cell r="O313">
            <v>377.18111523058843</v>
          </cell>
          <cell r="P313">
            <v>256.59574069171617</v>
          </cell>
          <cell r="Q313">
            <v>500.39501953514673</v>
          </cell>
          <cell r="R313">
            <v>389.27330838539433</v>
          </cell>
          <cell r="T313">
            <v>472.87932168796169</v>
          </cell>
          <cell r="U313">
            <v>473.04749367362803</v>
          </cell>
          <cell r="V313">
            <v>500.39501953514673</v>
          </cell>
          <cell r="X313">
            <v>464.45650793461186</v>
          </cell>
          <cell r="Z313">
            <v>459.95307194703719</v>
          </cell>
          <cell r="AA313">
            <v>227.72919728287991</v>
          </cell>
          <cell r="AB313">
            <v>719.06163355166348</v>
          </cell>
          <cell r="AC313">
            <v>232.22387466415728</v>
          </cell>
          <cell r="AD313">
            <v>259.10856160462629</v>
          </cell>
        </row>
        <row r="314">
          <cell r="A314" t="str">
            <v>CGI015-qtz06-CL-fit-3-offset</v>
          </cell>
          <cell r="B314">
            <v>750</v>
          </cell>
          <cell r="C314">
            <v>8.0537892000481889E-22</v>
          </cell>
          <cell r="D314">
            <v>1700</v>
          </cell>
          <cell r="E314">
            <v>1024</v>
          </cell>
          <cell r="F314">
            <v>1.66015625</v>
          </cell>
          <cell r="H314">
            <v>0.92660546423041001</v>
          </cell>
          <cell r="I314">
            <v>116.52889022684715</v>
          </cell>
          <cell r="J314">
            <v>402.77619747740414</v>
          </cell>
          <cell r="K314">
            <v>70.809941673118814</v>
          </cell>
          <cell r="L314">
            <v>0</v>
          </cell>
          <cell r="M314">
            <v>1.5057054898216564</v>
          </cell>
          <cell r="N314">
            <v>833.64807385313736</v>
          </cell>
          <cell r="O314">
            <v>1280.254481591295</v>
          </cell>
          <cell r="P314">
            <v>74.302948788193831</v>
          </cell>
          <cell r="Q314">
            <v>360.98582659410221</v>
          </cell>
          <cell r="R314">
            <v>113.95153692727449</v>
          </cell>
          <cell r="T314">
            <v>376.09347112215107</v>
          </cell>
          <cell r="U314">
            <v>208.56165670554267</v>
          </cell>
          <cell r="V314">
            <v>115.23661079948828</v>
          </cell>
          <cell r="X314">
            <v>371.05054197169244</v>
          </cell>
          <cell r="Z314">
            <v>453.99495757093547</v>
          </cell>
          <cell r="AA314">
            <v>2.7760662263655038</v>
          </cell>
          <cell r="AB314">
            <v>3036.0476178213376</v>
          </cell>
          <cell r="AC314">
            <v>451.21889134456995</v>
          </cell>
          <cell r="AD314">
            <v>2582.0526602504019</v>
          </cell>
        </row>
        <row r="315">
          <cell r="A315" t="str">
            <v>CGI015-qtz06-CL-fit-4-offset</v>
          </cell>
          <cell r="B315">
            <v>750</v>
          </cell>
          <cell r="C315">
            <v>8.0537892000481889E-22</v>
          </cell>
          <cell r="D315">
            <v>1700</v>
          </cell>
          <cell r="E315">
            <v>1024</v>
          </cell>
          <cell r="F315">
            <v>1.66015625</v>
          </cell>
          <cell r="H315">
            <v>208.88842471756061</v>
          </cell>
          <cell r="I315">
            <v>365.56869360316659</v>
          </cell>
          <cell r="J315">
            <v>380.58464563894177</v>
          </cell>
          <cell r="K315">
            <v>171.54082060190942</v>
          </cell>
          <cell r="L315">
            <v>315.54431846914196</v>
          </cell>
          <cell r="M315">
            <v>373.9345032592509</v>
          </cell>
          <cell r="N315">
            <v>320.77756064348017</v>
          </cell>
          <cell r="O315">
            <v>331.46663329815908</v>
          </cell>
          <cell r="P315">
            <v>646.76383800864016</v>
          </cell>
          <cell r="Q315">
            <v>435.9588744407518</v>
          </cell>
          <cell r="R315">
            <v>254.04835382431631</v>
          </cell>
          <cell r="T315">
            <v>358.21442206165011</v>
          </cell>
          <cell r="U315">
            <v>336.04315524323408</v>
          </cell>
          <cell r="V315">
            <v>331.46663329815908</v>
          </cell>
          <cell r="X315">
            <v>347.70182135955633</v>
          </cell>
          <cell r="Z315">
            <v>353.18210382911855</v>
          </cell>
          <cell r="AA315">
            <v>193.29431757031722</v>
          </cell>
          <cell r="AB315">
            <v>583.8052636200681</v>
          </cell>
          <cell r="AC315">
            <v>159.88778625880133</v>
          </cell>
          <cell r="AD315">
            <v>230.62315979094956</v>
          </cell>
        </row>
        <row r="316">
          <cell r="A316" t="str">
            <v>CGI015-qtz07-CL-fit-1-offset</v>
          </cell>
          <cell r="B316">
            <v>750</v>
          </cell>
          <cell r="C316">
            <v>8.0537892000481889E-22</v>
          </cell>
          <cell r="D316">
            <v>2250</v>
          </cell>
          <cell r="E316">
            <v>1024</v>
          </cell>
          <cell r="F316">
            <v>2.197265625</v>
          </cell>
          <cell r="H316">
            <v>1038.8683464474007</v>
          </cell>
          <cell r="I316">
            <v>1018.5991001993609</v>
          </cell>
          <cell r="J316">
            <v>1279.5051890207642</v>
          </cell>
          <cell r="K316">
            <v>940.73686788842087</v>
          </cell>
          <cell r="L316">
            <v>1091.896572024413</v>
          </cell>
          <cell r="M316">
            <v>844.29780854370836</v>
          </cell>
          <cell r="N316">
            <v>1036.7650069550652</v>
          </cell>
          <cell r="O316">
            <v>690.02866302148129</v>
          </cell>
          <cell r="P316">
            <v>660.88426680926295</v>
          </cell>
          <cell r="Q316">
            <v>701.43155517178627</v>
          </cell>
          <cell r="R316">
            <v>1125.3466035309623</v>
          </cell>
          <cell r="T316">
            <v>946.11566860396067</v>
          </cell>
          <cell r="U316">
            <v>938.00136924190929</v>
          </cell>
          <cell r="V316">
            <v>1018.5991001993609</v>
          </cell>
          <cell r="X316">
            <v>944.41539537590359</v>
          </cell>
          <cell r="Z316">
            <v>953.01135320660467</v>
          </cell>
          <cell r="AA316">
            <v>596.62827975458106</v>
          </cell>
          <cell r="AB316">
            <v>1428.7713935313664</v>
          </cell>
          <cell r="AC316">
            <v>356.38307345202361</v>
          </cell>
          <cell r="AD316">
            <v>475.76004032476169</v>
          </cell>
        </row>
        <row r="317">
          <cell r="A317" t="str">
            <v>CGI015-qtz07-CL-fit-2-offset</v>
          </cell>
          <cell r="B317">
            <v>750</v>
          </cell>
          <cell r="C317">
            <v>8.0537892000481889E-22</v>
          </cell>
          <cell r="D317">
            <v>2250</v>
          </cell>
          <cell r="E317">
            <v>1024</v>
          </cell>
          <cell r="F317">
            <v>2.197265625</v>
          </cell>
          <cell r="H317">
            <v>5188.8605580542453</v>
          </cell>
          <cell r="I317">
            <v>5186.7739791132099</v>
          </cell>
          <cell r="J317">
            <v>5293.7208691281785</v>
          </cell>
          <cell r="K317">
            <v>2822.9152854809654</v>
          </cell>
          <cell r="L317">
            <v>3230.9049447229249</v>
          </cell>
          <cell r="M317">
            <v>2577.7797568292153</v>
          </cell>
          <cell r="N317">
            <v>2637.4734113982345</v>
          </cell>
          <cell r="O317">
            <v>3628.5813970864865</v>
          </cell>
          <cell r="P317">
            <v>1719.3796027279791</v>
          </cell>
          <cell r="Q317">
            <v>5380.6010473276892</v>
          </cell>
          <cell r="R317">
            <v>3854.3729853228847</v>
          </cell>
          <cell r="T317">
            <v>3732.6174468611839</v>
          </cell>
          <cell r="U317">
            <v>3666.3090696582922</v>
          </cell>
          <cell r="V317">
            <v>3628.5813970864865</v>
          </cell>
          <cell r="X317">
            <v>3574.2655389648253</v>
          </cell>
          <cell r="Z317">
            <v>3725.4226799395083</v>
          </cell>
          <cell r="AA317">
            <v>2020.0251306234331</v>
          </cell>
          <cell r="AB317">
            <v>7035.8520917672795</v>
          </cell>
          <cell r="AC317">
            <v>1705.3975493160751</v>
          </cell>
          <cell r="AD317">
            <v>3310.4294118277712</v>
          </cell>
        </row>
        <row r="318">
          <cell r="A318" t="str">
            <v>CGI015-qtz07-CL-fit-3-offset</v>
          </cell>
          <cell r="B318">
            <v>750</v>
          </cell>
          <cell r="C318">
            <v>8.0537892000481889E-22</v>
          </cell>
          <cell r="D318">
            <v>2250</v>
          </cell>
          <cell r="E318">
            <v>1024</v>
          </cell>
          <cell r="F318">
            <v>2.197265625</v>
          </cell>
          <cell r="H318">
            <v>169.40334213553325</v>
          </cell>
          <cell r="I318">
            <v>232.05195074427908</v>
          </cell>
          <cell r="J318">
            <v>230.94604259431947</v>
          </cell>
          <cell r="K318">
            <v>294.28059556801526</v>
          </cell>
          <cell r="L318">
            <v>238.5970520516928</v>
          </cell>
          <cell r="M318">
            <v>233.17398245433944</v>
          </cell>
          <cell r="N318">
            <v>243.11249475720268</v>
          </cell>
          <cell r="O318">
            <v>287.69797109932921</v>
          </cell>
          <cell r="P318">
            <v>195.154029676682</v>
          </cell>
          <cell r="Q318">
            <v>178.39891307353724</v>
          </cell>
          <cell r="R318">
            <v>460.60478855933115</v>
          </cell>
          <cell r="T318">
            <v>243.55319648101042</v>
          </cell>
          <cell r="U318">
            <v>246.37208500832804</v>
          </cell>
          <cell r="V318">
            <v>233.17398245433944</v>
          </cell>
          <cell r="X318">
            <v>226.15313572857343</v>
          </cell>
          <cell r="Z318">
            <v>234.00708897901484</v>
          </cell>
          <cell r="AA318">
            <v>119.69878285751213</v>
          </cell>
          <cell r="AB318">
            <v>425.58660634548625</v>
          </cell>
          <cell r="AC318">
            <v>114.30830612150271</v>
          </cell>
          <cell r="AD318">
            <v>191.57951736647141</v>
          </cell>
        </row>
        <row r="319">
          <cell r="A319" t="str">
            <v>CGI015-qtz07-CL-fit-4-offset</v>
          </cell>
          <cell r="B319">
            <v>750</v>
          </cell>
          <cell r="C319">
            <v>8.0537892000481889E-22</v>
          </cell>
          <cell r="D319">
            <v>2250</v>
          </cell>
          <cell r="E319">
            <v>1024</v>
          </cell>
          <cell r="F319">
            <v>2.197265625</v>
          </cell>
          <cell r="H319">
            <v>185.53486733498164</v>
          </cell>
          <cell r="I319">
            <v>124.01267471234584</v>
          </cell>
          <cell r="J319">
            <v>195.4561043131813</v>
          </cell>
          <cell r="K319">
            <v>177.07495926556098</v>
          </cell>
          <cell r="L319">
            <v>199.26860477756506</v>
          </cell>
          <cell r="M319">
            <v>196.42630997924263</v>
          </cell>
          <cell r="N319">
            <v>192.76539851919816</v>
          </cell>
          <cell r="O319">
            <v>190.38101393959337</v>
          </cell>
          <cell r="P319">
            <v>173.37112881790858</v>
          </cell>
          <cell r="Q319">
            <v>245.44947970030557</v>
          </cell>
          <cell r="R319">
            <v>264.29551382251952</v>
          </cell>
          <cell r="T319">
            <v>209.87045481377157</v>
          </cell>
          <cell r="U319">
            <v>193.33411625006138</v>
          </cell>
          <cell r="V319">
            <v>192.76539851919816</v>
          </cell>
          <cell r="X319">
            <v>206.30993432226694</v>
          </cell>
          <cell r="Z319">
            <v>191.73600723181076</v>
          </cell>
          <cell r="AA319">
            <v>27.259634201552508</v>
          </cell>
          <cell r="AB319">
            <v>364.54212097224638</v>
          </cell>
          <cell r="AC319">
            <v>164.47637303025826</v>
          </cell>
          <cell r="AD319">
            <v>172.80611374043562</v>
          </cell>
        </row>
        <row r="320">
          <cell r="A320" t="str">
            <v>CGI015-qtz07-CL-fit-5-offset</v>
          </cell>
          <cell r="B320">
            <v>750</v>
          </cell>
          <cell r="C320">
            <v>8.0537892000481889E-22</v>
          </cell>
          <cell r="D320">
            <v>2250</v>
          </cell>
          <cell r="E320">
            <v>1024</v>
          </cell>
          <cell r="F320">
            <v>2.197265625</v>
          </cell>
          <cell r="H320">
            <v>363.78074224463217</v>
          </cell>
          <cell r="I320">
            <v>376.04383993195358</v>
          </cell>
          <cell r="J320">
            <v>318.55254398386182</v>
          </cell>
          <cell r="K320">
            <v>406.09551407099184</v>
          </cell>
          <cell r="L320">
            <v>351.40818592406742</v>
          </cell>
          <cell r="M320">
            <v>438.58329760877552</v>
          </cell>
          <cell r="N320">
            <v>281.92196109454414</v>
          </cell>
          <cell r="O320">
            <v>171.49710177377759</v>
          </cell>
          <cell r="P320">
            <v>250.49684927372493</v>
          </cell>
          <cell r="Q320">
            <v>471.92193136731152</v>
          </cell>
          <cell r="R320">
            <v>409.15965690199323</v>
          </cell>
          <cell r="T320">
            <v>351.37783414768774</v>
          </cell>
          <cell r="U320">
            <v>343.31972310356798</v>
          </cell>
          <cell r="V320">
            <v>363.78074224463217</v>
          </cell>
          <cell r="X320">
            <v>326.93946955579332</v>
          </cell>
          <cell r="Z320">
            <v>332.36593484325641</v>
          </cell>
          <cell r="AA320">
            <v>28.928824644146989</v>
          </cell>
          <cell r="AB320">
            <v>1074.5167585387121</v>
          </cell>
          <cell r="AC320">
            <v>303.43711019910944</v>
          </cell>
          <cell r="AD320">
            <v>742.15082369545576</v>
          </cell>
        </row>
        <row r="321">
          <cell r="A321" t="str">
            <v>CGI015-qtz07-CL-fit-6-offset</v>
          </cell>
          <cell r="B321">
            <v>750</v>
          </cell>
          <cell r="C321">
            <v>8.0537892000481889E-22</v>
          </cell>
          <cell r="D321">
            <v>2250</v>
          </cell>
          <cell r="E321">
            <v>1024</v>
          </cell>
          <cell r="F321">
            <v>2.197265625</v>
          </cell>
          <cell r="H321">
            <v>75.877937418400847</v>
          </cell>
          <cell r="I321">
            <v>118.37002950978219</v>
          </cell>
          <cell r="J321">
            <v>127.27327877718182</v>
          </cell>
          <cell r="K321">
            <v>65.624641535040155</v>
          </cell>
          <cell r="L321">
            <v>103.58120457286233</v>
          </cell>
          <cell r="M321">
            <v>115.84632041374142</v>
          </cell>
          <cell r="N321">
            <v>150.9653610694333</v>
          </cell>
          <cell r="O321">
            <v>114.25078375721733</v>
          </cell>
          <cell r="P321">
            <v>114.0755446557786</v>
          </cell>
          <cell r="Q321">
            <v>74.475265480566762</v>
          </cell>
          <cell r="R321">
            <v>60.511450719015741</v>
          </cell>
          <cell r="T321">
            <v>105.93450487245576</v>
          </cell>
          <cell r="U321">
            <v>99.961393753288789</v>
          </cell>
          <cell r="V321">
            <v>114.0755446557786</v>
          </cell>
          <cell r="X321">
            <v>100.36575977858797</v>
          </cell>
          <cell r="Z321">
            <v>94.69526980815057</v>
          </cell>
          <cell r="AA321">
            <v>3.2683716643176037</v>
          </cell>
          <cell r="AB321">
            <v>203.44140411904749</v>
          </cell>
          <cell r="AC321">
            <v>91.426898143832972</v>
          </cell>
          <cell r="AD321">
            <v>108.74613431089692</v>
          </cell>
        </row>
        <row r="322">
          <cell r="A322" t="str">
            <v>CGI015-qtz08-CL-fit-1-offset</v>
          </cell>
          <cell r="B322">
            <v>750</v>
          </cell>
          <cell r="C322">
            <v>8.0537892000481889E-22</v>
          </cell>
          <cell r="D322">
            <v>1150</v>
          </cell>
          <cell r="E322">
            <v>1024</v>
          </cell>
          <cell r="F322">
            <v>1.123046875</v>
          </cell>
          <cell r="H322">
            <v>377.35099651755502</v>
          </cell>
          <cell r="I322">
            <v>456.99464465113505</v>
          </cell>
          <cell r="J322">
            <v>512.58183282879384</v>
          </cell>
          <cell r="K322">
            <v>541.39931340613998</v>
          </cell>
          <cell r="L322">
            <v>533.9209209053339</v>
          </cell>
          <cell r="M322">
            <v>323.50844821332856</v>
          </cell>
          <cell r="N322">
            <v>353.86066233116622</v>
          </cell>
          <cell r="O322">
            <v>542.02329522988225</v>
          </cell>
          <cell r="P322">
            <v>468.26548839762177</v>
          </cell>
          <cell r="Q322">
            <v>322.69340723396789</v>
          </cell>
          <cell r="R322">
            <v>403.18836127954614</v>
          </cell>
          <cell r="T322">
            <v>435.15467546608716</v>
          </cell>
          <cell r="U322">
            <v>435.59305207046367</v>
          </cell>
          <cell r="V322">
            <v>456.99464465113505</v>
          </cell>
          <cell r="X322">
            <v>436.37628593438194</v>
          </cell>
          <cell r="Z322">
            <v>440.15082450351105</v>
          </cell>
          <cell r="AA322">
            <v>269.12009087835946</v>
          </cell>
          <cell r="AB322">
            <v>657.74308123319474</v>
          </cell>
          <cell r="AC322">
            <v>171.03073362515158</v>
          </cell>
          <cell r="AD322">
            <v>217.5922567296837</v>
          </cell>
        </row>
        <row r="323">
          <cell r="A323" t="str">
            <v>CGI015-qtz08-CL-fit-2-offset</v>
          </cell>
          <cell r="B323">
            <v>750</v>
          </cell>
          <cell r="C323">
            <v>8.0537892000481889E-22</v>
          </cell>
          <cell r="D323">
            <v>1150</v>
          </cell>
          <cell r="E323">
            <v>1024</v>
          </cell>
          <cell r="F323">
            <v>1.123046875</v>
          </cell>
          <cell r="H323">
            <v>235.2186821390676</v>
          </cell>
          <cell r="I323">
            <v>191.51406905735018</v>
          </cell>
          <cell r="J323">
            <v>241.40080917776316</v>
          </cell>
          <cell r="K323">
            <v>144.07130956445994</v>
          </cell>
          <cell r="L323">
            <v>305.43404136565817</v>
          </cell>
          <cell r="M323">
            <v>145.77153944963618</v>
          </cell>
          <cell r="N323">
            <v>185.91620547793582</v>
          </cell>
          <cell r="O323">
            <v>173.92116195689212</v>
          </cell>
          <cell r="P323">
            <v>146.85016001101653</v>
          </cell>
          <cell r="Q323">
            <v>367.49201806596074</v>
          </cell>
          <cell r="R323">
            <v>310.79659673018165</v>
          </cell>
          <cell r="T323">
            <v>222.14527757286828</v>
          </cell>
          <cell r="U323">
            <v>216.91054999724935</v>
          </cell>
          <cell r="V323">
            <v>191.51406905735018</v>
          </cell>
          <cell r="X323">
            <v>220.72386107357838</v>
          </cell>
          <cell r="Z323">
            <v>229.25676580073124</v>
          </cell>
          <cell r="AA323">
            <v>107.70673249608133</v>
          </cell>
          <cell r="AB323">
            <v>511.40526918305966</v>
          </cell>
          <cell r="AC323">
            <v>121.55003330464992</v>
          </cell>
          <cell r="AD323">
            <v>282.14850338232839</v>
          </cell>
        </row>
        <row r="324">
          <cell r="A324" t="str">
            <v>CGI015-qtz08-CL-fit-3-offset</v>
          </cell>
          <cell r="B324">
            <v>750</v>
          </cell>
          <cell r="C324">
            <v>8.0537892000481889E-22</v>
          </cell>
          <cell r="D324">
            <v>1150</v>
          </cell>
          <cell r="E324">
            <v>1024</v>
          </cell>
          <cell r="F324">
            <v>1.123046875</v>
          </cell>
          <cell r="H324">
            <v>824.90676590318526</v>
          </cell>
          <cell r="I324">
            <v>532.9710203742635</v>
          </cell>
          <cell r="J324">
            <v>677.22522681487737</v>
          </cell>
          <cell r="K324">
            <v>689.51473267422136</v>
          </cell>
          <cell r="L324">
            <v>2035.202247655473</v>
          </cell>
          <cell r="M324">
            <v>440.53950833774883</v>
          </cell>
          <cell r="N324">
            <v>511.31124009987332</v>
          </cell>
          <cell r="O324">
            <v>582.5345050529254</v>
          </cell>
          <cell r="P324">
            <v>1474.7586190910222</v>
          </cell>
          <cell r="Q324">
            <v>676.21907977036994</v>
          </cell>
          <cell r="R324">
            <v>978.2179855982771</v>
          </cell>
          <cell r="T324">
            <v>785.88563571448663</v>
          </cell>
          <cell r="U324">
            <v>807.71183705465785</v>
          </cell>
          <cell r="V324">
            <v>677.22522681487737</v>
          </cell>
          <cell r="X324">
            <v>771.45736376236027</v>
          </cell>
          <cell r="Z324">
            <v>795.01791898660838</v>
          </cell>
          <cell r="AA324">
            <v>132.32307261446394</v>
          </cell>
          <cell r="AB324">
            <v>2488.4397970958667</v>
          </cell>
          <cell r="AC324">
            <v>662.69484637214441</v>
          </cell>
          <cell r="AD324">
            <v>1693.4218781092582</v>
          </cell>
        </row>
        <row r="325">
          <cell r="A325" t="str">
            <v>CGI015-qtz08-CL-fit-4-offset</v>
          </cell>
          <cell r="B325">
            <v>750</v>
          </cell>
          <cell r="C325">
            <v>8.0537892000481889E-22</v>
          </cell>
          <cell r="D325">
            <v>1150</v>
          </cell>
          <cell r="E325">
            <v>1024</v>
          </cell>
          <cell r="F325">
            <v>1.123046875</v>
          </cell>
          <cell r="H325">
            <v>154.27596371276798</v>
          </cell>
          <cell r="I325">
            <v>389.72672281845399</v>
          </cell>
          <cell r="J325">
            <v>206.06865882770254</v>
          </cell>
          <cell r="K325">
            <v>251.01837278189237</v>
          </cell>
          <cell r="L325">
            <v>200.01030158705626</v>
          </cell>
          <cell r="M325">
            <v>241.677848242496</v>
          </cell>
          <cell r="N325">
            <v>235.36285137508546</v>
          </cell>
          <cell r="O325">
            <v>286.53903488273613</v>
          </cell>
          <cell r="P325">
            <v>345.90074106971866</v>
          </cell>
          <cell r="Q325">
            <v>651.86004916628337</v>
          </cell>
          <cell r="R325">
            <v>301.8158106780769</v>
          </cell>
          <cell r="T325">
            <v>292.76974855020467</v>
          </cell>
          <cell r="U325">
            <v>285.36802882116189</v>
          </cell>
          <cell r="V325">
            <v>251.01837278189237</v>
          </cell>
          <cell r="X325">
            <v>271.32976588232304</v>
          </cell>
          <cell r="Z325">
            <v>275.05241984422975</v>
          </cell>
          <cell r="AA325">
            <v>104.03424260519661</v>
          </cell>
          <cell r="AB325">
            <v>590.83663213715352</v>
          </cell>
          <cell r="AC325">
            <v>171.01817723903315</v>
          </cell>
          <cell r="AD325">
            <v>315.78421229292377</v>
          </cell>
        </row>
        <row r="326">
          <cell r="A326" t="str">
            <v>CGI015-qtz08-CL-fit-5-offset</v>
          </cell>
          <cell r="B326">
            <v>750</v>
          </cell>
          <cell r="C326">
            <v>8.0537892000481889E-22</v>
          </cell>
          <cell r="D326">
            <v>1150</v>
          </cell>
          <cell r="E326">
            <v>1024</v>
          </cell>
          <cell r="F326">
            <v>1.123046875</v>
          </cell>
          <cell r="H326">
            <v>211.53473830554805</v>
          </cell>
          <cell r="I326">
            <v>255.46909294499974</v>
          </cell>
          <cell r="J326">
            <v>226.52047186093876</v>
          </cell>
          <cell r="K326">
            <v>159.68306901786224</v>
          </cell>
          <cell r="L326">
            <v>256.88613861392247</v>
          </cell>
          <cell r="M326">
            <v>275.77318293302949</v>
          </cell>
          <cell r="N326">
            <v>250.76945920112803</v>
          </cell>
          <cell r="O326">
            <v>452.03282651594503</v>
          </cell>
          <cell r="P326">
            <v>626.79871341975127</v>
          </cell>
          <cell r="Q326">
            <v>867.13902872282961</v>
          </cell>
          <cell r="R326">
            <v>420.79058295938546</v>
          </cell>
          <cell r="T326">
            <v>330.3990592412249</v>
          </cell>
          <cell r="U326">
            <v>340.3757151497885</v>
          </cell>
          <cell r="V326">
            <v>256.88613861392247</v>
          </cell>
          <cell r="X326">
            <v>324.07791453708933</v>
          </cell>
          <cell r="Z326">
            <v>334.61627350601924</v>
          </cell>
          <cell r="AA326">
            <v>121.7282880467201</v>
          </cell>
          <cell r="AB326">
            <v>741.5822125257846</v>
          </cell>
          <cell r="AC326">
            <v>212.88798545929916</v>
          </cell>
          <cell r="AD326">
            <v>406.96593901976536</v>
          </cell>
        </row>
        <row r="327">
          <cell r="A327" t="str">
            <v>CGI015-qtz08-CL-fit-6-offset</v>
          </cell>
          <cell r="B327">
            <v>750</v>
          </cell>
          <cell r="C327">
            <v>8.0537892000481889E-22</v>
          </cell>
          <cell r="D327">
            <v>1150</v>
          </cell>
          <cell r="E327">
            <v>1024</v>
          </cell>
          <cell r="F327">
            <v>1.123046875</v>
          </cell>
          <cell r="H327">
            <v>106.36817890468804</v>
          </cell>
          <cell r="I327">
            <v>150.60186600731282</v>
          </cell>
          <cell r="J327">
            <v>74.176802569049599</v>
          </cell>
          <cell r="K327">
            <v>41.752179889069446</v>
          </cell>
          <cell r="L327">
            <v>86.83489834330075</v>
          </cell>
          <cell r="M327">
            <v>71.89904112697144</v>
          </cell>
          <cell r="N327">
            <v>89.654774798313412</v>
          </cell>
          <cell r="O327">
            <v>100.34070313436142</v>
          </cell>
          <cell r="P327">
            <v>115.49086047835442</v>
          </cell>
          <cell r="Q327">
            <v>58.657735730020264</v>
          </cell>
          <cell r="R327">
            <v>123.33031110761391</v>
          </cell>
          <cell r="T327">
            <v>86.201366544638987</v>
          </cell>
          <cell r="U327">
            <v>90.170724690467907</v>
          </cell>
          <cell r="V327">
            <v>89.654774798313412</v>
          </cell>
          <cell r="X327">
            <v>86.508735859349457</v>
          </cell>
          <cell r="Z327">
            <v>93.970641687876466</v>
          </cell>
          <cell r="AA327">
            <v>31.592209217373693</v>
          </cell>
          <cell r="AB327">
            <v>251.60496605211898</v>
          </cell>
          <cell r="AC327">
            <v>62.378432470502773</v>
          </cell>
          <cell r="AD327">
            <v>157.6343243642425</v>
          </cell>
        </row>
        <row r="328">
          <cell r="A328" t="str">
            <v>CGI015-qtz09-CL-fit-1-offset</v>
          </cell>
          <cell r="B328">
            <v>750</v>
          </cell>
          <cell r="C328">
            <v>8.0537892000481889E-22</v>
          </cell>
          <cell r="D328">
            <v>2150</v>
          </cell>
          <cell r="E328">
            <v>1024</v>
          </cell>
          <cell r="F328">
            <v>2.099609375</v>
          </cell>
          <cell r="H328">
            <v>1108.8241112104522</v>
          </cell>
          <cell r="I328">
            <v>1466.9595003816157</v>
          </cell>
          <cell r="J328">
            <v>1442.8329308676448</v>
          </cell>
          <cell r="K328">
            <v>1724.0417191058791</v>
          </cell>
          <cell r="L328">
            <v>1291.711213744635</v>
          </cell>
          <cell r="M328">
            <v>1526.0066678581534</v>
          </cell>
          <cell r="N328">
            <v>1470.261457576941</v>
          </cell>
          <cell r="O328">
            <v>1679.0520048080789</v>
          </cell>
          <cell r="P328">
            <v>2349.3597849578573</v>
          </cell>
          <cell r="Q328">
            <v>1672.6427633886717</v>
          </cell>
          <cell r="R328">
            <v>1752.9658312411707</v>
          </cell>
          <cell r="T328">
            <v>1565.2020216376025</v>
          </cell>
          <cell r="U328">
            <v>1575.8552030280541</v>
          </cell>
          <cell r="V328">
            <v>1526.0066678581534</v>
          </cell>
          <cell r="X328">
            <v>1580.3667219859492</v>
          </cell>
          <cell r="Z328">
            <v>1605.071077962813</v>
          </cell>
          <cell r="AA328">
            <v>1144.6495027892192</v>
          </cell>
          <cell r="AB328">
            <v>2402.0928634801289</v>
          </cell>
          <cell r="AC328">
            <v>460.42157517359374</v>
          </cell>
          <cell r="AD328">
            <v>797.02178551731595</v>
          </cell>
        </row>
        <row r="329">
          <cell r="A329" t="str">
            <v>CGI015-qtz09-CL-fit-2-offset</v>
          </cell>
          <cell r="B329">
            <v>750</v>
          </cell>
          <cell r="C329">
            <v>8.0537892000481889E-22</v>
          </cell>
          <cell r="D329">
            <v>2150</v>
          </cell>
          <cell r="E329">
            <v>1024</v>
          </cell>
          <cell r="F329">
            <v>2.099609375</v>
          </cell>
          <cell r="H329">
            <v>1218.1343640918544</v>
          </cell>
          <cell r="I329">
            <v>1409.6247114596347</v>
          </cell>
          <cell r="J329">
            <v>868.47499898640706</v>
          </cell>
          <cell r="K329">
            <v>1052.7532082221405</v>
          </cell>
          <cell r="L329">
            <v>892.07614471146178</v>
          </cell>
          <cell r="M329">
            <v>1134.3862479332922</v>
          </cell>
          <cell r="N329">
            <v>1194.1620232456828</v>
          </cell>
          <cell r="O329">
            <v>1368.578754503448</v>
          </cell>
          <cell r="P329">
            <v>1336.2706301276148</v>
          </cell>
          <cell r="Q329">
            <v>1492.954249008638</v>
          </cell>
          <cell r="R329">
            <v>823.09903987587165</v>
          </cell>
          <cell r="T329">
            <v>1166.2488190813986</v>
          </cell>
          <cell r="U329">
            <v>1151.9579417321668</v>
          </cell>
          <cell r="V329">
            <v>1194.1620232456828</v>
          </cell>
          <cell r="X329">
            <v>1130.808756995149</v>
          </cell>
          <cell r="Z329">
            <v>1134.295270828409</v>
          </cell>
          <cell r="AA329">
            <v>654.30049858597647</v>
          </cell>
          <cell r="AB329">
            <v>1871.3650405673043</v>
          </cell>
          <cell r="AC329">
            <v>479.99477224243253</v>
          </cell>
          <cell r="AD329">
            <v>737.06976973889527</v>
          </cell>
        </row>
        <row r="330">
          <cell r="A330" t="str">
            <v>CGI015-qtz09-CL-fit-3-offset</v>
          </cell>
          <cell r="B330">
            <v>750</v>
          </cell>
          <cell r="C330">
            <v>8.0537892000481889E-22</v>
          </cell>
          <cell r="D330">
            <v>2150</v>
          </cell>
          <cell r="E330">
            <v>1024</v>
          </cell>
          <cell r="F330">
            <v>2.099609375</v>
          </cell>
          <cell r="H330">
            <v>190.86661968018083</v>
          </cell>
          <cell r="I330">
            <v>174.42395632811125</v>
          </cell>
          <cell r="J330">
            <v>140.34594761741033</v>
          </cell>
          <cell r="K330">
            <v>120.69566328391215</v>
          </cell>
          <cell r="L330">
            <v>141.69485703269618</v>
          </cell>
          <cell r="M330">
            <v>139.13007991628484</v>
          </cell>
          <cell r="N330">
            <v>139.32104008452927</v>
          </cell>
          <cell r="O330">
            <v>296.30188805156229</v>
          </cell>
          <cell r="P330">
            <v>191.63381709250442</v>
          </cell>
          <cell r="Q330">
            <v>197.55663012557579</v>
          </cell>
          <cell r="R330">
            <v>221.42578938725768</v>
          </cell>
          <cell r="T330">
            <v>177.04500422117769</v>
          </cell>
          <cell r="U330">
            <v>174.60056298554136</v>
          </cell>
          <cell r="V330">
            <v>174.42395632811125</v>
          </cell>
          <cell r="X330">
            <v>161.92794364757026</v>
          </cell>
          <cell r="Z330">
            <v>163.49697829562245</v>
          </cell>
          <cell r="AA330">
            <v>69.000924868763789</v>
          </cell>
          <cell r="AB330">
            <v>292.7159637879443</v>
          </cell>
          <cell r="AC330">
            <v>94.496053426858666</v>
          </cell>
          <cell r="AD330">
            <v>129.21898549232185</v>
          </cell>
        </row>
        <row r="331">
          <cell r="A331" t="str">
            <v>CGI015-qtz09-CL-fit-4-offset</v>
          </cell>
          <cell r="B331">
            <v>750</v>
          </cell>
          <cell r="C331">
            <v>8.0537892000481889E-22</v>
          </cell>
          <cell r="D331">
            <v>2150</v>
          </cell>
          <cell r="E331">
            <v>1024</v>
          </cell>
          <cell r="F331">
            <v>2.099609375</v>
          </cell>
          <cell r="H331">
            <v>165.03834823051545</v>
          </cell>
          <cell r="I331">
            <v>312.17506080298023</v>
          </cell>
          <cell r="J331">
            <v>389.99173239036321</v>
          </cell>
          <cell r="K331">
            <v>378.26384183133013</v>
          </cell>
          <cell r="L331">
            <v>458.12761683766632</v>
          </cell>
          <cell r="M331">
            <v>144.36104469598132</v>
          </cell>
          <cell r="N331">
            <v>243.45536735410801</v>
          </cell>
          <cell r="O331">
            <v>320.80865485475152</v>
          </cell>
          <cell r="P331">
            <v>385.97887534885791</v>
          </cell>
          <cell r="Q331">
            <v>286.3534858091017</v>
          </cell>
          <cell r="R331">
            <v>420.60698274824421</v>
          </cell>
          <cell r="T331">
            <v>337.32761646671133</v>
          </cell>
          <cell r="U331">
            <v>310.15240317880881</v>
          </cell>
          <cell r="V331">
            <v>320.80865485475152</v>
          </cell>
          <cell r="X331">
            <v>327.88239545794204</v>
          </cell>
          <cell r="Z331">
            <v>319.86960615207977</v>
          </cell>
          <cell r="AA331">
            <v>97.412006427276438</v>
          </cell>
          <cell r="AB331">
            <v>621.6484906669931</v>
          </cell>
          <cell r="AC331">
            <v>222.45759972480334</v>
          </cell>
          <cell r="AD331">
            <v>301.77888451491333</v>
          </cell>
        </row>
        <row r="332">
          <cell r="A332" t="str">
            <v>CGI015-qtz09-CL-fit-5-offset</v>
          </cell>
          <cell r="B332">
            <v>750</v>
          </cell>
          <cell r="C332">
            <v>8.0537892000481889E-22</v>
          </cell>
          <cell r="D332">
            <v>2150</v>
          </cell>
          <cell r="E332">
            <v>1024</v>
          </cell>
          <cell r="F332">
            <v>2.099609375</v>
          </cell>
          <cell r="H332">
            <v>6.2773517987587383E-6</v>
          </cell>
          <cell r="I332">
            <v>55.800103750303208</v>
          </cell>
          <cell r="J332">
            <v>52.681905040321723</v>
          </cell>
          <cell r="K332">
            <v>7.8623863728011723E-2</v>
          </cell>
          <cell r="L332">
            <v>108.30502738433874</v>
          </cell>
          <cell r="M332">
            <v>24.319676928794998</v>
          </cell>
          <cell r="N332">
            <v>40.621501229984084</v>
          </cell>
          <cell r="O332">
            <v>2.3005278731440893E-3</v>
          </cell>
          <cell r="P332">
            <v>35.646952641571104</v>
          </cell>
          <cell r="Q332">
            <v>48.846901930434903</v>
          </cell>
          <cell r="R332">
            <v>16.051889569600739</v>
          </cell>
          <cell r="T332">
            <v>30.606453551670345</v>
          </cell>
          <cell r="U332">
            <v>23.865052764016983</v>
          </cell>
          <cell r="V332">
            <v>35.646952641571104</v>
          </cell>
          <cell r="X332">
            <v>27.462233913698043</v>
          </cell>
          <cell r="Z332">
            <v>30.492764159182222</v>
          </cell>
          <cell r="AA332">
            <v>0.65067710239919507</v>
          </cell>
          <cell r="AB332">
            <v>131.97905469897282</v>
          </cell>
          <cell r="AC332">
            <v>29.842087056783026</v>
          </cell>
          <cell r="AD332">
            <v>101.48629053979059</v>
          </cell>
        </row>
        <row r="333">
          <cell r="A333" t="str">
            <v>CGI015-qtz09-CL-fit-6-offset</v>
          </cell>
          <cell r="B333">
            <v>750</v>
          </cell>
          <cell r="C333">
            <v>8.0537892000481889E-22</v>
          </cell>
          <cell r="D333">
            <v>2150</v>
          </cell>
          <cell r="E333">
            <v>1024</v>
          </cell>
          <cell r="F333">
            <v>2.099609375</v>
          </cell>
          <cell r="H333">
            <v>327.73597442491109</v>
          </cell>
          <cell r="I333">
            <v>198.94925936865064</v>
          </cell>
          <cell r="J333">
            <v>252.81147524033139</v>
          </cell>
          <cell r="K333">
            <v>114.84379980328232</v>
          </cell>
          <cell r="L333">
            <v>166.88543340474328</v>
          </cell>
          <cell r="M333">
            <v>121.59536940388834</v>
          </cell>
          <cell r="N333">
            <v>150.74692411269442</v>
          </cell>
          <cell r="O333">
            <v>117.71441116995639</v>
          </cell>
          <cell r="P333">
            <v>75.711250684329201</v>
          </cell>
          <cell r="Q333">
            <v>85.613014176044828</v>
          </cell>
          <cell r="R333">
            <v>74.133883790394606</v>
          </cell>
          <cell r="T333">
            <v>164.26588361853385</v>
          </cell>
          <cell r="U333">
            <v>145.00979235609728</v>
          </cell>
          <cell r="V333">
            <v>121.59536940388834</v>
          </cell>
          <cell r="X333">
            <v>143.43901075559032</v>
          </cell>
          <cell r="Z333">
            <v>136.89612682094858</v>
          </cell>
          <cell r="AA333">
            <v>21.887791667778696</v>
          </cell>
          <cell r="AB333">
            <v>375.1679338728124</v>
          </cell>
          <cell r="AC333">
            <v>115.00833515316988</v>
          </cell>
          <cell r="AD333">
            <v>238.27180705186382</v>
          </cell>
        </row>
        <row r="334">
          <cell r="A334" t="str">
            <v>CGI015-qtz10-CL-fit-1-offset</v>
          </cell>
          <cell r="B334">
            <v>750</v>
          </cell>
          <cell r="C334">
            <v>8.0537892000481889E-22</v>
          </cell>
          <cell r="D334">
            <v>2050</v>
          </cell>
          <cell r="E334">
            <v>1024</v>
          </cell>
          <cell r="F334">
            <v>2.001953125</v>
          </cell>
          <cell r="H334">
            <v>1869.1641428206701</v>
          </cell>
          <cell r="I334">
            <v>2134.9426106771407</v>
          </cell>
          <cell r="J334">
            <v>1383.2527966876621</v>
          </cell>
          <cell r="K334">
            <v>2077.9576440651645</v>
          </cell>
          <cell r="L334">
            <v>1842.3111323447324</v>
          </cell>
          <cell r="M334">
            <v>2315.4856766562998</v>
          </cell>
          <cell r="N334">
            <v>2083.8614874045661</v>
          </cell>
          <cell r="O334">
            <v>1831.381802834883</v>
          </cell>
          <cell r="P334">
            <v>1908.0592539524916</v>
          </cell>
          <cell r="Q334">
            <v>2894.5170020989158</v>
          </cell>
          <cell r="R334">
            <v>1915.5868485856492</v>
          </cell>
          <cell r="T334">
            <v>2003.8060175039716</v>
          </cell>
          <cell r="U334">
            <v>2008.2709079112944</v>
          </cell>
          <cell r="V334">
            <v>1915.5868485856492</v>
          </cell>
          <cell r="X334">
            <v>1997.9850055781051</v>
          </cell>
          <cell r="Z334">
            <v>1989.491633219237</v>
          </cell>
          <cell r="AA334">
            <v>1345.4896247677937</v>
          </cell>
          <cell r="AB334">
            <v>2953.5095841420107</v>
          </cell>
          <cell r="AC334">
            <v>644.00200845144332</v>
          </cell>
          <cell r="AD334">
            <v>964.01795092277371</v>
          </cell>
        </row>
        <row r="335">
          <cell r="A335" t="str">
            <v>CGI015-qtz10-CL-fit-2-offset</v>
          </cell>
          <cell r="B335">
            <v>750</v>
          </cell>
          <cell r="C335">
            <v>8.0537892000481889E-22</v>
          </cell>
          <cell r="D335">
            <v>2050</v>
          </cell>
          <cell r="E335">
            <v>1024</v>
          </cell>
          <cell r="F335">
            <v>2.001953125</v>
          </cell>
          <cell r="H335">
            <v>560.96672949390586</v>
          </cell>
          <cell r="I335">
            <v>424.29933134194056</v>
          </cell>
          <cell r="J335">
            <v>92.455861126115408</v>
          </cell>
          <cell r="K335">
            <v>167.60621333604368</v>
          </cell>
          <cell r="L335">
            <v>267.74941149806648</v>
          </cell>
          <cell r="M335">
            <v>623.7542984254394</v>
          </cell>
          <cell r="N335">
            <v>53.654996777608034</v>
          </cell>
          <cell r="O335">
            <v>326.24819165101013</v>
          </cell>
          <cell r="P335">
            <v>529.64075464825987</v>
          </cell>
          <cell r="Q335">
            <v>319.67437723342982</v>
          </cell>
          <cell r="R335">
            <v>48.45897844826704</v>
          </cell>
          <cell r="T335">
            <v>391.77655528610853</v>
          </cell>
          <cell r="U335">
            <v>272.02498304436773</v>
          </cell>
          <cell r="V335">
            <v>319.67437723342982</v>
          </cell>
          <cell r="X335">
            <v>361.16097093906234</v>
          </cell>
          <cell r="Z335">
            <v>405.65935112707541</v>
          </cell>
          <cell r="AA335">
            <v>2.589129094765164</v>
          </cell>
          <cell r="AB335">
            <v>3040.7231694529387</v>
          </cell>
          <cell r="AC335">
            <v>403.07022203231026</v>
          </cell>
          <cell r="AD335">
            <v>2635.0638183258634</v>
          </cell>
        </row>
        <row r="336">
          <cell r="A336" t="str">
            <v>CGI015-qtz10-CL-fit-3-offset</v>
          </cell>
          <cell r="B336">
            <v>750</v>
          </cell>
          <cell r="C336">
            <v>8.0537892000481889E-22</v>
          </cell>
          <cell r="D336">
            <v>2050</v>
          </cell>
          <cell r="E336">
            <v>1024</v>
          </cell>
          <cell r="F336">
            <v>2.001953125</v>
          </cell>
          <cell r="H336">
            <v>306.47078095699499</v>
          </cell>
          <cell r="I336">
            <v>229.51767941473372</v>
          </cell>
          <cell r="J336">
            <v>252.15543963978885</v>
          </cell>
          <cell r="K336">
            <v>322.82850368815457</v>
          </cell>
          <cell r="L336">
            <v>376.21694400017111</v>
          </cell>
          <cell r="M336">
            <v>356.51707343840411</v>
          </cell>
          <cell r="N336">
            <v>460.17658126073633</v>
          </cell>
          <cell r="O336">
            <v>23.623252709812697</v>
          </cell>
          <cell r="P336">
            <v>0</v>
          </cell>
          <cell r="Q336">
            <v>398.17253720049138</v>
          </cell>
          <cell r="R336">
            <v>469.20048465395365</v>
          </cell>
          <cell r="T336">
            <v>364.84463015337485</v>
          </cell>
          <cell r="U336">
            <v>298.28174809071123</v>
          </cell>
          <cell r="V336">
            <v>339.46383410005456</v>
          </cell>
          <cell r="X336">
            <v>314.29425069991129</v>
          </cell>
          <cell r="Z336">
            <v>316.87732541442665</v>
          </cell>
          <cell r="AA336">
            <v>3.8262909273653007</v>
          </cell>
          <cell r="AB336">
            <v>1636.402653993599</v>
          </cell>
          <cell r="AC336">
            <v>313.05103448706137</v>
          </cell>
          <cell r="AD336">
            <v>1319.5253285791723</v>
          </cell>
        </row>
        <row r="337">
          <cell r="A337" t="str">
            <v>CGI015-qtz10-CL-fit-4-offset</v>
          </cell>
          <cell r="B337">
            <v>750</v>
          </cell>
          <cell r="C337">
            <v>8.0537892000481889E-22</v>
          </cell>
          <cell r="D337">
            <v>2050</v>
          </cell>
          <cell r="E337">
            <v>1024</v>
          </cell>
          <cell r="F337">
            <v>2.001953125</v>
          </cell>
          <cell r="H337">
            <v>118.90677796575299</v>
          </cell>
          <cell r="I337">
            <v>38.432023632721389</v>
          </cell>
          <cell r="J337">
            <v>18.605370086337206</v>
          </cell>
          <cell r="K337">
            <v>118.65049257781081</v>
          </cell>
          <cell r="L337">
            <v>37.877275742115934</v>
          </cell>
          <cell r="M337">
            <v>149.9805241013014</v>
          </cell>
          <cell r="N337">
            <v>144.11767593434269</v>
          </cell>
          <cell r="O337">
            <v>204.52812169189664</v>
          </cell>
          <cell r="P337">
            <v>268.76278444768741</v>
          </cell>
          <cell r="Q337">
            <v>143.36947417575678</v>
          </cell>
          <cell r="R337">
            <v>151.67428678578088</v>
          </cell>
          <cell r="T337">
            <v>140.41602122895776</v>
          </cell>
          <cell r="U337">
            <v>114.4909871969417</v>
          </cell>
          <cell r="V337">
            <v>143.36947417575678</v>
          </cell>
          <cell r="X337">
            <v>115.49075916268565</v>
          </cell>
          <cell r="Z337">
            <v>112.26256061778402</v>
          </cell>
          <cell r="AA337">
            <v>7.4874233574815774</v>
          </cell>
          <cell r="AB337">
            <v>326.51308677954978</v>
          </cell>
          <cell r="AC337">
            <v>104.77513726030244</v>
          </cell>
          <cell r="AD337">
            <v>214.25052616176578</v>
          </cell>
        </row>
        <row r="338">
          <cell r="A338" t="str">
            <v>CGI015-qtz10-CL-fit-5-offset</v>
          </cell>
          <cell r="B338">
            <v>750</v>
          </cell>
          <cell r="C338">
            <v>8.0537892000481889E-22</v>
          </cell>
          <cell r="D338">
            <v>2050</v>
          </cell>
          <cell r="E338">
            <v>1024</v>
          </cell>
          <cell r="F338">
            <v>2.001953125</v>
          </cell>
          <cell r="H338">
            <v>84.94398317966052</v>
          </cell>
          <cell r="I338">
            <v>86.509697119624121</v>
          </cell>
          <cell r="J338">
            <v>106.77089874535761</v>
          </cell>
          <cell r="K338">
            <v>276.10819086260517</v>
          </cell>
          <cell r="L338">
            <v>202.8453112167534</v>
          </cell>
          <cell r="M338">
            <v>235.54488260823209</v>
          </cell>
          <cell r="N338">
            <v>225.10063740997657</v>
          </cell>
          <cell r="O338">
            <v>485.11108115239466</v>
          </cell>
          <cell r="P338">
            <v>370.54352787140613</v>
          </cell>
          <cell r="Q338">
            <v>301.77558489609606</v>
          </cell>
          <cell r="R338">
            <v>276.43122861105434</v>
          </cell>
          <cell r="T338">
            <v>218.6463771756421</v>
          </cell>
          <cell r="U338">
            <v>225.90889849852965</v>
          </cell>
          <cell r="V338">
            <v>235.54488260823209</v>
          </cell>
          <cell r="X338">
            <v>226.62505252469711</v>
          </cell>
          <cell r="Z338">
            <v>233.93031511172941</v>
          </cell>
          <cell r="AA338">
            <v>28.378414164805196</v>
          </cell>
          <cell r="AB338">
            <v>703.26399828459034</v>
          </cell>
          <cell r="AC338">
            <v>205.55190094692421</v>
          </cell>
          <cell r="AD338">
            <v>469.3336831728609</v>
          </cell>
        </row>
        <row r="339">
          <cell r="A339" t="str">
            <v>CGI015-qtz10-CL-fit-6-offset</v>
          </cell>
          <cell r="B339">
            <v>750</v>
          </cell>
          <cell r="C339">
            <v>8.0537892000481889E-22</v>
          </cell>
          <cell r="D339">
            <v>2050</v>
          </cell>
          <cell r="E339">
            <v>1024</v>
          </cell>
          <cell r="F339">
            <v>2.001953125</v>
          </cell>
          <cell r="H339">
            <v>51.302437012007587</v>
          </cell>
          <cell r="I339">
            <v>107.70693053490639</v>
          </cell>
          <cell r="J339">
            <v>73.820224874577391</v>
          </cell>
          <cell r="K339">
            <v>59.16168586829275</v>
          </cell>
          <cell r="L339">
            <v>65.066030768559457</v>
          </cell>
          <cell r="M339">
            <v>45.103605916441111</v>
          </cell>
          <cell r="N339">
            <v>60.864169598775028</v>
          </cell>
          <cell r="O339">
            <v>86.781500049497524</v>
          </cell>
          <cell r="P339">
            <v>52.503512112422754</v>
          </cell>
          <cell r="Q339">
            <v>60.900060091399588</v>
          </cell>
          <cell r="R339">
            <v>47.274398000235145</v>
          </cell>
          <cell r="T339">
            <v>62.659060477785012</v>
          </cell>
          <cell r="U339">
            <v>63.490761652220257</v>
          </cell>
          <cell r="V339">
            <v>60.864169598775028</v>
          </cell>
          <cell r="X339">
            <v>57.634277599294606</v>
          </cell>
          <cell r="Z339">
            <v>51.702385663574923</v>
          </cell>
          <cell r="AA339">
            <v>1.7946473064484858</v>
          </cell>
          <cell r="AB339">
            <v>175.4579690709088</v>
          </cell>
          <cell r="AC339">
            <v>49.907738357126433</v>
          </cell>
          <cell r="AD339">
            <v>123.75558340733389</v>
          </cell>
        </row>
        <row r="340">
          <cell r="A340" t="str">
            <v>CGI015-qtz10-CL-fit-7-offset</v>
          </cell>
          <cell r="B340">
            <v>750</v>
          </cell>
          <cell r="C340">
            <v>8.0537892000481889E-22</v>
          </cell>
          <cell r="D340">
            <v>2050</v>
          </cell>
          <cell r="E340">
            <v>1024</v>
          </cell>
          <cell r="F340">
            <v>2.001953125</v>
          </cell>
          <cell r="H340">
            <v>1.7475035360870128</v>
          </cell>
          <cell r="I340">
            <v>2.172676991440861</v>
          </cell>
          <cell r="J340">
            <v>1.5231374718135369</v>
          </cell>
          <cell r="K340">
            <v>1.0911530307705117</v>
          </cell>
          <cell r="L340">
            <v>14.766356579626462</v>
          </cell>
          <cell r="M340">
            <v>0.20273657444269688</v>
          </cell>
          <cell r="N340">
            <v>1.7851488292767401</v>
          </cell>
          <cell r="O340">
            <v>1.4927882923833808</v>
          </cell>
          <cell r="P340">
            <v>1.5367574462600588</v>
          </cell>
          <cell r="Q340">
            <v>16.975496600105711</v>
          </cell>
          <cell r="R340">
            <v>0.54313272418709768</v>
          </cell>
          <cell r="T340">
            <v>1.6355571097478634</v>
          </cell>
          <cell r="U340">
            <v>2.6843230778389415</v>
          </cell>
          <cell r="V340">
            <v>1.5367574462600588</v>
          </cell>
          <cell r="X340">
            <v>2.4175572786151522</v>
          </cell>
          <cell r="Z340">
            <v>8.7177907108329276</v>
          </cell>
          <cell r="AA340">
            <v>1.3191160052923412E-5</v>
          </cell>
          <cell r="AB340">
            <v>293.85195805426389</v>
          </cell>
          <cell r="AC340">
            <v>8.7177775196728753</v>
          </cell>
          <cell r="AD340">
            <v>285.13416734343099</v>
          </cell>
        </row>
        <row r="341">
          <cell r="A341" t="str">
            <v>CGI015-qtz11-CL-fit-1-offset</v>
          </cell>
          <cell r="B341">
            <v>750</v>
          </cell>
          <cell r="C341">
            <v>8.0537892000481889E-22</v>
          </cell>
          <cell r="D341">
            <v>1700</v>
          </cell>
          <cell r="E341">
            <v>1024</v>
          </cell>
          <cell r="F341">
            <v>1.66015625</v>
          </cell>
          <cell r="H341">
            <v>1146.4024990521918</v>
          </cell>
          <cell r="I341">
            <v>1017.1051015523145</v>
          </cell>
          <cell r="J341">
            <v>1084.8790086411716</v>
          </cell>
          <cell r="K341">
            <v>967.90133511356419</v>
          </cell>
          <cell r="L341">
            <v>1017.2880141117265</v>
          </cell>
          <cell r="M341">
            <v>935.20977702346681</v>
          </cell>
          <cell r="N341">
            <v>981.29162864852037</v>
          </cell>
          <cell r="O341">
            <v>1246.7216136583313</v>
          </cell>
          <cell r="P341">
            <v>1368.1828429541627</v>
          </cell>
          <cell r="Q341">
            <v>1221.5298557128856</v>
          </cell>
          <cell r="R341">
            <v>1512.9497566615471</v>
          </cell>
          <cell r="T341">
            <v>1126.0528443668074</v>
          </cell>
          <cell r="U341">
            <v>1129.8517364423449</v>
          </cell>
          <cell r="V341">
            <v>1084.8790086411716</v>
          </cell>
          <cell r="X341">
            <v>1114.5101025993877</v>
          </cell>
          <cell r="Z341">
            <v>1109.8033303897603</v>
          </cell>
          <cell r="AA341">
            <v>864.32823857723872</v>
          </cell>
          <cell r="AB341">
            <v>1375.3034002650381</v>
          </cell>
          <cell r="AC341">
            <v>245.47509181252155</v>
          </cell>
          <cell r="AD341">
            <v>265.50006987527786</v>
          </cell>
        </row>
        <row r="342">
          <cell r="A342" t="str">
            <v>CGI015-qtz11-CL-fit-2-offset</v>
          </cell>
          <cell r="B342">
            <v>750</v>
          </cell>
          <cell r="C342">
            <v>8.0537892000481889E-22</v>
          </cell>
          <cell r="D342">
            <v>1700</v>
          </cell>
          <cell r="E342">
            <v>1024</v>
          </cell>
          <cell r="F342">
            <v>1.66015625</v>
          </cell>
          <cell r="H342">
            <v>1259.2636164154558</v>
          </cell>
          <cell r="I342">
            <v>1142.6087528899075</v>
          </cell>
          <cell r="J342">
            <v>893.58207030706751</v>
          </cell>
          <cell r="K342">
            <v>1109.3333036005438</v>
          </cell>
          <cell r="L342">
            <v>946.57405683996649</v>
          </cell>
          <cell r="M342">
            <v>1044.7721929314935</v>
          </cell>
          <cell r="N342">
            <v>871.73400642337458</v>
          </cell>
          <cell r="O342">
            <v>726.23402459806482</v>
          </cell>
          <cell r="P342">
            <v>1002.8175683920349</v>
          </cell>
          <cell r="Q342">
            <v>548.44298566836062</v>
          </cell>
          <cell r="R342">
            <v>721.26947693845341</v>
          </cell>
          <cell r="T342">
            <v>946.57484109550182</v>
          </cell>
          <cell r="U342">
            <v>921.91710097156579</v>
          </cell>
          <cell r="V342">
            <v>946.57405683996649</v>
          </cell>
          <cell r="X342">
            <v>936.97922223763146</v>
          </cell>
          <cell r="Z342">
            <v>957.46525227920449</v>
          </cell>
          <cell r="AA342">
            <v>523.34457046054411</v>
          </cell>
          <cell r="AB342">
            <v>1600.0503536223791</v>
          </cell>
          <cell r="AC342">
            <v>434.12068181866039</v>
          </cell>
          <cell r="AD342">
            <v>642.58510134317464</v>
          </cell>
        </row>
        <row r="343">
          <cell r="A343" t="str">
            <v>CGI015-qtz11-CL-fit-3-offset</v>
          </cell>
          <cell r="B343">
            <v>750</v>
          </cell>
          <cell r="C343">
            <v>8.0537892000481889E-22</v>
          </cell>
          <cell r="D343">
            <v>1700</v>
          </cell>
          <cell r="E343">
            <v>1024</v>
          </cell>
          <cell r="F343">
            <v>1.66015625</v>
          </cell>
          <cell r="H343">
            <v>98.887603317003737</v>
          </cell>
          <cell r="I343">
            <v>4.1980463449064995</v>
          </cell>
          <cell r="J343">
            <v>94.142477141461313</v>
          </cell>
          <cell r="K343">
            <v>210.4939159473866</v>
          </cell>
          <cell r="L343">
            <v>103.22212916590522</v>
          </cell>
          <cell r="M343">
            <v>33.213715409621464</v>
          </cell>
          <cell r="N343">
            <v>101.16302970523934</v>
          </cell>
          <cell r="O343">
            <v>96.430027279851188</v>
          </cell>
          <cell r="P343">
            <v>78.754057034421393</v>
          </cell>
          <cell r="Q343">
            <v>129.11934908613387</v>
          </cell>
          <cell r="R343">
            <v>169.87943285295765</v>
          </cell>
          <cell r="T343">
            <v>83.775471542552268</v>
          </cell>
          <cell r="U343">
            <v>91.595819394362351</v>
          </cell>
          <cell r="V343">
            <v>98.887603317003737</v>
          </cell>
          <cell r="X343">
            <v>68.513698346795508</v>
          </cell>
          <cell r="Z343">
            <v>79.169880858517743</v>
          </cell>
          <cell r="AA343">
            <v>7.1282834544669411</v>
          </cell>
          <cell r="AB343">
            <v>297.67288629306478</v>
          </cell>
          <cell r="AC343">
            <v>72.041597404050805</v>
          </cell>
          <cell r="AD343">
            <v>218.50300543454705</v>
          </cell>
        </row>
        <row r="344">
          <cell r="A344" t="str">
            <v>CGI015-qtz11-CL-fit-4-offset</v>
          </cell>
          <cell r="B344">
            <v>750</v>
          </cell>
          <cell r="C344">
            <v>8.0537892000481889E-22</v>
          </cell>
          <cell r="D344">
            <v>1700</v>
          </cell>
          <cell r="E344">
            <v>1024</v>
          </cell>
          <cell r="F344">
            <v>1.66015625</v>
          </cell>
          <cell r="H344">
            <v>68.439355577064873</v>
          </cell>
          <cell r="I344">
            <v>24.698802025273217</v>
          </cell>
          <cell r="J344">
            <v>72.415409345097814</v>
          </cell>
          <cell r="K344">
            <v>24.674368176553529</v>
          </cell>
          <cell r="L344">
            <v>0.86920676386986873</v>
          </cell>
          <cell r="M344">
            <v>75.182848568509286</v>
          </cell>
          <cell r="N344">
            <v>122.02114052474863</v>
          </cell>
          <cell r="O344">
            <v>7.3514766109340031E-5</v>
          </cell>
          <cell r="P344">
            <v>128.03216015194795</v>
          </cell>
          <cell r="Q344">
            <v>0</v>
          </cell>
          <cell r="R344">
            <v>0</v>
          </cell>
          <cell r="T344">
            <v>88.37828430234282</v>
          </cell>
          <cell r="U344">
            <v>42.528933780675743</v>
          </cell>
          <cell r="V344">
            <v>68.439355577064873</v>
          </cell>
          <cell r="X344">
            <v>52.960590786444293</v>
          </cell>
          <cell r="Z344">
            <v>72.133891108542826</v>
          </cell>
          <cell r="AA344">
            <v>0.30287229950019101</v>
          </cell>
          <cell r="AB344">
            <v>1001.4862976191614</v>
          </cell>
          <cell r="AC344">
            <v>71.831018809042632</v>
          </cell>
          <cell r="AD344">
            <v>929.35240651061861</v>
          </cell>
        </row>
        <row r="345">
          <cell r="A345" t="str">
            <v>CGI015-qtz11-CL-fit-5-offset</v>
          </cell>
          <cell r="B345">
            <v>750</v>
          </cell>
          <cell r="C345">
            <v>8.0537892000481889E-22</v>
          </cell>
          <cell r="D345">
            <v>1700</v>
          </cell>
          <cell r="E345">
            <v>1024</v>
          </cell>
          <cell r="F345">
            <v>1.66015625</v>
          </cell>
          <cell r="H345">
            <v>1.0240488462153399</v>
          </cell>
          <cell r="I345">
            <v>38.093418280515721</v>
          </cell>
          <cell r="J345">
            <v>0.98144948890622996</v>
          </cell>
          <cell r="K345">
            <v>7.1014784932915749</v>
          </cell>
          <cell r="L345">
            <v>103.16760130338054</v>
          </cell>
          <cell r="M345">
            <v>12.607864405124666</v>
          </cell>
          <cell r="N345">
            <v>221.2203975010554</v>
          </cell>
          <cell r="O345">
            <v>113.61265887121172</v>
          </cell>
          <cell r="P345">
            <v>99.719524960532567</v>
          </cell>
          <cell r="Q345">
            <v>54.784944287113419</v>
          </cell>
          <cell r="R345">
            <v>21.308588539418214</v>
          </cell>
          <cell r="T345">
            <v>37.743848041605432</v>
          </cell>
          <cell r="U345">
            <v>42.942475636986536</v>
          </cell>
          <cell r="V345">
            <v>38.093418280515721</v>
          </cell>
          <cell r="X345">
            <v>32.992743839530455</v>
          </cell>
          <cell r="Z345">
            <v>55.728689798252205</v>
          </cell>
          <cell r="AA345">
            <v>0.81011324326972067</v>
          </cell>
          <cell r="AB345">
            <v>195.77351076349282</v>
          </cell>
          <cell r="AC345">
            <v>54.918576554982486</v>
          </cell>
          <cell r="AD345">
            <v>140.0448209652406</v>
          </cell>
        </row>
        <row r="346">
          <cell r="A346" t="str">
            <v>CGI015-qtz11-CL-fit-6-offset</v>
          </cell>
          <cell r="B346">
            <v>750</v>
          </cell>
          <cell r="C346">
            <v>8.0537892000481889E-22</v>
          </cell>
          <cell r="D346">
            <v>1700</v>
          </cell>
          <cell r="E346">
            <v>1024</v>
          </cell>
          <cell r="F346">
            <v>1.66015625</v>
          </cell>
          <cell r="H346">
            <v>569.84974381277095</v>
          </cell>
          <cell r="I346">
            <v>6.2241501320113644</v>
          </cell>
          <cell r="J346">
            <v>185.78529857482371</v>
          </cell>
          <cell r="K346">
            <v>19.92551052204783</v>
          </cell>
          <cell r="L346">
            <v>6.3376859146328544</v>
          </cell>
          <cell r="M346">
            <v>5.8425481466953455</v>
          </cell>
          <cell r="N346">
            <v>111.76823333679769</v>
          </cell>
          <cell r="O346">
            <v>107.80663548025835</v>
          </cell>
          <cell r="P346">
            <v>64.933960597227184</v>
          </cell>
          <cell r="Q346">
            <v>240.73181526499516</v>
          </cell>
          <cell r="R346">
            <v>197.44160697697049</v>
          </cell>
          <cell r="T346">
            <v>30.067720486265646</v>
          </cell>
          <cell r="U346">
            <v>96.352437977114263</v>
          </cell>
          <cell r="V346">
            <v>107.80663548025835</v>
          </cell>
          <cell r="X346">
            <v>95.848045374591052</v>
          </cell>
          <cell r="Z346">
            <v>135.66997327047625</v>
          </cell>
          <cell r="AA346">
            <v>0.16048481676565413</v>
          </cell>
          <cell r="AB346">
            <v>995.35703199394629</v>
          </cell>
          <cell r="AC346">
            <v>135.50948845371059</v>
          </cell>
          <cell r="AD346">
            <v>859.68705872347005</v>
          </cell>
        </row>
        <row r="347">
          <cell r="A347" t="str">
            <v>CGI015-qtz11-CL-fit-7-offset</v>
          </cell>
          <cell r="B347">
            <v>750</v>
          </cell>
          <cell r="C347">
            <v>8.0537892000481889E-22</v>
          </cell>
          <cell r="D347">
            <v>1700</v>
          </cell>
          <cell r="E347">
            <v>1024</v>
          </cell>
          <cell r="F347">
            <v>1.66015625</v>
          </cell>
          <cell r="H347">
            <v>28.619228952471317</v>
          </cell>
          <cell r="I347">
            <v>19.966535191001174</v>
          </cell>
          <cell r="J347">
            <v>33.368346080989433</v>
          </cell>
          <cell r="K347">
            <v>19.832948707657483</v>
          </cell>
          <cell r="L347">
            <v>10.984883316283424</v>
          </cell>
          <cell r="M347">
            <v>7.9641008681059065</v>
          </cell>
          <cell r="N347">
            <v>15.490733033091685</v>
          </cell>
          <cell r="O347">
            <v>31.195595158066332</v>
          </cell>
          <cell r="P347">
            <v>5.1519201419262375</v>
          </cell>
          <cell r="Q347">
            <v>18.91228104117992</v>
          </cell>
          <cell r="R347">
            <v>13.51708581711266</v>
          </cell>
          <cell r="T347">
            <v>19.012855723653288</v>
          </cell>
          <cell r="U347">
            <v>17.488178918898594</v>
          </cell>
          <cell r="V347">
            <v>18.91228104117992</v>
          </cell>
          <cell r="X347">
            <v>17.134863468840088</v>
          </cell>
          <cell r="Z347">
            <v>19.085497857626311</v>
          </cell>
          <cell r="AA347">
            <v>0.19422873066699509</v>
          </cell>
          <cell r="AB347">
            <v>103.20412669165428</v>
          </cell>
          <cell r="AC347">
            <v>18.891269126959315</v>
          </cell>
          <cell r="AD347">
            <v>84.118628834027973</v>
          </cell>
        </row>
        <row r="348">
          <cell r="A348" t="str">
            <v>CGI015-qtz12-CL-fit-1-offset</v>
          </cell>
          <cell r="B348">
            <v>750</v>
          </cell>
          <cell r="C348">
            <v>8.0537892000481889E-22</v>
          </cell>
          <cell r="D348">
            <v>2300</v>
          </cell>
          <cell r="E348">
            <v>1024</v>
          </cell>
          <cell r="F348">
            <v>2.24609375</v>
          </cell>
          <cell r="H348">
            <v>1391.0086055201771</v>
          </cell>
          <cell r="I348">
            <v>2200.9770783561084</v>
          </cell>
          <cell r="J348">
            <v>1217.0496699759699</v>
          </cell>
          <cell r="K348">
            <v>1862.5855697361878</v>
          </cell>
          <cell r="L348">
            <v>2063.1450598936462</v>
          </cell>
          <cell r="M348">
            <v>1320.5539516403437</v>
          </cell>
          <cell r="N348">
            <v>2216.0579859443842</v>
          </cell>
          <cell r="O348">
            <v>1404.9100826018141</v>
          </cell>
          <cell r="P348">
            <v>1425.2534711209657</v>
          </cell>
          <cell r="Q348">
            <v>1960.6640013052136</v>
          </cell>
          <cell r="R348">
            <v>1997.3576717434262</v>
          </cell>
          <cell r="T348">
            <v>1694.9287706721768</v>
          </cell>
          <cell r="U348">
            <v>1713.1838986596633</v>
          </cell>
          <cell r="V348">
            <v>1862.5855697361878</v>
          </cell>
          <cell r="X348">
            <v>1700.3512698927229</v>
          </cell>
          <cell r="Z348">
            <v>1705.4504948488798</v>
          </cell>
          <cell r="AA348">
            <v>1012.4675523557148</v>
          </cell>
          <cell r="AB348">
            <v>2558.3331081489418</v>
          </cell>
          <cell r="AC348">
            <v>692.98294249316496</v>
          </cell>
          <cell r="AD348">
            <v>852.88261330006208</v>
          </cell>
        </row>
        <row r="349">
          <cell r="A349" t="str">
            <v>CGI015-qtz12-CL-fit-2-offset</v>
          </cell>
          <cell r="B349">
            <v>750</v>
          </cell>
          <cell r="C349">
            <v>8.0537892000481889E-22</v>
          </cell>
          <cell r="D349">
            <v>2300</v>
          </cell>
          <cell r="E349">
            <v>1024</v>
          </cell>
          <cell r="F349">
            <v>2.24609375</v>
          </cell>
          <cell r="H349">
            <v>820.46574748010369</v>
          </cell>
          <cell r="I349">
            <v>255.35978302585397</v>
          </cell>
          <cell r="J349">
            <v>1.4464368762392399</v>
          </cell>
          <cell r="K349">
            <v>2.6080473832271429</v>
          </cell>
          <cell r="L349">
            <v>22.375863478719872</v>
          </cell>
          <cell r="M349">
            <v>178.37090124466138</v>
          </cell>
          <cell r="N349">
            <v>1496.0705793961642</v>
          </cell>
          <cell r="O349">
            <v>11.793323887331489</v>
          </cell>
          <cell r="P349">
            <v>1016.069831795505</v>
          </cell>
          <cell r="Q349">
            <v>9.7339550686725804</v>
          </cell>
          <cell r="R349">
            <v>1214.5708534893226</v>
          </cell>
          <cell r="T349">
            <v>400.73392672207348</v>
          </cell>
          <cell r="U349">
            <v>260.34389708323727</v>
          </cell>
          <cell r="V349">
            <v>178.37090124466138</v>
          </cell>
          <cell r="X349">
            <v>289.9965088998058</v>
          </cell>
          <cell r="Z349">
            <v>372.3247546563673</v>
          </cell>
          <cell r="AA349">
            <v>0.21016496728319958</v>
          </cell>
          <cell r="AB349">
            <v>2489.7751586645954</v>
          </cell>
          <cell r="AC349">
            <v>372.11458968908408</v>
          </cell>
          <cell r="AD349">
            <v>2117.4504040082284</v>
          </cell>
        </row>
        <row r="350">
          <cell r="A350" t="str">
            <v>CGI015-qtz12-CL-fit-3-offset</v>
          </cell>
          <cell r="B350">
            <v>750</v>
          </cell>
          <cell r="C350">
            <v>8.0537892000481889E-22</v>
          </cell>
          <cell r="D350">
            <v>2300</v>
          </cell>
          <cell r="E350">
            <v>1024</v>
          </cell>
          <cell r="F350">
            <v>2.24609375</v>
          </cell>
          <cell r="H350">
            <v>1011.2008084391995</v>
          </cell>
          <cell r="I350">
            <v>73.979654303540158</v>
          </cell>
          <cell r="J350">
            <v>199.65645957822144</v>
          </cell>
          <cell r="K350">
            <v>267.69037837830189</v>
          </cell>
          <cell r="L350">
            <v>512.04027087870634</v>
          </cell>
          <cell r="M350">
            <v>309.85323478696694</v>
          </cell>
          <cell r="N350">
            <v>737.83336810033722</v>
          </cell>
          <cell r="O350">
            <v>636.89733121151062</v>
          </cell>
          <cell r="P350">
            <v>606.24478627770225</v>
          </cell>
          <cell r="Q350">
            <v>298.13378533303285</v>
          </cell>
          <cell r="R350">
            <v>678.63574169768799</v>
          </cell>
          <cell r="T350">
            <v>459.94677749956628</v>
          </cell>
          <cell r="U350">
            <v>442.76520299304758</v>
          </cell>
          <cell r="V350">
            <v>512.04027087870634</v>
          </cell>
          <cell r="X350">
            <v>459.75006021755081</v>
          </cell>
          <cell r="Z350">
            <v>447.38701102126066</v>
          </cell>
          <cell r="AA350">
            <v>115.19686987503088</v>
          </cell>
          <cell r="AB350">
            <v>1020.7103049030893</v>
          </cell>
          <cell r="AC350">
            <v>332.19014114622979</v>
          </cell>
          <cell r="AD350">
            <v>573.3232938818287</v>
          </cell>
        </row>
        <row r="351">
          <cell r="A351" t="str">
            <v>CGI015-qtz12-CL-fit-4-offset</v>
          </cell>
          <cell r="B351">
            <v>750</v>
          </cell>
          <cell r="C351">
            <v>8.0537892000481889E-22</v>
          </cell>
          <cell r="D351">
            <v>2300</v>
          </cell>
          <cell r="E351">
            <v>1024</v>
          </cell>
          <cell r="F351">
            <v>2.24609375</v>
          </cell>
          <cell r="H351">
            <v>71.131346427156473</v>
          </cell>
          <cell r="I351">
            <v>68.272502274643998</v>
          </cell>
          <cell r="J351">
            <v>63.650402232994118</v>
          </cell>
          <cell r="K351">
            <v>68.412494130561427</v>
          </cell>
          <cell r="L351">
            <v>54.931139177971744</v>
          </cell>
          <cell r="M351">
            <v>79.617553040689131</v>
          </cell>
          <cell r="N351">
            <v>55.383118227043774</v>
          </cell>
          <cell r="O351">
            <v>72.086521960320781</v>
          </cell>
          <cell r="P351">
            <v>64.15533552947781</v>
          </cell>
          <cell r="Q351">
            <v>90.6164551328052</v>
          </cell>
          <cell r="R351">
            <v>63.45283539476835</v>
          </cell>
          <cell r="T351">
            <v>72.729946596488361</v>
          </cell>
          <cell r="U351">
            <v>67.998681706791047</v>
          </cell>
          <cell r="V351">
            <v>68.272502274643998</v>
          </cell>
          <cell r="X351">
            <v>60.613785717272862</v>
          </cell>
          <cell r="Z351">
            <v>56.520457705949738</v>
          </cell>
          <cell r="AA351">
            <v>2.7605906367795958</v>
          </cell>
          <cell r="AB351">
            <v>146.09670442769402</v>
          </cell>
          <cell r="AC351">
            <v>53.759867069170141</v>
          </cell>
          <cell r="AD351">
            <v>89.576246721744283</v>
          </cell>
        </row>
        <row r="352">
          <cell r="A352" t="str">
            <v>CGI015-qtz12-CL-fit-5-offset</v>
          </cell>
          <cell r="B352">
            <v>750</v>
          </cell>
          <cell r="C352">
            <v>8.0537892000481889E-22</v>
          </cell>
          <cell r="D352">
            <v>2300</v>
          </cell>
          <cell r="E352">
            <v>1024</v>
          </cell>
          <cell r="F352">
            <v>2.24609375</v>
          </cell>
          <cell r="H352">
            <v>127.02252923533412</v>
          </cell>
          <cell r="I352">
            <v>105.0870815543164</v>
          </cell>
          <cell r="J352">
            <v>101.86332428022396</v>
          </cell>
          <cell r="K352">
            <v>131.51180107690612</v>
          </cell>
          <cell r="L352">
            <v>187.85208256157441</v>
          </cell>
          <cell r="M352">
            <v>247.66459162226721</v>
          </cell>
          <cell r="N352">
            <v>141.38067951764359</v>
          </cell>
          <cell r="O352">
            <v>21.619037770689115</v>
          </cell>
          <cell r="P352">
            <v>92.518589521077828</v>
          </cell>
          <cell r="Q352">
            <v>165.03026888025022</v>
          </cell>
          <cell r="R352">
            <v>183.23222042778596</v>
          </cell>
          <cell r="T352">
            <v>151.57343938860512</v>
          </cell>
          <cell r="U352">
            <v>129.27046314476877</v>
          </cell>
          <cell r="V352">
            <v>131.51180107690612</v>
          </cell>
          <cell r="X352">
            <v>133.10771424920085</v>
          </cell>
          <cell r="Z352">
            <v>135.78607797587108</v>
          </cell>
          <cell r="AA352">
            <v>3.5088091418724168</v>
          </cell>
          <cell r="AB352">
            <v>391.5237210616063</v>
          </cell>
          <cell r="AC352">
            <v>132.27726883399868</v>
          </cell>
          <cell r="AD352">
            <v>255.73764308573521</v>
          </cell>
        </row>
        <row r="353">
          <cell r="A353" t="str">
            <v>CGI018-qtz01-CL-fit-1-offset</v>
          </cell>
          <cell r="B353">
            <v>750</v>
          </cell>
          <cell r="C353">
            <v>8.0537892000481889E-22</v>
          </cell>
          <cell r="D353">
            <v>1700</v>
          </cell>
          <cell r="E353">
            <v>1024</v>
          </cell>
          <cell r="F353">
            <v>1.66015625</v>
          </cell>
          <cell r="H353">
            <v>2887.2378287643833</v>
          </cell>
          <cell r="I353">
            <v>3695.8134785885386</v>
          </cell>
          <cell r="J353">
            <v>3321.02333361518</v>
          </cell>
          <cell r="K353">
            <v>2512.1156243603232</v>
          </cell>
          <cell r="L353">
            <v>3513.4154425544907</v>
          </cell>
          <cell r="M353">
            <v>2242.4378885417095</v>
          </cell>
          <cell r="N353">
            <v>3496.3005987390634</v>
          </cell>
          <cell r="O353">
            <v>2390.5847629175237</v>
          </cell>
          <cell r="P353">
            <v>2349.1060848243028</v>
          </cell>
          <cell r="Q353">
            <v>2075.9964398811767</v>
          </cell>
          <cell r="R353">
            <v>3339.2545842329464</v>
          </cell>
          <cell r="T353">
            <v>2856.691886043237</v>
          </cell>
          <cell r="U353">
            <v>2864.625008426774</v>
          </cell>
          <cell r="V353">
            <v>2887.2378287643833</v>
          </cell>
          <cell r="X353">
            <v>2791.8000742214313</v>
          </cell>
          <cell r="Z353">
            <v>2868.2283424839989</v>
          </cell>
          <cell r="AA353">
            <v>1803.5105180642959</v>
          </cell>
          <cell r="AB353">
            <v>4411.3509641274513</v>
          </cell>
          <cell r="AC353">
            <v>1064.717824419703</v>
          </cell>
          <cell r="AD353">
            <v>1543.1226216434525</v>
          </cell>
        </row>
        <row r="354">
          <cell r="A354" t="str">
            <v>CGI018-qtz01-CL-fit-2-offset</v>
          </cell>
          <cell r="B354">
            <v>750</v>
          </cell>
          <cell r="C354">
            <v>8.0537892000481889E-22</v>
          </cell>
          <cell r="D354">
            <v>1700</v>
          </cell>
          <cell r="E354">
            <v>1024</v>
          </cell>
          <cell r="F354">
            <v>1.66015625</v>
          </cell>
          <cell r="H354">
            <v>773.39317760177209</v>
          </cell>
          <cell r="I354">
            <v>660.85373360123504</v>
          </cell>
          <cell r="J354">
            <v>1129.2103711764419</v>
          </cell>
          <cell r="K354">
            <v>774.74131457531871</v>
          </cell>
          <cell r="L354">
            <v>934.15540536641811</v>
          </cell>
          <cell r="M354">
            <v>1532.2686752341322</v>
          </cell>
          <cell r="N354">
            <v>1360.5914260668928</v>
          </cell>
          <cell r="O354">
            <v>828.60378312902276</v>
          </cell>
          <cell r="P354">
            <v>597.01142453509362</v>
          </cell>
          <cell r="Q354">
            <v>1243.9491796006703</v>
          </cell>
          <cell r="R354">
            <v>553.25148171333308</v>
          </cell>
          <cell r="T354">
            <v>906.92514288452264</v>
          </cell>
          <cell r="U354">
            <v>919.52037053940626</v>
          </cell>
          <cell r="V354">
            <v>828.60378312902276</v>
          </cell>
          <cell r="X354">
            <v>908.59121929469495</v>
          </cell>
          <cell r="Z354">
            <v>905.03398288675714</v>
          </cell>
          <cell r="AA354">
            <v>502.40205656280699</v>
          </cell>
          <cell r="AB354">
            <v>1412.2963312127474</v>
          </cell>
          <cell r="AC354">
            <v>402.63192632395015</v>
          </cell>
          <cell r="AD354">
            <v>507.26234832599027</v>
          </cell>
        </row>
        <row r="355">
          <cell r="A355" t="str">
            <v>CGI018-qtz01-CL-fit-3-offset</v>
          </cell>
          <cell r="B355">
            <v>750</v>
          </cell>
          <cell r="C355">
            <v>8.0537892000481889E-22</v>
          </cell>
          <cell r="D355">
            <v>1700</v>
          </cell>
          <cell r="E355">
            <v>1024</v>
          </cell>
          <cell r="F355">
            <v>1.66015625</v>
          </cell>
          <cell r="H355">
            <v>487.27324960496475</v>
          </cell>
          <cell r="I355">
            <v>496.69067259682311</v>
          </cell>
          <cell r="J355">
            <v>354.22450507111694</v>
          </cell>
          <cell r="K355">
            <v>594.06249961807941</v>
          </cell>
          <cell r="L355">
            <v>327.6457644816162</v>
          </cell>
          <cell r="M355">
            <v>469.71811377664335</v>
          </cell>
          <cell r="N355">
            <v>540.59014415108436</v>
          </cell>
          <cell r="O355">
            <v>759.04804164281518</v>
          </cell>
          <cell r="P355">
            <v>522.37103711797295</v>
          </cell>
          <cell r="Q355">
            <v>342.42430342429708</v>
          </cell>
          <cell r="R355">
            <v>446.04163515827202</v>
          </cell>
          <cell r="T355">
            <v>477.22926223726063</v>
          </cell>
          <cell r="U355">
            <v>478.45720522116602</v>
          </cell>
          <cell r="V355">
            <v>487.27324960496475</v>
          </cell>
          <cell r="X355">
            <v>478.10862995043908</v>
          </cell>
          <cell r="Z355">
            <v>473.64947930365952</v>
          </cell>
          <cell r="AA355">
            <v>246.3331590774842</v>
          </cell>
          <cell r="AB355">
            <v>724.65042725620083</v>
          </cell>
          <cell r="AC355">
            <v>227.31632022617532</v>
          </cell>
          <cell r="AD355">
            <v>251.00094795254131</v>
          </cell>
        </row>
        <row r="356">
          <cell r="A356" t="str">
            <v>CGI018-qtz01-CL-fit-4-offset</v>
          </cell>
          <cell r="B356">
            <v>750</v>
          </cell>
          <cell r="C356">
            <v>8.0537892000481889E-22</v>
          </cell>
          <cell r="D356">
            <v>1700</v>
          </cell>
          <cell r="E356">
            <v>1024</v>
          </cell>
          <cell r="F356">
            <v>1.66015625</v>
          </cell>
          <cell r="H356">
            <v>216.93988183553986</v>
          </cell>
          <cell r="I356">
            <v>192.2580958589615</v>
          </cell>
          <cell r="J356">
            <v>241.88488153861664</v>
          </cell>
          <cell r="K356">
            <v>152.14634354449507</v>
          </cell>
          <cell r="L356">
            <v>248.89637995255077</v>
          </cell>
          <cell r="M356">
            <v>166.43501212861284</v>
          </cell>
          <cell r="N356">
            <v>156.71224402024191</v>
          </cell>
          <cell r="O356">
            <v>224.37309900159266</v>
          </cell>
          <cell r="P356">
            <v>466.94433710146023</v>
          </cell>
          <cell r="Q356">
            <v>345.29944750856794</v>
          </cell>
          <cell r="R356">
            <v>440.07120909790251</v>
          </cell>
          <cell r="T356">
            <v>256.57592719048216</v>
          </cell>
          <cell r="U356">
            <v>249.71468018708399</v>
          </cell>
          <cell r="V356">
            <v>224.37309900159266</v>
          </cell>
          <cell r="X356">
            <v>254.78309448543251</v>
          </cell>
          <cell r="Z356">
            <v>265.41581724040049</v>
          </cell>
          <cell r="AA356">
            <v>97.019427081955186</v>
          </cell>
          <cell r="AB356">
            <v>583.32242668411072</v>
          </cell>
          <cell r="AC356">
            <v>168.39639015844529</v>
          </cell>
          <cell r="AD356">
            <v>317.90660944371024</v>
          </cell>
        </row>
        <row r="357">
          <cell r="A357" t="str">
            <v>CGI018-qtz01-CL-fit-5-offset</v>
          </cell>
          <cell r="B357">
            <v>750</v>
          </cell>
          <cell r="C357">
            <v>8.0537892000481889E-22</v>
          </cell>
          <cell r="D357">
            <v>1700</v>
          </cell>
          <cell r="E357">
            <v>1024</v>
          </cell>
          <cell r="F357">
            <v>1.66015625</v>
          </cell>
          <cell r="H357">
            <v>199.59361143282825</v>
          </cell>
          <cell r="I357">
            <v>103.55025353287226</v>
          </cell>
          <cell r="J357">
            <v>112.54385486615401</v>
          </cell>
          <cell r="K357">
            <v>102.4167811067765</v>
          </cell>
          <cell r="L357">
            <v>115.66514481260778</v>
          </cell>
          <cell r="M357">
            <v>164.83005118840211</v>
          </cell>
          <cell r="N357">
            <v>159.34018995696718</v>
          </cell>
          <cell r="O357">
            <v>83.019920830228557</v>
          </cell>
          <cell r="P357">
            <v>159.69247731214207</v>
          </cell>
          <cell r="Q357">
            <v>114.04600768677719</v>
          </cell>
          <cell r="R357">
            <v>241.88657017583182</v>
          </cell>
          <cell r="T357">
            <v>139.93326363134511</v>
          </cell>
          <cell r="U357">
            <v>138.01831007907975</v>
          </cell>
          <cell r="V357">
            <v>115.66514481260778</v>
          </cell>
          <cell r="X357">
            <v>130.51647357219375</v>
          </cell>
          <cell r="Z357">
            <v>129.56402925504884</v>
          </cell>
          <cell r="AA357">
            <v>57.616421769509458</v>
          </cell>
          <cell r="AB357">
            <v>255.52430705768208</v>
          </cell>
          <cell r="AC357">
            <v>71.947607485539379</v>
          </cell>
          <cell r="AD357">
            <v>125.96027780263324</v>
          </cell>
        </row>
        <row r="358">
          <cell r="A358" t="str">
            <v>CGI018-qtz02-CL-fit-1-offset</v>
          </cell>
          <cell r="B358">
            <v>750</v>
          </cell>
          <cell r="C358">
            <v>8.0537892000481889E-22</v>
          </cell>
          <cell r="D358">
            <v>1750</v>
          </cell>
          <cell r="E358">
            <v>1024</v>
          </cell>
          <cell r="F358">
            <v>1.708984375</v>
          </cell>
          <cell r="H358">
            <v>914.68060391821314</v>
          </cell>
          <cell r="I358">
            <v>1577.4343339536106</v>
          </cell>
          <cell r="J358">
            <v>1479.9188419145069</v>
          </cell>
          <cell r="K358">
            <v>1098.8437175658034</v>
          </cell>
          <cell r="L358">
            <v>1559.9236904138611</v>
          </cell>
          <cell r="M358">
            <v>649.73516814561572</v>
          </cell>
          <cell r="N358">
            <v>1037.7797696275884</v>
          </cell>
          <cell r="O358">
            <v>1579.8444545178766</v>
          </cell>
          <cell r="P358">
            <v>969.62316035055142</v>
          </cell>
          <cell r="Q358">
            <v>1075.9303847122326</v>
          </cell>
          <cell r="R358">
            <v>3204.1724018092714</v>
          </cell>
          <cell r="T358">
            <v>1236.7548229719346</v>
          </cell>
          <cell r="U358">
            <v>1316.1877322301086</v>
          </cell>
          <cell r="V358">
            <v>1098.8437175658034</v>
          </cell>
          <cell r="X358">
            <v>1204.7777279457002</v>
          </cell>
          <cell r="Z358">
            <v>1236.2093184561515</v>
          </cell>
          <cell r="AA358">
            <v>444.6701754637005</v>
          </cell>
          <cell r="AB358">
            <v>2832.8486817158382</v>
          </cell>
          <cell r="AC358">
            <v>791.53914299245105</v>
          </cell>
          <cell r="AD358">
            <v>1596.6393632596867</v>
          </cell>
        </row>
        <row r="359">
          <cell r="A359" t="str">
            <v>CGI018-qtz02-CL-fit-2-offset</v>
          </cell>
          <cell r="B359">
            <v>750</v>
          </cell>
          <cell r="C359">
            <v>8.0537892000481889E-22</v>
          </cell>
          <cell r="D359">
            <v>1750</v>
          </cell>
          <cell r="E359">
            <v>1024</v>
          </cell>
          <cell r="F359">
            <v>1.708984375</v>
          </cell>
          <cell r="H359">
            <v>1739.4341472808528</v>
          </cell>
          <cell r="I359">
            <v>1392.1924588336285</v>
          </cell>
          <cell r="J359">
            <v>1871.9661428153538</v>
          </cell>
          <cell r="K359">
            <v>1204.7662542481939</v>
          </cell>
          <cell r="L359">
            <v>1332.8643426270769</v>
          </cell>
          <cell r="M359">
            <v>869.50758972173185</v>
          </cell>
          <cell r="N359">
            <v>710.6656849367323</v>
          </cell>
          <cell r="O359">
            <v>856.08059768459759</v>
          </cell>
          <cell r="P359">
            <v>783.25357201097472</v>
          </cell>
          <cell r="Q359">
            <v>1029.8055822667775</v>
          </cell>
          <cell r="R359">
            <v>1171.2204039152414</v>
          </cell>
          <cell r="T359">
            <v>1062.391813634099</v>
          </cell>
          <cell r="U359">
            <v>1151.1087710625002</v>
          </cell>
          <cell r="V359">
            <v>1171.2204039152414</v>
          </cell>
          <cell r="X359">
            <v>1052.5184032731408</v>
          </cell>
          <cell r="Z359">
            <v>1113.1140734621447</v>
          </cell>
          <cell r="AA359">
            <v>630.04329539377807</v>
          </cell>
          <cell r="AB359">
            <v>2163.1881190187132</v>
          </cell>
          <cell r="AC359">
            <v>483.07077806836662</v>
          </cell>
          <cell r="AD359">
            <v>1050.0740455565685</v>
          </cell>
        </row>
        <row r="360">
          <cell r="A360" t="str">
            <v>CGI018-qtz02-CL-fit-3-offset</v>
          </cell>
          <cell r="B360">
            <v>750</v>
          </cell>
          <cell r="C360">
            <v>8.0537892000481889E-22</v>
          </cell>
          <cell r="D360">
            <v>1750</v>
          </cell>
          <cell r="E360">
            <v>1024</v>
          </cell>
          <cell r="F360">
            <v>1.708984375</v>
          </cell>
          <cell r="H360">
            <v>276.88591907174577</v>
          </cell>
          <cell r="I360">
            <v>502.27484018891806</v>
          </cell>
          <cell r="J360">
            <v>340.00027003006335</v>
          </cell>
          <cell r="K360">
            <v>494.04176090696558</v>
          </cell>
          <cell r="L360">
            <v>240.36780168853545</v>
          </cell>
          <cell r="M360">
            <v>500.11157417498623</v>
          </cell>
          <cell r="N360">
            <v>311.37177360328201</v>
          </cell>
          <cell r="O360">
            <v>447.90964853898589</v>
          </cell>
          <cell r="P360">
            <v>441.53702535713052</v>
          </cell>
          <cell r="Q360">
            <v>508.51146779392116</v>
          </cell>
          <cell r="R360">
            <v>364.91734069002632</v>
          </cell>
          <cell r="T360">
            <v>398.98729755223275</v>
          </cell>
          <cell r="U360">
            <v>396.5887427563768</v>
          </cell>
          <cell r="V360">
            <v>441.53702535713052</v>
          </cell>
          <cell r="X360">
            <v>397.50404093419309</v>
          </cell>
          <cell r="Z360">
            <v>387.95258458534505</v>
          </cell>
          <cell r="AA360">
            <v>196.56900921250315</v>
          </cell>
          <cell r="AB360">
            <v>642.89136978006343</v>
          </cell>
          <cell r="AC360">
            <v>191.3835753728419</v>
          </cell>
          <cell r="AD360">
            <v>254.93878519471838</v>
          </cell>
        </row>
        <row r="361">
          <cell r="A361" t="str">
            <v>CGI018-qtz02-CL-fit-4-offset</v>
          </cell>
          <cell r="B361">
            <v>750</v>
          </cell>
          <cell r="C361">
            <v>8.0537892000481889E-22</v>
          </cell>
          <cell r="D361">
            <v>1750</v>
          </cell>
          <cell r="E361">
            <v>1024</v>
          </cell>
          <cell r="F361">
            <v>1.708984375</v>
          </cell>
          <cell r="H361">
            <v>134.96506617070816</v>
          </cell>
          <cell r="I361">
            <v>275.76416010977982</v>
          </cell>
          <cell r="J361">
            <v>166.46794345935947</v>
          </cell>
          <cell r="K361">
            <v>200.71846523535919</v>
          </cell>
          <cell r="L361">
            <v>154.56479669875995</v>
          </cell>
          <cell r="M361">
            <v>170.75748062986068</v>
          </cell>
          <cell r="N361">
            <v>251.78451340168274</v>
          </cell>
          <cell r="O361">
            <v>199.89413588131191</v>
          </cell>
          <cell r="P361">
            <v>392.14710706735849</v>
          </cell>
          <cell r="Q361">
            <v>190.06002421282753</v>
          </cell>
          <cell r="R361">
            <v>326.66638046104032</v>
          </cell>
          <cell r="T361">
            <v>218.85387168192045</v>
          </cell>
          <cell r="U361">
            <v>218.1317954962656</v>
          </cell>
          <cell r="V361">
            <v>199.89413588131191</v>
          </cell>
          <cell r="X361">
            <v>210.95601911068337</v>
          </cell>
          <cell r="Z361">
            <v>214.78530446998528</v>
          </cell>
          <cell r="AA361">
            <v>82.667759145054049</v>
          </cell>
          <cell r="AB361">
            <v>402.80833036473092</v>
          </cell>
          <cell r="AC361">
            <v>132.11754532493123</v>
          </cell>
          <cell r="AD361">
            <v>188.02302589474564</v>
          </cell>
        </row>
        <row r="362">
          <cell r="A362" t="str">
            <v>CGI018-qtz02-CL-fit-5-offset</v>
          </cell>
          <cell r="B362">
            <v>750</v>
          </cell>
          <cell r="C362">
            <v>8.0537892000481889E-22</v>
          </cell>
          <cell r="D362">
            <v>1750</v>
          </cell>
          <cell r="E362">
            <v>1024</v>
          </cell>
          <cell r="F362">
            <v>1.708984375</v>
          </cell>
          <cell r="H362">
            <v>39.272458991940233</v>
          </cell>
          <cell r="I362">
            <v>34.709739047731958</v>
          </cell>
          <cell r="J362">
            <v>42.399335041322352</v>
          </cell>
          <cell r="K362">
            <v>37.768893862639018</v>
          </cell>
          <cell r="L362">
            <v>51.146336697020949</v>
          </cell>
          <cell r="M362">
            <v>78.748975828226008</v>
          </cell>
          <cell r="N362">
            <v>61.266565977442291</v>
          </cell>
          <cell r="O362">
            <v>53.374364378042522</v>
          </cell>
          <cell r="P362">
            <v>30.226630897024801</v>
          </cell>
          <cell r="Q362">
            <v>45.270523469419054</v>
          </cell>
          <cell r="R362">
            <v>36.184729449486547</v>
          </cell>
          <cell r="T362">
            <v>53.022101916310582</v>
          </cell>
          <cell r="U362">
            <v>45.520508336332348</v>
          </cell>
          <cell r="V362">
            <v>42.399335041322352</v>
          </cell>
          <cell r="X362">
            <v>39.625330330071613</v>
          </cell>
          <cell r="Z362">
            <v>41.35252724542044</v>
          </cell>
          <cell r="AA362">
            <v>4.0917560668643702</v>
          </cell>
          <cell r="AB362">
            <v>128.86106255205419</v>
          </cell>
          <cell r="AC362">
            <v>37.26077117855607</v>
          </cell>
          <cell r="AD362">
            <v>87.508535306633746</v>
          </cell>
        </row>
        <row r="363">
          <cell r="A363" t="str">
            <v>CGI018-qtz03-CL-fit-1-offset</v>
          </cell>
          <cell r="B363">
            <v>750</v>
          </cell>
          <cell r="C363">
            <v>8.0537892000481889E-22</v>
          </cell>
          <cell r="D363">
            <v>2100</v>
          </cell>
          <cell r="E363">
            <v>1024</v>
          </cell>
          <cell r="F363">
            <v>2.05078125</v>
          </cell>
          <cell r="H363">
            <v>316.7893572767623</v>
          </cell>
          <cell r="I363">
            <v>256.34754265123195</v>
          </cell>
          <cell r="J363">
            <v>265.23651072774749</v>
          </cell>
          <cell r="K363">
            <v>436.99168492652313</v>
          </cell>
          <cell r="L363">
            <v>609.87498087419874</v>
          </cell>
          <cell r="M363">
            <v>342.69520524308962</v>
          </cell>
          <cell r="N363">
            <v>332.17628355714555</v>
          </cell>
          <cell r="O363">
            <v>455.77771112393401</v>
          </cell>
          <cell r="P363">
            <v>404.70930027945712</v>
          </cell>
          <cell r="Q363">
            <v>375.90113919203185</v>
          </cell>
          <cell r="R363">
            <v>251.05065236666076</v>
          </cell>
          <cell r="T363">
            <v>365.12386709110245</v>
          </cell>
          <cell r="U363">
            <v>361.45728676316151</v>
          </cell>
          <cell r="V363">
            <v>342.69520524308962</v>
          </cell>
          <cell r="X363">
            <v>348.74907289232908</v>
          </cell>
          <cell r="Z363">
            <v>352.24403428528302</v>
          </cell>
          <cell r="AA363">
            <v>192.08452350468008</v>
          </cell>
          <cell r="AB363">
            <v>549.75005540130906</v>
          </cell>
          <cell r="AC363">
            <v>160.15951078060294</v>
          </cell>
          <cell r="AD363">
            <v>197.50602111602603</v>
          </cell>
        </row>
        <row r="364">
          <cell r="A364" t="str">
            <v>CGI018-qtz03-CL-fit-2-offset</v>
          </cell>
          <cell r="B364">
            <v>750</v>
          </cell>
          <cell r="C364">
            <v>8.0537892000481889E-22</v>
          </cell>
          <cell r="D364">
            <v>2100</v>
          </cell>
          <cell r="E364">
            <v>1024</v>
          </cell>
          <cell r="F364">
            <v>2.05078125</v>
          </cell>
          <cell r="H364">
            <v>5.2195669293865841E-2</v>
          </cell>
          <cell r="I364">
            <v>345.06041455783594</v>
          </cell>
          <cell r="J364">
            <v>49.819298274652724</v>
          </cell>
          <cell r="K364">
            <v>1208.1257194352154</v>
          </cell>
          <cell r="L364">
            <v>1289.3696811792317</v>
          </cell>
          <cell r="M364">
            <v>1439.0087967509478</v>
          </cell>
          <cell r="N364">
            <v>3235.8997306865967</v>
          </cell>
          <cell r="O364">
            <v>6001.176895118605</v>
          </cell>
          <cell r="P364">
            <v>0</v>
          </cell>
          <cell r="Q364">
            <v>0</v>
          </cell>
          <cell r="R364">
            <v>5289.695745874069</v>
          </cell>
          <cell r="T364">
            <v>2046.3840184570615</v>
          </cell>
          <cell r="U364">
            <v>1440.1623407880707</v>
          </cell>
          <cell r="V364">
            <v>1289.3696811792317</v>
          </cell>
          <cell r="X364">
            <v>1974.8164503250848</v>
          </cell>
          <cell r="Z364">
            <v>2005.4961257122313</v>
          </cell>
          <cell r="AA364">
            <v>18.248997601925545</v>
          </cell>
          <cell r="AB364">
            <v>7848.0256830510189</v>
          </cell>
          <cell r="AC364">
            <v>1987.2471281103058</v>
          </cell>
          <cell r="AD364">
            <v>5842.5295573387875</v>
          </cell>
        </row>
        <row r="365">
          <cell r="A365" t="str">
            <v>CGI018-qtz03-CL-fit-3-offset</v>
          </cell>
          <cell r="B365">
            <v>750</v>
          </cell>
          <cell r="C365">
            <v>8.0537892000481889E-22</v>
          </cell>
          <cell r="D365">
            <v>2100</v>
          </cell>
          <cell r="E365">
            <v>1024</v>
          </cell>
          <cell r="F365">
            <v>2.05078125</v>
          </cell>
          <cell r="H365">
            <v>455.00159870515824</v>
          </cell>
          <cell r="I365">
            <v>233.87899758290089</v>
          </cell>
          <cell r="J365">
            <v>504.22314333618226</v>
          </cell>
          <cell r="K365">
            <v>369.96272488544884</v>
          </cell>
          <cell r="L365">
            <v>304.11252274294122</v>
          </cell>
          <cell r="M365">
            <v>284.10836291005177</v>
          </cell>
          <cell r="N365">
            <v>231.19983509367981</v>
          </cell>
          <cell r="O365">
            <v>284.03886096509888</v>
          </cell>
          <cell r="P365">
            <v>217.00956267174357</v>
          </cell>
          <cell r="Q365">
            <v>373.66407717642369</v>
          </cell>
          <cell r="R365">
            <v>332.93219516541507</v>
          </cell>
          <cell r="T365">
            <v>323.02872647689566</v>
          </cell>
          <cell r="U365">
            <v>320.65189318787122</v>
          </cell>
          <cell r="V365">
            <v>304.11252274294122</v>
          </cell>
          <cell r="X365">
            <v>326.24297807749304</v>
          </cell>
          <cell r="Z365">
            <v>331.11546757391943</v>
          </cell>
          <cell r="AA365">
            <v>159.06351388810614</v>
          </cell>
          <cell r="AB365">
            <v>629.37027731028934</v>
          </cell>
          <cell r="AC365">
            <v>172.05195368581329</v>
          </cell>
          <cell r="AD365">
            <v>298.25480973636991</v>
          </cell>
        </row>
        <row r="366">
          <cell r="A366" t="str">
            <v>CGI018-qtz03-CL-fit-4-offset</v>
          </cell>
          <cell r="B366">
            <v>750</v>
          </cell>
          <cell r="C366">
            <v>8.0537892000481889E-22</v>
          </cell>
          <cell r="D366">
            <v>2100</v>
          </cell>
          <cell r="E366">
            <v>1024</v>
          </cell>
          <cell r="F366">
            <v>2.05078125</v>
          </cell>
          <cell r="H366">
            <v>73.797335911388103</v>
          </cell>
          <cell r="I366">
            <v>121.59450064593484</v>
          </cell>
          <cell r="J366">
            <v>63.654713714338016</v>
          </cell>
          <cell r="K366">
            <v>121.64664822729449</v>
          </cell>
          <cell r="L366">
            <v>191.5764386153599</v>
          </cell>
          <cell r="M366">
            <v>191.2794377797436</v>
          </cell>
          <cell r="N366">
            <v>305.61790158138865</v>
          </cell>
          <cell r="O366">
            <v>357.65036881640208</v>
          </cell>
          <cell r="P366">
            <v>459.3795573204535</v>
          </cell>
          <cell r="Q366">
            <v>223.35429353905965</v>
          </cell>
          <cell r="R366">
            <v>361.13310844636482</v>
          </cell>
          <cell r="T366">
            <v>223.50165854038204</v>
          </cell>
          <cell r="U366">
            <v>206.50220452831874</v>
          </cell>
          <cell r="V366">
            <v>191.5764386153599</v>
          </cell>
          <cell r="X366">
            <v>230.14575171727694</v>
          </cell>
          <cell r="Z366">
            <v>277.06541987785084</v>
          </cell>
          <cell r="AA366">
            <v>49.396019142597886</v>
          </cell>
          <cell r="AB366">
            <v>1024.8959467235081</v>
          </cell>
          <cell r="AC366">
            <v>227.66940073525296</v>
          </cell>
          <cell r="AD366">
            <v>747.83052684565723</v>
          </cell>
        </row>
        <row r="367">
          <cell r="A367" t="str">
            <v>CGI018-qtz04-CL-fit-1-offset</v>
          </cell>
          <cell r="B367">
            <v>750</v>
          </cell>
          <cell r="C367">
            <v>8.0537892000481889E-22</v>
          </cell>
          <cell r="D367">
            <v>1900</v>
          </cell>
          <cell r="E367">
            <v>1024</v>
          </cell>
          <cell r="F367">
            <v>1.85546875</v>
          </cell>
          <cell r="H367">
            <v>560.75260813530247</v>
          </cell>
          <cell r="I367">
            <v>488.10319250306225</v>
          </cell>
          <cell r="J367">
            <v>339.60275509528589</v>
          </cell>
          <cell r="K367">
            <v>198.70949403703094</v>
          </cell>
          <cell r="L367">
            <v>374.23643835216905</v>
          </cell>
          <cell r="M367">
            <v>256.7044347061817</v>
          </cell>
          <cell r="N367">
            <v>196.62813226730012</v>
          </cell>
          <cell r="O367">
            <v>752.89075699269404</v>
          </cell>
          <cell r="P367">
            <v>446.14027738578966</v>
          </cell>
          <cell r="Q367">
            <v>606.87123178210265</v>
          </cell>
          <cell r="R367">
            <v>256.8742889637378</v>
          </cell>
          <cell r="T367">
            <v>419.15047924817583</v>
          </cell>
          <cell r="U367">
            <v>388.84459230480911</v>
          </cell>
          <cell r="V367">
            <v>374.23643835216905</v>
          </cell>
          <cell r="X367">
            <v>403.92639652688968</v>
          </cell>
          <cell r="Z367">
            <v>403.05504540635479</v>
          </cell>
          <cell r="AA367">
            <v>63.940134874477941</v>
          </cell>
          <cell r="AB367">
            <v>909.63298201462646</v>
          </cell>
          <cell r="AC367">
            <v>339.11491053187683</v>
          </cell>
          <cell r="AD367">
            <v>506.57793660827167</v>
          </cell>
        </row>
        <row r="368">
          <cell r="A368" t="str">
            <v>CGI018-qtz04-CL-fit-2-offset</v>
          </cell>
          <cell r="B368">
            <v>750</v>
          </cell>
          <cell r="C368">
            <v>8.0537892000481889E-22</v>
          </cell>
          <cell r="D368">
            <v>1900</v>
          </cell>
          <cell r="E368">
            <v>1024</v>
          </cell>
          <cell r="F368">
            <v>1.85546875</v>
          </cell>
          <cell r="H368">
            <v>0</v>
          </cell>
          <cell r="I368">
            <v>326.55498042435534</v>
          </cell>
          <cell r="J368">
            <v>555.49063464202004</v>
          </cell>
          <cell r="K368">
            <v>601.60576101523236</v>
          </cell>
          <cell r="L368">
            <v>381.32907843870498</v>
          </cell>
          <cell r="M368">
            <v>688.49575166399222</v>
          </cell>
          <cell r="N368">
            <v>229.80217127796394</v>
          </cell>
          <cell r="O368">
            <v>541.3336448823693</v>
          </cell>
          <cell r="P368">
            <v>428.88682717917754</v>
          </cell>
          <cell r="Q368">
            <v>903.31184012411643</v>
          </cell>
          <cell r="R368">
            <v>145.0642850399455</v>
          </cell>
          <cell r="T368">
            <v>449.38247790946338</v>
          </cell>
          <cell r="U368">
            <v>454.41015775483214</v>
          </cell>
          <cell r="V368">
            <v>483.47568033777287</v>
          </cell>
          <cell r="X368">
            <v>444.78299839958078</v>
          </cell>
          <cell r="Z368">
            <v>473.65353297934951</v>
          </cell>
          <cell r="AA368">
            <v>96.912262230314198</v>
          </cell>
          <cell r="AB368">
            <v>1606.0493206229851</v>
          </cell>
          <cell r="AC368">
            <v>376.74127074903532</v>
          </cell>
          <cell r="AD368">
            <v>1132.3957876436357</v>
          </cell>
        </row>
        <row r="369">
          <cell r="A369" t="str">
            <v>CGI018-qtz04-CL-fit-3-offset</v>
          </cell>
          <cell r="B369">
            <v>750</v>
          </cell>
          <cell r="C369">
            <v>8.0537892000481889E-22</v>
          </cell>
          <cell r="D369">
            <v>1900</v>
          </cell>
          <cell r="E369">
            <v>1024</v>
          </cell>
          <cell r="F369">
            <v>1.85546875</v>
          </cell>
          <cell r="H369">
            <v>186.85164477563148</v>
          </cell>
          <cell r="I369">
            <v>53.068891655687956</v>
          </cell>
          <cell r="J369">
            <v>107.45030753211192</v>
          </cell>
          <cell r="K369">
            <v>136.91823457227099</v>
          </cell>
          <cell r="L369">
            <v>121.73931759112848</v>
          </cell>
          <cell r="M369">
            <v>82.04412673896185</v>
          </cell>
          <cell r="N369">
            <v>102.6094388884173</v>
          </cell>
          <cell r="O369">
            <v>102.64778299069734</v>
          </cell>
          <cell r="P369">
            <v>99.584709390221036</v>
          </cell>
          <cell r="Q369">
            <v>134.06479237767596</v>
          </cell>
          <cell r="R369">
            <v>199.16899758196513</v>
          </cell>
          <cell r="T369">
            <v>123.0270656840375</v>
          </cell>
          <cell r="U369">
            <v>117.12029693260246</v>
          </cell>
          <cell r="V369">
            <v>107.45030753211192</v>
          </cell>
          <cell r="X369">
            <v>119.60241716840061</v>
          </cell>
          <cell r="Z369">
            <v>115.18383210165655</v>
          </cell>
          <cell r="AA369">
            <v>24.948605145207203</v>
          </cell>
          <cell r="AB369">
            <v>235.34115571478071</v>
          </cell>
          <cell r="AC369">
            <v>90.235226956449338</v>
          </cell>
          <cell r="AD369">
            <v>120.15732361312416</v>
          </cell>
        </row>
        <row r="370">
          <cell r="A370" t="str">
            <v>CGI018-qtz04-CL-fit-4-offset</v>
          </cell>
          <cell r="B370">
            <v>750</v>
          </cell>
          <cell r="C370">
            <v>8.0537892000481889E-22</v>
          </cell>
          <cell r="D370">
            <v>1900</v>
          </cell>
          <cell r="E370">
            <v>1024</v>
          </cell>
          <cell r="F370">
            <v>1.85546875</v>
          </cell>
          <cell r="H370">
            <v>205.7520336958865</v>
          </cell>
          <cell r="I370">
            <v>169.10461564164584</v>
          </cell>
          <cell r="J370">
            <v>146.02882733702228</v>
          </cell>
          <cell r="K370">
            <v>0</v>
          </cell>
          <cell r="L370">
            <v>211.96438879851863</v>
          </cell>
          <cell r="M370">
            <v>146.33495862045137</v>
          </cell>
          <cell r="N370">
            <v>191.36232191601999</v>
          </cell>
          <cell r="O370">
            <v>198.50762095707844</v>
          </cell>
          <cell r="P370">
            <v>55.545966144321014</v>
          </cell>
          <cell r="Q370">
            <v>183.47881968080031</v>
          </cell>
          <cell r="R370">
            <v>101.80137488766324</v>
          </cell>
          <cell r="T370">
            <v>165.12876782625986</v>
          </cell>
          <cell r="U370">
            <v>156.49731198555685</v>
          </cell>
          <cell r="V370">
            <v>176.21843583461509</v>
          </cell>
          <cell r="X370">
            <v>162.09508788792715</v>
          </cell>
          <cell r="Z370">
            <v>166.10413200513409</v>
          </cell>
          <cell r="AA370">
            <v>24.762887394772008</v>
          </cell>
          <cell r="AB370">
            <v>522.71448284194651</v>
          </cell>
          <cell r="AC370">
            <v>141.34124461036208</v>
          </cell>
          <cell r="AD370">
            <v>356.61035083681242</v>
          </cell>
        </row>
        <row r="371">
          <cell r="A371" t="str">
            <v>CGI018-qtz05-CL-fit-1-offset</v>
          </cell>
          <cell r="B371">
            <v>750</v>
          </cell>
          <cell r="C371">
            <v>8.0537892000481889E-22</v>
          </cell>
          <cell r="D371">
            <v>1600</v>
          </cell>
          <cell r="E371">
            <v>1024</v>
          </cell>
          <cell r="F371">
            <v>1.5625</v>
          </cell>
          <cell r="H371">
            <v>1.5735228771332963</v>
          </cell>
          <cell r="I371">
            <v>1.3410443298270389</v>
          </cell>
          <cell r="J371">
            <v>3.9532368404810982E-2</v>
          </cell>
          <cell r="K371">
            <v>1.149712722002507</v>
          </cell>
          <cell r="L371">
            <v>58.913872633555265</v>
          </cell>
          <cell r="M371">
            <v>1.2555826283976563</v>
          </cell>
          <cell r="N371">
            <v>3.6714608065058387</v>
          </cell>
          <cell r="O371">
            <v>56.767072267541046</v>
          </cell>
          <cell r="P371">
            <v>218.62166435578675</v>
          </cell>
          <cell r="Q371">
            <v>3.6360636352558067</v>
          </cell>
          <cell r="R371">
            <v>193.12710818338587</v>
          </cell>
          <cell r="T371">
            <v>118.35843157492049</v>
          </cell>
          <cell r="U371">
            <v>22.796109195342655</v>
          </cell>
          <cell r="V371">
            <v>3.6360636352558067</v>
          </cell>
          <cell r="X371">
            <v>53.488076692691664</v>
          </cell>
          <cell r="Z371">
            <v>237.53147434716533</v>
          </cell>
          <cell r="AA371">
            <v>2.8742992317590061E-11</v>
          </cell>
          <cell r="AB371">
            <v>18972.673030547452</v>
          </cell>
          <cell r="AC371">
            <v>237.53147434713659</v>
          </cell>
          <cell r="AD371">
            <v>18735.141556200288</v>
          </cell>
        </row>
        <row r="372">
          <cell r="A372" t="str">
            <v>CGI018-qtz05-CL-fit-2-offset</v>
          </cell>
          <cell r="B372">
            <v>750</v>
          </cell>
          <cell r="C372">
            <v>8.0537892000481889E-22</v>
          </cell>
          <cell r="D372">
            <v>1600</v>
          </cell>
          <cell r="E372">
            <v>1024</v>
          </cell>
          <cell r="F372">
            <v>1.5625</v>
          </cell>
          <cell r="H372">
            <v>479.5023356172444</v>
          </cell>
          <cell r="I372">
            <v>290.01130593209467</v>
          </cell>
          <cell r="J372">
            <v>317.6919646971084</v>
          </cell>
          <cell r="K372">
            <v>316.54260777475554</v>
          </cell>
          <cell r="L372">
            <v>201.38315136150618</v>
          </cell>
          <cell r="M372">
            <v>233.93537511453246</v>
          </cell>
          <cell r="N372">
            <v>171.57235661148508</v>
          </cell>
          <cell r="O372">
            <v>252.6645989793447</v>
          </cell>
          <cell r="P372">
            <v>167.42530976153867</v>
          </cell>
          <cell r="Q372">
            <v>461.12454904971747</v>
          </cell>
          <cell r="R372">
            <v>459.93190767528819</v>
          </cell>
          <cell r="T372">
            <v>293.46824622186608</v>
          </cell>
          <cell r="U372">
            <v>294.84585233647181</v>
          </cell>
          <cell r="V372">
            <v>290.01130593209467</v>
          </cell>
          <cell r="X372">
            <v>288.00343192541715</v>
          </cell>
          <cell r="Z372">
            <v>296.99746156234585</v>
          </cell>
          <cell r="AA372">
            <v>52.090192136802877</v>
          </cell>
          <cell r="AB372">
            <v>848.71244454340444</v>
          </cell>
          <cell r="AC372">
            <v>244.90726942554298</v>
          </cell>
          <cell r="AD372">
            <v>551.7149829810586</v>
          </cell>
        </row>
        <row r="373">
          <cell r="A373" t="str">
            <v>CGI018-qtz05-CL-fit-3-offset</v>
          </cell>
          <cell r="B373">
            <v>750</v>
          </cell>
          <cell r="C373">
            <v>8.0537892000481889E-22</v>
          </cell>
          <cell r="D373">
            <v>1600</v>
          </cell>
          <cell r="E373">
            <v>1024</v>
          </cell>
          <cell r="F373">
            <v>1.5625</v>
          </cell>
          <cell r="H373">
            <v>357.94789185252455</v>
          </cell>
          <cell r="I373">
            <v>231.10266982454266</v>
          </cell>
          <cell r="J373">
            <v>239.40980338072168</v>
          </cell>
          <cell r="K373">
            <v>77.201979972288854</v>
          </cell>
          <cell r="L373">
            <v>159.14204985633617</v>
          </cell>
          <cell r="M373">
            <v>135.65812095632691</v>
          </cell>
          <cell r="N373">
            <v>257.48708826500746</v>
          </cell>
          <cell r="O373">
            <v>232.53500919914242</v>
          </cell>
          <cell r="P373">
            <v>219.44368300687677</v>
          </cell>
          <cell r="Q373">
            <v>404.03267788666511</v>
          </cell>
          <cell r="R373">
            <v>229.17059159757557</v>
          </cell>
          <cell r="T373">
            <v>250.53086779905061</v>
          </cell>
          <cell r="U373">
            <v>222.25762405174288</v>
          </cell>
          <cell r="V373">
            <v>231.10266982454266</v>
          </cell>
          <cell r="X373">
            <v>245.82951748798419</v>
          </cell>
          <cell r="Z373">
            <v>243.67982676204986</v>
          </cell>
          <cell r="AA373">
            <v>16.55249189689118</v>
          </cell>
          <cell r="AB373">
            <v>630.46458515716768</v>
          </cell>
          <cell r="AC373">
            <v>227.12733486515867</v>
          </cell>
          <cell r="AD373">
            <v>386.78475839511782</v>
          </cell>
        </row>
        <row r="374">
          <cell r="A374" t="str">
            <v>CGI018-qtz05-CL-fit-4-offset</v>
          </cell>
          <cell r="B374">
            <v>750</v>
          </cell>
          <cell r="C374">
            <v>8.0537892000481889E-22</v>
          </cell>
          <cell r="D374">
            <v>1600</v>
          </cell>
          <cell r="E374">
            <v>1024</v>
          </cell>
          <cell r="F374">
            <v>1.5625</v>
          </cell>
          <cell r="H374">
            <v>307.41172360722356</v>
          </cell>
          <cell r="I374">
            <v>308.93045981510312</v>
          </cell>
          <cell r="J374">
            <v>374.09409209197611</v>
          </cell>
          <cell r="K374">
            <v>407.91131007374008</v>
          </cell>
          <cell r="L374">
            <v>378.59914794748107</v>
          </cell>
          <cell r="M374">
            <v>304.42088154355179</v>
          </cell>
          <cell r="N374">
            <v>505.94225864814956</v>
          </cell>
          <cell r="O374">
            <v>435.72481111175523</v>
          </cell>
          <cell r="P374">
            <v>224.0434586910348</v>
          </cell>
          <cell r="Q374">
            <v>204.22839699005863</v>
          </cell>
          <cell r="R374">
            <v>279.17067778392584</v>
          </cell>
          <cell r="T374">
            <v>325.26363188117483</v>
          </cell>
          <cell r="U374">
            <v>333.51959041762086</v>
          </cell>
          <cell r="V374">
            <v>308.93045981510312</v>
          </cell>
          <cell r="X374">
            <v>313.36945612780966</v>
          </cell>
          <cell r="Z374">
            <v>313.30408572888734</v>
          </cell>
          <cell r="AA374">
            <v>167.08090288826952</v>
          </cell>
          <cell r="AB374">
            <v>510.47236796563476</v>
          </cell>
          <cell r="AC374">
            <v>146.22318284061782</v>
          </cell>
          <cell r="AD374">
            <v>197.16828223674742</v>
          </cell>
        </row>
        <row r="375">
          <cell r="A375" t="str">
            <v>CGI018-qtz05-CL-fit-5-offset</v>
          </cell>
          <cell r="B375">
            <v>750</v>
          </cell>
          <cell r="C375">
            <v>8.0537892000481889E-22</v>
          </cell>
          <cell r="D375">
            <v>1600</v>
          </cell>
          <cell r="E375">
            <v>1024</v>
          </cell>
          <cell r="F375">
            <v>1.5625</v>
          </cell>
          <cell r="H375">
            <v>23.545371314144489</v>
          </cell>
          <cell r="I375">
            <v>148.42504607683131</v>
          </cell>
          <cell r="J375">
            <v>222.08136838694199</v>
          </cell>
          <cell r="K375">
            <v>263.7867341718312</v>
          </cell>
          <cell r="L375">
            <v>137.87360359332968</v>
          </cell>
          <cell r="M375">
            <v>38.776969036179253</v>
          </cell>
          <cell r="N375">
            <v>83.663965869083867</v>
          </cell>
          <cell r="O375">
            <v>117.76697986151535</v>
          </cell>
          <cell r="P375">
            <v>113.1003271132396</v>
          </cell>
          <cell r="Q375">
            <v>287.99987277158584</v>
          </cell>
          <cell r="R375">
            <v>334.60642356309842</v>
          </cell>
          <cell r="T375">
            <v>146.29526996592779</v>
          </cell>
          <cell r="U375">
            <v>144.09785981568456</v>
          </cell>
          <cell r="V375">
            <v>137.87360359332968</v>
          </cell>
          <cell r="X375">
            <v>143.63061887618943</v>
          </cell>
          <cell r="Z375">
            <v>190.34370165371448</v>
          </cell>
          <cell r="AA375">
            <v>21.35284455924786</v>
          </cell>
          <cell r="AB375">
            <v>1059.5122606177022</v>
          </cell>
          <cell r="AC375">
            <v>168.99085709446661</v>
          </cell>
          <cell r="AD375">
            <v>869.16855896398772</v>
          </cell>
        </row>
        <row r="376">
          <cell r="A376" t="str">
            <v>CGI018-qtz05-CL-fit-6-offset</v>
          </cell>
          <cell r="B376">
            <v>750</v>
          </cell>
          <cell r="C376">
            <v>8.0537892000481889E-22</v>
          </cell>
          <cell r="D376">
            <v>1600</v>
          </cell>
          <cell r="E376">
            <v>1024</v>
          </cell>
          <cell r="F376">
            <v>1.5625</v>
          </cell>
          <cell r="H376">
            <v>20.934904142784024</v>
          </cell>
          <cell r="I376">
            <v>65.537463884118182</v>
          </cell>
          <cell r="J376">
            <v>41.983708665372312</v>
          </cell>
          <cell r="K376">
            <v>103.80037605623272</v>
          </cell>
          <cell r="L376">
            <v>48.0207505080893</v>
          </cell>
          <cell r="M376">
            <v>86.754982677040502</v>
          </cell>
          <cell r="N376">
            <v>116.45139544433172</v>
          </cell>
          <cell r="O376">
            <v>47.852728412014571</v>
          </cell>
          <cell r="P376">
            <v>56.912043979804942</v>
          </cell>
          <cell r="Q376">
            <v>62.157526888298598</v>
          </cell>
          <cell r="R376">
            <v>36.938594797743185</v>
          </cell>
          <cell r="T376">
            <v>71.245374039786341</v>
          </cell>
          <cell r="U376">
            <v>59.426174378330096</v>
          </cell>
          <cell r="V376">
            <v>56.912043979804942</v>
          </cell>
          <cell r="X376">
            <v>43.911067956085432</v>
          </cell>
          <cell r="Z376">
            <v>41.546599090881728</v>
          </cell>
          <cell r="AA376">
            <v>1.1159506378734578</v>
          </cell>
          <cell r="AB376">
            <v>163.46638402340159</v>
          </cell>
          <cell r="AC376">
            <v>40.430648453008267</v>
          </cell>
          <cell r="AD376">
            <v>121.91978493251986</v>
          </cell>
        </row>
        <row r="377">
          <cell r="A377" t="str">
            <v>CGI018-qtz05-CL-fit-7-offset</v>
          </cell>
          <cell r="B377">
            <v>750</v>
          </cell>
          <cell r="C377">
            <v>8.0537892000481889E-22</v>
          </cell>
          <cell r="D377">
            <v>1600</v>
          </cell>
          <cell r="E377">
            <v>1024</v>
          </cell>
          <cell r="F377">
            <v>1.5625</v>
          </cell>
          <cell r="H377">
            <v>3.0695150146083008</v>
          </cell>
          <cell r="I377">
            <v>2.1007994526696058E-4</v>
          </cell>
          <cell r="J377">
            <v>9.4210149008957314E-2</v>
          </cell>
          <cell r="K377">
            <v>21.542139776220584</v>
          </cell>
          <cell r="L377">
            <v>4.8072188107886656E-3</v>
          </cell>
          <cell r="M377">
            <v>25.016036907392941</v>
          </cell>
          <cell r="N377">
            <v>63.545586922247921</v>
          </cell>
          <cell r="O377">
            <v>72.496220280069139</v>
          </cell>
          <cell r="P377">
            <v>17.529856439864314</v>
          </cell>
          <cell r="Q377">
            <v>4.5101142291460823</v>
          </cell>
          <cell r="R377">
            <v>11.877800127939475</v>
          </cell>
          <cell r="T377">
            <v>12.361016429969846</v>
          </cell>
          <cell r="U377">
            <v>11.951937018262003</v>
          </cell>
          <cell r="V377">
            <v>11.877800127939475</v>
          </cell>
          <cell r="X377">
            <v>4.3663482766684947</v>
          </cell>
          <cell r="Z377">
            <v>13.013798813383355</v>
          </cell>
          <cell r="AA377">
            <v>1.2135138466232269E-3</v>
          </cell>
          <cell r="AB377">
            <v>99.285984669963042</v>
          </cell>
          <cell r="AC377">
            <v>13.012585299536731</v>
          </cell>
          <cell r="AD377">
            <v>86.272185856579682</v>
          </cell>
        </row>
        <row r="378">
          <cell r="A378" t="str">
            <v>CGI018-qtz06-CL-fit-2-offset</v>
          </cell>
          <cell r="B378">
            <v>750</v>
          </cell>
          <cell r="C378">
            <v>8.0537892000481889E-22</v>
          </cell>
          <cell r="D378">
            <v>1750</v>
          </cell>
          <cell r="E378">
            <v>1024</v>
          </cell>
          <cell r="F378">
            <v>1.708984375</v>
          </cell>
          <cell r="H378">
            <v>135.25303801390035</v>
          </cell>
          <cell r="I378">
            <v>461.7479017358516</v>
          </cell>
          <cell r="J378">
            <v>803.16352626738774</v>
          </cell>
          <cell r="K378">
            <v>254.93751518155165</v>
          </cell>
          <cell r="L378">
            <v>173.86998461345712</v>
          </cell>
          <cell r="M378">
            <v>133.27833007844009</v>
          </cell>
          <cell r="N378">
            <v>105.69403599115429</v>
          </cell>
          <cell r="O378">
            <v>290.59884113064879</v>
          </cell>
          <cell r="P378">
            <v>500.28117518096849</v>
          </cell>
          <cell r="Q378">
            <v>297.81972420444617</v>
          </cell>
          <cell r="R378">
            <v>230.8522700524419</v>
          </cell>
          <cell r="T378">
            <v>242.89771996428212</v>
          </cell>
          <cell r="U378">
            <v>280.7197317298419</v>
          </cell>
          <cell r="V378">
            <v>254.93751518155165</v>
          </cell>
          <cell r="X378">
            <v>241.04484191612286</v>
          </cell>
          <cell r="Z378">
            <v>260.85851120227051</v>
          </cell>
          <cell r="AA378">
            <v>63.664239092342413</v>
          </cell>
          <cell r="AB378">
            <v>945.35276302835109</v>
          </cell>
          <cell r="AC378">
            <v>197.19427210992808</v>
          </cell>
          <cell r="AD378">
            <v>684.49425182608059</v>
          </cell>
        </row>
        <row r="379">
          <cell r="A379" t="str">
            <v>CGI018-qtz06-CL-fit-3-offset</v>
          </cell>
          <cell r="B379">
            <v>750</v>
          </cell>
          <cell r="C379">
            <v>8.0537892000481889E-22</v>
          </cell>
          <cell r="D379">
            <v>1750</v>
          </cell>
          <cell r="E379">
            <v>1024</v>
          </cell>
          <cell r="F379">
            <v>1.708984375</v>
          </cell>
          <cell r="H379">
            <v>20.481252047182362</v>
          </cell>
          <cell r="I379">
            <v>81.776720290644619</v>
          </cell>
          <cell r="J379">
            <v>93.349337376055118</v>
          </cell>
          <cell r="K379">
            <v>105.31580912122087</v>
          </cell>
          <cell r="L379">
            <v>228.84213138769485</v>
          </cell>
          <cell r="M379">
            <v>45.608385354412682</v>
          </cell>
          <cell r="N379">
            <v>102.93927780156778</v>
          </cell>
          <cell r="O379">
            <v>139.13136399559153</v>
          </cell>
          <cell r="P379">
            <v>117.44068851625974</v>
          </cell>
          <cell r="Q379">
            <v>237.13213382152503</v>
          </cell>
          <cell r="R379">
            <v>51.117513787019199</v>
          </cell>
          <cell r="T379">
            <v>97.827051534876617</v>
          </cell>
          <cell r="U379">
            <v>101.27813007775192</v>
          </cell>
          <cell r="V379">
            <v>102.93927780156778</v>
          </cell>
          <cell r="X379">
            <v>101.52881275676405</v>
          </cell>
          <cell r="Z379">
            <v>102.60833053623224</v>
          </cell>
          <cell r="AA379">
            <v>17.074962496112985</v>
          </cell>
          <cell r="AB379">
            <v>247.08333039364132</v>
          </cell>
          <cell r="AC379">
            <v>85.533368040119257</v>
          </cell>
          <cell r="AD379">
            <v>144.47499985740907</v>
          </cell>
        </row>
        <row r="380">
          <cell r="A380" t="str">
            <v>CGI018-qtz06-CL-fit-4-offset</v>
          </cell>
          <cell r="B380">
            <v>750</v>
          </cell>
          <cell r="C380">
            <v>8.0537892000481889E-22</v>
          </cell>
          <cell r="D380">
            <v>1750</v>
          </cell>
          <cell r="E380">
            <v>1024</v>
          </cell>
          <cell r="F380">
            <v>1.708984375</v>
          </cell>
          <cell r="H380">
            <v>37.959904403913377</v>
          </cell>
          <cell r="I380">
            <v>17.369714769726528</v>
          </cell>
          <cell r="J380">
            <v>49.368691893083692</v>
          </cell>
          <cell r="K380">
            <v>1.4930242040610384</v>
          </cell>
          <cell r="L380">
            <v>1.1379075131882153</v>
          </cell>
          <cell r="M380">
            <v>8.6936880914393697</v>
          </cell>
          <cell r="N380">
            <v>62.530104398679391</v>
          </cell>
          <cell r="O380">
            <v>58.853006987958921</v>
          </cell>
          <cell r="P380">
            <v>99.011395834661656</v>
          </cell>
          <cell r="Q380">
            <v>0.23653267569125486</v>
          </cell>
          <cell r="R380">
            <v>178.27116449156739</v>
          </cell>
          <cell r="T380">
            <v>26.98031397799825</v>
          </cell>
          <cell r="U380">
            <v>31.727675927739934</v>
          </cell>
          <cell r="V380">
            <v>37.959904403913377</v>
          </cell>
          <cell r="X380">
            <v>23.925968649760339</v>
          </cell>
          <cell r="Z380">
            <v>26.029852225532625</v>
          </cell>
          <cell r="AA380">
            <v>0.92994571760939715</v>
          </cell>
          <cell r="AB380">
            <v>223.0265933568507</v>
          </cell>
          <cell r="AC380">
            <v>25.09990650792323</v>
          </cell>
          <cell r="AD380">
            <v>196.99674113131806</v>
          </cell>
        </row>
        <row r="381">
          <cell r="A381" t="str">
            <v>CGI018-qtz07-CL-fit-1-offset</v>
          </cell>
          <cell r="B381">
            <v>750</v>
          </cell>
          <cell r="C381">
            <v>8.0537892000481889E-22</v>
          </cell>
          <cell r="D381">
            <v>1700</v>
          </cell>
          <cell r="E381">
            <v>1024</v>
          </cell>
          <cell r="F381">
            <v>1.66015625</v>
          </cell>
          <cell r="H381">
            <v>278.23243259778474</v>
          </cell>
          <cell r="I381">
            <v>185.5638073206099</v>
          </cell>
          <cell r="J381">
            <v>507.95237602452727</v>
          </cell>
          <cell r="K381">
            <v>469.94234419751348</v>
          </cell>
          <cell r="L381">
            <v>156.27660806323496</v>
          </cell>
          <cell r="M381">
            <v>61.817301467224034</v>
          </cell>
          <cell r="N381">
            <v>629.44211482729804</v>
          </cell>
          <cell r="O381">
            <v>96.303761192529805</v>
          </cell>
          <cell r="P381">
            <v>46.621474501686194</v>
          </cell>
          <cell r="Q381">
            <v>482.72981050408026</v>
          </cell>
          <cell r="R381">
            <v>94.286394700767929</v>
          </cell>
          <cell r="T381">
            <v>277.85071499191446</v>
          </cell>
          <cell r="U381">
            <v>234.07122955979679</v>
          </cell>
          <cell r="V381">
            <v>185.5638073206099</v>
          </cell>
          <cell r="X381">
            <v>216.93576176766425</v>
          </cell>
          <cell r="Z381">
            <v>285.19357823071414</v>
          </cell>
          <cell r="AA381">
            <v>0.12529180847956067</v>
          </cell>
          <cell r="AB381">
            <v>1850.0776795901511</v>
          </cell>
          <cell r="AC381">
            <v>285.06828642223456</v>
          </cell>
          <cell r="AD381">
            <v>1564.884101359437</v>
          </cell>
        </row>
        <row r="382">
          <cell r="A382" t="str">
            <v>CGI018-qtz07-CL-fit-2-offset</v>
          </cell>
          <cell r="B382">
            <v>750</v>
          </cell>
          <cell r="C382">
            <v>8.0537892000481889E-22</v>
          </cell>
          <cell r="D382">
            <v>1700</v>
          </cell>
          <cell r="E382">
            <v>1024</v>
          </cell>
          <cell r="F382">
            <v>1.66015625</v>
          </cell>
          <cell r="H382">
            <v>270.71565937765973</v>
          </cell>
          <cell r="I382">
            <v>303.66706971856985</v>
          </cell>
          <cell r="J382">
            <v>136.66311009186194</v>
          </cell>
          <cell r="K382">
            <v>142.24168257274596</v>
          </cell>
          <cell r="L382">
            <v>1212.3743680791795</v>
          </cell>
          <cell r="M382">
            <v>1.0737542521025996</v>
          </cell>
          <cell r="N382">
            <v>219.59088000902491</v>
          </cell>
          <cell r="O382">
            <v>560.07516708033313</v>
          </cell>
          <cell r="P382">
            <v>321.03777863026789</v>
          </cell>
          <cell r="Q382">
            <v>147.15144901424847</v>
          </cell>
          <cell r="R382">
            <v>218.79027241744009</v>
          </cell>
          <cell r="T382">
            <v>325.52138870804617</v>
          </cell>
          <cell r="U382">
            <v>257.96996684620268</v>
          </cell>
          <cell r="V382">
            <v>219.59088000902491</v>
          </cell>
          <cell r="X382">
            <v>300.8870708225196</v>
          </cell>
          <cell r="Z382">
            <v>319.96129120267636</v>
          </cell>
          <cell r="AA382">
            <v>36.125794730068634</v>
          </cell>
          <cell r="AB382">
            <v>956.32588139113523</v>
          </cell>
          <cell r="AC382">
            <v>283.8354964726077</v>
          </cell>
          <cell r="AD382">
            <v>636.36459018845881</v>
          </cell>
        </row>
        <row r="383">
          <cell r="A383" t="str">
            <v>CGI018-qtz07-CL-fit-3-offset</v>
          </cell>
          <cell r="B383">
            <v>750</v>
          </cell>
          <cell r="C383">
            <v>8.0537892000481889E-22</v>
          </cell>
          <cell r="D383">
            <v>1700</v>
          </cell>
          <cell r="E383">
            <v>1024</v>
          </cell>
          <cell r="F383">
            <v>1.66015625</v>
          </cell>
          <cell r="H383">
            <v>48.787020609387952</v>
          </cell>
          <cell r="I383">
            <v>18.169643746430243</v>
          </cell>
          <cell r="J383">
            <v>32.382788262061148</v>
          </cell>
          <cell r="K383">
            <v>21.751505100332039</v>
          </cell>
          <cell r="L383">
            <v>2.2614307368650843E-2</v>
          </cell>
          <cell r="M383">
            <v>64.186814957854367</v>
          </cell>
          <cell r="N383">
            <v>365.06184799519281</v>
          </cell>
          <cell r="O383">
            <v>49.425220157853417</v>
          </cell>
          <cell r="P383">
            <v>56.602893542595822</v>
          </cell>
          <cell r="Q383">
            <v>22.956345494358068</v>
          </cell>
          <cell r="R383">
            <v>37.558792743957675</v>
          </cell>
          <cell r="T383">
            <v>35.087313801252336</v>
          </cell>
          <cell r="U383">
            <v>45.677977308262079</v>
          </cell>
          <cell r="V383">
            <v>37.558792743957675</v>
          </cell>
          <cell r="X383">
            <v>30.426029618810201</v>
          </cell>
          <cell r="Z383">
            <v>31.070039720086367</v>
          </cell>
          <cell r="AA383">
            <v>0.97595527185727815</v>
          </cell>
          <cell r="AB383">
            <v>95.55455062286083</v>
          </cell>
          <cell r="AC383">
            <v>30.09408444822909</v>
          </cell>
          <cell r="AD383">
            <v>64.48451090277446</v>
          </cell>
        </row>
        <row r="384">
          <cell r="A384" t="str">
            <v>CGI018-qtz08-CL-fit-1-offset</v>
          </cell>
          <cell r="B384">
            <v>750</v>
          </cell>
          <cell r="C384">
            <v>8.0537892000481889E-22</v>
          </cell>
          <cell r="D384">
            <v>2300</v>
          </cell>
          <cell r="E384">
            <v>1024</v>
          </cell>
          <cell r="F384">
            <v>2.24609375</v>
          </cell>
          <cell r="H384">
            <v>4986.2650710891658</v>
          </cell>
          <cell r="I384">
            <v>4711.0676513276867</v>
          </cell>
          <cell r="J384">
            <v>4648.7785614846534</v>
          </cell>
          <cell r="K384">
            <v>5153.4220959987888</v>
          </cell>
          <cell r="L384">
            <v>4934.7228783311302</v>
          </cell>
          <cell r="M384">
            <v>5337.509978541053</v>
          </cell>
          <cell r="N384">
            <v>4189.7124641688224</v>
          </cell>
          <cell r="O384">
            <v>4511.4421090733531</v>
          </cell>
          <cell r="P384">
            <v>4769.3705140875063</v>
          </cell>
          <cell r="Q384">
            <v>6191.6540278540424</v>
          </cell>
          <cell r="R384">
            <v>6238.7031420180128</v>
          </cell>
          <cell r="T384">
            <v>5030.955759847956</v>
          </cell>
          <cell r="U384">
            <v>5042.9915440697732</v>
          </cell>
          <cell r="V384">
            <v>4934.7228783311302</v>
          </cell>
          <cell r="X384">
            <v>5047.4699803299445</v>
          </cell>
          <cell r="Z384">
            <v>4980.605176381122</v>
          </cell>
          <cell r="AA384">
            <v>3597.3761562014752</v>
          </cell>
          <cell r="AB384">
            <v>6720.2043200734715</v>
          </cell>
          <cell r="AC384">
            <v>1383.2290201796468</v>
          </cell>
          <cell r="AD384">
            <v>1739.5991436923496</v>
          </cell>
        </row>
        <row r="385">
          <cell r="A385" t="str">
            <v>CGI018-qtz08-CL-fit-2-offset</v>
          </cell>
          <cell r="B385">
            <v>750</v>
          </cell>
          <cell r="C385">
            <v>8.0537892000481889E-22</v>
          </cell>
          <cell r="D385">
            <v>2300</v>
          </cell>
          <cell r="E385">
            <v>1024</v>
          </cell>
          <cell r="F385">
            <v>2.24609375</v>
          </cell>
          <cell r="H385">
            <v>644.67113125693709</v>
          </cell>
          <cell r="I385">
            <v>980.40772864407973</v>
          </cell>
          <cell r="J385">
            <v>1287.5179723326398</v>
          </cell>
          <cell r="K385">
            <v>569.92186094552244</v>
          </cell>
          <cell r="L385">
            <v>807.26539678856943</v>
          </cell>
          <cell r="M385">
            <v>1225.4909019303002</v>
          </cell>
          <cell r="N385">
            <v>776.78140708987792</v>
          </cell>
          <cell r="O385">
            <v>746.17000457767392</v>
          </cell>
          <cell r="P385">
            <v>168.99612259318332</v>
          </cell>
          <cell r="Q385">
            <v>617.16818987543184</v>
          </cell>
          <cell r="R385">
            <v>1004.9411046606831</v>
          </cell>
          <cell r="T385">
            <v>793.76436647508615</v>
          </cell>
          <cell r="U385">
            <v>766.8203871521448</v>
          </cell>
          <cell r="V385">
            <v>776.78140708987792</v>
          </cell>
          <cell r="X385">
            <v>823.64114681334638</v>
          </cell>
          <cell r="Z385">
            <v>855.3546389347656</v>
          </cell>
          <cell r="AA385">
            <v>210.73502014672587</v>
          </cell>
          <cell r="AB385">
            <v>1841.9180836895869</v>
          </cell>
          <cell r="AC385">
            <v>644.6196187880397</v>
          </cell>
          <cell r="AD385">
            <v>986.56344475482126</v>
          </cell>
        </row>
        <row r="386">
          <cell r="A386" t="str">
            <v>CGI018-qtz08-CL-fit-3-offset</v>
          </cell>
          <cell r="B386">
            <v>750</v>
          </cell>
          <cell r="C386">
            <v>8.0537892000481889E-22</v>
          </cell>
          <cell r="D386">
            <v>2300</v>
          </cell>
          <cell r="E386">
            <v>1024</v>
          </cell>
          <cell r="F386">
            <v>2.24609375</v>
          </cell>
          <cell r="H386">
            <v>1961.7069071446654</v>
          </cell>
          <cell r="I386">
            <v>1504.6263628091212</v>
          </cell>
          <cell r="J386">
            <v>1462.0116365664139</v>
          </cell>
          <cell r="K386">
            <v>633.15263805352151</v>
          </cell>
          <cell r="L386">
            <v>998.13999629262059</v>
          </cell>
          <cell r="M386">
            <v>806.70294456153078</v>
          </cell>
          <cell r="N386">
            <v>1706.8281290919683</v>
          </cell>
          <cell r="O386">
            <v>1269.3873440820955</v>
          </cell>
          <cell r="P386">
            <v>653.72466137636252</v>
          </cell>
          <cell r="Q386">
            <v>456.71755704475697</v>
          </cell>
          <cell r="R386">
            <v>710.85169261080409</v>
          </cell>
          <cell r="T386">
            <v>969.89819355817531</v>
          </cell>
          <cell r="U386">
            <v>1053.405873605491</v>
          </cell>
          <cell r="V386">
            <v>998.13999629262059</v>
          </cell>
          <cell r="X386">
            <v>985.58471170865926</v>
          </cell>
          <cell r="Z386">
            <v>977.69695108329381</v>
          </cell>
          <cell r="AA386">
            <v>361.23121064051526</v>
          </cell>
          <cell r="AB386">
            <v>1852.5033339660481</v>
          </cell>
          <cell r="AC386">
            <v>616.4657404427785</v>
          </cell>
          <cell r="AD386">
            <v>874.80638288275429</v>
          </cell>
        </row>
        <row r="387">
          <cell r="A387" t="str">
            <v>CGI018-qtz08-CL-fit-4-offset</v>
          </cell>
          <cell r="B387">
            <v>750</v>
          </cell>
          <cell r="C387">
            <v>8.0537892000481889E-22</v>
          </cell>
          <cell r="D387">
            <v>2300</v>
          </cell>
          <cell r="E387">
            <v>1024</v>
          </cell>
          <cell r="F387">
            <v>2.24609375</v>
          </cell>
          <cell r="H387">
            <v>663.27453135749215</v>
          </cell>
          <cell r="I387">
            <v>364.4919190447917</v>
          </cell>
          <cell r="J387">
            <v>183.87149945895825</v>
          </cell>
          <cell r="K387">
            <v>523.54442791156441</v>
          </cell>
          <cell r="L387">
            <v>1056.3157949471829</v>
          </cell>
          <cell r="M387">
            <v>33.160746937449382</v>
          </cell>
          <cell r="N387">
            <v>1185.3008064424021</v>
          </cell>
          <cell r="O387">
            <v>786.8229440829989</v>
          </cell>
          <cell r="P387">
            <v>337.60855087643824</v>
          </cell>
          <cell r="Q387">
            <v>1747.0731367597366</v>
          </cell>
          <cell r="R387">
            <v>935.26207482953566</v>
          </cell>
          <cell r="T387">
            <v>678.35440531358802</v>
          </cell>
          <cell r="U387">
            <v>614.94576972481002</v>
          </cell>
          <cell r="V387">
            <v>663.27453135749215</v>
          </cell>
          <cell r="X387">
            <v>654.95288725860564</v>
          </cell>
          <cell r="Z387">
            <v>663.18232271378884</v>
          </cell>
          <cell r="AA387">
            <v>120.97278685846456</v>
          </cell>
          <cell r="AB387">
            <v>1918.5159529299444</v>
          </cell>
          <cell r="AC387">
            <v>542.20953585532425</v>
          </cell>
          <cell r="AD387">
            <v>1255.3336302161556</v>
          </cell>
        </row>
        <row r="388">
          <cell r="A388" t="str">
            <v>CGI018-qtz08-CL-fit-5-offset</v>
          </cell>
          <cell r="B388">
            <v>750</v>
          </cell>
          <cell r="C388">
            <v>8.0537892000481889E-22</v>
          </cell>
          <cell r="D388">
            <v>2300</v>
          </cell>
          <cell r="E388">
            <v>1024</v>
          </cell>
          <cell r="F388">
            <v>2.24609375</v>
          </cell>
          <cell r="H388">
            <v>885.77167505836599</v>
          </cell>
          <cell r="I388">
            <v>885.13113279651236</v>
          </cell>
          <cell r="J388">
            <v>1102.5597945947095</v>
          </cell>
          <cell r="K388">
            <v>1474.1477154395939</v>
          </cell>
          <cell r="L388">
            <v>1104.7311243941715</v>
          </cell>
          <cell r="M388">
            <v>1114.4199455409362</v>
          </cell>
          <cell r="N388">
            <v>1562.8353180302299</v>
          </cell>
          <cell r="O388">
            <v>1242.4219131584407</v>
          </cell>
          <cell r="P388">
            <v>1412.5213112479723</v>
          </cell>
          <cell r="Q388">
            <v>1403.7418848466266</v>
          </cell>
          <cell r="R388">
            <v>1338.8144420883441</v>
          </cell>
          <cell r="T388">
            <v>1213.2984399187708</v>
          </cell>
          <cell r="U388">
            <v>1219.6193644761304</v>
          </cell>
          <cell r="V388">
            <v>1242.4219131584407</v>
          </cell>
          <cell r="X388">
            <v>1210.9573500610677</v>
          </cell>
          <cell r="Z388">
            <v>1218.9936031234563</v>
          </cell>
          <cell r="AA388">
            <v>897.84274158831397</v>
          </cell>
          <cell r="AB388">
            <v>1691.1107719739991</v>
          </cell>
          <cell r="AC388">
            <v>321.15086153514233</v>
          </cell>
          <cell r="AD388">
            <v>472.11716885054284</v>
          </cell>
        </row>
        <row r="389">
          <cell r="A389" t="str">
            <v>CGI018-qtz08-CL-fit-6-offset</v>
          </cell>
          <cell r="B389">
            <v>750</v>
          </cell>
          <cell r="C389">
            <v>8.0537892000481889E-22</v>
          </cell>
          <cell r="D389">
            <v>2300</v>
          </cell>
          <cell r="E389">
            <v>1024</v>
          </cell>
          <cell r="F389">
            <v>2.24609375</v>
          </cell>
          <cell r="H389">
            <v>158.56404710671711</v>
          </cell>
          <cell r="I389">
            <v>284.45133543960861</v>
          </cell>
          <cell r="J389">
            <v>280.99910675556185</v>
          </cell>
          <cell r="K389">
            <v>320.99919072611596</v>
          </cell>
          <cell r="L389">
            <v>183.21842624918546</v>
          </cell>
          <cell r="M389">
            <v>230.06090123081216</v>
          </cell>
          <cell r="N389">
            <v>203.52819987788752</v>
          </cell>
          <cell r="O389">
            <v>189.38128827450296</v>
          </cell>
          <cell r="P389">
            <v>271.35029061691444</v>
          </cell>
          <cell r="Q389">
            <v>183.95532150956441</v>
          </cell>
          <cell r="R389">
            <v>197.18986494901995</v>
          </cell>
          <cell r="T389">
            <v>224.769253369799</v>
          </cell>
          <cell r="U389">
            <v>224.85558576279468</v>
          </cell>
          <cell r="V389">
            <v>203.52819987788752</v>
          </cell>
          <cell r="X389">
            <v>219.4269212352682</v>
          </cell>
          <cell r="Z389">
            <v>219.70091765456931</v>
          </cell>
          <cell r="AA389">
            <v>120.95435198238334</v>
          </cell>
          <cell r="AB389">
            <v>358.16019082998702</v>
          </cell>
          <cell r="AC389">
            <v>98.746565672185966</v>
          </cell>
          <cell r="AD389">
            <v>138.45927317541771</v>
          </cell>
        </row>
        <row r="390">
          <cell r="A390" t="str">
            <v>CGI018-qtz08-CL-fit-7-offset</v>
          </cell>
          <cell r="B390">
            <v>750</v>
          </cell>
          <cell r="C390">
            <v>8.0537892000481889E-22</v>
          </cell>
          <cell r="D390">
            <v>2300</v>
          </cell>
          <cell r="E390">
            <v>1024</v>
          </cell>
          <cell r="F390">
            <v>2.24609375</v>
          </cell>
          <cell r="H390">
            <v>27.311188403235473</v>
          </cell>
          <cell r="I390">
            <v>118.95907581744341</v>
          </cell>
          <cell r="J390">
            <v>50.787761118620807</v>
          </cell>
          <cell r="K390">
            <v>53.773236505421814</v>
          </cell>
          <cell r="L390">
            <v>137.46795072254085</v>
          </cell>
          <cell r="M390">
            <v>118.93174355568623</v>
          </cell>
          <cell r="N390">
            <v>18.310561999879301</v>
          </cell>
          <cell r="O390">
            <v>0.8363080485440505</v>
          </cell>
          <cell r="P390">
            <v>28.142134963502386</v>
          </cell>
          <cell r="Q390">
            <v>3.5665893424262309</v>
          </cell>
          <cell r="R390">
            <v>119.41895488081084</v>
          </cell>
          <cell r="T390">
            <v>53.83039074861302</v>
          </cell>
          <cell r="U390">
            <v>48.413281388701805</v>
          </cell>
          <cell r="V390">
            <v>50.787761118620807</v>
          </cell>
          <cell r="X390">
            <v>42.24082020808256</v>
          </cell>
          <cell r="Z390">
            <v>41.805626205283353</v>
          </cell>
          <cell r="AA390">
            <v>1.0664744418878946</v>
          </cell>
          <cell r="AB390">
            <v>181.57583692136376</v>
          </cell>
          <cell r="AC390">
            <v>40.739151763395455</v>
          </cell>
          <cell r="AD390">
            <v>139.77021071608041</v>
          </cell>
        </row>
        <row r="391">
          <cell r="A391" t="str">
            <v>CGI018-qtz09-CL-fit-2-offset</v>
          </cell>
          <cell r="B391">
            <v>750</v>
          </cell>
          <cell r="C391">
            <v>8.0537892000481889E-22</v>
          </cell>
          <cell r="D391">
            <v>2250</v>
          </cell>
          <cell r="E391">
            <v>1024</v>
          </cell>
          <cell r="F391">
            <v>2.197265625</v>
          </cell>
          <cell r="H391">
            <v>1.0001654751772627E-3</v>
          </cell>
          <cell r="I391">
            <v>1.6642380907164067</v>
          </cell>
          <cell r="J391">
            <v>473.68582558256691</v>
          </cell>
          <cell r="K391">
            <v>725.15111397488783</v>
          </cell>
          <cell r="L391">
            <v>1180.6160659179423</v>
          </cell>
          <cell r="M391">
            <v>85.280907830273421</v>
          </cell>
          <cell r="N391">
            <v>104.27404326357087</v>
          </cell>
          <cell r="O391">
            <v>1.2520382563309427</v>
          </cell>
          <cell r="P391">
            <v>39.356880983102386</v>
          </cell>
          <cell r="Q391">
            <v>1234.5203326942226</v>
          </cell>
          <cell r="R391">
            <v>2664.2372966986768</v>
          </cell>
          <cell r="T391">
            <v>1090.3447184414806</v>
          </cell>
          <cell r="U391">
            <v>323.88678469459398</v>
          </cell>
          <cell r="V391">
            <v>104.27404326357087</v>
          </cell>
          <cell r="X391">
            <v>1042.7303729202097</v>
          </cell>
          <cell r="Z391">
            <v>1483.6561501457488</v>
          </cell>
          <cell r="AA391">
            <v>3.9684866667793514E-2</v>
          </cell>
          <cell r="AB391">
            <v>11312.618682814851</v>
          </cell>
          <cell r="AC391">
            <v>1483.616465279081</v>
          </cell>
          <cell r="AD391">
            <v>9828.9625326691021</v>
          </cell>
        </row>
        <row r="392">
          <cell r="A392" t="str">
            <v>CGI018-qtz09-CL-fit-3-offset</v>
          </cell>
          <cell r="B392">
            <v>750</v>
          </cell>
          <cell r="C392">
            <v>8.0537892000481889E-22</v>
          </cell>
          <cell r="D392">
            <v>2250</v>
          </cell>
          <cell r="E392">
            <v>1024</v>
          </cell>
          <cell r="F392">
            <v>2.197265625</v>
          </cell>
          <cell r="H392">
            <v>331.98005373369068</v>
          </cell>
          <cell r="I392">
            <v>289.07991050960698</v>
          </cell>
          <cell r="J392">
            <v>134.44990656045491</v>
          </cell>
          <cell r="K392">
            <v>2.5501233224416928E-2</v>
          </cell>
          <cell r="L392">
            <v>8.2379595287660645E-2</v>
          </cell>
          <cell r="M392">
            <v>0.132003620343355</v>
          </cell>
          <cell r="N392">
            <v>0</v>
          </cell>
          <cell r="O392">
            <v>66.99218790716867</v>
          </cell>
          <cell r="P392">
            <v>156.5877305186936</v>
          </cell>
          <cell r="Q392">
            <v>134.78123519459217</v>
          </cell>
          <cell r="R392">
            <v>1536.0715663281023</v>
          </cell>
          <cell r="T392">
            <v>147.63032942288794</v>
          </cell>
          <cell r="U392">
            <v>141.91626811940284</v>
          </cell>
          <cell r="V392">
            <v>134.61551990890939</v>
          </cell>
          <cell r="X392">
            <v>155.99768173881085</v>
          </cell>
          <cell r="Z392">
            <v>813.71148345971756</v>
          </cell>
          <cell r="AA392">
            <v>7.6931959913847606E-3</v>
          </cell>
          <cell r="AB392">
            <v>72470.108113350434</v>
          </cell>
          <cell r="AC392">
            <v>813.70379026372621</v>
          </cell>
          <cell r="AD392">
            <v>71656.396629890718</v>
          </cell>
        </row>
        <row r="393">
          <cell r="A393" t="str">
            <v>CGI018-qtz09-CL-fit-4-offset</v>
          </cell>
          <cell r="B393">
            <v>750</v>
          </cell>
          <cell r="C393">
            <v>8.0537892000481889E-22</v>
          </cell>
          <cell r="D393">
            <v>2250</v>
          </cell>
          <cell r="E393">
            <v>1024</v>
          </cell>
          <cell r="F393">
            <v>2.197265625</v>
          </cell>
          <cell r="H393">
            <v>0.31421733232180743</v>
          </cell>
          <cell r="I393">
            <v>4.4296185368720312E-14</v>
          </cell>
          <cell r="J393">
            <v>1.4436438473955056</v>
          </cell>
          <cell r="K393">
            <v>0.15799139201160334</v>
          </cell>
          <cell r="L393">
            <v>50.49469175850367</v>
          </cell>
          <cell r="M393">
            <v>17.311065731279154</v>
          </cell>
          <cell r="N393">
            <v>0.34605688170149784</v>
          </cell>
          <cell r="O393">
            <v>57.15939564788988</v>
          </cell>
          <cell r="P393">
            <v>181.85874415975022</v>
          </cell>
          <cell r="Q393">
            <v>579.51996584842891</v>
          </cell>
          <cell r="R393">
            <v>60.625820876946626</v>
          </cell>
          <cell r="T393">
            <v>38.908480157199577</v>
          </cell>
          <cell r="U393">
            <v>37.010408288537441</v>
          </cell>
          <cell r="V393">
            <v>17.311065731279154</v>
          </cell>
          <cell r="X393">
            <v>19.970103592843142</v>
          </cell>
          <cell r="Z393">
            <v>69.821252471727348</v>
          </cell>
          <cell r="AA393">
            <v>7.5700028799177492E-15</v>
          </cell>
          <cell r="AB393">
            <v>923.27161748882099</v>
          </cell>
          <cell r="AC393">
            <v>69.821252471727334</v>
          </cell>
          <cell r="AD393">
            <v>853.45036501709365</v>
          </cell>
        </row>
        <row r="394">
          <cell r="A394" t="str">
            <v>CGI018-qtz10-CL-fit-1-offset</v>
          </cell>
          <cell r="B394">
            <v>750</v>
          </cell>
          <cell r="C394">
            <v>8.0537892000481889E-22</v>
          </cell>
          <cell r="D394">
            <v>2600</v>
          </cell>
          <cell r="E394">
            <v>1024</v>
          </cell>
          <cell r="F394">
            <v>2.5390625</v>
          </cell>
          <cell r="H394">
            <v>1189.3849410001283</v>
          </cell>
          <cell r="I394">
            <v>704.93032637759438</v>
          </cell>
          <cell r="J394">
            <v>608.86239627790349</v>
          </cell>
          <cell r="K394">
            <v>315.25111104012012</v>
          </cell>
          <cell r="L394">
            <v>978.13002059587234</v>
          </cell>
          <cell r="M394">
            <v>1431.6250953660419</v>
          </cell>
          <cell r="N394">
            <v>467.528542644558</v>
          </cell>
          <cell r="O394">
            <v>298.70347441936894</v>
          </cell>
          <cell r="P394">
            <v>388.43611157919361</v>
          </cell>
          <cell r="Q394">
            <v>352.05832744718174</v>
          </cell>
          <cell r="R394">
            <v>488.28625233856951</v>
          </cell>
          <cell r="T394">
            <v>580.77236939322017</v>
          </cell>
          <cell r="U394">
            <v>611.6852010535614</v>
          </cell>
          <cell r="V394">
            <v>488.28625233856951</v>
          </cell>
          <cell r="X394">
            <v>624.75156432354277</v>
          </cell>
          <cell r="Z394">
            <v>634.77940777801666</v>
          </cell>
          <cell r="AA394">
            <v>245.77423265886418</v>
          </cell>
          <cell r="AB394">
            <v>1413.9703329392123</v>
          </cell>
          <cell r="AC394">
            <v>389.00517511915245</v>
          </cell>
          <cell r="AD394">
            <v>779.19092516119565</v>
          </cell>
        </row>
        <row r="395">
          <cell r="A395" t="str">
            <v>CGI018-qtz10-CL-fit-2-offset</v>
          </cell>
          <cell r="B395">
            <v>750</v>
          </cell>
          <cell r="C395">
            <v>8.0537892000481889E-22</v>
          </cell>
          <cell r="D395">
            <v>2600</v>
          </cell>
          <cell r="E395">
            <v>1024</v>
          </cell>
          <cell r="F395">
            <v>2.5390625</v>
          </cell>
          <cell r="H395">
            <v>399.55049694072147</v>
          </cell>
          <cell r="I395">
            <v>282.58419746556768</v>
          </cell>
          <cell r="J395">
            <v>233.64745159157235</v>
          </cell>
          <cell r="K395">
            <v>384.65952767786985</v>
          </cell>
          <cell r="L395">
            <v>377.51197740199245</v>
          </cell>
          <cell r="M395">
            <v>144.17797064391542</v>
          </cell>
          <cell r="N395">
            <v>474.38857239787347</v>
          </cell>
          <cell r="O395">
            <v>183.30225376590391</v>
          </cell>
          <cell r="P395">
            <v>210.73496944343199</v>
          </cell>
          <cell r="Q395">
            <v>555.03222183725472</v>
          </cell>
          <cell r="R395">
            <v>195.81310429846693</v>
          </cell>
          <cell r="T395">
            <v>316.25653142039482</v>
          </cell>
          <cell r="U395">
            <v>299.99149666357704</v>
          </cell>
          <cell r="V395">
            <v>282.58419746556768</v>
          </cell>
          <cell r="X395">
            <v>285.59479662202767</v>
          </cell>
          <cell r="Z395">
            <v>287.23160343724999</v>
          </cell>
          <cell r="AA395">
            <v>62.726264338520522</v>
          </cell>
          <cell r="AB395">
            <v>640.35824381269822</v>
          </cell>
          <cell r="AC395">
            <v>224.50533909872945</v>
          </cell>
          <cell r="AD395">
            <v>353.12664037544823</v>
          </cell>
        </row>
        <row r="396">
          <cell r="A396" t="str">
            <v>CGI018-qtz10-CL-fit-3-offset</v>
          </cell>
          <cell r="B396">
            <v>750</v>
          </cell>
          <cell r="C396">
            <v>8.0537892000481889E-22</v>
          </cell>
          <cell r="D396">
            <v>2600</v>
          </cell>
          <cell r="E396">
            <v>1024</v>
          </cell>
          <cell r="F396">
            <v>2.5390625</v>
          </cell>
          <cell r="H396">
            <v>228.1255863925191</v>
          </cell>
          <cell r="I396">
            <v>146.43901087874349</v>
          </cell>
          <cell r="J396">
            <v>92.173591638164282</v>
          </cell>
          <cell r="K396">
            <v>89.264297398511673</v>
          </cell>
          <cell r="L396">
            <v>349.39535933889766</v>
          </cell>
          <cell r="M396">
            <v>145.12386445420279</v>
          </cell>
          <cell r="N396">
            <v>217.05889740922959</v>
          </cell>
          <cell r="O396">
            <v>429.72008850813103</v>
          </cell>
          <cell r="P396">
            <v>82.107744234865748</v>
          </cell>
          <cell r="Q396">
            <v>158.4281015759712</v>
          </cell>
          <cell r="R396">
            <v>180.53566034313434</v>
          </cell>
          <cell r="T396">
            <v>169.20157579569272</v>
          </cell>
          <cell r="U396">
            <v>179.90049576736251</v>
          </cell>
          <cell r="V396">
            <v>158.4281015759712</v>
          </cell>
          <cell r="X396">
            <v>162.08664147828631</v>
          </cell>
          <cell r="Z396">
            <v>164.47310246516571</v>
          </cell>
          <cell r="AA396">
            <v>4.7713629822546579</v>
          </cell>
          <cell r="AB396">
            <v>463.16650528187557</v>
          </cell>
          <cell r="AC396">
            <v>159.70173948291105</v>
          </cell>
          <cell r="AD396">
            <v>298.69340281670986</v>
          </cell>
        </row>
        <row r="397">
          <cell r="A397" t="str">
            <v>CGI018-qtz10-CL-fit-4-offset</v>
          </cell>
          <cell r="B397">
            <v>750</v>
          </cell>
          <cell r="C397">
            <v>8.0537892000481889E-22</v>
          </cell>
          <cell r="D397">
            <v>2600</v>
          </cell>
          <cell r="E397">
            <v>1024</v>
          </cell>
          <cell r="F397">
            <v>2.5390625</v>
          </cell>
          <cell r="H397">
            <v>111.14302199322208</v>
          </cell>
          <cell r="I397">
            <v>129.24817701572519</v>
          </cell>
          <cell r="J397">
            <v>56.927055361997567</v>
          </cell>
          <cell r="K397">
            <v>72.349416454668912</v>
          </cell>
          <cell r="L397">
            <v>203.05097359653462</v>
          </cell>
          <cell r="M397">
            <v>261.73429022331374</v>
          </cell>
          <cell r="N397">
            <v>176.5887039502407</v>
          </cell>
          <cell r="O397">
            <v>150.2826893680857</v>
          </cell>
          <cell r="P397">
            <v>143.14262535088815</v>
          </cell>
          <cell r="Q397">
            <v>110.83807849703588</v>
          </cell>
          <cell r="R397">
            <v>0.29961065751512284</v>
          </cell>
          <cell r="T397">
            <v>135.54179583887964</v>
          </cell>
          <cell r="U397">
            <v>113.08781868833456</v>
          </cell>
          <cell r="V397">
            <v>129.24817701572519</v>
          </cell>
          <cell r="X397">
            <v>116.96414436878997</v>
          </cell>
          <cell r="Z397">
            <v>125.40223239793517</v>
          </cell>
          <cell r="AA397">
            <v>6.0054394883059805</v>
          </cell>
          <cell r="AB397">
            <v>446.06947499271189</v>
          </cell>
          <cell r="AC397">
            <v>119.39679290962918</v>
          </cell>
          <cell r="AD397">
            <v>320.66724259477672</v>
          </cell>
        </row>
        <row r="398">
          <cell r="A398" t="str">
            <v>CGI018-qtz10-CL-fit-5-offset</v>
          </cell>
          <cell r="B398">
            <v>750</v>
          </cell>
          <cell r="C398">
            <v>8.0537892000481889E-22</v>
          </cell>
          <cell r="D398">
            <v>2600</v>
          </cell>
          <cell r="E398">
            <v>1024</v>
          </cell>
          <cell r="F398">
            <v>2.5390625</v>
          </cell>
          <cell r="H398">
            <v>87.704196743391606</v>
          </cell>
          <cell r="I398">
            <v>1.0356219563354833E-2</v>
          </cell>
          <cell r="J398">
            <v>48.956144371472433</v>
          </cell>
          <cell r="K398">
            <v>76.767238356446271</v>
          </cell>
          <cell r="L398">
            <v>63.94949586031472</v>
          </cell>
          <cell r="M398">
            <v>115.94174477832537</v>
          </cell>
          <cell r="N398">
            <v>47.896161959577803</v>
          </cell>
          <cell r="O398">
            <v>115.04226094110666</v>
          </cell>
          <cell r="P398">
            <v>24.687633057554226</v>
          </cell>
          <cell r="Q398">
            <v>109.38835931276151</v>
          </cell>
          <cell r="R398">
            <v>67.8490731756267</v>
          </cell>
          <cell r="T398">
            <v>77.670995797306716</v>
          </cell>
          <cell r="U398">
            <v>60.134291011780057</v>
          </cell>
          <cell r="V398">
            <v>67.8490731756267</v>
          </cell>
          <cell r="X398">
            <v>58.66009304804674</v>
          </cell>
          <cell r="Z398">
            <v>49.638423807021312</v>
          </cell>
          <cell r="AA398">
            <v>0.26008597106276787</v>
          </cell>
          <cell r="AB398">
            <v>152.81286961995556</v>
          </cell>
          <cell r="AC398">
            <v>49.378337835958547</v>
          </cell>
          <cell r="AD398">
            <v>103.17444581293425</v>
          </cell>
        </row>
        <row r="399">
          <cell r="A399" t="str">
            <v>CGI018-qtz10-CL-fit-6-offset</v>
          </cell>
          <cell r="B399">
            <v>750</v>
          </cell>
          <cell r="C399">
            <v>8.0537892000481889E-22</v>
          </cell>
          <cell r="D399">
            <v>2600</v>
          </cell>
          <cell r="E399">
            <v>1024</v>
          </cell>
          <cell r="F399">
            <v>2.5390625</v>
          </cell>
          <cell r="H399">
            <v>148.83955785528693</v>
          </cell>
          <cell r="I399">
            <v>101.37755178806337</v>
          </cell>
          <cell r="J399">
            <v>96.435307265533396</v>
          </cell>
          <cell r="K399">
            <v>159.82821954657877</v>
          </cell>
          <cell r="L399">
            <v>165.12363488298726</v>
          </cell>
          <cell r="M399">
            <v>59.291467412225664</v>
          </cell>
          <cell r="N399">
            <v>86.65809539436448</v>
          </cell>
          <cell r="O399">
            <v>110.1286964306961</v>
          </cell>
          <cell r="P399">
            <v>238.29362036616598</v>
          </cell>
          <cell r="Q399">
            <v>110.23862494285227</v>
          </cell>
          <cell r="R399">
            <v>175.21990777607147</v>
          </cell>
          <cell r="T399">
            <v>122.08387983872757</v>
          </cell>
          <cell r="U399">
            <v>127.60325328713893</v>
          </cell>
          <cell r="V399">
            <v>110.23862494285227</v>
          </cell>
          <cell r="X399">
            <v>116.25842123475246</v>
          </cell>
          <cell r="Z399">
            <v>105.15936689892082</v>
          </cell>
          <cell r="AA399">
            <v>4.666063315185097</v>
          </cell>
          <cell r="AB399">
            <v>290.34772260398256</v>
          </cell>
          <cell r="AC399">
            <v>100.49330358373572</v>
          </cell>
          <cell r="AD399">
            <v>185.18835570506172</v>
          </cell>
        </row>
        <row r="400">
          <cell r="A400" t="str">
            <v>CGI018-qtz11-CL-fit-1-offset</v>
          </cell>
          <cell r="B400">
            <v>750</v>
          </cell>
          <cell r="C400">
            <v>8.0537892000481889E-22</v>
          </cell>
          <cell r="D400">
            <v>1250</v>
          </cell>
          <cell r="E400">
            <v>1024</v>
          </cell>
          <cell r="F400">
            <v>1.220703125</v>
          </cell>
          <cell r="H400">
            <v>336.7945656208467</v>
          </cell>
          <cell r="I400">
            <v>198.70357374859535</v>
          </cell>
          <cell r="J400">
            <v>335.74337567696568</v>
          </cell>
          <cell r="K400">
            <v>402.02473844457859</v>
          </cell>
          <cell r="L400">
            <v>252.32909641631204</v>
          </cell>
          <cell r="M400">
            <v>237.14884376922302</v>
          </cell>
          <cell r="N400">
            <v>258.56009160009864</v>
          </cell>
          <cell r="O400">
            <v>296.47283213141037</v>
          </cell>
          <cell r="P400">
            <v>294.5750763566586</v>
          </cell>
          <cell r="Q400">
            <v>395.143797127021</v>
          </cell>
          <cell r="R400">
            <v>257.12916274331559</v>
          </cell>
          <cell r="T400">
            <v>293.819462691338</v>
          </cell>
          <cell r="U400">
            <v>293.59702337329202</v>
          </cell>
          <cell r="V400">
            <v>294.5750763566586</v>
          </cell>
          <cell r="X400">
            <v>292.98123249889301</v>
          </cell>
          <cell r="Z400">
            <v>287.50250966068234</v>
          </cell>
          <cell r="AA400">
            <v>169.16031207696523</v>
          </cell>
          <cell r="AB400">
            <v>411.16459540067632</v>
          </cell>
          <cell r="AC400">
            <v>118.34219758371711</v>
          </cell>
          <cell r="AD400">
            <v>123.66208573999398</v>
          </cell>
        </row>
        <row r="401">
          <cell r="A401" t="str">
            <v>CGI018-qtz11-CL-fit-2-offset</v>
          </cell>
          <cell r="B401">
            <v>750</v>
          </cell>
          <cell r="C401">
            <v>8.0537892000481889E-22</v>
          </cell>
          <cell r="D401">
            <v>1250</v>
          </cell>
          <cell r="E401">
            <v>1024</v>
          </cell>
          <cell r="F401">
            <v>1.220703125</v>
          </cell>
          <cell r="H401">
            <v>5.4899678131810493E-2</v>
          </cell>
          <cell r="I401">
            <v>88.859839058219876</v>
          </cell>
          <cell r="J401">
            <v>621.94471434832553</v>
          </cell>
          <cell r="K401">
            <v>152.54767898531384</v>
          </cell>
          <cell r="L401">
            <v>30.820773483860172</v>
          </cell>
          <cell r="M401">
            <v>155.0235077290817</v>
          </cell>
          <cell r="N401">
            <v>561.5939998779404</v>
          </cell>
          <cell r="O401">
            <v>439.37295638145901</v>
          </cell>
          <cell r="P401">
            <v>180.99365521143787</v>
          </cell>
          <cell r="Q401">
            <v>104.52314561097334</v>
          </cell>
          <cell r="R401">
            <v>157.79259017136104</v>
          </cell>
          <cell r="T401">
            <v>196.78724997678555</v>
          </cell>
          <cell r="U401">
            <v>175.80585688342035</v>
          </cell>
          <cell r="V401">
            <v>155.0235077290817</v>
          </cell>
          <cell r="X401">
            <v>173.94009843447739</v>
          </cell>
          <cell r="Z401">
            <v>185.85831198904162</v>
          </cell>
          <cell r="AA401">
            <v>0.98412025620575405</v>
          </cell>
          <cell r="AB401">
            <v>1009.45580258859</v>
          </cell>
          <cell r="AC401">
            <v>184.87419173283587</v>
          </cell>
          <cell r="AD401">
            <v>823.59749059954834</v>
          </cell>
        </row>
        <row r="402">
          <cell r="A402" t="str">
            <v>CGI018-qtz11-CL-fit-3-offset</v>
          </cell>
          <cell r="B402">
            <v>750</v>
          </cell>
          <cell r="C402">
            <v>8.0537892000481889E-22</v>
          </cell>
          <cell r="D402">
            <v>1250</v>
          </cell>
          <cell r="E402">
            <v>1024</v>
          </cell>
          <cell r="F402">
            <v>1.220703125</v>
          </cell>
          <cell r="H402">
            <v>63.926415864398251</v>
          </cell>
          <cell r="I402">
            <v>303.99243713602004</v>
          </cell>
          <cell r="J402">
            <v>62.631027383074219</v>
          </cell>
          <cell r="K402">
            <v>172.63038764977563</v>
          </cell>
          <cell r="L402">
            <v>1.2956938467152517</v>
          </cell>
          <cell r="M402">
            <v>0.96980676881354555</v>
          </cell>
          <cell r="N402">
            <v>62.150085236316855</v>
          </cell>
          <cell r="O402">
            <v>346.13693023028753</v>
          </cell>
          <cell r="P402">
            <v>10.278570999873603</v>
          </cell>
          <cell r="Q402">
            <v>39.85465132494538</v>
          </cell>
          <cell r="R402">
            <v>180.35439897696764</v>
          </cell>
          <cell r="T402">
            <v>96.375692887877022</v>
          </cell>
          <cell r="U402">
            <v>79.442685655724986</v>
          </cell>
          <cell r="V402">
            <v>62.631027383074219</v>
          </cell>
          <cell r="X402">
            <v>71.488475592384901</v>
          </cell>
          <cell r="Z402">
            <v>81.408127185930852</v>
          </cell>
          <cell r="AA402">
            <v>7.2591732344384716E-13</v>
          </cell>
          <cell r="AB402">
            <v>889.95952584337965</v>
          </cell>
          <cell r="AC402">
            <v>81.408127185930127</v>
          </cell>
          <cell r="AD402">
            <v>808.55139865744877</v>
          </cell>
        </row>
        <row r="403">
          <cell r="A403" t="str">
            <v>CGI018-qtz11-CL-fit-4-offset</v>
          </cell>
          <cell r="B403">
            <v>750</v>
          </cell>
          <cell r="C403">
            <v>8.0537892000481889E-22</v>
          </cell>
          <cell r="D403">
            <v>1250</v>
          </cell>
          <cell r="E403">
            <v>1024</v>
          </cell>
          <cell r="F403">
            <v>1.220703125</v>
          </cell>
          <cell r="H403">
            <v>173.84215976650509</v>
          </cell>
          <cell r="I403">
            <v>175.8406312169428</v>
          </cell>
          <cell r="J403">
            <v>459.82088299333594</v>
          </cell>
          <cell r="K403">
            <v>242.91749977895716</v>
          </cell>
          <cell r="L403">
            <v>311.20620662853258</v>
          </cell>
          <cell r="M403">
            <v>22.182661434232632</v>
          </cell>
          <cell r="N403">
            <v>135.30751945005198</v>
          </cell>
          <cell r="O403">
            <v>437.01930942829631</v>
          </cell>
          <cell r="P403">
            <v>209.48510698693815</v>
          </cell>
          <cell r="Q403">
            <v>140.10762657128427</v>
          </cell>
          <cell r="R403">
            <v>384.13238789668941</v>
          </cell>
          <cell r="T403">
            <v>222.77049119782035</v>
          </cell>
          <cell r="U403">
            <v>223.01981820091353</v>
          </cell>
          <cell r="V403">
            <v>209.48510698693815</v>
          </cell>
          <cell r="X403">
            <v>209.07034453582685</v>
          </cell>
          <cell r="Z403">
            <v>240.50291270791087</v>
          </cell>
          <cell r="AA403">
            <v>73.545229756517273</v>
          </cell>
          <cell r="AB403">
            <v>922.98532539877397</v>
          </cell>
          <cell r="AC403">
            <v>166.95768295139359</v>
          </cell>
          <cell r="AD403">
            <v>682.48241269086316</v>
          </cell>
        </row>
        <row r="404">
          <cell r="A404" t="str">
            <v>CGI018-qtz11-CL-fit-5-offset</v>
          </cell>
          <cell r="B404">
            <v>750</v>
          </cell>
          <cell r="C404">
            <v>8.0537892000481889E-22</v>
          </cell>
          <cell r="D404">
            <v>1250</v>
          </cell>
          <cell r="E404">
            <v>1024</v>
          </cell>
          <cell r="F404">
            <v>1.220703125</v>
          </cell>
          <cell r="H404">
            <v>3.245180935200683E-4</v>
          </cell>
          <cell r="I404">
            <v>142.96252389080664</v>
          </cell>
          <cell r="J404">
            <v>199.94904061568866</v>
          </cell>
          <cell r="K404">
            <v>141.14024879146649</v>
          </cell>
          <cell r="L404">
            <v>5.2026084141020537</v>
          </cell>
          <cell r="M404">
            <v>71.525276581666489</v>
          </cell>
          <cell r="N404">
            <v>108.7458644091348</v>
          </cell>
          <cell r="O404">
            <v>182.51660332574104</v>
          </cell>
          <cell r="P404">
            <v>31.502349680908264</v>
          </cell>
          <cell r="Q404">
            <v>176.4705778496446</v>
          </cell>
          <cell r="R404">
            <v>240.3117788502245</v>
          </cell>
          <cell r="T404">
            <v>108.23539483624101</v>
          </cell>
          <cell r="U404">
            <v>94.744354092579286</v>
          </cell>
          <cell r="V404">
            <v>141.14024879146649</v>
          </cell>
          <cell r="X404">
            <v>108.92305843270404</v>
          </cell>
          <cell r="Z404">
            <v>103.68190534978335</v>
          </cell>
          <cell r="AA404">
            <v>1.0049227644369629</v>
          </cell>
          <cell r="AB404">
            <v>395.47947421759608</v>
          </cell>
          <cell r="AC404">
            <v>102.67698258534638</v>
          </cell>
          <cell r="AD404">
            <v>291.79756886781274</v>
          </cell>
        </row>
        <row r="405">
          <cell r="A405" t="str">
            <v>CGI018-qtz11-CL-fit-6-offset</v>
          </cell>
          <cell r="B405">
            <v>750</v>
          </cell>
          <cell r="C405">
            <v>8.0537892000481889E-22</v>
          </cell>
          <cell r="D405">
            <v>1250</v>
          </cell>
          <cell r="E405">
            <v>1024</v>
          </cell>
          <cell r="F405">
            <v>1.220703125</v>
          </cell>
          <cell r="H405">
            <v>0.89247067086344256</v>
          </cell>
          <cell r="I405">
            <v>159.61369359043127</v>
          </cell>
          <cell r="J405">
            <v>47.200494763211395</v>
          </cell>
          <cell r="K405">
            <v>279.66249370075769</v>
          </cell>
          <cell r="L405">
            <v>26.911120988218666</v>
          </cell>
          <cell r="M405">
            <v>0.56413180287520004</v>
          </cell>
          <cell r="N405">
            <v>0.42058172829810653</v>
          </cell>
          <cell r="O405">
            <v>56.955527686249631</v>
          </cell>
          <cell r="P405">
            <v>42.622221781137071</v>
          </cell>
          <cell r="Q405">
            <v>30.830700845425071</v>
          </cell>
          <cell r="R405">
            <v>89.770291389360892</v>
          </cell>
          <cell r="T405">
            <v>40.865878922028124</v>
          </cell>
          <cell r="U405">
            <v>43.874764724002411</v>
          </cell>
          <cell r="V405">
            <v>42.622221781137071</v>
          </cell>
          <cell r="X405">
            <v>27.453114332541976</v>
          </cell>
          <cell r="Z405">
            <v>79.196642810668649</v>
          </cell>
          <cell r="AA405">
            <v>5.5896909748405825E-2</v>
          </cell>
          <cell r="AB405">
            <v>696.51514945823499</v>
          </cell>
          <cell r="AC405">
            <v>79.140745900920237</v>
          </cell>
          <cell r="AD405">
            <v>617.31850664756632</v>
          </cell>
        </row>
        <row r="406">
          <cell r="A406" t="str">
            <v>CGI018-qtz12-CL-fit-1-offset</v>
          </cell>
          <cell r="B406">
            <v>750</v>
          </cell>
          <cell r="C406">
            <v>8.0537892000481889E-22</v>
          </cell>
          <cell r="D406">
            <v>1800</v>
          </cell>
          <cell r="E406">
            <v>1024</v>
          </cell>
          <cell r="F406">
            <v>1.7578125</v>
          </cell>
          <cell r="H406">
            <v>848.31806470126901</v>
          </cell>
          <cell r="I406">
            <v>1099.2701002280069</v>
          </cell>
          <cell r="J406">
            <v>895.66161446880926</v>
          </cell>
          <cell r="K406">
            <v>482.9526086251945</v>
          </cell>
          <cell r="L406">
            <v>713.55174643817008</v>
          </cell>
          <cell r="M406">
            <v>1048.8827626859597</v>
          </cell>
          <cell r="N406">
            <v>1164.9256568989986</v>
          </cell>
          <cell r="O406">
            <v>1155.0045892560822</v>
          </cell>
          <cell r="P406">
            <v>1253.7011108926483</v>
          </cell>
          <cell r="Q406">
            <v>1250.6934598695698</v>
          </cell>
          <cell r="R406">
            <v>955.48222124410177</v>
          </cell>
          <cell r="T406">
            <v>983.42206752159586</v>
          </cell>
          <cell r="U406">
            <v>972.78098857443592</v>
          </cell>
          <cell r="V406">
            <v>1048.8827626859597</v>
          </cell>
          <cell r="X406">
            <v>979.86372504992835</v>
          </cell>
          <cell r="Z406">
            <v>995.58836975125314</v>
          </cell>
          <cell r="AA406">
            <v>660.87828294125734</v>
          </cell>
          <cell r="AB406">
            <v>1615.3359326018708</v>
          </cell>
          <cell r="AC406">
            <v>334.7100868099958</v>
          </cell>
          <cell r="AD406">
            <v>619.74756285061767</v>
          </cell>
        </row>
        <row r="407">
          <cell r="A407" t="str">
            <v>CGI018-qtz12-CL-fit-2-offset</v>
          </cell>
          <cell r="B407">
            <v>750</v>
          </cell>
          <cell r="C407">
            <v>8.0537892000481889E-22</v>
          </cell>
          <cell r="D407">
            <v>1800</v>
          </cell>
          <cell r="E407">
            <v>1024</v>
          </cell>
          <cell r="F407">
            <v>1.7578125</v>
          </cell>
          <cell r="H407">
            <v>701.18330182335205</v>
          </cell>
          <cell r="I407">
            <v>125.09620801414597</v>
          </cell>
          <cell r="J407">
            <v>349.52655834935717</v>
          </cell>
          <cell r="K407">
            <v>423.70546675483348</v>
          </cell>
          <cell r="L407">
            <v>470.2230300229815</v>
          </cell>
          <cell r="M407">
            <v>818.80533425067551</v>
          </cell>
          <cell r="N407">
            <v>779.61619600968743</v>
          </cell>
          <cell r="O407">
            <v>1014.1882196709536</v>
          </cell>
          <cell r="P407">
            <v>630.47157390233929</v>
          </cell>
          <cell r="Q407">
            <v>451.62181458073422</v>
          </cell>
          <cell r="R407">
            <v>851.84408441860705</v>
          </cell>
          <cell r="T407">
            <v>594.46231621160587</v>
          </cell>
          <cell r="U407">
            <v>569.7271306268691</v>
          </cell>
          <cell r="V407">
            <v>630.47157390233929</v>
          </cell>
          <cell r="X407">
            <v>596.6801456571435</v>
          </cell>
          <cell r="Z407">
            <v>591.34699480645793</v>
          </cell>
          <cell r="AA407">
            <v>178.34696570861118</v>
          </cell>
          <cell r="AB407">
            <v>1360.9295260951533</v>
          </cell>
          <cell r="AC407">
            <v>413.00002909784678</v>
          </cell>
          <cell r="AD407">
            <v>769.58253128869535</v>
          </cell>
        </row>
        <row r="408">
          <cell r="A408" t="str">
            <v>CGI018-qtz12-CL-fit-3-offset</v>
          </cell>
          <cell r="B408">
            <v>750</v>
          </cell>
          <cell r="C408">
            <v>8.0537892000481889E-22</v>
          </cell>
          <cell r="D408">
            <v>1800</v>
          </cell>
          <cell r="E408">
            <v>1024</v>
          </cell>
          <cell r="F408">
            <v>1.7578125</v>
          </cell>
          <cell r="H408">
            <v>287.97125590256718</v>
          </cell>
          <cell r="I408">
            <v>411.95874782866031</v>
          </cell>
          <cell r="J408">
            <v>68.455061977873598</v>
          </cell>
          <cell r="K408">
            <v>65.579090458368114</v>
          </cell>
          <cell r="L408">
            <v>464.15424821839417</v>
          </cell>
          <cell r="M408">
            <v>44.111082241834886</v>
          </cell>
          <cell r="N408">
            <v>37.372715987737379</v>
          </cell>
          <cell r="O408">
            <v>94.656997558465903</v>
          </cell>
          <cell r="P408">
            <v>29.984698277626528</v>
          </cell>
          <cell r="Q408">
            <v>92.589005111629717</v>
          </cell>
          <cell r="R408">
            <v>345.98023600593649</v>
          </cell>
          <cell r="T408">
            <v>167.27005796803357</v>
          </cell>
          <cell r="U408">
            <v>142.61871374721665</v>
          </cell>
          <cell r="V408">
            <v>92.589005111629717</v>
          </cell>
          <cell r="X408">
            <v>138.03280818660588</v>
          </cell>
          <cell r="Z408">
            <v>158.71494602082427</v>
          </cell>
          <cell r="AA408">
            <v>1.5527751898559137</v>
          </cell>
          <cell r="AB408">
            <v>957.75204709395837</v>
          </cell>
          <cell r="AC408">
            <v>157.16217083096836</v>
          </cell>
          <cell r="AD408">
            <v>799.03710107313407</v>
          </cell>
        </row>
        <row r="409">
          <cell r="A409" t="str">
            <v>CGI018-qtz12-CL-fit-4-offset</v>
          </cell>
          <cell r="B409">
            <v>750</v>
          </cell>
          <cell r="C409">
            <v>8.0537892000481889E-22</v>
          </cell>
          <cell r="D409">
            <v>1800</v>
          </cell>
          <cell r="E409">
            <v>1024</v>
          </cell>
          <cell r="F409">
            <v>1.7578125</v>
          </cell>
          <cell r="H409">
            <v>224.74148869717945</v>
          </cell>
          <cell r="I409">
            <v>184.41142310782197</v>
          </cell>
          <cell r="J409">
            <v>176.74797983202427</v>
          </cell>
          <cell r="K409">
            <v>294.66140235797076</v>
          </cell>
          <cell r="L409">
            <v>233.15539725113072</v>
          </cell>
          <cell r="M409">
            <v>266.6524398613783</v>
          </cell>
          <cell r="N409">
            <v>243.0619565524301</v>
          </cell>
          <cell r="O409">
            <v>127.06170058356847</v>
          </cell>
          <cell r="P409">
            <v>104.26079929515761</v>
          </cell>
          <cell r="Q409">
            <v>128.04900016192366</v>
          </cell>
          <cell r="R409">
            <v>166.68309622659686</v>
          </cell>
          <cell r="T409">
            <v>197.21246845833355</v>
          </cell>
          <cell r="U409">
            <v>190.76724012576727</v>
          </cell>
          <cell r="V409">
            <v>184.41142310782197</v>
          </cell>
          <cell r="X409">
            <v>187.72471399522891</v>
          </cell>
          <cell r="Z409">
            <v>190.62924650633263</v>
          </cell>
          <cell r="AA409">
            <v>80.203017989936455</v>
          </cell>
          <cell r="AB409">
            <v>400.45672385183326</v>
          </cell>
          <cell r="AC409">
            <v>110.42622851639618</v>
          </cell>
          <cell r="AD409">
            <v>209.82747734550063</v>
          </cell>
        </row>
        <row r="410">
          <cell r="A410" t="str">
            <v>CGI018-qtz12-CL-fit-5-offset</v>
          </cell>
          <cell r="B410">
            <v>750</v>
          </cell>
          <cell r="C410">
            <v>8.0537892000481889E-22</v>
          </cell>
          <cell r="D410">
            <v>1800</v>
          </cell>
          <cell r="E410">
            <v>1024</v>
          </cell>
          <cell r="F410">
            <v>1.7578125</v>
          </cell>
          <cell r="H410">
            <v>389.76234133576469</v>
          </cell>
          <cell r="I410">
            <v>432.85319472625935</v>
          </cell>
          <cell r="J410">
            <v>699.57446358383913</v>
          </cell>
          <cell r="K410">
            <v>273.24516205775859</v>
          </cell>
          <cell r="L410">
            <v>385.97237752272974</v>
          </cell>
          <cell r="M410">
            <v>331.70038655134437</v>
          </cell>
          <cell r="N410">
            <v>551.27036622787409</v>
          </cell>
          <cell r="O410">
            <v>421.64833956318523</v>
          </cell>
          <cell r="P410">
            <v>169.17619846371741</v>
          </cell>
          <cell r="Q410">
            <v>222.94546301652693</v>
          </cell>
          <cell r="R410">
            <v>287.61504290556996</v>
          </cell>
          <cell r="T410">
            <v>368.42243434637703</v>
          </cell>
          <cell r="U410">
            <v>365.49278503014256</v>
          </cell>
          <cell r="V410">
            <v>385.97237752272974</v>
          </cell>
          <cell r="X410">
            <v>362.40601633649811</v>
          </cell>
          <cell r="Z410">
            <v>372.32106642885441</v>
          </cell>
          <cell r="AA410">
            <v>186.90770353159411</v>
          </cell>
          <cell r="AB410">
            <v>627.24375878590217</v>
          </cell>
          <cell r="AC410">
            <v>185.4133628972603</v>
          </cell>
          <cell r="AD410">
            <v>254.92269235704777</v>
          </cell>
        </row>
        <row r="411">
          <cell r="A411" t="str">
            <v>CGI018-qtz12-CL-fit-6-offset</v>
          </cell>
          <cell r="B411">
            <v>750</v>
          </cell>
          <cell r="C411">
            <v>8.0537892000481889E-22</v>
          </cell>
          <cell r="D411">
            <v>1800</v>
          </cell>
          <cell r="E411">
            <v>1024</v>
          </cell>
          <cell r="F411">
            <v>1.7578125</v>
          </cell>
          <cell r="H411">
            <v>96.560014824603314</v>
          </cell>
          <cell r="I411">
            <v>72.773588517840423</v>
          </cell>
          <cell r="J411">
            <v>43.235216593517954</v>
          </cell>
          <cell r="K411">
            <v>50.496049811800773</v>
          </cell>
          <cell r="L411">
            <v>112.67701834442205</v>
          </cell>
          <cell r="M411">
            <v>58.546225557556056</v>
          </cell>
          <cell r="N411">
            <v>182.37693070603441</v>
          </cell>
          <cell r="O411">
            <v>143.37085110659083</v>
          </cell>
          <cell r="P411">
            <v>90.746160848053734</v>
          </cell>
          <cell r="Q411">
            <v>42.936671223364087</v>
          </cell>
          <cell r="R411">
            <v>61.16553105130594</v>
          </cell>
          <cell r="T411">
            <v>79.240025239982202</v>
          </cell>
          <cell r="U411">
            <v>82.121692535887078</v>
          </cell>
          <cell r="V411">
            <v>72.773588517840423</v>
          </cell>
          <cell r="X411">
            <v>69.015037444395873</v>
          </cell>
          <cell r="Z411">
            <v>73.70748755100378</v>
          </cell>
          <cell r="AA411">
            <v>3.6572779959077839</v>
          </cell>
          <cell r="AB411">
            <v>191.60658983226901</v>
          </cell>
          <cell r="AC411">
            <v>70.050209555095989</v>
          </cell>
          <cell r="AD411">
            <v>117.89910228126523</v>
          </cell>
        </row>
        <row r="412">
          <cell r="A412" t="str">
            <v>CGI018-qtz12-CL-fit-7-offset</v>
          </cell>
          <cell r="B412">
            <v>750</v>
          </cell>
          <cell r="C412">
            <v>8.0537892000481889E-22</v>
          </cell>
          <cell r="D412">
            <v>1800</v>
          </cell>
          <cell r="E412">
            <v>1024</v>
          </cell>
          <cell r="F412">
            <v>1.7578125</v>
          </cell>
          <cell r="H412">
            <v>0.47999897088637034</v>
          </cell>
          <cell r="I412">
            <v>8.6112795177794063E-2</v>
          </cell>
          <cell r="J412">
            <v>2.297521343559975E-3</v>
          </cell>
          <cell r="K412">
            <v>0.81367528098512154</v>
          </cell>
          <cell r="L412">
            <v>2.024334139663958E-2</v>
          </cell>
          <cell r="M412">
            <v>0.5538683196142925</v>
          </cell>
          <cell r="N412">
            <v>4.1141888445833051E-4</v>
          </cell>
          <cell r="O412">
            <v>2.9914382304661025E-2</v>
          </cell>
          <cell r="P412">
            <v>0.7212844210106184</v>
          </cell>
          <cell r="Q412">
            <v>97.110583139498658</v>
          </cell>
          <cell r="R412">
            <v>7.5962981452669873E-2</v>
          </cell>
          <cell r="T412">
            <v>0.31601698747894907</v>
          </cell>
          <cell r="U412">
            <v>1.6187597060329435</v>
          </cell>
          <cell r="V412">
            <v>8.6112795177794063E-2</v>
          </cell>
          <cell r="X412">
            <v>0.31560715000389578</v>
          </cell>
          <cell r="Z412">
            <v>0.37440823997873945</v>
          </cell>
          <cell r="AA412">
            <v>0.30496659159695405</v>
          </cell>
          <cell r="AB412">
            <v>0.32908201523227953</v>
          </cell>
          <cell r="AC412">
            <v>6.9441648381785404E-2</v>
          </cell>
          <cell r="AD412">
            <v>-4.532622474645992E-2</v>
          </cell>
        </row>
      </sheetData>
      <sheetData sheetId="3" refreshError="1">
        <row r="1">
          <cell r="A1" t="str">
            <v>L (2*sqrt[Dt]) [a]</v>
          </cell>
          <cell r="B1" t="str">
            <v>T</v>
          </cell>
          <cell r="C1" t="str">
            <v>D</v>
          </cell>
          <cell r="D1" t="str">
            <v>View Field</v>
          </cell>
          <cell r="E1" t="str">
            <v>Img Width</v>
          </cell>
          <cell r="F1" t="str">
            <v>Resolution</v>
          </cell>
          <cell r="G1" t="str">
            <v>Category</v>
          </cell>
          <cell r="I1" t="str">
            <v>Profile MC Median</v>
          </cell>
          <cell r="J1" t="str">
            <v>Profile MC Avg</v>
          </cell>
          <cell r="K1" t="str">
            <v>Profile MC CI Low</v>
          </cell>
          <cell r="L1" t="str">
            <v>Profile MC CI High</v>
          </cell>
          <cell r="M1" t="str">
            <v>Error (-)</v>
          </cell>
          <cell r="N1" t="str">
            <v>Error (+)</v>
          </cell>
          <cell r="Q1" t="str">
            <v>Bin</v>
          </cell>
          <cell r="S1" t="str">
            <v>Profile MC Median</v>
          </cell>
          <cell r="U1" t="str">
            <v>Profile MC Avg</v>
          </cell>
          <cell r="V1" t="str">
            <v>Profile MC CI Low</v>
          </cell>
          <cell r="W1" t="str">
            <v>Profile MC CI High</v>
          </cell>
          <cell r="Y1" t="str">
            <v>Core</v>
          </cell>
          <cell r="Z1" t="str">
            <v>Interior</v>
          </cell>
          <cell r="AA1" t="str">
            <v>Rim</v>
          </cell>
        </row>
        <row r="2">
          <cell r="A2" t="str">
            <v>CGI009-qtz01-CL-fit-1-offset</v>
          </cell>
          <cell r="B2">
            <v>750</v>
          </cell>
          <cell r="C2">
            <v>8.0537892000481889E-22</v>
          </cell>
          <cell r="D2">
            <v>1150</v>
          </cell>
          <cell r="E2">
            <v>1024</v>
          </cell>
          <cell r="F2">
            <v>1.123046875</v>
          </cell>
          <cell r="G2" t="str">
            <v>Core</v>
          </cell>
          <cell r="I2">
            <v>86.71685654290259</v>
          </cell>
          <cell r="J2">
            <v>101.45404361165001</v>
          </cell>
          <cell r="K2">
            <v>1.4393592384486025</v>
          </cell>
          <cell r="L2">
            <v>350.78742634229513</v>
          </cell>
          <cell r="M2">
            <v>100.0146843732014</v>
          </cell>
          <cell r="N2">
            <v>249.33338273064513</v>
          </cell>
          <cell r="Q2">
            <v>0.1</v>
          </cell>
          <cell r="S2">
            <v>0</v>
          </cell>
          <cell r="U2">
            <v>0</v>
          </cell>
          <cell r="V2">
            <v>41</v>
          </cell>
          <cell r="W2">
            <v>0</v>
          </cell>
          <cell r="Y2">
            <v>0</v>
          </cell>
          <cell r="Z2">
            <v>0</v>
          </cell>
          <cell r="AA2">
            <v>0</v>
          </cell>
        </row>
        <row r="3">
          <cell r="A3" t="str">
            <v>CGI018-qtz06-CL-fit-3-offset</v>
          </cell>
          <cell r="B3">
            <v>750</v>
          </cell>
          <cell r="C3">
            <v>8.0537892000481889E-22</v>
          </cell>
          <cell r="D3">
            <v>1750</v>
          </cell>
          <cell r="E3">
            <v>1024</v>
          </cell>
          <cell r="F3">
            <v>1.708984375</v>
          </cell>
          <cell r="G3" t="str">
            <v>Core</v>
          </cell>
          <cell r="I3">
            <v>101.52881275676405</v>
          </cell>
          <cell r="J3">
            <v>102.60833053623224</v>
          </cell>
          <cell r="K3">
            <v>17.074962496112985</v>
          </cell>
          <cell r="L3">
            <v>247.08333039364132</v>
          </cell>
          <cell r="M3">
            <v>85.533368040119257</v>
          </cell>
          <cell r="N3">
            <v>144.47499985740907</v>
          </cell>
          <cell r="P3">
            <v>0.1</v>
          </cell>
          <cell r="Q3">
            <v>1</v>
          </cell>
          <cell r="S3">
            <v>1</v>
          </cell>
          <cell r="U3">
            <v>1</v>
          </cell>
          <cell r="V3">
            <v>31</v>
          </cell>
          <cell r="W3">
            <v>2</v>
          </cell>
          <cell r="Y3">
            <v>0</v>
          </cell>
          <cell r="Z3">
            <v>0</v>
          </cell>
          <cell r="AA3">
            <v>1</v>
          </cell>
        </row>
        <row r="4">
          <cell r="A4" t="str">
            <v>CGI001-qtz09-CL-fit-2-offset</v>
          </cell>
          <cell r="B4">
            <v>750</v>
          </cell>
          <cell r="C4">
            <v>8.0537892000481889E-22</v>
          </cell>
          <cell r="D4">
            <v>1500</v>
          </cell>
          <cell r="E4">
            <v>1024</v>
          </cell>
          <cell r="F4">
            <v>1.46484375</v>
          </cell>
          <cell r="G4" t="str">
            <v>Core</v>
          </cell>
          <cell r="I4">
            <v>120.24589696517586</v>
          </cell>
          <cell r="J4">
            <v>111.96105812843216</v>
          </cell>
          <cell r="K4">
            <v>0.55379426078562344</v>
          </cell>
          <cell r="L4">
            <v>492.97552194287624</v>
          </cell>
          <cell r="M4">
            <v>111.40726386764653</v>
          </cell>
          <cell r="N4">
            <v>381.01446381444407</v>
          </cell>
          <cell r="P4">
            <v>1</v>
          </cell>
          <cell r="Q4">
            <v>10</v>
          </cell>
          <cell r="S4">
            <v>17</v>
          </cell>
          <cell r="U4">
            <v>7</v>
          </cell>
          <cell r="V4">
            <v>61</v>
          </cell>
          <cell r="W4">
            <v>0</v>
          </cell>
          <cell r="Y4">
            <v>0</v>
          </cell>
          <cell r="Z4">
            <v>2</v>
          </cell>
          <cell r="AA4">
            <v>5</v>
          </cell>
        </row>
        <row r="5">
          <cell r="A5" t="str">
            <v>CGI018-qtz12-CL-fit-3-offset</v>
          </cell>
          <cell r="B5">
            <v>750</v>
          </cell>
          <cell r="C5">
            <v>8.0537892000481889E-22</v>
          </cell>
          <cell r="D5">
            <v>1800</v>
          </cell>
          <cell r="E5">
            <v>1024</v>
          </cell>
          <cell r="F5">
            <v>1.7578125</v>
          </cell>
          <cell r="G5" t="str">
            <v>Core</v>
          </cell>
          <cell r="I5">
            <v>138.03280818660588</v>
          </cell>
          <cell r="J5">
            <v>158.71494602082427</v>
          </cell>
          <cell r="K5">
            <v>1.5527751898559137</v>
          </cell>
          <cell r="L5">
            <v>957.75204709395837</v>
          </cell>
          <cell r="M5">
            <v>157.16217083096836</v>
          </cell>
          <cell r="N5">
            <v>799.03710107313407</v>
          </cell>
          <cell r="P5">
            <v>10</v>
          </cell>
          <cell r="Q5">
            <v>100</v>
          </cell>
          <cell r="S5">
            <v>75</v>
          </cell>
          <cell r="U5">
            <v>79</v>
          </cell>
          <cell r="V5">
            <v>100</v>
          </cell>
          <cell r="W5">
            <v>15</v>
          </cell>
          <cell r="Y5">
            <v>0</v>
          </cell>
          <cell r="Z5">
            <v>58</v>
          </cell>
          <cell r="AA5">
            <v>21</v>
          </cell>
        </row>
        <row r="6">
          <cell r="A6" t="str">
            <v>CGI009-qtz11-CL-fit-1-offset</v>
          </cell>
          <cell r="B6">
            <v>750</v>
          </cell>
          <cell r="C6">
            <v>8.0537892000481889E-22</v>
          </cell>
          <cell r="D6">
            <v>1700</v>
          </cell>
          <cell r="E6">
            <v>1024</v>
          </cell>
          <cell r="F6">
            <v>1.66015625</v>
          </cell>
          <cell r="G6" t="str">
            <v>Core</v>
          </cell>
          <cell r="I6">
            <v>60.56521634331763</v>
          </cell>
          <cell r="J6">
            <v>159.384730766677</v>
          </cell>
          <cell r="K6">
            <v>5.8693828358582351E-4</v>
          </cell>
          <cell r="L6">
            <v>6412.2010739852449</v>
          </cell>
          <cell r="M6">
            <v>159.38414382839341</v>
          </cell>
          <cell r="N6">
            <v>6252.8163432185675</v>
          </cell>
          <cell r="P6">
            <v>100</v>
          </cell>
          <cell r="Q6">
            <v>1000</v>
          </cell>
          <cell r="S6">
            <v>235</v>
          </cell>
          <cell r="U6">
            <v>238</v>
          </cell>
          <cell r="V6">
            <v>147</v>
          </cell>
          <cell r="W6">
            <v>219</v>
          </cell>
          <cell r="Y6">
            <v>69</v>
          </cell>
          <cell r="Z6">
            <v>163</v>
          </cell>
          <cell r="AA6">
            <v>6</v>
          </cell>
        </row>
        <row r="7">
          <cell r="A7" t="str">
            <v>CGI009-qtz01-CL-fit-2-offset</v>
          </cell>
          <cell r="B7">
            <v>750</v>
          </cell>
          <cell r="C7">
            <v>8.0537892000481889E-22</v>
          </cell>
          <cell r="D7">
            <v>1150</v>
          </cell>
          <cell r="E7">
            <v>1024</v>
          </cell>
          <cell r="F7">
            <v>1.123046875</v>
          </cell>
          <cell r="G7" t="str">
            <v>Core</v>
          </cell>
          <cell r="I7">
            <v>160.54989275174978</v>
          </cell>
          <cell r="J7">
            <v>160.76565733972967</v>
          </cell>
          <cell r="K7">
            <v>75.35268740869941</v>
          </cell>
          <cell r="L7">
            <v>282.73610770199946</v>
          </cell>
          <cell r="M7">
            <v>85.412969931030261</v>
          </cell>
          <cell r="N7">
            <v>121.97045036226979</v>
          </cell>
          <cell r="P7">
            <v>1000</v>
          </cell>
          <cell r="Q7">
            <v>10000</v>
          </cell>
          <cell r="S7">
            <v>83</v>
          </cell>
          <cell r="U7">
            <v>86</v>
          </cell>
          <cell r="V7">
            <v>31</v>
          </cell>
          <cell r="W7">
            <v>164</v>
          </cell>
          <cell r="Y7">
            <v>51</v>
          </cell>
          <cell r="Z7">
            <v>35</v>
          </cell>
          <cell r="AA7">
            <v>0</v>
          </cell>
        </row>
        <row r="8">
          <cell r="A8" t="str">
            <v>CGI009-qtz11-CL-fit-2-offset</v>
          </cell>
          <cell r="B8">
            <v>750</v>
          </cell>
          <cell r="C8">
            <v>8.0537892000481889E-22</v>
          </cell>
          <cell r="D8">
            <v>1700</v>
          </cell>
          <cell r="E8">
            <v>1024</v>
          </cell>
          <cell r="F8">
            <v>1.66015625</v>
          </cell>
          <cell r="G8" t="str">
            <v>Core</v>
          </cell>
          <cell r="I8">
            <v>167.73111481744888</v>
          </cell>
          <cell r="J8">
            <v>163.57447722376585</v>
          </cell>
          <cell r="K8">
            <v>3.4405535318265579</v>
          </cell>
          <cell r="L8">
            <v>443.49928635517244</v>
          </cell>
          <cell r="M8">
            <v>160.13392369193929</v>
          </cell>
          <cell r="N8">
            <v>279.92480913140662</v>
          </cell>
          <cell r="P8">
            <v>10000</v>
          </cell>
          <cell r="Q8">
            <v>100000</v>
          </cell>
          <cell r="S8">
            <v>0</v>
          </cell>
          <cell r="U8">
            <v>0</v>
          </cell>
          <cell r="V8">
            <v>0</v>
          </cell>
          <cell r="W8">
            <v>11</v>
          </cell>
          <cell r="Y8">
            <v>0</v>
          </cell>
          <cell r="Z8">
            <v>0</v>
          </cell>
          <cell r="AA8">
            <v>0</v>
          </cell>
        </row>
        <row r="9">
          <cell r="A9" t="str">
            <v>CGI008-qtz05-CL-fit-1-offset</v>
          </cell>
          <cell r="B9">
            <v>750</v>
          </cell>
          <cell r="C9">
            <v>8.0537892000481889E-22</v>
          </cell>
          <cell r="D9">
            <v>1450</v>
          </cell>
          <cell r="E9">
            <v>1024</v>
          </cell>
          <cell r="F9">
            <v>1.416015625</v>
          </cell>
          <cell r="G9" t="str">
            <v>Core</v>
          </cell>
          <cell r="I9">
            <v>170.81892679572459</v>
          </cell>
          <cell r="J9">
            <v>167.98815274263879</v>
          </cell>
          <cell r="K9">
            <v>26.939170237543394</v>
          </cell>
          <cell r="L9">
            <v>366.83857975951867</v>
          </cell>
          <cell r="M9">
            <v>141.04898250509541</v>
          </cell>
          <cell r="N9">
            <v>198.85042701687988</v>
          </cell>
        </row>
        <row r="10">
          <cell r="A10" t="str">
            <v>CGI011-qtz04-CL-fit-2-offset</v>
          </cell>
          <cell r="B10">
            <v>750</v>
          </cell>
          <cell r="C10">
            <v>8.0537892000481889E-22</v>
          </cell>
          <cell r="D10">
            <v>1800</v>
          </cell>
          <cell r="E10">
            <v>1024</v>
          </cell>
          <cell r="F10">
            <v>1.7578125</v>
          </cell>
          <cell r="G10" t="str">
            <v>Core</v>
          </cell>
          <cell r="I10">
            <v>181.60942339313624</v>
          </cell>
          <cell r="J10">
            <v>178.40489277230984</v>
          </cell>
          <cell r="K10">
            <v>4.5179735192380193</v>
          </cell>
          <cell r="L10">
            <v>505.87400885530189</v>
          </cell>
          <cell r="M10">
            <v>173.88691925307182</v>
          </cell>
          <cell r="N10">
            <v>327.46911608299206</v>
          </cell>
        </row>
        <row r="11">
          <cell r="A11" t="str">
            <v>CGI018-qtz11-CL-fit-2-offset</v>
          </cell>
          <cell r="B11">
            <v>750</v>
          </cell>
          <cell r="C11">
            <v>8.0537892000481889E-22</v>
          </cell>
          <cell r="D11">
            <v>1250</v>
          </cell>
          <cell r="E11">
            <v>1024</v>
          </cell>
          <cell r="F11">
            <v>1.220703125</v>
          </cell>
          <cell r="G11" t="str">
            <v>COre</v>
          </cell>
          <cell r="I11">
            <v>173.94009843447739</v>
          </cell>
          <cell r="J11">
            <v>185.85831198904162</v>
          </cell>
          <cell r="K11">
            <v>0.98412025620575405</v>
          </cell>
          <cell r="L11">
            <v>1009.45580258859</v>
          </cell>
          <cell r="M11">
            <v>184.87419173283587</v>
          </cell>
          <cell r="N11">
            <v>823.59749059954834</v>
          </cell>
        </row>
        <row r="12">
          <cell r="A12" t="str">
            <v>CGI011-qtz09-CL-fit-1-offset</v>
          </cell>
          <cell r="B12">
            <v>750</v>
          </cell>
          <cell r="C12">
            <v>8.0537892000481889E-22</v>
          </cell>
          <cell r="D12">
            <v>1100</v>
          </cell>
          <cell r="E12">
            <v>1024</v>
          </cell>
          <cell r="F12">
            <v>1.07421875</v>
          </cell>
          <cell r="G12" t="str">
            <v>COre</v>
          </cell>
          <cell r="I12">
            <v>178.10488409294155</v>
          </cell>
          <cell r="J12">
            <v>199.01839981287117</v>
          </cell>
          <cell r="K12">
            <v>1.3839299723776863</v>
          </cell>
          <cell r="L12">
            <v>944.86447826114113</v>
          </cell>
          <cell r="M12">
            <v>197.63446984049347</v>
          </cell>
          <cell r="N12">
            <v>745.84607844826996</v>
          </cell>
        </row>
        <row r="13">
          <cell r="A13" t="str">
            <v>CGI015-qtz08-CL-fit-2-offset</v>
          </cell>
          <cell r="B13">
            <v>750</v>
          </cell>
          <cell r="C13">
            <v>8.0537892000481889E-22</v>
          </cell>
          <cell r="D13">
            <v>1150</v>
          </cell>
          <cell r="E13">
            <v>1024</v>
          </cell>
          <cell r="F13">
            <v>1.123046875</v>
          </cell>
          <cell r="G13" t="str">
            <v>Core</v>
          </cell>
          <cell r="I13">
            <v>220.72386107357838</v>
          </cell>
          <cell r="J13">
            <v>229.25676580073124</v>
          </cell>
          <cell r="K13">
            <v>107.70673249608133</v>
          </cell>
          <cell r="L13">
            <v>511.40526918305966</v>
          </cell>
          <cell r="M13">
            <v>121.55003330464992</v>
          </cell>
          <cell r="N13">
            <v>282.14850338232839</v>
          </cell>
        </row>
        <row r="14">
          <cell r="A14" t="str">
            <v>CGI015-qtz07-CL-fit-3-offset</v>
          </cell>
          <cell r="B14">
            <v>750</v>
          </cell>
          <cell r="C14">
            <v>8.0537892000481889E-22</v>
          </cell>
          <cell r="D14">
            <v>2250</v>
          </cell>
          <cell r="E14">
            <v>1024</v>
          </cell>
          <cell r="F14">
            <v>2.197265625</v>
          </cell>
          <cell r="G14" t="str">
            <v>Core</v>
          </cell>
          <cell r="I14">
            <v>226.15313572857343</v>
          </cell>
          <cell r="J14">
            <v>234.00708897901484</v>
          </cell>
          <cell r="K14">
            <v>119.69878285751213</v>
          </cell>
          <cell r="L14">
            <v>425.58660634548625</v>
          </cell>
          <cell r="M14">
            <v>114.30830612150271</v>
          </cell>
          <cell r="N14">
            <v>191.57951736647141</v>
          </cell>
        </row>
        <row r="15">
          <cell r="A15" t="str">
            <v>CGI018-qtz05-CL-fit-1-offset</v>
          </cell>
          <cell r="B15">
            <v>750</v>
          </cell>
          <cell r="C15">
            <v>8.0537892000481889E-22</v>
          </cell>
          <cell r="D15">
            <v>1600</v>
          </cell>
          <cell r="E15">
            <v>1024</v>
          </cell>
          <cell r="F15">
            <v>1.5625</v>
          </cell>
          <cell r="G15" t="str">
            <v>Core</v>
          </cell>
          <cell r="I15">
            <v>53.488076692691664</v>
          </cell>
          <cell r="J15">
            <v>237.53147434716533</v>
          </cell>
          <cell r="K15">
            <v>2.8742992317590061E-11</v>
          </cell>
          <cell r="L15">
            <v>18972.673030547452</v>
          </cell>
          <cell r="M15">
            <v>237.53147434713659</v>
          </cell>
          <cell r="N15">
            <v>18735.141556200288</v>
          </cell>
        </row>
        <row r="16">
          <cell r="A16" t="str">
            <v>CGI014-qtz09-CL-fit-1-offset</v>
          </cell>
          <cell r="B16">
            <v>750</v>
          </cell>
          <cell r="C16">
            <v>8.0537892000481889E-22</v>
          </cell>
          <cell r="D16">
            <v>1550</v>
          </cell>
          <cell r="E16">
            <v>1024</v>
          </cell>
          <cell r="F16">
            <v>1.513671875</v>
          </cell>
          <cell r="G16" t="str">
            <v>Core</v>
          </cell>
          <cell r="I16">
            <v>80.331562038181588</v>
          </cell>
          <cell r="J16">
            <v>249.78747061989904</v>
          </cell>
          <cell r="K16">
            <v>1.5504305862467093E-4</v>
          </cell>
          <cell r="L16">
            <v>25890.403301717761</v>
          </cell>
          <cell r="M16">
            <v>249.78731557684043</v>
          </cell>
          <cell r="N16">
            <v>25640.615831097861</v>
          </cell>
        </row>
        <row r="17">
          <cell r="A17" t="str">
            <v>CGI008-qtz01-CL-fit-1-offset</v>
          </cell>
          <cell r="B17">
            <v>750</v>
          </cell>
          <cell r="C17">
            <v>8.0537892000481889E-22</v>
          </cell>
          <cell r="D17">
            <v>1500</v>
          </cell>
          <cell r="E17">
            <v>1024</v>
          </cell>
          <cell r="F17">
            <v>1.46484375</v>
          </cell>
          <cell r="G17" t="str">
            <v>Core</v>
          </cell>
          <cell r="I17">
            <v>227.37712557037401</v>
          </cell>
          <cell r="J17">
            <v>250.1094831239451</v>
          </cell>
          <cell r="K17">
            <v>55.008598973257264</v>
          </cell>
          <cell r="L17">
            <v>845.46468611340811</v>
          </cell>
          <cell r="M17">
            <v>195.10088415068782</v>
          </cell>
          <cell r="N17">
            <v>595.35520298946301</v>
          </cell>
        </row>
        <row r="18">
          <cell r="A18" t="str">
            <v>CGI018-qtz06-CL-fit-2-offset</v>
          </cell>
          <cell r="B18">
            <v>750</v>
          </cell>
          <cell r="C18">
            <v>8.0537892000481889E-22</v>
          </cell>
          <cell r="D18">
            <v>1750</v>
          </cell>
          <cell r="E18">
            <v>1024</v>
          </cell>
          <cell r="F18">
            <v>1.708984375</v>
          </cell>
          <cell r="G18" t="str">
            <v>Core</v>
          </cell>
          <cell r="I18">
            <v>241.04484191612286</v>
          </cell>
          <cell r="J18">
            <v>260.85851120227051</v>
          </cell>
          <cell r="K18">
            <v>63.664239092342413</v>
          </cell>
          <cell r="L18">
            <v>945.35276302835109</v>
          </cell>
          <cell r="M18">
            <v>197.19427210992808</v>
          </cell>
          <cell r="N18">
            <v>684.49425182608059</v>
          </cell>
        </row>
        <row r="19">
          <cell r="A19" t="str">
            <v>CGI009-qtz12-CL-fit-2-offset</v>
          </cell>
          <cell r="B19">
            <v>750</v>
          </cell>
          <cell r="C19">
            <v>8.0537892000481889E-22</v>
          </cell>
          <cell r="D19">
            <v>2000</v>
          </cell>
          <cell r="E19">
            <v>1024</v>
          </cell>
          <cell r="F19">
            <v>1.953125</v>
          </cell>
          <cell r="G19" t="str">
            <v>Core</v>
          </cell>
          <cell r="I19">
            <v>290.95203491994027</v>
          </cell>
          <cell r="J19">
            <v>274.39900792275131</v>
          </cell>
          <cell r="K19">
            <v>70.807014343791792</v>
          </cell>
          <cell r="L19">
            <v>537.19697675275688</v>
          </cell>
          <cell r="M19">
            <v>203.59199357895952</v>
          </cell>
          <cell r="N19">
            <v>262.79796883000557</v>
          </cell>
        </row>
        <row r="20">
          <cell r="A20" t="str">
            <v>CGI018-qtz07-CL-fit-1-offset</v>
          </cell>
          <cell r="B20">
            <v>750</v>
          </cell>
          <cell r="C20">
            <v>8.0537892000481889E-22</v>
          </cell>
          <cell r="D20">
            <v>1700</v>
          </cell>
          <cell r="E20">
            <v>1024</v>
          </cell>
          <cell r="F20">
            <v>1.66015625</v>
          </cell>
          <cell r="G20" t="str">
            <v>Core</v>
          </cell>
          <cell r="I20">
            <v>216.93576176766425</v>
          </cell>
          <cell r="J20">
            <v>285.19357823071414</v>
          </cell>
          <cell r="K20">
            <v>0.12529180847956067</v>
          </cell>
          <cell r="L20">
            <v>1850.0776795901511</v>
          </cell>
          <cell r="M20">
            <v>285.06828642223456</v>
          </cell>
          <cell r="N20">
            <v>1564.884101359437</v>
          </cell>
        </row>
        <row r="21">
          <cell r="A21" t="str">
            <v>CGI018-qtz10-CL-fit-2-offset</v>
          </cell>
          <cell r="B21">
            <v>750</v>
          </cell>
          <cell r="C21">
            <v>8.0537892000481889E-22</v>
          </cell>
          <cell r="D21">
            <v>2600</v>
          </cell>
          <cell r="E21">
            <v>1024</v>
          </cell>
          <cell r="F21">
            <v>2.5390625</v>
          </cell>
          <cell r="G21" t="str">
            <v>COre</v>
          </cell>
          <cell r="I21">
            <v>285.59479662202767</v>
          </cell>
          <cell r="J21">
            <v>287.23160343724999</v>
          </cell>
          <cell r="K21">
            <v>62.726264338520522</v>
          </cell>
          <cell r="L21">
            <v>640.35824381269822</v>
          </cell>
          <cell r="M21">
            <v>224.50533909872945</v>
          </cell>
          <cell r="N21">
            <v>353.12664037544823</v>
          </cell>
        </row>
        <row r="22">
          <cell r="A22" t="str">
            <v>CGI018-qtz11-CL-fit-1-offset</v>
          </cell>
          <cell r="B22">
            <v>750</v>
          </cell>
          <cell r="C22">
            <v>8.0537892000481889E-22</v>
          </cell>
          <cell r="D22">
            <v>1250</v>
          </cell>
          <cell r="E22">
            <v>1024</v>
          </cell>
          <cell r="F22">
            <v>1.220703125</v>
          </cell>
          <cell r="G22" t="str">
            <v>Core</v>
          </cell>
          <cell r="I22">
            <v>292.98123249889301</v>
          </cell>
          <cell r="J22">
            <v>287.50250966068234</v>
          </cell>
          <cell r="K22">
            <v>169.16031207696523</v>
          </cell>
          <cell r="L22">
            <v>411.16459540067632</v>
          </cell>
          <cell r="M22">
            <v>118.34219758371711</v>
          </cell>
          <cell r="N22">
            <v>123.66208573999398</v>
          </cell>
        </row>
        <row r="23">
          <cell r="A23" t="str">
            <v>CGI018-qtz05-CL-fit-2-offset</v>
          </cell>
          <cell r="B23">
            <v>750</v>
          </cell>
          <cell r="C23">
            <v>8.0537892000481889E-22</v>
          </cell>
          <cell r="D23">
            <v>1600</v>
          </cell>
          <cell r="E23">
            <v>1024</v>
          </cell>
          <cell r="F23">
            <v>1.5625</v>
          </cell>
          <cell r="G23" t="str">
            <v>Core</v>
          </cell>
          <cell r="I23">
            <v>288.00343192541715</v>
          </cell>
          <cell r="J23">
            <v>296.99746156234585</v>
          </cell>
          <cell r="K23">
            <v>52.090192136802877</v>
          </cell>
          <cell r="L23">
            <v>848.71244454340444</v>
          </cell>
          <cell r="M23">
            <v>244.90726942554298</v>
          </cell>
          <cell r="N23">
            <v>551.7149829810586</v>
          </cell>
        </row>
        <row r="24">
          <cell r="A24" t="str">
            <v>CGI015-qtz10-CL-fit-3-offset</v>
          </cell>
          <cell r="B24">
            <v>750</v>
          </cell>
          <cell r="C24">
            <v>8.0537892000481889E-22</v>
          </cell>
          <cell r="D24">
            <v>2050</v>
          </cell>
          <cell r="E24">
            <v>1024</v>
          </cell>
          <cell r="F24">
            <v>2.001953125</v>
          </cell>
          <cell r="G24" t="str">
            <v>Core</v>
          </cell>
          <cell r="I24">
            <v>314.29425069991129</v>
          </cell>
          <cell r="J24">
            <v>316.87732541442665</v>
          </cell>
          <cell r="K24">
            <v>3.8262909273653007</v>
          </cell>
          <cell r="L24">
            <v>1636.402653993599</v>
          </cell>
          <cell r="M24">
            <v>313.05103448706137</v>
          </cell>
          <cell r="N24">
            <v>1319.5253285791723</v>
          </cell>
        </row>
        <row r="25">
          <cell r="A25" t="str">
            <v>CGI018-qtz07-CL-fit-2-offset</v>
          </cell>
          <cell r="B25">
            <v>750</v>
          </cell>
          <cell r="C25">
            <v>8.0537892000481889E-22</v>
          </cell>
          <cell r="D25">
            <v>1700</v>
          </cell>
          <cell r="E25">
            <v>1024</v>
          </cell>
          <cell r="F25">
            <v>1.66015625</v>
          </cell>
          <cell r="G25" t="str">
            <v>Core</v>
          </cell>
          <cell r="I25">
            <v>300.8870708225196</v>
          </cell>
          <cell r="J25">
            <v>319.96129120267636</v>
          </cell>
          <cell r="K25">
            <v>36.125794730068634</v>
          </cell>
          <cell r="L25">
            <v>956.32588139113523</v>
          </cell>
          <cell r="M25">
            <v>283.8354964726077</v>
          </cell>
          <cell r="N25">
            <v>636.36459018845881</v>
          </cell>
        </row>
        <row r="26">
          <cell r="A26" t="str">
            <v>CGI015-qtz03-CL-fit-3-offset</v>
          </cell>
          <cell r="B26">
            <v>750</v>
          </cell>
          <cell r="C26">
            <v>8.0537892000481889E-22</v>
          </cell>
          <cell r="D26">
            <v>1750</v>
          </cell>
          <cell r="E26">
            <v>1024</v>
          </cell>
          <cell r="F26">
            <v>1.708984375</v>
          </cell>
          <cell r="G26" t="str">
            <v>Core</v>
          </cell>
          <cell r="I26">
            <v>319.26326136405157</v>
          </cell>
          <cell r="J26">
            <v>320.59505465194803</v>
          </cell>
          <cell r="K26">
            <v>155.91995987377123</v>
          </cell>
          <cell r="L26">
            <v>508.48342207385537</v>
          </cell>
          <cell r="M26">
            <v>164.6750947781768</v>
          </cell>
          <cell r="N26">
            <v>187.88836742190733</v>
          </cell>
        </row>
        <row r="27">
          <cell r="A27" t="str">
            <v>CGI009-qtz03-CL-fit-2-offset</v>
          </cell>
          <cell r="B27">
            <v>750</v>
          </cell>
          <cell r="C27">
            <v>8.0537892000481889E-22</v>
          </cell>
          <cell r="D27">
            <v>1750</v>
          </cell>
          <cell r="E27">
            <v>1024</v>
          </cell>
          <cell r="F27">
            <v>1.708984375</v>
          </cell>
          <cell r="G27" t="str">
            <v>Core</v>
          </cell>
          <cell r="I27">
            <v>326.03724530311655</v>
          </cell>
          <cell r="J27">
            <v>331.08041970608514</v>
          </cell>
          <cell r="K27">
            <v>215.86494356288725</v>
          </cell>
          <cell r="L27">
            <v>482.01206854116043</v>
          </cell>
          <cell r="M27">
            <v>115.21547614319789</v>
          </cell>
          <cell r="N27">
            <v>150.93164883507529</v>
          </cell>
        </row>
        <row r="28">
          <cell r="A28" t="str">
            <v>CGI011-qtz04-CL-fit-3-offset</v>
          </cell>
          <cell r="B28">
            <v>750</v>
          </cell>
          <cell r="C28">
            <v>8.0537892000481889E-22</v>
          </cell>
          <cell r="D28">
            <v>1800</v>
          </cell>
          <cell r="E28">
            <v>1024</v>
          </cell>
          <cell r="F28">
            <v>1.7578125</v>
          </cell>
          <cell r="G28" t="str">
            <v>Core</v>
          </cell>
          <cell r="I28">
            <v>349.05639608153461</v>
          </cell>
          <cell r="J28">
            <v>349.27749445959722</v>
          </cell>
          <cell r="K28">
            <v>187.97391815586218</v>
          </cell>
          <cell r="L28">
            <v>596.57513770005448</v>
          </cell>
          <cell r="M28">
            <v>161.30357630373504</v>
          </cell>
          <cell r="N28">
            <v>247.29764324045726</v>
          </cell>
        </row>
        <row r="29">
          <cell r="A29" t="str">
            <v>CGI018-qtz03-CL-fit-1-offset</v>
          </cell>
          <cell r="B29">
            <v>750</v>
          </cell>
          <cell r="C29">
            <v>8.0537892000481889E-22</v>
          </cell>
          <cell r="D29">
            <v>2100</v>
          </cell>
          <cell r="E29">
            <v>1024</v>
          </cell>
          <cell r="F29">
            <v>2.05078125</v>
          </cell>
          <cell r="G29" t="str">
            <v>Core</v>
          </cell>
          <cell r="I29">
            <v>348.74907289232908</v>
          </cell>
          <cell r="J29">
            <v>352.24403428528302</v>
          </cell>
          <cell r="K29">
            <v>192.08452350468008</v>
          </cell>
          <cell r="L29">
            <v>549.75005540130906</v>
          </cell>
          <cell r="M29">
            <v>160.15951078060294</v>
          </cell>
          <cell r="N29">
            <v>197.50602111602603</v>
          </cell>
        </row>
        <row r="30">
          <cell r="A30" t="str">
            <v>CGI011-qtz04-CL-fit-1-offset</v>
          </cell>
          <cell r="B30">
            <v>750</v>
          </cell>
          <cell r="C30">
            <v>8.0537892000481889E-22</v>
          </cell>
          <cell r="D30">
            <v>1800</v>
          </cell>
          <cell r="E30">
            <v>1024</v>
          </cell>
          <cell r="F30">
            <v>1.7578125</v>
          </cell>
          <cell r="G30" t="str">
            <v>Core</v>
          </cell>
          <cell r="I30">
            <v>315.79773471181863</v>
          </cell>
          <cell r="J30">
            <v>353.69523842199186</v>
          </cell>
          <cell r="K30">
            <v>116.03317241726431</v>
          </cell>
          <cell r="L30">
            <v>1055.7598481097766</v>
          </cell>
          <cell r="M30">
            <v>237.66206600472754</v>
          </cell>
          <cell r="N30">
            <v>702.0646096877847</v>
          </cell>
        </row>
        <row r="31">
          <cell r="A31" t="str">
            <v>CGI015-qtz12-CL-fit-2-offset</v>
          </cell>
          <cell r="B31">
            <v>750</v>
          </cell>
          <cell r="C31">
            <v>8.0537892000481889E-22</v>
          </cell>
          <cell r="D31">
            <v>2300</v>
          </cell>
          <cell r="E31">
            <v>1024</v>
          </cell>
          <cell r="F31">
            <v>2.24609375</v>
          </cell>
          <cell r="G31" t="str">
            <v>Core</v>
          </cell>
          <cell r="I31">
            <v>289.9965088998058</v>
          </cell>
          <cell r="J31">
            <v>372.3247546563673</v>
          </cell>
          <cell r="K31">
            <v>0.21016496728319958</v>
          </cell>
          <cell r="L31">
            <v>2489.7751586645954</v>
          </cell>
          <cell r="M31">
            <v>372.11458968908408</v>
          </cell>
          <cell r="N31">
            <v>2117.4504040082284</v>
          </cell>
        </row>
        <row r="32">
          <cell r="A32" t="str">
            <v>CGI005-qtz05-CL-fit-1-offset</v>
          </cell>
          <cell r="B32">
            <v>750</v>
          </cell>
          <cell r="C32">
            <v>8.0537892000481889E-22</v>
          </cell>
          <cell r="D32">
            <v>1900</v>
          </cell>
          <cell r="E32">
            <v>1024</v>
          </cell>
          <cell r="F32">
            <v>1.85546875</v>
          </cell>
          <cell r="G32" t="str">
            <v>Core</v>
          </cell>
          <cell r="I32">
            <v>371.50080882068931</v>
          </cell>
          <cell r="J32">
            <v>378.08509833138953</v>
          </cell>
          <cell r="K32">
            <v>2.4935397482857091E-9</v>
          </cell>
          <cell r="L32">
            <v>1612.0882505144712</v>
          </cell>
          <cell r="M32">
            <v>378.08509832889598</v>
          </cell>
          <cell r="N32">
            <v>1234.0031521830815</v>
          </cell>
        </row>
        <row r="33">
          <cell r="A33" t="str">
            <v>CGI009-qtz10-CL-fit-2-offset</v>
          </cell>
          <cell r="B33">
            <v>750</v>
          </cell>
          <cell r="C33">
            <v>8.0537892000481889E-22</v>
          </cell>
          <cell r="D33">
            <v>1900</v>
          </cell>
          <cell r="E33">
            <v>1024</v>
          </cell>
          <cell r="F33">
            <v>1.85546875</v>
          </cell>
          <cell r="G33" t="str">
            <v>Core</v>
          </cell>
          <cell r="I33">
            <v>388.25111243834277</v>
          </cell>
          <cell r="J33">
            <v>378.69487631906918</v>
          </cell>
          <cell r="K33">
            <v>166.34653512963612</v>
          </cell>
          <cell r="L33">
            <v>701.51353539021841</v>
          </cell>
          <cell r="M33">
            <v>212.34834118943306</v>
          </cell>
          <cell r="N33">
            <v>322.81865907114923</v>
          </cell>
        </row>
        <row r="34">
          <cell r="A34" t="str">
            <v>CGI011-qtz07-CL-fit-1-offset</v>
          </cell>
          <cell r="B34">
            <v>750</v>
          </cell>
          <cell r="C34">
            <v>8.0537892000481889E-22</v>
          </cell>
          <cell r="D34">
            <v>1250</v>
          </cell>
          <cell r="E34">
            <v>1024</v>
          </cell>
          <cell r="F34">
            <v>1.220703125</v>
          </cell>
          <cell r="G34" t="str">
            <v>Core</v>
          </cell>
          <cell r="I34">
            <v>382.40034151868372</v>
          </cell>
          <cell r="J34">
            <v>390.09822846106289</v>
          </cell>
          <cell r="K34">
            <v>231.66736504797618</v>
          </cell>
          <cell r="L34">
            <v>668.72633601853511</v>
          </cell>
          <cell r="M34">
            <v>158.43086341308671</v>
          </cell>
          <cell r="N34">
            <v>278.62810755747222</v>
          </cell>
        </row>
        <row r="35">
          <cell r="A35" t="str">
            <v>CGI009-qtz03-CL-fit-1-offset</v>
          </cell>
          <cell r="B35">
            <v>750</v>
          </cell>
          <cell r="C35">
            <v>8.0537892000481889E-22</v>
          </cell>
          <cell r="D35">
            <v>1750</v>
          </cell>
          <cell r="E35">
            <v>1024</v>
          </cell>
          <cell r="F35">
            <v>1.708984375</v>
          </cell>
          <cell r="G35" t="str">
            <v>Core</v>
          </cell>
          <cell r="I35">
            <v>398.15918710880197</v>
          </cell>
          <cell r="J35">
            <v>398.7317645146141</v>
          </cell>
          <cell r="K35">
            <v>208.69724633882123</v>
          </cell>
          <cell r="L35">
            <v>619.287218239607</v>
          </cell>
          <cell r="M35">
            <v>190.03451817579287</v>
          </cell>
          <cell r="N35">
            <v>220.5554537249929</v>
          </cell>
        </row>
        <row r="36">
          <cell r="A36" t="str">
            <v>CGI001-qtz02-CL-fit-1-offset</v>
          </cell>
          <cell r="B36">
            <v>750</v>
          </cell>
          <cell r="C36">
            <v>8.0537892000481889E-22</v>
          </cell>
          <cell r="D36">
            <v>1700</v>
          </cell>
          <cell r="E36">
            <v>1024</v>
          </cell>
          <cell r="F36">
            <v>1.66015625</v>
          </cell>
          <cell r="G36" t="str">
            <v>Core</v>
          </cell>
          <cell r="I36">
            <v>388.85453898919434</v>
          </cell>
          <cell r="J36">
            <v>402.86326478621976</v>
          </cell>
          <cell r="K36">
            <v>151.80596000945857</v>
          </cell>
          <cell r="L36">
            <v>729.93070130831791</v>
          </cell>
          <cell r="M36">
            <v>251.05730477676119</v>
          </cell>
          <cell r="N36">
            <v>327.06743652209815</v>
          </cell>
        </row>
        <row r="37">
          <cell r="A37" t="str">
            <v>CGI018-qtz04-CL-fit-1-offset</v>
          </cell>
          <cell r="B37">
            <v>750</v>
          </cell>
          <cell r="C37">
            <v>8.0537892000481889E-22</v>
          </cell>
          <cell r="D37">
            <v>1900</v>
          </cell>
          <cell r="E37">
            <v>1024</v>
          </cell>
          <cell r="F37">
            <v>1.85546875</v>
          </cell>
          <cell r="G37" t="str">
            <v>Core</v>
          </cell>
          <cell r="I37">
            <v>403.92639652688968</v>
          </cell>
          <cell r="J37">
            <v>403.05504540635479</v>
          </cell>
          <cell r="K37">
            <v>63.940134874477941</v>
          </cell>
          <cell r="L37">
            <v>909.63298201462646</v>
          </cell>
          <cell r="M37">
            <v>339.11491053187683</v>
          </cell>
          <cell r="N37">
            <v>506.57793660827167</v>
          </cell>
        </row>
        <row r="38">
          <cell r="A38" t="str">
            <v>CGI008-qtz01-CL-fit-2-offset</v>
          </cell>
          <cell r="B38">
            <v>750</v>
          </cell>
          <cell r="C38">
            <v>8.0537892000481889E-22</v>
          </cell>
          <cell r="D38">
            <v>1500</v>
          </cell>
          <cell r="E38">
            <v>1024</v>
          </cell>
          <cell r="F38">
            <v>1.46484375</v>
          </cell>
          <cell r="G38" t="str">
            <v>COre</v>
          </cell>
          <cell r="I38">
            <v>424.04966736226976</v>
          </cell>
          <cell r="J38">
            <v>403.53933113582457</v>
          </cell>
          <cell r="K38">
            <v>0.94095591880140683</v>
          </cell>
          <cell r="L38">
            <v>1890.1743757014565</v>
          </cell>
          <cell r="M38">
            <v>402.59837521702315</v>
          </cell>
          <cell r="N38">
            <v>1486.6350445656319</v>
          </cell>
        </row>
        <row r="39">
          <cell r="A39" t="str">
            <v>CGI015-qtz10-CL-fit-2-offset</v>
          </cell>
          <cell r="B39">
            <v>750</v>
          </cell>
          <cell r="C39">
            <v>8.0537892000481889E-22</v>
          </cell>
          <cell r="D39">
            <v>2050</v>
          </cell>
          <cell r="E39">
            <v>1024</v>
          </cell>
          <cell r="F39">
            <v>2.001953125</v>
          </cell>
          <cell r="G39" t="str">
            <v>Core</v>
          </cell>
          <cell r="I39">
            <v>361.16097093906234</v>
          </cell>
          <cell r="J39">
            <v>405.65935112707541</v>
          </cell>
          <cell r="K39">
            <v>2.589129094765164</v>
          </cell>
          <cell r="L39">
            <v>3040.7231694529387</v>
          </cell>
          <cell r="M39">
            <v>403.07022203231026</v>
          </cell>
          <cell r="N39">
            <v>2635.0638183258634</v>
          </cell>
        </row>
        <row r="40">
          <cell r="A40" t="str">
            <v>CGI011-qtz01-CL-fit-2-offset</v>
          </cell>
          <cell r="B40">
            <v>750</v>
          </cell>
          <cell r="C40">
            <v>8.0537892000481889E-22</v>
          </cell>
          <cell r="D40">
            <v>2000</v>
          </cell>
          <cell r="E40">
            <v>1024</v>
          </cell>
          <cell r="F40">
            <v>1.953125</v>
          </cell>
          <cell r="G40" t="str">
            <v>Core</v>
          </cell>
          <cell r="I40">
            <v>379.58522788910579</v>
          </cell>
          <cell r="J40">
            <v>407.20948021397311</v>
          </cell>
          <cell r="K40">
            <v>49.023674751077351</v>
          </cell>
          <cell r="L40">
            <v>1388.1074903313165</v>
          </cell>
          <cell r="M40">
            <v>358.18580546289576</v>
          </cell>
          <cell r="N40">
            <v>980.89801011734335</v>
          </cell>
        </row>
        <row r="41">
          <cell r="A41" t="str">
            <v>CGI015-qtz01-CL-fit-1-offset</v>
          </cell>
          <cell r="B41">
            <v>750</v>
          </cell>
          <cell r="C41">
            <v>8.0537892000481889E-22</v>
          </cell>
          <cell r="D41">
            <v>1800</v>
          </cell>
          <cell r="E41">
            <v>1024</v>
          </cell>
          <cell r="F41">
            <v>1.7578125</v>
          </cell>
          <cell r="G41" t="str">
            <v>Core</v>
          </cell>
          <cell r="I41">
            <v>401.47654907498287</v>
          </cell>
          <cell r="J41">
            <v>415.80321623687325</v>
          </cell>
          <cell r="K41">
            <v>21.53199665157209</v>
          </cell>
          <cell r="L41">
            <v>1585.3348829414838</v>
          </cell>
          <cell r="M41">
            <v>394.27121958530114</v>
          </cell>
          <cell r="N41">
            <v>1169.5316667046104</v>
          </cell>
        </row>
        <row r="42">
          <cell r="A42" t="str">
            <v>CGI015-qtz08-CL-fit-1-offset</v>
          </cell>
          <cell r="B42">
            <v>750</v>
          </cell>
          <cell r="C42">
            <v>8.0537892000481889E-22</v>
          </cell>
          <cell r="D42">
            <v>1150</v>
          </cell>
          <cell r="E42">
            <v>1024</v>
          </cell>
          <cell r="F42">
            <v>1.123046875</v>
          </cell>
          <cell r="G42" t="str">
            <v>Core</v>
          </cell>
          <cell r="I42">
            <v>436.37628593438194</v>
          </cell>
          <cell r="J42">
            <v>440.15082450351105</v>
          </cell>
          <cell r="K42">
            <v>269.12009087835946</v>
          </cell>
          <cell r="L42">
            <v>657.74308123319474</v>
          </cell>
          <cell r="M42">
            <v>171.03073362515158</v>
          </cell>
          <cell r="N42">
            <v>217.5922567296837</v>
          </cell>
        </row>
        <row r="43">
          <cell r="A43" t="str">
            <v>CGI008-qtz10-CL-fit-1-offset</v>
          </cell>
          <cell r="B43">
            <v>750</v>
          </cell>
          <cell r="C43">
            <v>8.0537892000481889E-22</v>
          </cell>
          <cell r="D43">
            <v>1800</v>
          </cell>
          <cell r="E43">
            <v>1024</v>
          </cell>
          <cell r="F43">
            <v>1.7578125</v>
          </cell>
          <cell r="G43" t="str">
            <v>Core</v>
          </cell>
          <cell r="I43">
            <v>455.9477377177268</v>
          </cell>
          <cell r="J43">
            <v>459.03160515741718</v>
          </cell>
          <cell r="K43">
            <v>331.41444650927355</v>
          </cell>
          <cell r="L43">
            <v>599.24227212363814</v>
          </cell>
          <cell r="M43">
            <v>127.61715864814363</v>
          </cell>
          <cell r="N43">
            <v>140.21066696622097</v>
          </cell>
        </row>
        <row r="44">
          <cell r="A44" t="str">
            <v>CGI009-qtz04-CL-fit-1-offset</v>
          </cell>
          <cell r="B44">
            <v>750</v>
          </cell>
          <cell r="C44">
            <v>8.0537892000481889E-22</v>
          </cell>
          <cell r="D44">
            <v>1400</v>
          </cell>
          <cell r="E44">
            <v>1024</v>
          </cell>
          <cell r="F44">
            <v>1.3671875</v>
          </cell>
          <cell r="G44" t="str">
            <v>Core</v>
          </cell>
          <cell r="I44">
            <v>460.68248823013386</v>
          </cell>
          <cell r="J44">
            <v>460.77870326982998</v>
          </cell>
          <cell r="K44">
            <v>168.42447979422815</v>
          </cell>
          <cell r="L44">
            <v>974.92104635044768</v>
          </cell>
          <cell r="M44">
            <v>292.35422347560183</v>
          </cell>
          <cell r="N44">
            <v>514.14234308061771</v>
          </cell>
        </row>
        <row r="45">
          <cell r="A45" t="str">
            <v>CGI018-qtz04-CL-fit-2-offset</v>
          </cell>
          <cell r="B45">
            <v>750</v>
          </cell>
          <cell r="C45">
            <v>8.0537892000481889E-22</v>
          </cell>
          <cell r="D45">
            <v>1900</v>
          </cell>
          <cell r="E45">
            <v>1024</v>
          </cell>
          <cell r="F45">
            <v>1.85546875</v>
          </cell>
          <cell r="G45" t="str">
            <v>Core</v>
          </cell>
          <cell r="I45">
            <v>444.78299839958078</v>
          </cell>
          <cell r="J45">
            <v>473.65353297934951</v>
          </cell>
          <cell r="K45">
            <v>96.912262230314198</v>
          </cell>
          <cell r="L45">
            <v>1606.0493206229851</v>
          </cell>
          <cell r="M45">
            <v>376.74127074903532</v>
          </cell>
          <cell r="N45">
            <v>1132.3957876436357</v>
          </cell>
        </row>
        <row r="46">
          <cell r="A46" t="str">
            <v>CGI005-qtz08-CL-fit-1-offset</v>
          </cell>
          <cell r="B46">
            <v>750</v>
          </cell>
          <cell r="C46">
            <v>8.0537892000481889E-22</v>
          </cell>
          <cell r="D46">
            <v>1900</v>
          </cell>
          <cell r="E46">
            <v>1024</v>
          </cell>
          <cell r="F46">
            <v>1.85546875</v>
          </cell>
          <cell r="G46" t="str">
            <v>Core</v>
          </cell>
          <cell r="I46">
            <v>488.56259056767698</v>
          </cell>
          <cell r="J46">
            <v>483.77429896831524</v>
          </cell>
          <cell r="K46">
            <v>99.623280928757353</v>
          </cell>
          <cell r="L46">
            <v>1159.0555097687306</v>
          </cell>
          <cell r="M46">
            <v>384.15101803955787</v>
          </cell>
          <cell r="N46">
            <v>675.28121080041547</v>
          </cell>
        </row>
        <row r="47">
          <cell r="A47" t="str">
            <v>CGI008-qtz12-CL-fit-1-offset</v>
          </cell>
          <cell r="B47">
            <v>750</v>
          </cell>
          <cell r="C47">
            <v>8.0537892000481889E-22</v>
          </cell>
          <cell r="D47">
            <v>1700</v>
          </cell>
          <cell r="E47">
            <v>1024</v>
          </cell>
          <cell r="F47">
            <v>1.66015625</v>
          </cell>
          <cell r="G47" t="str">
            <v>Core</v>
          </cell>
          <cell r="I47">
            <v>517.14357410611581</v>
          </cell>
          <cell r="J47">
            <v>511.4103728887016</v>
          </cell>
          <cell r="K47">
            <v>60.407566844076484</v>
          </cell>
          <cell r="L47">
            <v>1610.0247501547153</v>
          </cell>
          <cell r="M47">
            <v>451.00280604462512</v>
          </cell>
          <cell r="N47">
            <v>1098.6143772660137</v>
          </cell>
        </row>
        <row r="48">
          <cell r="A48" t="str">
            <v>CGI011-qtz08-CL-fit-1-offset</v>
          </cell>
          <cell r="B48">
            <v>750</v>
          </cell>
          <cell r="C48">
            <v>8.0537892000481889E-22</v>
          </cell>
          <cell r="D48">
            <v>1300</v>
          </cell>
          <cell r="E48">
            <v>1024</v>
          </cell>
          <cell r="F48">
            <v>1.26953125</v>
          </cell>
          <cell r="G48" t="str">
            <v>Core</v>
          </cell>
          <cell r="I48">
            <v>390.82382335254181</v>
          </cell>
          <cell r="J48">
            <v>574.9185742959005</v>
          </cell>
          <cell r="K48">
            <v>75.111627125968127</v>
          </cell>
          <cell r="L48">
            <v>3739.6059677144003</v>
          </cell>
          <cell r="M48">
            <v>499.80694716993236</v>
          </cell>
          <cell r="N48">
            <v>3164.6873934184996</v>
          </cell>
        </row>
        <row r="49">
          <cell r="A49" t="str">
            <v>CGI001-qtz09-CL-fit-1-offset</v>
          </cell>
          <cell r="B49">
            <v>750</v>
          </cell>
          <cell r="C49">
            <v>8.0537892000481889E-22</v>
          </cell>
          <cell r="D49">
            <v>1500</v>
          </cell>
          <cell r="E49">
            <v>1024</v>
          </cell>
          <cell r="F49">
            <v>1.46484375</v>
          </cell>
          <cell r="G49" t="str">
            <v>Core</v>
          </cell>
          <cell r="I49">
            <v>599.30415636579437</v>
          </cell>
          <cell r="J49">
            <v>588.0566953098164</v>
          </cell>
          <cell r="K49">
            <v>273.06694719658293</v>
          </cell>
          <cell r="L49">
            <v>1078.7825715351428</v>
          </cell>
          <cell r="M49">
            <v>314.98974811323347</v>
          </cell>
          <cell r="N49">
            <v>490.72587622532637</v>
          </cell>
        </row>
        <row r="50">
          <cell r="A50" t="str">
            <v>CGI014-qtz03-CL-fit-2-offset</v>
          </cell>
          <cell r="B50">
            <v>750</v>
          </cell>
          <cell r="C50">
            <v>8.0537892000481889E-22</v>
          </cell>
          <cell r="D50">
            <v>1800</v>
          </cell>
          <cell r="E50">
            <v>1024</v>
          </cell>
          <cell r="F50">
            <v>1.7578125</v>
          </cell>
          <cell r="G50" t="str">
            <v>Core</v>
          </cell>
          <cell r="I50">
            <v>575.72197979930354</v>
          </cell>
          <cell r="J50">
            <v>589.46066846942722</v>
          </cell>
          <cell r="K50">
            <v>44.0392761959016</v>
          </cell>
          <cell r="L50">
            <v>2016.6297553018064</v>
          </cell>
          <cell r="M50">
            <v>545.42139227352561</v>
          </cell>
          <cell r="N50">
            <v>1427.1690868323792</v>
          </cell>
        </row>
        <row r="51">
          <cell r="A51" t="str">
            <v>CGI018-qtz12-CL-fit-2-offset</v>
          </cell>
          <cell r="B51">
            <v>750</v>
          </cell>
          <cell r="C51">
            <v>8.0537892000481889E-22</v>
          </cell>
          <cell r="D51">
            <v>1800</v>
          </cell>
          <cell r="E51">
            <v>1024</v>
          </cell>
          <cell r="F51">
            <v>1.7578125</v>
          </cell>
          <cell r="G51" t="str">
            <v>Core</v>
          </cell>
          <cell r="I51">
            <v>596.6801456571435</v>
          </cell>
          <cell r="J51">
            <v>591.34699480645793</v>
          </cell>
          <cell r="K51">
            <v>178.34696570861118</v>
          </cell>
          <cell r="L51">
            <v>1360.9295260951533</v>
          </cell>
          <cell r="M51">
            <v>413.00002909784678</v>
          </cell>
          <cell r="N51">
            <v>769.58253128869535</v>
          </cell>
        </row>
        <row r="52">
          <cell r="A52" t="str">
            <v>CGI014-qtz02-CL-fit-1-offset</v>
          </cell>
          <cell r="B52">
            <v>750</v>
          </cell>
          <cell r="C52">
            <v>8.0537892000481889E-22</v>
          </cell>
          <cell r="D52">
            <v>2000</v>
          </cell>
          <cell r="E52">
            <v>1024</v>
          </cell>
          <cell r="F52">
            <v>1.953125</v>
          </cell>
          <cell r="G52" t="str">
            <v>Core</v>
          </cell>
          <cell r="I52">
            <v>585.05638387753481</v>
          </cell>
          <cell r="J52">
            <v>598.81374628857259</v>
          </cell>
          <cell r="K52">
            <v>321.82777465852945</v>
          </cell>
          <cell r="L52">
            <v>969.79097904244577</v>
          </cell>
          <cell r="M52">
            <v>276.98597163004314</v>
          </cell>
          <cell r="N52">
            <v>370.97723275387318</v>
          </cell>
        </row>
        <row r="53">
          <cell r="A53" t="str">
            <v>CGI005-qtz04-CL-fit-1-offset</v>
          </cell>
          <cell r="B53">
            <v>750</v>
          </cell>
          <cell r="C53">
            <v>8.0537892000481889E-22</v>
          </cell>
          <cell r="D53">
            <v>1900</v>
          </cell>
          <cell r="E53">
            <v>1024</v>
          </cell>
          <cell r="F53">
            <v>1.85546875</v>
          </cell>
          <cell r="G53" t="str">
            <v>Core</v>
          </cell>
          <cell r="I53">
            <v>628.87480058563312</v>
          </cell>
          <cell r="J53">
            <v>631.77293164761738</v>
          </cell>
          <cell r="K53">
            <v>377.01124406894252</v>
          </cell>
          <cell r="L53">
            <v>959.08398041104954</v>
          </cell>
          <cell r="M53">
            <v>254.76168757867487</v>
          </cell>
          <cell r="N53">
            <v>327.31104876343215</v>
          </cell>
        </row>
        <row r="54">
          <cell r="A54" t="str">
            <v>CGI018-qtz10-CL-fit-1-offset</v>
          </cell>
          <cell r="B54">
            <v>750</v>
          </cell>
          <cell r="C54">
            <v>8.0537892000481889E-22</v>
          </cell>
          <cell r="D54">
            <v>2600</v>
          </cell>
          <cell r="E54">
            <v>1024</v>
          </cell>
          <cell r="F54">
            <v>2.5390625</v>
          </cell>
          <cell r="G54" t="str">
            <v>Core</v>
          </cell>
          <cell r="I54">
            <v>624.75156432354277</v>
          </cell>
          <cell r="J54">
            <v>634.77940777801666</v>
          </cell>
          <cell r="K54">
            <v>245.77423265886418</v>
          </cell>
          <cell r="L54">
            <v>1413.9703329392123</v>
          </cell>
          <cell r="M54">
            <v>389.00517511915245</v>
          </cell>
          <cell r="N54">
            <v>779.19092516119565</v>
          </cell>
        </row>
        <row r="55">
          <cell r="A55" t="str">
            <v>CGI009-qtz08-CL-fit-1-offset</v>
          </cell>
          <cell r="B55">
            <v>750</v>
          </cell>
          <cell r="C55">
            <v>8.0537892000481889E-22</v>
          </cell>
          <cell r="D55">
            <v>2300</v>
          </cell>
          <cell r="E55">
            <v>1024</v>
          </cell>
          <cell r="F55">
            <v>2.24609375</v>
          </cell>
          <cell r="G55" t="str">
            <v>Core</v>
          </cell>
          <cell r="I55">
            <v>662.73033331336376</v>
          </cell>
          <cell r="J55">
            <v>656.23948645043242</v>
          </cell>
          <cell r="K55">
            <v>23.446594100066264</v>
          </cell>
          <cell r="L55">
            <v>1957.7580963944458</v>
          </cell>
          <cell r="M55">
            <v>632.79289235036617</v>
          </cell>
          <cell r="N55">
            <v>1301.5186099440134</v>
          </cell>
        </row>
        <row r="56">
          <cell r="A56" t="str">
            <v>CGI001-qtz04-CL-fit-1-offset</v>
          </cell>
          <cell r="B56">
            <v>750</v>
          </cell>
          <cell r="C56">
            <v>8.0537892000481889E-22</v>
          </cell>
          <cell r="D56">
            <v>2050</v>
          </cell>
          <cell r="E56">
            <v>1024</v>
          </cell>
          <cell r="F56">
            <v>2.001953125</v>
          </cell>
          <cell r="G56" t="str">
            <v>Core</v>
          </cell>
          <cell r="I56">
            <v>578.10151363156263</v>
          </cell>
          <cell r="J56">
            <v>657.20519925452197</v>
          </cell>
          <cell r="K56">
            <v>1.6111410849779788</v>
          </cell>
          <cell r="L56">
            <v>5518.5698361033219</v>
          </cell>
          <cell r="M56">
            <v>655.59405816954404</v>
          </cell>
          <cell r="N56">
            <v>4861.3646368487998</v>
          </cell>
        </row>
        <row r="57">
          <cell r="A57" t="str">
            <v>CGI001-qtz05-CL-fit-2-offset</v>
          </cell>
          <cell r="B57">
            <v>750</v>
          </cell>
          <cell r="C57">
            <v>8.0537892000481889E-22</v>
          </cell>
          <cell r="D57">
            <v>1800</v>
          </cell>
          <cell r="E57">
            <v>1024</v>
          </cell>
          <cell r="F57">
            <v>1.7578125</v>
          </cell>
          <cell r="G57" t="str">
            <v>Interior</v>
          </cell>
          <cell r="I57">
            <v>662.06630116106885</v>
          </cell>
          <cell r="J57">
            <v>685.23504533202663</v>
          </cell>
          <cell r="K57">
            <v>315.72179140460986</v>
          </cell>
          <cell r="L57">
            <v>1300.2548625444929</v>
          </cell>
          <cell r="M57">
            <v>369.51325392741677</v>
          </cell>
          <cell r="N57">
            <v>615.01981721246625</v>
          </cell>
        </row>
        <row r="58">
          <cell r="A58" t="str">
            <v>CGI014-qtz11-CL-fit-1-offset</v>
          </cell>
          <cell r="B58">
            <v>750</v>
          </cell>
          <cell r="C58">
            <v>8.0537892000481889E-22</v>
          </cell>
          <cell r="D58">
            <v>1500</v>
          </cell>
          <cell r="E58">
            <v>1024</v>
          </cell>
          <cell r="F58">
            <v>1.46484375</v>
          </cell>
          <cell r="G58" t="str">
            <v>Core</v>
          </cell>
          <cell r="I58">
            <v>694.16570096231771</v>
          </cell>
          <cell r="J58">
            <v>716.63975609677914</v>
          </cell>
          <cell r="K58">
            <v>345.0970653603203</v>
          </cell>
          <cell r="L58">
            <v>1521.3477817009275</v>
          </cell>
          <cell r="M58">
            <v>371.54269073645884</v>
          </cell>
          <cell r="N58">
            <v>804.70802560414836</v>
          </cell>
        </row>
        <row r="59">
          <cell r="A59" t="str">
            <v>CGI015-qtz08-CL-fit-3-offset</v>
          </cell>
          <cell r="B59">
            <v>750</v>
          </cell>
          <cell r="C59">
            <v>8.0537892000481889E-22</v>
          </cell>
          <cell r="D59">
            <v>1150</v>
          </cell>
          <cell r="E59">
            <v>1024</v>
          </cell>
          <cell r="F59">
            <v>1.123046875</v>
          </cell>
          <cell r="G59" t="str">
            <v>Core</v>
          </cell>
          <cell r="I59">
            <v>771.45736376236027</v>
          </cell>
          <cell r="J59">
            <v>795.01791898660838</v>
          </cell>
          <cell r="K59">
            <v>132.32307261446394</v>
          </cell>
          <cell r="L59">
            <v>2488.4397970958667</v>
          </cell>
          <cell r="M59">
            <v>662.69484637214441</v>
          </cell>
          <cell r="N59">
            <v>1693.4218781092582</v>
          </cell>
        </row>
        <row r="60">
          <cell r="A60" t="str">
            <v>CGI014-qtz05-CL-fit-2-offset</v>
          </cell>
          <cell r="B60">
            <v>750</v>
          </cell>
          <cell r="C60">
            <v>8.0537892000481889E-22</v>
          </cell>
          <cell r="D60">
            <v>1900</v>
          </cell>
          <cell r="E60">
            <v>1024</v>
          </cell>
          <cell r="F60">
            <v>1.85546875</v>
          </cell>
          <cell r="G60" t="str">
            <v>Core</v>
          </cell>
          <cell r="I60">
            <v>797.24873488701098</v>
          </cell>
          <cell r="J60">
            <v>799.89295683036801</v>
          </cell>
          <cell r="K60">
            <v>497.58910975693624</v>
          </cell>
          <cell r="L60">
            <v>1162.8865231944371</v>
          </cell>
          <cell r="M60">
            <v>302.30384707343177</v>
          </cell>
          <cell r="N60">
            <v>362.99356636406912</v>
          </cell>
        </row>
        <row r="61">
          <cell r="A61" t="str">
            <v>CGI001-qtz10-CL-fit-1-offset</v>
          </cell>
          <cell r="B61">
            <v>750</v>
          </cell>
          <cell r="C61">
            <v>8.0537892000481889E-22</v>
          </cell>
          <cell r="D61">
            <v>2000</v>
          </cell>
          <cell r="E61">
            <v>1024</v>
          </cell>
          <cell r="F61">
            <v>1.953125</v>
          </cell>
          <cell r="G61" t="str">
            <v>Core</v>
          </cell>
          <cell r="I61">
            <v>819.07117713676632</v>
          </cell>
          <cell r="J61">
            <v>821.48509655199234</v>
          </cell>
          <cell r="K61">
            <v>417.17274863302498</v>
          </cell>
          <cell r="L61">
            <v>1360.4540906026102</v>
          </cell>
          <cell r="M61">
            <v>404.31234791896736</v>
          </cell>
          <cell r="N61">
            <v>538.96899405061788</v>
          </cell>
        </row>
        <row r="62">
          <cell r="A62" t="str">
            <v>CGI011-qtz01-CL-fit-1-offset</v>
          </cell>
          <cell r="B62">
            <v>750</v>
          </cell>
          <cell r="C62">
            <v>8.0537892000481889E-22</v>
          </cell>
          <cell r="D62">
            <v>2000</v>
          </cell>
          <cell r="E62">
            <v>1024</v>
          </cell>
          <cell r="F62">
            <v>1.953125</v>
          </cell>
          <cell r="G62" t="str">
            <v>Core</v>
          </cell>
          <cell r="I62">
            <v>815.80191135462201</v>
          </cell>
          <cell r="J62">
            <v>833.94332831799773</v>
          </cell>
          <cell r="K62">
            <v>387.21688040632716</v>
          </cell>
          <cell r="L62">
            <v>1648.373938147457</v>
          </cell>
          <cell r="M62">
            <v>446.72644791167056</v>
          </cell>
          <cell r="N62">
            <v>814.43060982945929</v>
          </cell>
        </row>
        <row r="63">
          <cell r="A63" t="str">
            <v>CGI011-qtz05-CL-fit-1-offset</v>
          </cell>
          <cell r="B63">
            <v>750</v>
          </cell>
          <cell r="C63">
            <v>8.0537892000481889E-22</v>
          </cell>
          <cell r="D63">
            <v>2200</v>
          </cell>
          <cell r="E63">
            <v>1024</v>
          </cell>
          <cell r="F63">
            <v>2.1484375</v>
          </cell>
          <cell r="G63" t="str">
            <v>Core</v>
          </cell>
          <cell r="I63">
            <v>918.98072944669013</v>
          </cell>
          <cell r="J63">
            <v>862.72317069422161</v>
          </cell>
          <cell r="K63">
            <v>4.4195312695340574</v>
          </cell>
          <cell r="L63">
            <v>1961.3323848533162</v>
          </cell>
          <cell r="M63">
            <v>858.3036394246875</v>
          </cell>
          <cell r="N63">
            <v>1098.6092141590946</v>
          </cell>
        </row>
        <row r="64">
          <cell r="A64" t="str">
            <v>CGI001-qtz02-CL-fit-2</v>
          </cell>
          <cell r="B64">
            <v>750</v>
          </cell>
          <cell r="C64">
            <v>8.0537892000481889E-22</v>
          </cell>
          <cell r="D64">
            <v>1700</v>
          </cell>
          <cell r="E64">
            <v>1024</v>
          </cell>
          <cell r="F64">
            <v>1.66015625</v>
          </cell>
          <cell r="G64" t="str">
            <v>Core</v>
          </cell>
          <cell r="I64">
            <v>899.72390519300211</v>
          </cell>
          <cell r="J64">
            <v>897.20546008657686</v>
          </cell>
          <cell r="K64">
            <v>534.94462723364961</v>
          </cell>
          <cell r="L64">
            <v>1361.0329088288649</v>
          </cell>
          <cell r="M64">
            <v>362.26083285292725</v>
          </cell>
          <cell r="N64">
            <v>463.82744874228808</v>
          </cell>
        </row>
        <row r="65">
          <cell r="A65" t="str">
            <v>CGI009-qtz01-CL-fit-3-offset</v>
          </cell>
          <cell r="B65">
            <v>750</v>
          </cell>
          <cell r="C65">
            <v>8.0537892000481889E-22</v>
          </cell>
          <cell r="D65">
            <v>1150</v>
          </cell>
          <cell r="E65">
            <v>1024</v>
          </cell>
          <cell r="F65">
            <v>1.123046875</v>
          </cell>
          <cell r="G65" t="str">
            <v>Core</v>
          </cell>
          <cell r="I65">
            <v>704.27587827257355</v>
          </cell>
          <cell r="J65">
            <v>911.66494333925709</v>
          </cell>
          <cell r="K65">
            <v>201.40320421340317</v>
          </cell>
          <cell r="L65">
            <v>2213.1687713408346</v>
          </cell>
          <cell r="M65">
            <v>710.26173912585386</v>
          </cell>
          <cell r="N65">
            <v>1301.5038280015774</v>
          </cell>
        </row>
        <row r="66">
          <cell r="A66" t="str">
            <v>CGI011-qtz02-CL-fit-2-offset</v>
          </cell>
          <cell r="B66">
            <v>750</v>
          </cell>
          <cell r="C66">
            <v>8.0537892000481889E-22</v>
          </cell>
          <cell r="D66">
            <v>1600</v>
          </cell>
          <cell r="E66">
            <v>1024</v>
          </cell>
          <cell r="F66">
            <v>1.5625</v>
          </cell>
          <cell r="G66" t="str">
            <v>Core</v>
          </cell>
          <cell r="I66">
            <v>919.75279859817101</v>
          </cell>
          <cell r="J66">
            <v>918.42547320916458</v>
          </cell>
          <cell r="K66">
            <v>333.13951355519072</v>
          </cell>
          <cell r="L66">
            <v>2009.3440757531682</v>
          </cell>
          <cell r="M66">
            <v>585.2859596539738</v>
          </cell>
          <cell r="N66">
            <v>1090.9186025440035</v>
          </cell>
        </row>
        <row r="67">
          <cell r="A67" t="str">
            <v>CGI015-qtz06-CL-fit-1-offset</v>
          </cell>
          <cell r="B67">
            <v>750</v>
          </cell>
          <cell r="C67">
            <v>8.0537892000481889E-22</v>
          </cell>
          <cell r="D67">
            <v>1700</v>
          </cell>
          <cell r="E67">
            <v>1024</v>
          </cell>
          <cell r="F67">
            <v>1.66015625</v>
          </cell>
          <cell r="G67" t="str">
            <v>Core</v>
          </cell>
          <cell r="I67">
            <v>916.80699354515218</v>
          </cell>
          <cell r="J67">
            <v>936.3809227408135</v>
          </cell>
          <cell r="K67">
            <v>523.09726739284315</v>
          </cell>
          <cell r="L67">
            <v>1542.5390590265692</v>
          </cell>
          <cell r="M67">
            <v>413.28365534797035</v>
          </cell>
          <cell r="N67">
            <v>606.15813628575575</v>
          </cell>
        </row>
        <row r="68">
          <cell r="A68" t="str">
            <v>CGI015-qtz07-CL-fit-1-offset</v>
          </cell>
          <cell r="B68">
            <v>750</v>
          </cell>
          <cell r="C68">
            <v>8.0537892000481889E-22</v>
          </cell>
          <cell r="D68">
            <v>2250</v>
          </cell>
          <cell r="E68">
            <v>1024</v>
          </cell>
          <cell r="F68">
            <v>2.197265625</v>
          </cell>
          <cell r="G68" t="str">
            <v>Core</v>
          </cell>
          <cell r="I68">
            <v>944.41539537590359</v>
          </cell>
          <cell r="J68">
            <v>953.01135320660467</v>
          </cell>
          <cell r="K68">
            <v>596.62827975458106</v>
          </cell>
          <cell r="L68">
            <v>1428.7713935313664</v>
          </cell>
          <cell r="M68">
            <v>356.38307345202361</v>
          </cell>
          <cell r="N68">
            <v>475.76004032476169</v>
          </cell>
        </row>
        <row r="69">
          <cell r="A69" t="str">
            <v>CGI015-qtz11-CL-fit-2-offset</v>
          </cell>
          <cell r="B69">
            <v>750</v>
          </cell>
          <cell r="C69">
            <v>8.0537892000481889E-22</v>
          </cell>
          <cell r="D69">
            <v>1700</v>
          </cell>
          <cell r="E69">
            <v>1024</v>
          </cell>
          <cell r="F69">
            <v>1.66015625</v>
          </cell>
          <cell r="G69" t="str">
            <v>Core</v>
          </cell>
          <cell r="I69">
            <v>936.97922223763146</v>
          </cell>
          <cell r="J69">
            <v>957.46525227920449</v>
          </cell>
          <cell r="K69">
            <v>523.34457046054411</v>
          </cell>
          <cell r="L69">
            <v>1600.0503536223791</v>
          </cell>
          <cell r="M69">
            <v>434.12068181866039</v>
          </cell>
          <cell r="N69">
            <v>642.58510134317464</v>
          </cell>
        </row>
        <row r="70">
          <cell r="A70" t="str">
            <v>CGI009-qtz09-CL-fit-1-offset</v>
          </cell>
          <cell r="B70">
            <v>750</v>
          </cell>
          <cell r="C70">
            <v>8.0537892000481889E-22</v>
          </cell>
          <cell r="D70">
            <v>2100</v>
          </cell>
          <cell r="E70">
            <v>1024</v>
          </cell>
          <cell r="F70">
            <v>2.05078125</v>
          </cell>
          <cell r="G70" t="str">
            <v>Core</v>
          </cell>
          <cell r="I70">
            <v>908.33796074758959</v>
          </cell>
          <cell r="J70">
            <v>961.40187810592874</v>
          </cell>
          <cell r="K70">
            <v>551.15268415501157</v>
          </cell>
          <cell r="L70">
            <v>1777.8483479912541</v>
          </cell>
          <cell r="M70">
            <v>410.24919395091717</v>
          </cell>
          <cell r="N70">
            <v>816.44646988532531</v>
          </cell>
        </row>
        <row r="71">
          <cell r="A71" t="str">
            <v>CGI018-qtz12-CL-fit-1-offset</v>
          </cell>
          <cell r="B71">
            <v>750</v>
          </cell>
          <cell r="C71">
            <v>8.0537892000481889E-22</v>
          </cell>
          <cell r="D71">
            <v>1800</v>
          </cell>
          <cell r="E71">
            <v>1024</v>
          </cell>
          <cell r="F71">
            <v>1.7578125</v>
          </cell>
          <cell r="G71" t="str">
            <v>Core</v>
          </cell>
          <cell r="I71">
            <v>979.86372504992835</v>
          </cell>
          <cell r="J71">
            <v>995.58836975125314</v>
          </cell>
          <cell r="K71">
            <v>660.87828294125734</v>
          </cell>
          <cell r="L71">
            <v>1615.3359326018708</v>
          </cell>
          <cell r="M71">
            <v>334.7100868099958</v>
          </cell>
          <cell r="N71">
            <v>619.74756285061767</v>
          </cell>
        </row>
        <row r="72">
          <cell r="A72" t="str">
            <v>CGI009-qtz10-CL-fit-1-offset</v>
          </cell>
          <cell r="B72">
            <v>750</v>
          </cell>
          <cell r="C72">
            <v>8.0537892000481889E-22</v>
          </cell>
          <cell r="D72">
            <v>1900</v>
          </cell>
          <cell r="E72">
            <v>1024</v>
          </cell>
          <cell r="F72">
            <v>1.85546875</v>
          </cell>
          <cell r="G72" t="str">
            <v>Core</v>
          </cell>
          <cell r="I72">
            <v>1018.2779637168505</v>
          </cell>
          <cell r="J72">
            <v>1019.6609908592916</v>
          </cell>
          <cell r="K72">
            <v>695.28714575651804</v>
          </cell>
          <cell r="L72">
            <v>1404.6100302087118</v>
          </cell>
          <cell r="M72">
            <v>324.37384510277354</v>
          </cell>
          <cell r="N72">
            <v>384.94903934942022</v>
          </cell>
        </row>
        <row r="73">
          <cell r="A73" t="str">
            <v>CGI011-qtz02-CL-fit-1-offset</v>
          </cell>
          <cell r="B73">
            <v>750</v>
          </cell>
          <cell r="C73">
            <v>8.0537892000481889E-22</v>
          </cell>
          <cell r="D73">
            <v>1600</v>
          </cell>
          <cell r="E73">
            <v>1024</v>
          </cell>
          <cell r="F73">
            <v>1.5625</v>
          </cell>
          <cell r="G73" t="str">
            <v>Core</v>
          </cell>
          <cell r="I73">
            <v>677.85147203313807</v>
          </cell>
          <cell r="J73">
            <v>1054.7393705334305</v>
          </cell>
          <cell r="K73">
            <v>163.04386531577646</v>
          </cell>
          <cell r="L73">
            <v>6929.2314016732489</v>
          </cell>
          <cell r="M73">
            <v>891.69550521765404</v>
          </cell>
          <cell r="N73">
            <v>5874.4920311398182</v>
          </cell>
        </row>
        <row r="74">
          <cell r="A74" t="str">
            <v>CGI015-qtz11-CL-fit-1-offset</v>
          </cell>
          <cell r="B74">
            <v>750</v>
          </cell>
          <cell r="C74">
            <v>8.0537892000481889E-22</v>
          </cell>
          <cell r="D74">
            <v>1700</v>
          </cell>
          <cell r="E74">
            <v>1024</v>
          </cell>
          <cell r="F74">
            <v>1.66015625</v>
          </cell>
          <cell r="G74" t="str">
            <v>Core</v>
          </cell>
          <cell r="I74">
            <v>1114.5101025993877</v>
          </cell>
          <cell r="J74">
            <v>1109.8033303897603</v>
          </cell>
          <cell r="K74">
            <v>864.32823857723872</v>
          </cell>
          <cell r="L74">
            <v>1375.3034002650381</v>
          </cell>
          <cell r="M74">
            <v>245.47509181252155</v>
          </cell>
          <cell r="N74">
            <v>265.50006987527786</v>
          </cell>
        </row>
        <row r="75">
          <cell r="A75" t="str">
            <v>CGI018-qtz02-CL-fit-2-offset</v>
          </cell>
          <cell r="B75">
            <v>750</v>
          </cell>
          <cell r="C75">
            <v>8.0537892000481889E-22</v>
          </cell>
          <cell r="D75">
            <v>1750</v>
          </cell>
          <cell r="E75">
            <v>1024</v>
          </cell>
          <cell r="F75">
            <v>1.708984375</v>
          </cell>
          <cell r="G75" t="str">
            <v>Core</v>
          </cell>
          <cell r="I75">
            <v>1052.5184032731408</v>
          </cell>
          <cell r="J75">
            <v>1113.1140734621447</v>
          </cell>
          <cell r="K75">
            <v>630.04329539377807</v>
          </cell>
          <cell r="L75">
            <v>2163.1881190187132</v>
          </cell>
          <cell r="M75">
            <v>483.07077806836662</v>
          </cell>
          <cell r="N75">
            <v>1050.0740455565685</v>
          </cell>
        </row>
        <row r="76">
          <cell r="A76" t="str">
            <v>CGI015-qtz09-CL-fit-2-offset</v>
          </cell>
          <cell r="B76">
            <v>750</v>
          </cell>
          <cell r="C76">
            <v>8.0537892000481889E-22</v>
          </cell>
          <cell r="D76">
            <v>2150</v>
          </cell>
          <cell r="E76">
            <v>1024</v>
          </cell>
          <cell r="F76">
            <v>2.099609375</v>
          </cell>
          <cell r="G76" t="str">
            <v>Core</v>
          </cell>
          <cell r="I76">
            <v>1130.808756995149</v>
          </cell>
          <cell r="J76">
            <v>1134.295270828409</v>
          </cell>
          <cell r="K76">
            <v>654.30049858597647</v>
          </cell>
          <cell r="L76">
            <v>1871.3650405673043</v>
          </cell>
          <cell r="M76">
            <v>479.99477224243253</v>
          </cell>
          <cell r="N76">
            <v>737.06976973889527</v>
          </cell>
        </row>
        <row r="77">
          <cell r="A77" t="str">
            <v>CGI008-qtz02-CL-fit-2-offset</v>
          </cell>
          <cell r="B77">
            <v>750</v>
          </cell>
          <cell r="C77">
            <v>8.0537892000481889E-22</v>
          </cell>
          <cell r="D77">
            <v>2400</v>
          </cell>
          <cell r="E77">
            <v>1024</v>
          </cell>
          <cell r="F77">
            <v>2.34375</v>
          </cell>
          <cell r="G77" t="str">
            <v>Core</v>
          </cell>
          <cell r="I77">
            <v>1068.8707847530984</v>
          </cell>
          <cell r="J77">
            <v>1153.8528213644961</v>
          </cell>
          <cell r="K77">
            <v>2.9125773886484145</v>
          </cell>
          <cell r="L77">
            <v>5522.3280927506312</v>
          </cell>
          <cell r="M77">
            <v>1150.9402439758476</v>
          </cell>
          <cell r="N77">
            <v>4368.4752713861353</v>
          </cell>
        </row>
        <row r="78">
          <cell r="A78" t="str">
            <v>CGI015-qtz03-CL-fit-1-offset</v>
          </cell>
          <cell r="B78">
            <v>750</v>
          </cell>
          <cell r="C78">
            <v>8.0537892000481889E-22</v>
          </cell>
          <cell r="D78">
            <v>1750</v>
          </cell>
          <cell r="E78">
            <v>1024</v>
          </cell>
          <cell r="F78">
            <v>1.708984375</v>
          </cell>
          <cell r="G78" t="str">
            <v>Core</v>
          </cell>
          <cell r="I78">
            <v>1128.3123267142937</v>
          </cell>
          <cell r="J78">
            <v>1160.568419769224</v>
          </cell>
          <cell r="K78">
            <v>462.28084955925777</v>
          </cell>
          <cell r="L78">
            <v>2361.32383823176</v>
          </cell>
          <cell r="M78">
            <v>698.28757020996613</v>
          </cell>
          <cell r="N78">
            <v>1200.755418462536</v>
          </cell>
        </row>
        <row r="79">
          <cell r="A79" t="str">
            <v>CGI005-qtz07-CL-fit-1-offset</v>
          </cell>
          <cell r="B79">
            <v>750</v>
          </cell>
          <cell r="C79">
            <v>8.0537892000481889E-22</v>
          </cell>
          <cell r="D79">
            <v>2100</v>
          </cell>
          <cell r="E79">
            <v>1024</v>
          </cell>
          <cell r="F79">
            <v>2.05078125</v>
          </cell>
          <cell r="G79" t="str">
            <v>Core</v>
          </cell>
          <cell r="I79">
            <v>1188.3557821131858</v>
          </cell>
          <cell r="J79">
            <v>1193.2420413989228</v>
          </cell>
          <cell r="K79">
            <v>854.15804928979946</v>
          </cell>
          <cell r="L79">
            <v>1653.3732166802426</v>
          </cell>
          <cell r="M79">
            <v>339.0839921091233</v>
          </cell>
          <cell r="N79">
            <v>460.13117528131988</v>
          </cell>
        </row>
        <row r="80">
          <cell r="A80" t="str">
            <v>CGI018-qtz02-CL-fit-1-offset</v>
          </cell>
          <cell r="B80">
            <v>750</v>
          </cell>
          <cell r="C80">
            <v>8.0537892000481889E-22</v>
          </cell>
          <cell r="D80">
            <v>1750</v>
          </cell>
          <cell r="E80">
            <v>1024</v>
          </cell>
          <cell r="F80">
            <v>1.708984375</v>
          </cell>
          <cell r="G80" t="str">
            <v>Core</v>
          </cell>
          <cell r="I80">
            <v>1204.7777279457002</v>
          </cell>
          <cell r="J80">
            <v>1236.2093184561515</v>
          </cell>
          <cell r="K80">
            <v>444.6701754637005</v>
          </cell>
          <cell r="L80">
            <v>2832.8486817158382</v>
          </cell>
          <cell r="M80">
            <v>791.53914299245105</v>
          </cell>
          <cell r="N80">
            <v>1596.6393632596867</v>
          </cell>
        </row>
        <row r="81">
          <cell r="A81" t="str">
            <v>CGI011-qtz03-CL-fit-1-offset</v>
          </cell>
          <cell r="B81">
            <v>750</v>
          </cell>
          <cell r="C81">
            <v>8.0537892000481889E-22</v>
          </cell>
          <cell r="D81">
            <v>1550</v>
          </cell>
          <cell r="E81">
            <v>1024</v>
          </cell>
          <cell r="F81">
            <v>1.513671875</v>
          </cell>
          <cell r="G81" t="str">
            <v>Core</v>
          </cell>
          <cell r="I81">
            <v>1235.2422384768493</v>
          </cell>
          <cell r="J81">
            <v>1255.3214267163735</v>
          </cell>
          <cell r="K81">
            <v>747.47472260581742</v>
          </cell>
          <cell r="L81">
            <v>2027.6410436897017</v>
          </cell>
          <cell r="M81">
            <v>507.84670411055606</v>
          </cell>
          <cell r="N81">
            <v>772.31961697332827</v>
          </cell>
        </row>
        <row r="82">
          <cell r="A82" t="str">
            <v>CGI005-qtz03-CL-fit-2-offset</v>
          </cell>
          <cell r="B82">
            <v>750</v>
          </cell>
          <cell r="C82">
            <v>8.0537892000481889E-22</v>
          </cell>
          <cell r="D82">
            <v>1400</v>
          </cell>
          <cell r="E82">
            <v>1024</v>
          </cell>
          <cell r="F82">
            <v>1.3671875</v>
          </cell>
          <cell r="G82" t="str">
            <v>Core</v>
          </cell>
          <cell r="I82">
            <v>1263.0777231753291</v>
          </cell>
          <cell r="J82">
            <v>1264.2684576857339</v>
          </cell>
          <cell r="K82">
            <v>962.45496201291269</v>
          </cell>
          <cell r="L82">
            <v>1640.0667529946902</v>
          </cell>
          <cell r="M82">
            <v>301.8134956728212</v>
          </cell>
          <cell r="N82">
            <v>375.79829530895631</v>
          </cell>
        </row>
        <row r="83">
          <cell r="A83" t="str">
            <v>CGI005-qtz09-CL-fit-2-offset</v>
          </cell>
          <cell r="B83">
            <v>750</v>
          </cell>
          <cell r="C83">
            <v>8.0537892000481889E-22</v>
          </cell>
          <cell r="D83">
            <v>2400</v>
          </cell>
          <cell r="E83">
            <v>1024</v>
          </cell>
          <cell r="F83">
            <v>2.34375</v>
          </cell>
          <cell r="G83" t="str">
            <v>Core</v>
          </cell>
          <cell r="I83">
            <v>1279.5268373664387</v>
          </cell>
          <cell r="J83">
            <v>1271.8858788726498</v>
          </cell>
          <cell r="K83">
            <v>393.93898117595262</v>
          </cell>
          <cell r="L83">
            <v>2510.1352741350097</v>
          </cell>
          <cell r="M83">
            <v>877.94689769669708</v>
          </cell>
          <cell r="N83">
            <v>1238.2493952623599</v>
          </cell>
        </row>
        <row r="84">
          <cell r="A84" t="str">
            <v>CGI015-qtz03-CL-fit-2-offset</v>
          </cell>
          <cell r="B84">
            <v>750</v>
          </cell>
          <cell r="C84">
            <v>8.0537892000481889E-22</v>
          </cell>
          <cell r="D84">
            <v>1750</v>
          </cell>
          <cell r="E84">
            <v>1024</v>
          </cell>
          <cell r="F84">
            <v>1.708984375</v>
          </cell>
          <cell r="G84" t="str">
            <v>Core</v>
          </cell>
          <cell r="I84">
            <v>1279.7781015540609</v>
          </cell>
          <cell r="J84">
            <v>1289.8152897915525</v>
          </cell>
          <cell r="K84">
            <v>699.54370786011077</v>
          </cell>
          <cell r="L84">
            <v>2166.1278474166661</v>
          </cell>
          <cell r="M84">
            <v>590.27158193144169</v>
          </cell>
          <cell r="N84">
            <v>876.31255762511364</v>
          </cell>
        </row>
        <row r="85">
          <cell r="A85" t="str">
            <v>CGI005-qtz01-CL-fit-1-offset</v>
          </cell>
          <cell r="B85">
            <v>750</v>
          </cell>
          <cell r="C85">
            <v>8.0537892000481889E-22</v>
          </cell>
          <cell r="D85">
            <v>1700</v>
          </cell>
          <cell r="E85">
            <v>1024</v>
          </cell>
          <cell r="F85">
            <v>1.66015625</v>
          </cell>
          <cell r="G85" t="str">
            <v>Core</v>
          </cell>
          <cell r="I85">
            <v>1206.3832158788794</v>
          </cell>
          <cell r="J85">
            <v>1306.9586841622684</v>
          </cell>
          <cell r="K85">
            <v>42.650744805138885</v>
          </cell>
          <cell r="L85">
            <v>4580.8884977335401</v>
          </cell>
          <cell r="M85">
            <v>1264.3079393571295</v>
          </cell>
          <cell r="N85">
            <v>3273.9298135712716</v>
          </cell>
        </row>
        <row r="86">
          <cell r="A86" t="str">
            <v>CGI011-qtz11-CL-fit-1-offset</v>
          </cell>
          <cell r="B86">
            <v>750</v>
          </cell>
          <cell r="C86">
            <v>8.0537892000481889E-22</v>
          </cell>
          <cell r="D86">
            <v>1600</v>
          </cell>
          <cell r="E86">
            <v>1024</v>
          </cell>
          <cell r="F86">
            <v>1.5625</v>
          </cell>
          <cell r="G86" t="str">
            <v>Core</v>
          </cell>
          <cell r="I86">
            <v>1318.8952988536698</v>
          </cell>
          <cell r="J86">
            <v>1327.6239732074926</v>
          </cell>
          <cell r="K86">
            <v>836.81523585813363</v>
          </cell>
          <cell r="L86">
            <v>1940.3541939678244</v>
          </cell>
          <cell r="M86">
            <v>490.80873734935892</v>
          </cell>
          <cell r="N86">
            <v>612.7302207603318</v>
          </cell>
        </row>
        <row r="87">
          <cell r="A87" t="str">
            <v>CGI001-qtz01-CL-fit-1-offset</v>
          </cell>
          <cell r="B87">
            <v>750</v>
          </cell>
          <cell r="C87">
            <v>8.0537892000481889E-22</v>
          </cell>
          <cell r="D87">
            <v>2100</v>
          </cell>
          <cell r="E87">
            <v>1024</v>
          </cell>
          <cell r="F87">
            <v>2.05078125</v>
          </cell>
          <cell r="G87" t="str">
            <v>Core</v>
          </cell>
          <cell r="I87">
            <v>1307.3489996993692</v>
          </cell>
          <cell r="J87">
            <v>1332.054413461698</v>
          </cell>
          <cell r="K87">
            <v>383.70743232615541</v>
          </cell>
          <cell r="L87">
            <v>2903.2998980790239</v>
          </cell>
          <cell r="M87">
            <v>948.34698113554259</v>
          </cell>
          <cell r="N87">
            <v>1571.2454846173259</v>
          </cell>
        </row>
        <row r="88">
          <cell r="A88" t="str">
            <v>CGI009-qtz12-CL-fit-1-offset</v>
          </cell>
          <cell r="B88">
            <v>750</v>
          </cell>
          <cell r="C88">
            <v>8.0537892000481889E-22</v>
          </cell>
          <cell r="D88">
            <v>2000</v>
          </cell>
          <cell r="E88">
            <v>1024</v>
          </cell>
          <cell r="F88">
            <v>1.953125</v>
          </cell>
          <cell r="G88" t="str">
            <v>Core</v>
          </cell>
          <cell r="I88">
            <v>1350.9449366831418</v>
          </cell>
          <cell r="J88">
            <v>1347.2726949794214</v>
          </cell>
          <cell r="K88">
            <v>776.94162005467092</v>
          </cell>
          <cell r="L88">
            <v>2280.9721131424394</v>
          </cell>
          <cell r="M88">
            <v>570.33107492475051</v>
          </cell>
          <cell r="N88">
            <v>933.69941816301798</v>
          </cell>
        </row>
        <row r="89">
          <cell r="A89" t="str">
            <v>CGI009-qtz06-CL-fit-1-offset</v>
          </cell>
          <cell r="B89">
            <v>750</v>
          </cell>
          <cell r="C89">
            <v>8.0537892000481889E-22</v>
          </cell>
          <cell r="D89">
            <v>2000</v>
          </cell>
          <cell r="E89">
            <v>1024</v>
          </cell>
          <cell r="F89">
            <v>1.953125</v>
          </cell>
          <cell r="G89" t="str">
            <v>Core</v>
          </cell>
          <cell r="I89">
            <v>888.41828780760386</v>
          </cell>
          <cell r="J89">
            <v>1381.2326871240202</v>
          </cell>
          <cell r="K89">
            <v>8.3726065084779085E-3</v>
          </cell>
          <cell r="L89">
            <v>12886.573079886197</v>
          </cell>
          <cell r="M89">
            <v>1381.2243145175119</v>
          </cell>
          <cell r="N89">
            <v>11505.340392762177</v>
          </cell>
        </row>
        <row r="90">
          <cell r="A90" t="str">
            <v>CGI009-qtz08-CL-fit-2-offset</v>
          </cell>
          <cell r="B90">
            <v>750</v>
          </cell>
          <cell r="C90">
            <v>8.0537892000481889E-22</v>
          </cell>
          <cell r="D90">
            <v>2300</v>
          </cell>
          <cell r="E90">
            <v>1024</v>
          </cell>
          <cell r="F90">
            <v>2.24609375</v>
          </cell>
          <cell r="G90" t="str">
            <v>Core</v>
          </cell>
          <cell r="I90">
            <v>1484.3504707516126</v>
          </cell>
          <cell r="J90">
            <v>1513.4979391929023</v>
          </cell>
          <cell r="K90">
            <v>897.31895336614434</v>
          </cell>
          <cell r="L90">
            <v>2407.743256312162</v>
          </cell>
          <cell r="M90">
            <v>616.17898582675798</v>
          </cell>
          <cell r="N90">
            <v>894.24531711925965</v>
          </cell>
        </row>
        <row r="91">
          <cell r="A91" t="str">
            <v>CGI005-qtz03-CL-fit-3</v>
          </cell>
          <cell r="B91">
            <v>750</v>
          </cell>
          <cell r="C91">
            <v>8.0537892000481889E-22</v>
          </cell>
          <cell r="D91">
            <v>1400</v>
          </cell>
          <cell r="E91">
            <v>1024</v>
          </cell>
          <cell r="F91">
            <v>1.3671875</v>
          </cell>
          <cell r="G91" t="str">
            <v>Core</v>
          </cell>
          <cell r="I91">
            <v>1500.3611041852664</v>
          </cell>
          <cell r="J91">
            <v>1520.9932709451339</v>
          </cell>
          <cell r="K91">
            <v>1011.2361252281323</v>
          </cell>
          <cell r="L91">
            <v>2220.5927945059375</v>
          </cell>
          <cell r="M91">
            <v>509.75714571700155</v>
          </cell>
          <cell r="N91">
            <v>699.59952356080362</v>
          </cell>
        </row>
        <row r="92">
          <cell r="A92" t="str">
            <v>CGI005-qtz10-CL-fit-2</v>
          </cell>
          <cell r="B92">
            <v>750</v>
          </cell>
          <cell r="C92">
            <v>8.0537892000481889E-22</v>
          </cell>
          <cell r="D92">
            <v>2100</v>
          </cell>
          <cell r="E92">
            <v>1024</v>
          </cell>
          <cell r="F92">
            <v>2.05078125</v>
          </cell>
          <cell r="G92" t="str">
            <v>Core</v>
          </cell>
          <cell r="I92">
            <v>1585.5798632328615</v>
          </cell>
          <cell r="J92">
            <v>1603.3905455377133</v>
          </cell>
          <cell r="K92">
            <v>1242.1057964885865</v>
          </cell>
          <cell r="L92">
            <v>2137.6208416752797</v>
          </cell>
          <cell r="M92">
            <v>361.28474904912673</v>
          </cell>
          <cell r="N92">
            <v>534.23029613756648</v>
          </cell>
        </row>
        <row r="93">
          <cell r="A93" t="str">
            <v>CGI015-qtz09-CL-fit-1-offset</v>
          </cell>
          <cell r="B93">
            <v>750</v>
          </cell>
          <cell r="C93">
            <v>8.0537892000481889E-22</v>
          </cell>
          <cell r="D93">
            <v>2150</v>
          </cell>
          <cell r="E93">
            <v>1024</v>
          </cell>
          <cell r="F93">
            <v>2.099609375</v>
          </cell>
          <cell r="G93" t="str">
            <v>Core</v>
          </cell>
          <cell r="I93">
            <v>1580.3667219859492</v>
          </cell>
          <cell r="J93">
            <v>1605.071077962813</v>
          </cell>
          <cell r="K93">
            <v>1144.6495027892192</v>
          </cell>
          <cell r="L93">
            <v>2402.0928634801289</v>
          </cell>
          <cell r="M93">
            <v>460.42157517359374</v>
          </cell>
          <cell r="N93">
            <v>797.02178551731595</v>
          </cell>
        </row>
        <row r="94">
          <cell r="A94" t="str">
            <v>CGI011-qtz05-CL-fit-2-offset</v>
          </cell>
          <cell r="B94">
            <v>750</v>
          </cell>
          <cell r="C94">
            <v>8.0537892000481889E-22</v>
          </cell>
          <cell r="D94">
            <v>2200</v>
          </cell>
          <cell r="E94">
            <v>1024</v>
          </cell>
          <cell r="F94">
            <v>2.1484375</v>
          </cell>
          <cell r="G94" t="str">
            <v>Core</v>
          </cell>
          <cell r="I94">
            <v>1591.4400957575356</v>
          </cell>
          <cell r="J94">
            <v>1663.9470246008566</v>
          </cell>
          <cell r="K94">
            <v>1118.1421252571961</v>
          </cell>
          <cell r="L94">
            <v>3303.0227183846469</v>
          </cell>
          <cell r="M94">
            <v>545.80489934366051</v>
          </cell>
          <cell r="N94">
            <v>1639.0756937837903</v>
          </cell>
        </row>
        <row r="95">
          <cell r="A95" t="str">
            <v>CGI015-qtz12-CL-fit-1-offset</v>
          </cell>
          <cell r="B95">
            <v>750</v>
          </cell>
          <cell r="C95">
            <v>8.0537892000481889E-22</v>
          </cell>
          <cell r="D95">
            <v>2300</v>
          </cell>
          <cell r="E95">
            <v>1024</v>
          </cell>
          <cell r="F95">
            <v>2.24609375</v>
          </cell>
          <cell r="G95" t="str">
            <v>Core</v>
          </cell>
          <cell r="I95">
            <v>1700.3512698927229</v>
          </cell>
          <cell r="J95">
            <v>1705.4504948488798</v>
          </cell>
          <cell r="K95">
            <v>1012.4675523557148</v>
          </cell>
          <cell r="L95">
            <v>2558.3331081489418</v>
          </cell>
          <cell r="M95">
            <v>692.98294249316496</v>
          </cell>
          <cell r="N95">
            <v>852.88261330006208</v>
          </cell>
        </row>
        <row r="96">
          <cell r="A96" t="str">
            <v>CGI005-qtz05-CL-fit-2-offset</v>
          </cell>
          <cell r="B96">
            <v>750</v>
          </cell>
          <cell r="C96">
            <v>8.0537892000481889E-22</v>
          </cell>
          <cell r="D96">
            <v>1900</v>
          </cell>
          <cell r="E96">
            <v>1024</v>
          </cell>
          <cell r="F96">
            <v>1.85546875</v>
          </cell>
          <cell r="G96" t="str">
            <v>Core</v>
          </cell>
          <cell r="I96">
            <v>1628.4408333950937</v>
          </cell>
          <cell r="J96">
            <v>1754.3745334940584</v>
          </cell>
          <cell r="K96">
            <v>85.693039371994473</v>
          </cell>
          <cell r="L96">
            <v>7876.1273877424555</v>
          </cell>
          <cell r="M96">
            <v>1668.6814941220639</v>
          </cell>
          <cell r="N96">
            <v>6121.7528542483969</v>
          </cell>
        </row>
        <row r="97">
          <cell r="A97" t="str">
            <v>CGI001-qtz12-CL-fit-1</v>
          </cell>
          <cell r="B97">
            <v>750</v>
          </cell>
          <cell r="C97">
            <v>8.0537892000481889E-22</v>
          </cell>
          <cell r="D97">
            <v>2100</v>
          </cell>
          <cell r="E97">
            <v>1024</v>
          </cell>
          <cell r="F97">
            <v>2.05078125</v>
          </cell>
          <cell r="G97" t="str">
            <v>Core</v>
          </cell>
          <cell r="I97">
            <v>1547.7435253591618</v>
          </cell>
          <cell r="J97">
            <v>1804.371789414716</v>
          </cell>
          <cell r="K97">
            <v>13.729493718253217</v>
          </cell>
          <cell r="L97">
            <v>9921.2877457639988</v>
          </cell>
          <cell r="M97">
            <v>1790.6422956964627</v>
          </cell>
          <cell r="N97">
            <v>8116.9159563492831</v>
          </cell>
        </row>
        <row r="98">
          <cell r="A98" t="str">
            <v>CGI015-qtz05-CL-fit-1-offset</v>
          </cell>
          <cell r="B98">
            <v>750</v>
          </cell>
          <cell r="C98">
            <v>8.0537892000481889E-22</v>
          </cell>
          <cell r="D98">
            <v>1900</v>
          </cell>
          <cell r="E98">
            <v>1024</v>
          </cell>
          <cell r="F98">
            <v>1.85546875</v>
          </cell>
          <cell r="G98" t="str">
            <v>Core</v>
          </cell>
          <cell r="I98">
            <v>1892.7621471113637</v>
          </cell>
          <cell r="J98">
            <v>1903.1486986731431</v>
          </cell>
          <cell r="K98">
            <v>1218.2135868774556</v>
          </cell>
          <cell r="L98">
            <v>2864.1327768659608</v>
          </cell>
          <cell r="M98">
            <v>684.93511179568759</v>
          </cell>
          <cell r="N98">
            <v>960.98407819281761</v>
          </cell>
        </row>
        <row r="99">
          <cell r="A99" t="str">
            <v>CGI014-qtz03-CL-fit-1-offset</v>
          </cell>
          <cell r="B99">
            <v>750</v>
          </cell>
          <cell r="C99">
            <v>8.0537892000481889E-22</v>
          </cell>
          <cell r="D99">
            <v>1800</v>
          </cell>
          <cell r="E99">
            <v>1024</v>
          </cell>
          <cell r="F99">
            <v>1.7578125</v>
          </cell>
          <cell r="G99" t="str">
            <v>Core</v>
          </cell>
          <cell r="I99">
            <v>1995.2244413270132</v>
          </cell>
          <cell r="J99">
            <v>1977.2992972560255</v>
          </cell>
          <cell r="K99">
            <v>722.30664443681314</v>
          </cell>
          <cell r="L99">
            <v>4031.619017460237</v>
          </cell>
          <cell r="M99">
            <v>1254.9926528192123</v>
          </cell>
          <cell r="N99">
            <v>2054.3197202042115</v>
          </cell>
        </row>
        <row r="100">
          <cell r="A100" t="str">
            <v>CGI015-qtz10-CL-fit-1-offset</v>
          </cell>
          <cell r="B100">
            <v>750</v>
          </cell>
          <cell r="C100">
            <v>8.0537892000481889E-22</v>
          </cell>
          <cell r="D100">
            <v>2050</v>
          </cell>
          <cell r="E100">
            <v>1024</v>
          </cell>
          <cell r="F100">
            <v>2.001953125</v>
          </cell>
          <cell r="G100" t="str">
            <v>Core</v>
          </cell>
          <cell r="I100">
            <v>1997.9850055781051</v>
          </cell>
          <cell r="J100">
            <v>1989.491633219237</v>
          </cell>
          <cell r="K100">
            <v>1345.4896247677937</v>
          </cell>
          <cell r="L100">
            <v>2953.5095841420107</v>
          </cell>
          <cell r="M100">
            <v>644.00200845144332</v>
          </cell>
          <cell r="N100">
            <v>964.01795092277371</v>
          </cell>
        </row>
        <row r="101">
          <cell r="A101" t="str">
            <v>CGI018-qtz03-CL-fit-2-offset</v>
          </cell>
          <cell r="B101">
            <v>750</v>
          </cell>
          <cell r="C101">
            <v>8.0537892000481889E-22</v>
          </cell>
          <cell r="D101">
            <v>2100</v>
          </cell>
          <cell r="E101">
            <v>1024</v>
          </cell>
          <cell r="F101">
            <v>2.05078125</v>
          </cell>
          <cell r="G101" t="str">
            <v>Core</v>
          </cell>
          <cell r="I101">
            <v>1974.8164503250848</v>
          </cell>
          <cell r="J101">
            <v>2005.4961257122313</v>
          </cell>
          <cell r="K101">
            <v>18.248997601925545</v>
          </cell>
          <cell r="L101">
            <v>7848.0256830510189</v>
          </cell>
          <cell r="M101">
            <v>1987.2471281103058</v>
          </cell>
          <cell r="N101">
            <v>5842.5295573387875</v>
          </cell>
        </row>
        <row r="102">
          <cell r="A102" t="str">
            <v>CGI005-qtz10-CL-fit-3-offset</v>
          </cell>
          <cell r="B102">
            <v>750</v>
          </cell>
          <cell r="C102">
            <v>8.0537892000481889E-22</v>
          </cell>
          <cell r="D102">
            <v>2100</v>
          </cell>
          <cell r="E102">
            <v>1024</v>
          </cell>
          <cell r="F102">
            <v>2.05078125</v>
          </cell>
          <cell r="G102" t="str">
            <v>Core</v>
          </cell>
          <cell r="I102">
            <v>2070.0319965931617</v>
          </cell>
          <cell r="J102">
            <v>2091.4235940568624</v>
          </cell>
          <cell r="K102">
            <v>935.78415741277718</v>
          </cell>
          <cell r="L102">
            <v>3839.5769497854089</v>
          </cell>
          <cell r="M102">
            <v>1155.6394366440852</v>
          </cell>
          <cell r="N102">
            <v>1748.1533557285466</v>
          </cell>
        </row>
        <row r="103">
          <cell r="A103" t="str">
            <v>CGI001-qtz11-CL-fit-1</v>
          </cell>
          <cell r="B103">
            <v>750</v>
          </cell>
          <cell r="C103">
            <v>8.0537892000481889E-22</v>
          </cell>
          <cell r="D103">
            <v>1500</v>
          </cell>
          <cell r="E103">
            <v>1024</v>
          </cell>
          <cell r="F103">
            <v>1.46484375</v>
          </cell>
          <cell r="G103" t="str">
            <v>Core</v>
          </cell>
          <cell r="I103">
            <v>2282.9368442917121</v>
          </cell>
          <cell r="J103">
            <v>2353.032819442692</v>
          </cell>
          <cell r="K103">
            <v>858.96449887364508</v>
          </cell>
          <cell r="L103">
            <v>5586.3534744268391</v>
          </cell>
          <cell r="M103">
            <v>1494.068320569047</v>
          </cell>
          <cell r="N103">
            <v>3233.320654984147</v>
          </cell>
        </row>
        <row r="104">
          <cell r="A104" t="str">
            <v>CGI001-qtz03-CL-fit-1</v>
          </cell>
          <cell r="B104">
            <v>750</v>
          </cell>
          <cell r="C104">
            <v>8.0537892000481889E-22</v>
          </cell>
          <cell r="D104">
            <v>1900</v>
          </cell>
          <cell r="E104">
            <v>1024</v>
          </cell>
          <cell r="F104">
            <v>1.85546875</v>
          </cell>
          <cell r="G104" t="str">
            <v>Core</v>
          </cell>
          <cell r="I104">
            <v>2416.1983147316541</v>
          </cell>
          <cell r="J104">
            <v>2357.4076174031529</v>
          </cell>
          <cell r="K104">
            <v>1346.5200489331919</v>
          </cell>
          <cell r="L104">
            <v>3397.45873359302</v>
          </cell>
          <cell r="M104">
            <v>1010.887568469961</v>
          </cell>
          <cell r="N104">
            <v>1040.0511161898671</v>
          </cell>
        </row>
        <row r="105">
          <cell r="A105" t="str">
            <v>CGI014-qtz11-CL-fit-2-offset</v>
          </cell>
          <cell r="B105">
            <v>750</v>
          </cell>
          <cell r="C105">
            <v>8.0537892000481889E-22</v>
          </cell>
          <cell r="D105">
            <v>1500</v>
          </cell>
          <cell r="E105">
            <v>1024</v>
          </cell>
          <cell r="F105">
            <v>1.46484375</v>
          </cell>
          <cell r="G105" t="str">
            <v>Core</v>
          </cell>
          <cell r="I105">
            <v>2412.8218973660469</v>
          </cell>
          <cell r="J105">
            <v>2419.8560979740992</v>
          </cell>
          <cell r="K105">
            <v>1712.2162536748747</v>
          </cell>
          <cell r="L105">
            <v>3426.7471559634237</v>
          </cell>
          <cell r="M105">
            <v>707.63984429922448</v>
          </cell>
          <cell r="N105">
            <v>1006.8910579893245</v>
          </cell>
        </row>
        <row r="106">
          <cell r="A106" t="str">
            <v>CGI008-qtz02-CL-fit-1-offset</v>
          </cell>
          <cell r="B106">
            <v>750</v>
          </cell>
          <cell r="C106">
            <v>8.0537892000481889E-22</v>
          </cell>
          <cell r="D106">
            <v>2400</v>
          </cell>
          <cell r="E106">
            <v>1024</v>
          </cell>
          <cell r="F106">
            <v>2.34375</v>
          </cell>
          <cell r="G106" t="str">
            <v>Core</v>
          </cell>
          <cell r="I106">
            <v>2353.3480527873066</v>
          </cell>
          <cell r="J106">
            <v>2513.3145608067694</v>
          </cell>
          <cell r="K106">
            <v>146.50656035527908</v>
          </cell>
          <cell r="L106">
            <v>8004.3606151797658</v>
          </cell>
          <cell r="M106">
            <v>2366.8080004514904</v>
          </cell>
          <cell r="N106">
            <v>5491.0460543729969</v>
          </cell>
        </row>
        <row r="107">
          <cell r="A107" t="str">
            <v>CGI005-qtz03-CL-fit-1-offset</v>
          </cell>
          <cell r="B107">
            <v>750</v>
          </cell>
          <cell r="C107">
            <v>8.0537892000481889E-22</v>
          </cell>
          <cell r="D107">
            <v>1400</v>
          </cell>
          <cell r="E107">
            <v>1024</v>
          </cell>
          <cell r="F107">
            <v>1.3671875</v>
          </cell>
          <cell r="G107" t="str">
            <v>Core</v>
          </cell>
          <cell r="I107">
            <v>2736.6951074072472</v>
          </cell>
          <cell r="J107">
            <v>2848.9086237129536</v>
          </cell>
          <cell r="K107">
            <v>1305.9290135118156</v>
          </cell>
          <cell r="L107">
            <v>5581.415625357954</v>
          </cell>
          <cell r="M107">
            <v>1542.979610201138</v>
          </cell>
          <cell r="N107">
            <v>2732.5070016450004</v>
          </cell>
        </row>
        <row r="108">
          <cell r="A108" t="str">
            <v>CGI001-qtz06-CL-fit-1-offset</v>
          </cell>
          <cell r="B108">
            <v>750</v>
          </cell>
          <cell r="C108">
            <v>8.0537892000481889E-22</v>
          </cell>
          <cell r="D108">
            <v>1500</v>
          </cell>
          <cell r="E108">
            <v>1024</v>
          </cell>
          <cell r="F108">
            <v>1.46484375</v>
          </cell>
          <cell r="G108" t="str">
            <v>Core</v>
          </cell>
          <cell r="I108">
            <v>2956.1790068422188</v>
          </cell>
          <cell r="J108">
            <v>2997.796284812151</v>
          </cell>
          <cell r="K108">
            <v>2285.4057392225227</v>
          </cell>
          <cell r="L108">
            <v>3894.0341086790531</v>
          </cell>
          <cell r="M108">
            <v>712.39054558962835</v>
          </cell>
          <cell r="N108">
            <v>896.23782386690209</v>
          </cell>
        </row>
        <row r="109">
          <cell r="A109" t="str">
            <v>CGI011-qtz08-CL-fit-2-offset</v>
          </cell>
          <cell r="B109">
            <v>750</v>
          </cell>
          <cell r="C109">
            <v>8.0537892000481889E-22</v>
          </cell>
          <cell r="D109">
            <v>1300</v>
          </cell>
          <cell r="E109">
            <v>1024</v>
          </cell>
          <cell r="F109">
            <v>1.26953125</v>
          </cell>
          <cell r="G109" t="str">
            <v>Core</v>
          </cell>
          <cell r="I109">
            <v>3010.7940834919814</v>
          </cell>
          <cell r="J109">
            <v>3074.5752828250565</v>
          </cell>
          <cell r="K109">
            <v>2068.7708040759107</v>
          </cell>
          <cell r="L109">
            <v>4437.9173028604828</v>
          </cell>
          <cell r="M109">
            <v>1005.8044787491458</v>
          </cell>
          <cell r="N109">
            <v>1363.3420200354262</v>
          </cell>
        </row>
        <row r="110">
          <cell r="A110" t="str">
            <v>CGI008-qtz06-CL-fit-1-offset</v>
          </cell>
          <cell r="B110">
            <v>750</v>
          </cell>
          <cell r="C110">
            <v>8.0537892000481889E-22</v>
          </cell>
          <cell r="D110">
            <v>1900</v>
          </cell>
          <cell r="E110">
            <v>1024</v>
          </cell>
          <cell r="F110">
            <v>1.85546875</v>
          </cell>
          <cell r="G110" t="str">
            <v>Core</v>
          </cell>
          <cell r="I110">
            <v>3248.8059748044839</v>
          </cell>
          <cell r="J110">
            <v>3441.9577186154966</v>
          </cell>
          <cell r="K110">
            <v>1379.7753239893132</v>
          </cell>
          <cell r="L110">
            <v>7695.0062538680004</v>
          </cell>
          <cell r="M110">
            <v>2062.1823946261834</v>
          </cell>
          <cell r="N110">
            <v>4253.0485352525038</v>
          </cell>
        </row>
        <row r="111">
          <cell r="A111" t="str">
            <v>CGI015-qtz07-CL-fit-2-offset</v>
          </cell>
          <cell r="B111">
            <v>750</v>
          </cell>
          <cell r="C111">
            <v>8.0537892000481889E-22</v>
          </cell>
          <cell r="D111">
            <v>2250</v>
          </cell>
          <cell r="E111">
            <v>1024</v>
          </cell>
          <cell r="F111">
            <v>2.197265625</v>
          </cell>
          <cell r="G111" t="str">
            <v>Core</v>
          </cell>
          <cell r="I111">
            <v>3574.2655389648253</v>
          </cell>
          <cell r="J111">
            <v>3725.4226799395083</v>
          </cell>
          <cell r="K111">
            <v>2020.0251306234331</v>
          </cell>
          <cell r="L111">
            <v>7035.8520917672795</v>
          </cell>
          <cell r="M111">
            <v>1705.3975493160751</v>
          </cell>
          <cell r="N111">
            <v>3310.4294118277712</v>
          </cell>
        </row>
        <row r="112">
          <cell r="A112" t="str">
            <v>CGI014-qtz05-CL-fit-1-offset</v>
          </cell>
          <cell r="B112">
            <v>750</v>
          </cell>
          <cell r="C112">
            <v>8.0537892000481889E-22</v>
          </cell>
          <cell r="D112">
            <v>1900</v>
          </cell>
          <cell r="E112">
            <v>1024</v>
          </cell>
          <cell r="F112">
            <v>1.85546875</v>
          </cell>
          <cell r="G112" t="str">
            <v>Core</v>
          </cell>
          <cell r="I112">
            <v>4286.1732008129466</v>
          </cell>
          <cell r="J112">
            <v>4272.0906433073887</v>
          </cell>
          <cell r="K112">
            <v>2671.3223741670645</v>
          </cell>
          <cell r="L112">
            <v>6139.2964603141118</v>
          </cell>
          <cell r="M112">
            <v>1600.7682691403243</v>
          </cell>
          <cell r="N112">
            <v>1867.205817006723</v>
          </cell>
        </row>
        <row r="113">
          <cell r="A113" t="str">
            <v>CGI001-qtz08-CL-fit-1-offset</v>
          </cell>
          <cell r="B113">
            <v>750</v>
          </cell>
          <cell r="C113">
            <v>8.0537892000481889E-22</v>
          </cell>
          <cell r="D113">
            <v>1500</v>
          </cell>
          <cell r="E113">
            <v>1024</v>
          </cell>
          <cell r="F113">
            <v>1.46484375</v>
          </cell>
          <cell r="G113" t="str">
            <v>Core</v>
          </cell>
          <cell r="I113">
            <v>4418.8596186307359</v>
          </cell>
          <cell r="J113">
            <v>4468.6163569085948</v>
          </cell>
          <cell r="K113">
            <v>2621.2576144926711</v>
          </cell>
          <cell r="L113">
            <v>6692.5445347330624</v>
          </cell>
          <cell r="M113">
            <v>1847.3587424159236</v>
          </cell>
          <cell r="N113">
            <v>2223.9281778244676</v>
          </cell>
        </row>
        <row r="114">
          <cell r="A114" t="str">
            <v>CGI001-qtz07-CL-fit-1</v>
          </cell>
          <cell r="B114">
            <v>750</v>
          </cell>
          <cell r="C114">
            <v>8.0537892000481889E-22</v>
          </cell>
          <cell r="D114">
            <v>1850</v>
          </cell>
          <cell r="E114">
            <v>1024</v>
          </cell>
          <cell r="F114">
            <v>1.806640625</v>
          </cell>
          <cell r="G114" t="str">
            <v>Core</v>
          </cell>
          <cell r="I114">
            <v>4570.7730831968984</v>
          </cell>
          <cell r="J114">
            <v>4661.6251556438965</v>
          </cell>
          <cell r="K114">
            <v>3130.6518652729019</v>
          </cell>
          <cell r="L114">
            <v>6976.7988011978168</v>
          </cell>
          <cell r="M114">
            <v>1530.9732903709946</v>
          </cell>
          <cell r="N114">
            <v>2315.1736455539203</v>
          </cell>
        </row>
        <row r="115">
          <cell r="A115" t="str">
            <v>CGI001-qtz05-CL-fit-1-offset</v>
          </cell>
          <cell r="B115">
            <v>750</v>
          </cell>
          <cell r="C115">
            <v>8.0537892000481889E-22</v>
          </cell>
          <cell r="D115">
            <v>1800</v>
          </cell>
          <cell r="E115">
            <v>1024</v>
          </cell>
          <cell r="F115">
            <v>1.7578125</v>
          </cell>
          <cell r="G115" t="str">
            <v>Core</v>
          </cell>
          <cell r="I115">
            <v>4570.6300741855266</v>
          </cell>
          <cell r="J115">
            <v>4781.156026998271</v>
          </cell>
          <cell r="K115">
            <v>700.81732210023881</v>
          </cell>
          <cell r="L115">
            <v>12084.253265460589</v>
          </cell>
          <cell r="M115">
            <v>4080.3387048980321</v>
          </cell>
          <cell r="N115">
            <v>7303.0972384623183</v>
          </cell>
        </row>
        <row r="116">
          <cell r="A116" t="str">
            <v>CGI015-qtz02-CL-fit-1-offset</v>
          </cell>
          <cell r="B116">
            <v>750</v>
          </cell>
          <cell r="C116">
            <v>8.0537892000481889E-22</v>
          </cell>
          <cell r="D116">
            <v>1550</v>
          </cell>
          <cell r="E116">
            <v>1024</v>
          </cell>
          <cell r="F116">
            <v>1.513671875</v>
          </cell>
          <cell r="G116" t="str">
            <v>COre</v>
          </cell>
          <cell r="I116">
            <v>4903.3367709318436</v>
          </cell>
          <cell r="J116">
            <v>4883.0761335645329</v>
          </cell>
          <cell r="K116">
            <v>3350.8352658296317</v>
          </cell>
          <cell r="L116">
            <v>6796.723895782503</v>
          </cell>
          <cell r="M116">
            <v>1532.2408677349013</v>
          </cell>
          <cell r="N116">
            <v>1913.64776221797</v>
          </cell>
        </row>
        <row r="117">
          <cell r="A117" t="str">
            <v>CGI014-qtz08-CL-fit-1-offset</v>
          </cell>
          <cell r="B117">
            <v>750</v>
          </cell>
          <cell r="C117">
            <v>8.0537892000481889E-22</v>
          </cell>
          <cell r="D117">
            <v>1550</v>
          </cell>
          <cell r="E117">
            <v>1024</v>
          </cell>
          <cell r="F117">
            <v>1.513671875</v>
          </cell>
          <cell r="G117" t="str">
            <v>Core</v>
          </cell>
          <cell r="I117">
            <v>4988.1790093328409</v>
          </cell>
          <cell r="J117">
            <v>5046.340195695796</v>
          </cell>
          <cell r="K117">
            <v>3867.7684243242425</v>
          </cell>
          <cell r="L117">
            <v>6481.9648497823473</v>
          </cell>
          <cell r="M117">
            <v>1178.5717713715535</v>
          </cell>
          <cell r="N117">
            <v>1435.6246540865513</v>
          </cell>
        </row>
        <row r="118">
          <cell r="A118" t="str">
            <v>CGI005-qtz06-CL-fit-1-offset</v>
          </cell>
          <cell r="B118">
            <v>750</v>
          </cell>
          <cell r="C118">
            <v>8.0537892000481889E-22</v>
          </cell>
          <cell r="D118">
            <v>2050</v>
          </cell>
          <cell r="E118">
            <v>1024</v>
          </cell>
          <cell r="F118">
            <v>2.001953125</v>
          </cell>
          <cell r="G118" t="str">
            <v>Core</v>
          </cell>
          <cell r="I118">
            <v>5036.5919525179279</v>
          </cell>
          <cell r="J118">
            <v>5064.2790352963539</v>
          </cell>
          <cell r="K118">
            <v>3527.9263178103333</v>
          </cell>
          <cell r="L118">
            <v>6962.6758880849193</v>
          </cell>
          <cell r="M118">
            <v>1536.3527174860205</v>
          </cell>
          <cell r="N118">
            <v>1898.3968527885654</v>
          </cell>
        </row>
        <row r="119">
          <cell r="A119" t="str">
            <v>CGI014-qtz12-CL-fit-1-offset</v>
          </cell>
          <cell r="B119">
            <v>750</v>
          </cell>
          <cell r="C119">
            <v>8.0537892000481889E-22</v>
          </cell>
          <cell r="D119">
            <v>1650</v>
          </cell>
          <cell r="E119">
            <v>1024</v>
          </cell>
          <cell r="F119">
            <v>1.611328125</v>
          </cell>
          <cell r="G119" t="str">
            <v>Core</v>
          </cell>
          <cell r="I119">
            <v>5430.9733549733173</v>
          </cell>
          <cell r="J119">
            <v>5465.5844512536351</v>
          </cell>
          <cell r="K119">
            <v>3615.5710036046548</v>
          </cell>
          <cell r="L119">
            <v>8409.7312442490547</v>
          </cell>
          <cell r="M119">
            <v>1850.0134476489802</v>
          </cell>
          <cell r="N119">
            <v>2944.1467929954197</v>
          </cell>
        </row>
        <row r="120">
          <cell r="A120" t="str">
            <v>CGI005-qtz09-CL-fit-1-offset</v>
          </cell>
          <cell r="B120">
            <v>750</v>
          </cell>
          <cell r="C120">
            <v>8.0537892000481889E-22</v>
          </cell>
          <cell r="D120">
            <v>2400</v>
          </cell>
          <cell r="E120">
            <v>1024</v>
          </cell>
          <cell r="F120">
            <v>2.34375</v>
          </cell>
          <cell r="G120" t="str">
            <v>Core</v>
          </cell>
          <cell r="I120">
            <v>603.81859461761167</v>
          </cell>
          <cell r="J120">
            <v>6152.7548005293747</v>
          </cell>
          <cell r="K120">
            <v>7.5640681539818302E-2</v>
          </cell>
          <cell r="L120">
            <v>222678.2461332464</v>
          </cell>
          <cell r="M120">
            <v>6152.6791598478349</v>
          </cell>
          <cell r="N120">
            <v>216525.49133271704</v>
          </cell>
        </row>
        <row r="121">
          <cell r="A121" t="str">
            <v>CGI001-qtz10-CL-fit-3-offset</v>
          </cell>
          <cell r="B121">
            <v>750</v>
          </cell>
          <cell r="C121">
            <v>8.0537892000481889E-22</v>
          </cell>
          <cell r="D121">
            <v>2000</v>
          </cell>
          <cell r="E121">
            <v>1024</v>
          </cell>
          <cell r="F121">
            <v>1.953125</v>
          </cell>
          <cell r="G121" t="str">
            <v>Core</v>
          </cell>
          <cell r="I121">
            <v>6999.8926947439668</v>
          </cell>
          <cell r="J121">
            <v>7136.8747954462933</v>
          </cell>
          <cell r="K121">
            <v>4945.8232081567357</v>
          </cell>
          <cell r="L121">
            <v>9845.7847461932179</v>
          </cell>
          <cell r="M121">
            <v>2191.0515872895576</v>
          </cell>
          <cell r="N121">
            <v>2708.9099507469246</v>
          </cell>
        </row>
        <row r="122">
          <cell r="A122" t="str">
            <v>CGI005-qtz10-CL-fit-1</v>
          </cell>
          <cell r="B122">
            <v>750</v>
          </cell>
          <cell r="C122">
            <v>8.0537892000481889E-22</v>
          </cell>
          <cell r="D122">
            <v>2100</v>
          </cell>
          <cell r="E122">
            <v>1024</v>
          </cell>
          <cell r="F122">
            <v>2.05078125</v>
          </cell>
          <cell r="G122" t="str">
            <v>Core</v>
          </cell>
          <cell r="I122">
            <v>7766.7716820843198</v>
          </cell>
          <cell r="J122">
            <v>7745.4021926207606</v>
          </cell>
          <cell r="K122">
            <v>6594.2282321769972</v>
          </cell>
          <cell r="L122">
            <v>9233.2194363716371</v>
          </cell>
          <cell r="M122">
            <v>1151.1739604437635</v>
          </cell>
          <cell r="N122">
            <v>1487.8172437508765</v>
          </cell>
        </row>
        <row r="124">
          <cell r="A124" t="str">
            <v>CGI014-qtz02-CL-fit-4-offset</v>
          </cell>
          <cell r="B124">
            <v>750</v>
          </cell>
          <cell r="C124">
            <v>8.0537892000481889E-22</v>
          </cell>
          <cell r="D124">
            <v>2000</v>
          </cell>
          <cell r="E124">
            <v>1024</v>
          </cell>
          <cell r="F124">
            <v>1.953125</v>
          </cell>
          <cell r="G124" t="str">
            <v>Interior</v>
          </cell>
          <cell r="I124">
            <v>2.5945031091162289</v>
          </cell>
          <cell r="J124">
            <v>6.1824682233695016</v>
          </cell>
          <cell r="K124">
            <v>7.343536060664217E-3</v>
          </cell>
          <cell r="L124">
            <v>42.615373700865533</v>
          </cell>
          <cell r="M124">
            <v>6.1751246873088377</v>
          </cell>
          <cell r="N124">
            <v>36.432905477496028</v>
          </cell>
        </row>
        <row r="125">
          <cell r="A125" t="str">
            <v>CGI015-qtz10-CL-fit-7-offset</v>
          </cell>
          <cell r="B125">
            <v>750</v>
          </cell>
          <cell r="C125">
            <v>8.0537892000481889E-22</v>
          </cell>
          <cell r="D125">
            <v>2050</v>
          </cell>
          <cell r="E125">
            <v>1024</v>
          </cell>
          <cell r="F125">
            <v>2.001953125</v>
          </cell>
          <cell r="G125" t="str">
            <v>Interior</v>
          </cell>
          <cell r="I125">
            <v>2.4175572786151522</v>
          </cell>
          <cell r="J125">
            <v>8.7177907108329276</v>
          </cell>
          <cell r="K125">
            <v>1.3191160052923412E-5</v>
          </cell>
          <cell r="L125">
            <v>293.85195805426389</v>
          </cell>
          <cell r="M125">
            <v>8.7177775196728753</v>
          </cell>
          <cell r="N125">
            <v>285.13416734343099</v>
          </cell>
        </row>
        <row r="126">
          <cell r="A126" t="str">
            <v>CGI008-qtz12-CL-fit-2-offset</v>
          </cell>
          <cell r="B126">
            <v>750</v>
          </cell>
          <cell r="C126">
            <v>8.0537892000481889E-22</v>
          </cell>
          <cell r="D126">
            <v>1700</v>
          </cell>
          <cell r="E126">
            <v>1024</v>
          </cell>
          <cell r="F126">
            <v>1.66015625</v>
          </cell>
          <cell r="G126" t="str">
            <v>Interior</v>
          </cell>
          <cell r="I126">
            <v>2.1770354586091591</v>
          </cell>
          <cell r="J126">
            <v>11.284681248950685</v>
          </cell>
          <cell r="K126">
            <v>0.10334304970914653</v>
          </cell>
          <cell r="L126">
            <v>117.71787055400567</v>
          </cell>
          <cell r="M126">
            <v>11.181338199241539</v>
          </cell>
          <cell r="N126">
            <v>106.43318930505498</v>
          </cell>
        </row>
        <row r="127">
          <cell r="A127" t="str">
            <v>CGI018-qtz05-CL-fit-7-offset</v>
          </cell>
          <cell r="B127">
            <v>750</v>
          </cell>
          <cell r="C127">
            <v>8.0537892000481889E-22</v>
          </cell>
          <cell r="D127">
            <v>1600</v>
          </cell>
          <cell r="E127">
            <v>1024</v>
          </cell>
          <cell r="F127">
            <v>1.5625</v>
          </cell>
          <cell r="G127" t="str">
            <v>Interior</v>
          </cell>
          <cell r="I127">
            <v>4.3663482766684947</v>
          </cell>
          <cell r="J127">
            <v>13.013798813383355</v>
          </cell>
          <cell r="K127">
            <v>1.2135138466232269E-3</v>
          </cell>
          <cell r="L127">
            <v>99.285984669963042</v>
          </cell>
          <cell r="M127">
            <v>13.012585299536731</v>
          </cell>
          <cell r="N127">
            <v>86.272185856579682</v>
          </cell>
        </row>
        <row r="128">
          <cell r="A128" t="str">
            <v>CGI014-qtz09-CL-fit-3-offset</v>
          </cell>
          <cell r="B128">
            <v>750</v>
          </cell>
          <cell r="C128">
            <v>8.0537892000481889E-22</v>
          </cell>
          <cell r="D128">
            <v>1550</v>
          </cell>
          <cell r="E128">
            <v>1024</v>
          </cell>
          <cell r="F128">
            <v>1.513671875</v>
          </cell>
          <cell r="G128" t="str">
            <v>Interior</v>
          </cell>
          <cell r="I128">
            <v>1.0353405456824096</v>
          </cell>
          <cell r="J128">
            <v>14.57195377073495</v>
          </cell>
          <cell r="K128">
            <v>4.6147736399131023E-11</v>
          </cell>
          <cell r="L128">
            <v>662.32144072563437</v>
          </cell>
          <cell r="M128">
            <v>14.571953770688802</v>
          </cell>
          <cell r="N128">
            <v>647.74948695489945</v>
          </cell>
        </row>
        <row r="129">
          <cell r="A129" t="str">
            <v>CGI008-qtz02-CL-fit-4-offset</v>
          </cell>
          <cell r="B129">
            <v>750</v>
          </cell>
          <cell r="C129">
            <v>8.0537892000481889E-22</v>
          </cell>
          <cell r="D129">
            <v>2400</v>
          </cell>
          <cell r="E129">
            <v>1024</v>
          </cell>
          <cell r="F129">
            <v>2.34375</v>
          </cell>
          <cell r="G129" t="str">
            <v>Interior</v>
          </cell>
          <cell r="I129">
            <v>5.9072275269078593</v>
          </cell>
          <cell r="J129">
            <v>16.049839517767381</v>
          </cell>
          <cell r="K129">
            <v>815.89911474229257</v>
          </cell>
          <cell r="L129">
            <v>1994.2418921010749</v>
          </cell>
          <cell r="M129">
            <v>-799.84927522452517</v>
          </cell>
          <cell r="N129">
            <v>1978.1920525833075</v>
          </cell>
        </row>
        <row r="130">
          <cell r="A130" t="str">
            <v>CGI008-qtz11-CL-fit-3-offset</v>
          </cell>
          <cell r="B130">
            <v>750</v>
          </cell>
          <cell r="C130">
            <v>8.0537892000481889E-22</v>
          </cell>
          <cell r="D130">
            <v>1800</v>
          </cell>
          <cell r="E130">
            <v>1024</v>
          </cell>
          <cell r="F130">
            <v>1.7578125</v>
          </cell>
          <cell r="G130" t="str">
            <v>Interior</v>
          </cell>
          <cell r="I130">
            <v>18.673507663032357</v>
          </cell>
          <cell r="J130">
            <v>18.300757984972865</v>
          </cell>
          <cell r="K130">
            <v>1.0414615139962544</v>
          </cell>
          <cell r="L130">
            <v>99.257119421798251</v>
          </cell>
          <cell r="M130">
            <v>17.259296470976611</v>
          </cell>
          <cell r="N130">
            <v>80.956361436825389</v>
          </cell>
        </row>
        <row r="131">
          <cell r="A131" t="str">
            <v>CGI014-qtz01-CL-fit-2-offset</v>
          </cell>
          <cell r="B131">
            <v>750</v>
          </cell>
          <cell r="C131">
            <v>8.0537892000481889E-22</v>
          </cell>
          <cell r="D131">
            <v>1600</v>
          </cell>
          <cell r="E131">
            <v>1024</v>
          </cell>
          <cell r="F131">
            <v>1.5625</v>
          </cell>
          <cell r="G131" t="str">
            <v>Interior</v>
          </cell>
          <cell r="I131">
            <v>6.7489338454310692</v>
          </cell>
          <cell r="J131">
            <v>20.556500893353537</v>
          </cell>
          <cell r="K131">
            <v>1.0144818425542802E-11</v>
          </cell>
          <cell r="L131">
            <v>379.1410260601906</v>
          </cell>
          <cell r="M131">
            <v>20.55650089334339</v>
          </cell>
          <cell r="N131">
            <v>358.58452516683707</v>
          </cell>
        </row>
        <row r="132">
          <cell r="A132" t="str">
            <v>CGI005-qtz03-CL-fit-6-offset</v>
          </cell>
          <cell r="B132">
            <v>750</v>
          </cell>
          <cell r="C132">
            <v>8.0537892000481889E-22</v>
          </cell>
          <cell r="D132">
            <v>1400</v>
          </cell>
          <cell r="E132">
            <v>1024</v>
          </cell>
          <cell r="F132">
            <v>1.3671875</v>
          </cell>
          <cell r="G132" t="str">
            <v>Interior</v>
          </cell>
          <cell r="I132">
            <v>24.001468810950314</v>
          </cell>
          <cell r="J132">
            <v>21.518984679198322</v>
          </cell>
          <cell r="K132">
            <v>0.38878797160418566</v>
          </cell>
          <cell r="L132">
            <v>79.082268937635249</v>
          </cell>
          <cell r="M132">
            <v>21.130196707594138</v>
          </cell>
          <cell r="N132">
            <v>57.563284258436923</v>
          </cell>
        </row>
        <row r="133">
          <cell r="A133" t="str">
            <v>CGI008-qtz03-CL-fit-4-offset</v>
          </cell>
          <cell r="B133">
            <v>750</v>
          </cell>
          <cell r="C133">
            <v>8.0537892000481889E-22</v>
          </cell>
          <cell r="D133">
            <v>2800</v>
          </cell>
          <cell r="E133">
            <v>1024</v>
          </cell>
          <cell r="F133">
            <v>2.734375</v>
          </cell>
          <cell r="G133" t="str">
            <v>Interior</v>
          </cell>
          <cell r="I133">
            <v>3.0361956899290936</v>
          </cell>
          <cell r="J133">
            <v>22.239957507774591</v>
          </cell>
          <cell r="K133">
            <v>1.8851388024224498E-13</v>
          </cell>
          <cell r="L133">
            <v>1804.0150187986267</v>
          </cell>
          <cell r="M133">
            <v>22.239957507774403</v>
          </cell>
          <cell r="N133">
            <v>1781.7750612908521</v>
          </cell>
        </row>
        <row r="134">
          <cell r="A134" t="str">
            <v>CGI014-qtz03-CL-fit-5-offset</v>
          </cell>
          <cell r="B134">
            <v>750</v>
          </cell>
          <cell r="C134">
            <v>8.0537892000481889E-22</v>
          </cell>
          <cell r="D134">
            <v>1800</v>
          </cell>
          <cell r="E134">
            <v>1024</v>
          </cell>
          <cell r="F134">
            <v>1.7578125</v>
          </cell>
          <cell r="G134" t="str">
            <v>Interior</v>
          </cell>
          <cell r="I134">
            <v>3.8197624187880632</v>
          </cell>
          <cell r="J134">
            <v>25.363679223021347</v>
          </cell>
          <cell r="K134">
            <v>9.3761285723004909E-3</v>
          </cell>
          <cell r="L134">
            <v>668.49941822842788</v>
          </cell>
          <cell r="M134">
            <v>25.354303094449048</v>
          </cell>
          <cell r="N134">
            <v>643.13573900540655</v>
          </cell>
        </row>
        <row r="135">
          <cell r="A135" t="str">
            <v>CGI018-qtz06-CL-fit-4-offset</v>
          </cell>
          <cell r="B135">
            <v>750</v>
          </cell>
          <cell r="C135">
            <v>8.0537892000481889E-22</v>
          </cell>
          <cell r="D135">
            <v>1750</v>
          </cell>
          <cell r="E135">
            <v>1024</v>
          </cell>
          <cell r="F135">
            <v>1.708984375</v>
          </cell>
          <cell r="G135" t="str">
            <v>Interior</v>
          </cell>
          <cell r="I135">
            <v>23.925968649760339</v>
          </cell>
          <cell r="J135">
            <v>26.029852225532625</v>
          </cell>
          <cell r="K135">
            <v>0.92994571760939715</v>
          </cell>
          <cell r="L135">
            <v>223.0265933568507</v>
          </cell>
          <cell r="M135">
            <v>25.09990650792323</v>
          </cell>
          <cell r="N135">
            <v>196.99674113131806</v>
          </cell>
        </row>
        <row r="136">
          <cell r="A136" t="str">
            <v>CGI011-qtz04-CL-fit-5-offset</v>
          </cell>
          <cell r="B136">
            <v>750</v>
          </cell>
          <cell r="C136">
            <v>8.0537892000481889E-22</v>
          </cell>
          <cell r="D136">
            <v>1800</v>
          </cell>
          <cell r="E136">
            <v>1024</v>
          </cell>
          <cell r="F136">
            <v>1.7578125</v>
          </cell>
          <cell r="G136" t="str">
            <v>Interior</v>
          </cell>
          <cell r="I136">
            <v>28.27775371219634</v>
          </cell>
          <cell r="J136">
            <v>28.400773241359278</v>
          </cell>
          <cell r="K136">
            <v>0.91151997539117313</v>
          </cell>
          <cell r="L136">
            <v>107.48026611884089</v>
          </cell>
          <cell r="M136">
            <v>27.489253265968106</v>
          </cell>
          <cell r="N136">
            <v>79.079492877481613</v>
          </cell>
        </row>
        <row r="137">
          <cell r="A137" t="str">
            <v>CGI005-qtz08-CL-fit-6-offset</v>
          </cell>
          <cell r="B137">
            <v>750</v>
          </cell>
          <cell r="C137">
            <v>8.0537892000481889E-22</v>
          </cell>
          <cell r="D137">
            <v>1900</v>
          </cell>
          <cell r="E137">
            <v>1024</v>
          </cell>
          <cell r="F137">
            <v>1.85546875</v>
          </cell>
          <cell r="G137" t="str">
            <v>Interior</v>
          </cell>
          <cell r="I137">
            <v>29.35314299490534</v>
          </cell>
          <cell r="J137">
            <v>29.238004675506915</v>
          </cell>
          <cell r="K137">
            <v>0.36777925427952923</v>
          </cell>
          <cell r="L137">
            <v>103.12051725328907</v>
          </cell>
          <cell r="M137">
            <v>28.870225421227385</v>
          </cell>
          <cell r="N137">
            <v>73.882512577782151</v>
          </cell>
        </row>
        <row r="138">
          <cell r="A138" t="str">
            <v>CGI014-qtz03-CL-fit-4-offset</v>
          </cell>
          <cell r="B138">
            <v>750</v>
          </cell>
          <cell r="C138">
            <v>8.0537892000481889E-22</v>
          </cell>
          <cell r="D138">
            <v>1800</v>
          </cell>
          <cell r="E138">
            <v>1024</v>
          </cell>
          <cell r="F138">
            <v>1.7578125</v>
          </cell>
          <cell r="G138" t="str">
            <v>Interior</v>
          </cell>
          <cell r="I138">
            <v>4.8967583844457732</v>
          </cell>
          <cell r="J138">
            <v>29.738358331196846</v>
          </cell>
          <cell r="K138">
            <v>1.5456818950194019E-13</v>
          </cell>
          <cell r="L138">
            <v>486.17806586206319</v>
          </cell>
          <cell r="M138">
            <v>29.738358331196689</v>
          </cell>
          <cell r="N138">
            <v>456.43970753086637</v>
          </cell>
        </row>
        <row r="139">
          <cell r="A139" t="str">
            <v>CGI015-qtz09-CL-fit-5-offset</v>
          </cell>
          <cell r="B139">
            <v>750</v>
          </cell>
          <cell r="C139">
            <v>8.0537892000481889E-22</v>
          </cell>
          <cell r="D139">
            <v>2150</v>
          </cell>
          <cell r="E139">
            <v>1024</v>
          </cell>
          <cell r="F139">
            <v>2.099609375</v>
          </cell>
          <cell r="G139" t="str">
            <v>Interior</v>
          </cell>
          <cell r="I139">
            <v>27.462233913698043</v>
          </cell>
          <cell r="J139">
            <v>30.492764159182222</v>
          </cell>
          <cell r="K139">
            <v>0.65067710239919507</v>
          </cell>
          <cell r="L139">
            <v>131.97905469897282</v>
          </cell>
          <cell r="M139">
            <v>29.842087056783026</v>
          </cell>
          <cell r="N139">
            <v>101.48629053979059</v>
          </cell>
        </row>
        <row r="140">
          <cell r="A140" t="str">
            <v>CGI018-qtz07-CL-fit-3-offset</v>
          </cell>
          <cell r="B140">
            <v>750</v>
          </cell>
          <cell r="C140">
            <v>8.0537892000481889E-22</v>
          </cell>
          <cell r="D140">
            <v>1700</v>
          </cell>
          <cell r="E140">
            <v>1024</v>
          </cell>
          <cell r="F140">
            <v>1.66015625</v>
          </cell>
          <cell r="G140" t="str">
            <v>Interior</v>
          </cell>
          <cell r="I140">
            <v>30.426029618810201</v>
          </cell>
          <cell r="J140">
            <v>31.070039720086367</v>
          </cell>
          <cell r="K140">
            <v>0.97595527185727815</v>
          </cell>
          <cell r="L140">
            <v>95.55455062286083</v>
          </cell>
          <cell r="M140">
            <v>30.09408444822909</v>
          </cell>
          <cell r="N140">
            <v>64.48451090277446</v>
          </cell>
        </row>
        <row r="141">
          <cell r="A141" t="str">
            <v>CGI001-qtz11-CL-fit-2-offset</v>
          </cell>
          <cell r="B141">
            <v>750</v>
          </cell>
          <cell r="C141">
            <v>8.0537892000481889E-22</v>
          </cell>
          <cell r="D141">
            <v>1500</v>
          </cell>
          <cell r="E141">
            <v>1024</v>
          </cell>
          <cell r="F141">
            <v>1.46484375</v>
          </cell>
          <cell r="G141" t="str">
            <v>Interior</v>
          </cell>
          <cell r="I141">
            <v>39.652024046113574</v>
          </cell>
          <cell r="J141">
            <v>35.554084211458303</v>
          </cell>
          <cell r="K141">
            <v>1.2344185211205989</v>
          </cell>
          <cell r="L141">
            <v>107.9067640731907</v>
          </cell>
          <cell r="M141">
            <v>34.3196656903377</v>
          </cell>
          <cell r="N141">
            <v>72.352679861732398</v>
          </cell>
        </row>
        <row r="142">
          <cell r="A142" t="str">
            <v>CGI009-qtz07-CL-fit-2-offset</v>
          </cell>
          <cell r="B142">
            <v>750</v>
          </cell>
          <cell r="C142">
            <v>8.0537892000481889E-22</v>
          </cell>
          <cell r="D142">
            <v>1200</v>
          </cell>
          <cell r="E142">
            <v>1024</v>
          </cell>
          <cell r="F142">
            <v>1.171875</v>
          </cell>
          <cell r="G142" t="str">
            <v>Interior</v>
          </cell>
          <cell r="I142">
            <v>38.102586134323047</v>
          </cell>
          <cell r="J142">
            <v>39.193620325308103</v>
          </cell>
          <cell r="K142">
            <v>7.8698849347766928E-2</v>
          </cell>
          <cell r="L142">
            <v>277.15227632381988</v>
          </cell>
          <cell r="M142">
            <v>39.114921475960337</v>
          </cell>
          <cell r="N142">
            <v>237.95865599851177</v>
          </cell>
        </row>
        <row r="143">
          <cell r="A143" t="str">
            <v>CGI005-qtz08-CL-fit-5-offset</v>
          </cell>
          <cell r="B143">
            <v>750</v>
          </cell>
          <cell r="C143">
            <v>8.0537892000481889E-22</v>
          </cell>
          <cell r="D143">
            <v>1900</v>
          </cell>
          <cell r="E143">
            <v>1024</v>
          </cell>
          <cell r="F143">
            <v>1.85546875</v>
          </cell>
          <cell r="G143" t="str">
            <v>Interior</v>
          </cell>
          <cell r="I143">
            <v>39.40493786955944</v>
          </cell>
          <cell r="J143">
            <v>39.783261960614468</v>
          </cell>
          <cell r="K143">
            <v>0.76483881422896827</v>
          </cell>
          <cell r="L143">
            <v>250.19677757927568</v>
          </cell>
          <cell r="M143">
            <v>39.018423146385501</v>
          </cell>
          <cell r="N143">
            <v>210.41351561866122</v>
          </cell>
        </row>
        <row r="144">
          <cell r="A144" t="str">
            <v>CGI018-qtz05-CL-fit-6-offset</v>
          </cell>
          <cell r="B144">
            <v>750</v>
          </cell>
          <cell r="C144">
            <v>8.0537892000481889E-22</v>
          </cell>
          <cell r="D144">
            <v>1600</v>
          </cell>
          <cell r="E144">
            <v>1024</v>
          </cell>
          <cell r="F144">
            <v>1.5625</v>
          </cell>
          <cell r="G144" t="str">
            <v>Interior</v>
          </cell>
          <cell r="I144">
            <v>43.911067956085432</v>
          </cell>
          <cell r="J144">
            <v>41.546599090881728</v>
          </cell>
          <cell r="K144">
            <v>1.1159506378734578</v>
          </cell>
          <cell r="L144">
            <v>163.46638402340159</v>
          </cell>
          <cell r="M144">
            <v>40.430648453008267</v>
          </cell>
          <cell r="N144">
            <v>121.91978493251986</v>
          </cell>
        </row>
        <row r="145">
          <cell r="A145" t="str">
            <v>CGI018-qtz08-CL-fit-7-offset</v>
          </cell>
          <cell r="B145">
            <v>750</v>
          </cell>
          <cell r="C145">
            <v>8.0537892000481889E-22</v>
          </cell>
          <cell r="D145">
            <v>2300</v>
          </cell>
          <cell r="E145">
            <v>1024</v>
          </cell>
          <cell r="F145">
            <v>2.24609375</v>
          </cell>
          <cell r="G145" t="str">
            <v>Interior</v>
          </cell>
          <cell r="I145">
            <v>42.24082020808256</v>
          </cell>
          <cell r="J145">
            <v>41.805626205283353</v>
          </cell>
          <cell r="K145">
            <v>1.0664744418878946</v>
          </cell>
          <cell r="L145">
            <v>181.57583692136376</v>
          </cell>
          <cell r="M145">
            <v>40.739151763395455</v>
          </cell>
          <cell r="N145">
            <v>139.77021071608041</v>
          </cell>
        </row>
        <row r="146">
          <cell r="A146" t="str">
            <v>CGI014-qtz03-CL-fit-3-offset</v>
          </cell>
          <cell r="B146">
            <v>750</v>
          </cell>
          <cell r="C146">
            <v>8.0537892000481889E-22</v>
          </cell>
          <cell r="D146">
            <v>1800</v>
          </cell>
          <cell r="E146">
            <v>1024</v>
          </cell>
          <cell r="F146">
            <v>1.7578125</v>
          </cell>
          <cell r="G146" t="str">
            <v>Interior</v>
          </cell>
          <cell r="I146">
            <v>38.541923767026837</v>
          </cell>
          <cell r="J146">
            <v>45.604176346747153</v>
          </cell>
          <cell r="K146">
            <v>1.576003579115111E-11</v>
          </cell>
          <cell r="L146">
            <v>293.7864792798988</v>
          </cell>
          <cell r="M146">
            <v>45.604176346731393</v>
          </cell>
          <cell r="N146">
            <v>248.18230293315165</v>
          </cell>
        </row>
        <row r="147">
          <cell r="A147" t="str">
            <v>CGI009-qtz05-CL-fit-4-offset</v>
          </cell>
          <cell r="B147">
            <v>750</v>
          </cell>
          <cell r="C147">
            <v>8.0537892000481889E-22</v>
          </cell>
          <cell r="D147">
            <v>1500</v>
          </cell>
          <cell r="E147">
            <v>1024</v>
          </cell>
          <cell r="F147">
            <v>1.46484375</v>
          </cell>
          <cell r="G147" t="str">
            <v>Interior</v>
          </cell>
          <cell r="I147">
            <v>48.486804488015132</v>
          </cell>
          <cell r="J147">
            <v>48.038948068277094</v>
          </cell>
          <cell r="K147">
            <v>1.4188980863549779E-2</v>
          </cell>
          <cell r="L147">
            <v>340.59660964175208</v>
          </cell>
          <cell r="M147">
            <v>48.024759087413543</v>
          </cell>
          <cell r="N147">
            <v>292.557661573475</v>
          </cell>
        </row>
        <row r="148">
          <cell r="A148" t="str">
            <v>CGI011-qtz02-CL-fit-5-offset</v>
          </cell>
          <cell r="B148">
            <v>750</v>
          </cell>
          <cell r="C148">
            <v>8.0537892000481889E-22</v>
          </cell>
          <cell r="D148">
            <v>1600</v>
          </cell>
          <cell r="E148">
            <v>1024</v>
          </cell>
          <cell r="F148">
            <v>1.5625</v>
          </cell>
          <cell r="G148" t="str">
            <v>Interior</v>
          </cell>
          <cell r="I148">
            <v>46.583137576070435</v>
          </cell>
          <cell r="J148">
            <v>48.103696168329179</v>
          </cell>
          <cell r="K148">
            <v>1.6175275022770792</v>
          </cell>
          <cell r="L148">
            <v>178.50341162826498</v>
          </cell>
          <cell r="M148">
            <v>46.486168666052102</v>
          </cell>
          <cell r="N148">
            <v>130.39971545993581</v>
          </cell>
        </row>
        <row r="149">
          <cell r="A149" t="str">
            <v>CGI018-qtz10-CL-fit-5-offset</v>
          </cell>
          <cell r="B149">
            <v>750</v>
          </cell>
          <cell r="C149">
            <v>8.0537892000481889E-22</v>
          </cell>
          <cell r="D149">
            <v>2600</v>
          </cell>
          <cell r="E149">
            <v>1024</v>
          </cell>
          <cell r="F149">
            <v>2.5390625</v>
          </cell>
          <cell r="G149" t="str">
            <v>Interior</v>
          </cell>
          <cell r="I149">
            <v>58.66009304804674</v>
          </cell>
          <cell r="J149">
            <v>49.638423807021312</v>
          </cell>
          <cell r="K149">
            <v>0.26008597106276787</v>
          </cell>
          <cell r="L149">
            <v>152.81286961995556</v>
          </cell>
          <cell r="M149">
            <v>49.378337835958547</v>
          </cell>
          <cell r="N149">
            <v>103.17444581293425</v>
          </cell>
        </row>
        <row r="150">
          <cell r="A150" t="str">
            <v>CGI014-qtz02-CL-fit-3-offset</v>
          </cell>
          <cell r="B150">
            <v>750</v>
          </cell>
          <cell r="C150">
            <v>8.0537892000481889E-22</v>
          </cell>
          <cell r="D150">
            <v>2000</v>
          </cell>
          <cell r="E150">
            <v>1024</v>
          </cell>
          <cell r="F150">
            <v>1.953125</v>
          </cell>
          <cell r="G150" t="str">
            <v>Interior</v>
          </cell>
          <cell r="I150">
            <v>29.687551183558259</v>
          </cell>
          <cell r="J150">
            <v>49.860069946494157</v>
          </cell>
          <cell r="K150">
            <v>1.3429039733603303</v>
          </cell>
          <cell r="L150">
            <v>444.88194995469883</v>
          </cell>
          <cell r="M150">
            <v>48.517165973133828</v>
          </cell>
          <cell r="N150">
            <v>395.02188000820468</v>
          </cell>
        </row>
        <row r="151">
          <cell r="A151" t="str">
            <v>CGI015-qtz10-CL-fit-6-offset</v>
          </cell>
          <cell r="B151">
            <v>750</v>
          </cell>
          <cell r="C151">
            <v>8.0537892000481889E-22</v>
          </cell>
          <cell r="D151">
            <v>2050</v>
          </cell>
          <cell r="E151">
            <v>1024</v>
          </cell>
          <cell r="F151">
            <v>2.001953125</v>
          </cell>
          <cell r="G151" t="str">
            <v>Interior</v>
          </cell>
          <cell r="I151">
            <v>57.634277599294606</v>
          </cell>
          <cell r="J151">
            <v>51.702385663574923</v>
          </cell>
          <cell r="K151">
            <v>1.7946473064484858</v>
          </cell>
          <cell r="L151">
            <v>175.4579690709088</v>
          </cell>
          <cell r="M151">
            <v>49.907738357126433</v>
          </cell>
          <cell r="N151">
            <v>123.75558340733389</v>
          </cell>
        </row>
        <row r="152">
          <cell r="A152" t="str">
            <v>CGI014-qtz10-CL-fit-3-offset</v>
          </cell>
          <cell r="B152">
            <v>750</v>
          </cell>
          <cell r="C152">
            <v>8.0537892000481889E-22</v>
          </cell>
          <cell r="D152">
            <v>1550</v>
          </cell>
          <cell r="E152">
            <v>1024</v>
          </cell>
          <cell r="F152">
            <v>1.513671875</v>
          </cell>
          <cell r="G152" t="str">
            <v>Interior</v>
          </cell>
          <cell r="I152">
            <v>51.679609585974568</v>
          </cell>
          <cell r="J152">
            <v>53.874878110237916</v>
          </cell>
          <cell r="K152">
            <v>4.8783438989578459E-2</v>
          </cell>
          <cell r="L152">
            <v>268.37034715511379</v>
          </cell>
          <cell r="M152">
            <v>53.826094671248335</v>
          </cell>
          <cell r="N152">
            <v>214.49546904487588</v>
          </cell>
        </row>
        <row r="153">
          <cell r="A153" t="str">
            <v>CGI008-qtz04-CL-fit-1-offset</v>
          </cell>
          <cell r="B153">
            <v>750</v>
          </cell>
          <cell r="C153">
            <v>8.0537892000481889E-22</v>
          </cell>
          <cell r="D153">
            <v>2700</v>
          </cell>
          <cell r="E153">
            <v>1024</v>
          </cell>
          <cell r="F153">
            <v>2.63671875</v>
          </cell>
          <cell r="G153" t="str">
            <v>Interior</v>
          </cell>
          <cell r="I153">
            <v>16.323452575343961</v>
          </cell>
          <cell r="J153">
            <v>54.466705183105944</v>
          </cell>
          <cell r="K153">
            <v>291.18995327115829</v>
          </cell>
          <cell r="L153">
            <v>2222.011479334371</v>
          </cell>
          <cell r="M153">
            <v>-236.72324808805234</v>
          </cell>
          <cell r="N153">
            <v>2167.5447741512648</v>
          </cell>
        </row>
        <row r="154">
          <cell r="A154" t="str">
            <v>CGI015-qtz11-CL-fit-5-offset</v>
          </cell>
          <cell r="B154">
            <v>750</v>
          </cell>
          <cell r="C154">
            <v>8.0537892000481889E-22</v>
          </cell>
          <cell r="D154">
            <v>1700</v>
          </cell>
          <cell r="E154">
            <v>1024</v>
          </cell>
          <cell r="F154">
            <v>1.66015625</v>
          </cell>
          <cell r="G154" t="str">
            <v>Interior</v>
          </cell>
          <cell r="I154">
            <v>32.992743839530455</v>
          </cell>
          <cell r="J154">
            <v>55.728689798252205</v>
          </cell>
          <cell r="K154">
            <v>0.81011324326972067</v>
          </cell>
          <cell r="L154">
            <v>195.77351076349282</v>
          </cell>
          <cell r="M154">
            <v>54.918576554982486</v>
          </cell>
          <cell r="N154">
            <v>140.0448209652406</v>
          </cell>
        </row>
        <row r="155">
          <cell r="A155" t="str">
            <v>CGI009-qtz09-CL-fit-4-offset</v>
          </cell>
          <cell r="B155">
            <v>750</v>
          </cell>
          <cell r="C155">
            <v>8.0537892000481889E-22</v>
          </cell>
          <cell r="D155">
            <v>2100</v>
          </cell>
          <cell r="E155">
            <v>1024</v>
          </cell>
          <cell r="F155">
            <v>2.05078125</v>
          </cell>
          <cell r="G155" t="str">
            <v>Interior</v>
          </cell>
          <cell r="I155">
            <v>63.180304502263965</v>
          </cell>
          <cell r="J155">
            <v>58.086438499213713</v>
          </cell>
          <cell r="K155">
            <v>4.8655390941599643</v>
          </cell>
          <cell r="L155">
            <v>182.86611940706982</v>
          </cell>
          <cell r="M155">
            <v>53.22089940505375</v>
          </cell>
          <cell r="N155">
            <v>124.7796809078561</v>
          </cell>
        </row>
        <row r="156">
          <cell r="A156" t="str">
            <v>CGI014-qtz07-CL-fit-4-offset</v>
          </cell>
          <cell r="B156">
            <v>750</v>
          </cell>
          <cell r="C156">
            <v>8.0537892000481889E-22</v>
          </cell>
          <cell r="D156">
            <v>1500</v>
          </cell>
          <cell r="E156">
            <v>1024</v>
          </cell>
          <cell r="F156">
            <v>1.46484375</v>
          </cell>
          <cell r="G156" t="str">
            <v>Interior</v>
          </cell>
          <cell r="I156">
            <v>69.777788758380524</v>
          </cell>
          <cell r="J156">
            <v>59.386951841613907</v>
          </cell>
          <cell r="K156">
            <v>0.91255547928388414</v>
          </cell>
          <cell r="L156">
            <v>215.34086986621881</v>
          </cell>
          <cell r="M156">
            <v>58.474396362330026</v>
          </cell>
          <cell r="N156">
            <v>155.95391802460489</v>
          </cell>
        </row>
        <row r="157">
          <cell r="A157" t="str">
            <v>CGI015-qtz04-CL-fit-4-offset</v>
          </cell>
          <cell r="B157">
            <v>750</v>
          </cell>
          <cell r="C157">
            <v>8.0537892000481889E-22</v>
          </cell>
          <cell r="D157">
            <v>2000</v>
          </cell>
          <cell r="E157">
            <v>1024</v>
          </cell>
          <cell r="F157">
            <v>1.953125</v>
          </cell>
          <cell r="G157" t="str">
            <v>Interior</v>
          </cell>
          <cell r="I157">
            <v>57.843291503128881</v>
          </cell>
          <cell r="J157">
            <v>60.821350248890091</v>
          </cell>
          <cell r="K157">
            <v>1.2922443304678328</v>
          </cell>
          <cell r="L157">
            <v>518.32289981155054</v>
          </cell>
          <cell r="M157">
            <v>59.52910591842226</v>
          </cell>
          <cell r="N157">
            <v>457.50154956266044</v>
          </cell>
        </row>
        <row r="158">
          <cell r="A158" t="str">
            <v>CGI005-qtz11-CL-fit-4-offset</v>
          </cell>
          <cell r="B158">
            <v>750</v>
          </cell>
          <cell r="C158">
            <v>8.0537892000481889E-22</v>
          </cell>
          <cell r="D158">
            <v>2300</v>
          </cell>
          <cell r="E158">
            <v>1024</v>
          </cell>
          <cell r="F158">
            <v>2.24609375</v>
          </cell>
          <cell r="G158" t="str">
            <v>Interior</v>
          </cell>
          <cell r="I158">
            <v>65.609914074364355</v>
          </cell>
          <cell r="J158">
            <v>62.18684293796565</v>
          </cell>
          <cell r="K158">
            <v>1.7399195951910151</v>
          </cell>
          <cell r="L158">
            <v>243.26640518789625</v>
          </cell>
          <cell r="M158">
            <v>60.446923342774639</v>
          </cell>
          <cell r="N158">
            <v>181.0795622499306</v>
          </cell>
        </row>
        <row r="159">
          <cell r="A159" t="str">
            <v>CGI009-qtz07-CL-fit-3-offset</v>
          </cell>
          <cell r="B159">
            <v>750</v>
          </cell>
          <cell r="C159">
            <v>8.0537892000481889E-22</v>
          </cell>
          <cell r="D159">
            <v>1200</v>
          </cell>
          <cell r="E159">
            <v>1024</v>
          </cell>
          <cell r="F159">
            <v>1.171875</v>
          </cell>
          <cell r="G159" t="str">
            <v>Interior</v>
          </cell>
          <cell r="I159">
            <v>64.533547017467626</v>
          </cell>
          <cell r="J159">
            <v>64.824173792986969</v>
          </cell>
          <cell r="K159">
            <v>11.337257569119473</v>
          </cell>
          <cell r="L159">
            <v>190.35628728216071</v>
          </cell>
          <cell r="M159">
            <v>53.486916223867496</v>
          </cell>
          <cell r="N159">
            <v>125.53211348917374</v>
          </cell>
        </row>
        <row r="160">
          <cell r="A160" t="str">
            <v>CGI009-qtz04-CL-fit-4-offset</v>
          </cell>
          <cell r="B160">
            <v>750</v>
          </cell>
          <cell r="C160">
            <v>8.0537892000481889E-22</v>
          </cell>
          <cell r="D160">
            <v>1400</v>
          </cell>
          <cell r="E160">
            <v>1024</v>
          </cell>
          <cell r="F160">
            <v>1.3671875</v>
          </cell>
          <cell r="G160" t="str">
            <v>Interior</v>
          </cell>
          <cell r="I160">
            <v>65.953238639071714</v>
          </cell>
          <cell r="J160">
            <v>65.374008924472875</v>
          </cell>
          <cell r="K160">
            <v>15.78868507890993</v>
          </cell>
          <cell r="L160">
            <v>163.38777970754788</v>
          </cell>
          <cell r="M160">
            <v>49.585323845562947</v>
          </cell>
          <cell r="N160">
            <v>98.013770783075003</v>
          </cell>
        </row>
        <row r="161">
          <cell r="A161" t="str">
            <v>CGI011-qtz08-CL-fit-4-offset</v>
          </cell>
          <cell r="B161">
            <v>750</v>
          </cell>
          <cell r="C161">
            <v>8.0537892000481889E-22</v>
          </cell>
          <cell r="D161">
            <v>1300</v>
          </cell>
          <cell r="E161">
            <v>1024</v>
          </cell>
          <cell r="F161">
            <v>1.26953125</v>
          </cell>
          <cell r="G161" t="str">
            <v>Interior</v>
          </cell>
          <cell r="I161">
            <v>65.693332211136067</v>
          </cell>
          <cell r="J161">
            <v>65.632278977593145</v>
          </cell>
          <cell r="K161">
            <v>12.376031522827013</v>
          </cell>
          <cell r="L161">
            <v>146.90741842411114</v>
          </cell>
          <cell r="M161">
            <v>53.256247454766132</v>
          </cell>
          <cell r="N161">
            <v>81.275139446517997</v>
          </cell>
        </row>
        <row r="162">
          <cell r="A162" t="str">
            <v>CGI005-qtz03-CL-fit-5-offset</v>
          </cell>
          <cell r="B162">
            <v>750</v>
          </cell>
          <cell r="C162">
            <v>8.0537892000481889E-22</v>
          </cell>
          <cell r="D162">
            <v>1400</v>
          </cell>
          <cell r="E162">
            <v>1024</v>
          </cell>
          <cell r="F162">
            <v>1.3671875</v>
          </cell>
          <cell r="G162" t="str">
            <v>Interior</v>
          </cell>
          <cell r="I162">
            <v>63.613135530635837</v>
          </cell>
          <cell r="J162">
            <v>65.665369687152335</v>
          </cell>
          <cell r="K162">
            <v>19.877780253744245</v>
          </cell>
          <cell r="L162">
            <v>145.56281956948578</v>
          </cell>
          <cell r="M162">
            <v>45.787589433408087</v>
          </cell>
          <cell r="N162">
            <v>79.897449882333447</v>
          </cell>
        </row>
        <row r="163">
          <cell r="A163" t="str">
            <v>CGI018-qtz09-CL-fit-4-offset</v>
          </cell>
          <cell r="B163">
            <v>750</v>
          </cell>
          <cell r="C163">
            <v>8.0537892000481889E-22</v>
          </cell>
          <cell r="D163">
            <v>2250</v>
          </cell>
          <cell r="E163">
            <v>1024</v>
          </cell>
          <cell r="F163">
            <v>2.197265625</v>
          </cell>
          <cell r="G163" t="str">
            <v>Interior</v>
          </cell>
          <cell r="I163">
            <v>19.970103592843142</v>
          </cell>
          <cell r="J163">
            <v>69.821252471727348</v>
          </cell>
          <cell r="K163">
            <v>7.5700028799177492E-15</v>
          </cell>
          <cell r="L163">
            <v>923.27161748882099</v>
          </cell>
          <cell r="M163">
            <v>69.821252471727334</v>
          </cell>
          <cell r="N163">
            <v>853.45036501709365</v>
          </cell>
        </row>
        <row r="164">
          <cell r="A164" t="str">
            <v>CGI005-qtz06-CL-fit-4</v>
          </cell>
          <cell r="B164">
            <v>750</v>
          </cell>
          <cell r="C164">
            <v>8.0537892000481889E-22</v>
          </cell>
          <cell r="D164">
            <v>2050</v>
          </cell>
          <cell r="E164">
            <v>1024</v>
          </cell>
          <cell r="F164">
            <v>2.001953125</v>
          </cell>
          <cell r="G164" t="str">
            <v>Interior</v>
          </cell>
          <cell r="I164">
            <v>70.873284512373871</v>
          </cell>
          <cell r="J164">
            <v>70.957723794992717</v>
          </cell>
          <cell r="K164">
            <v>2.4365157233798489</v>
          </cell>
          <cell r="L164">
            <v>241.22300818500079</v>
          </cell>
          <cell r="M164">
            <v>68.521208071612861</v>
          </cell>
          <cell r="N164">
            <v>170.26528439000808</v>
          </cell>
        </row>
        <row r="165">
          <cell r="A165" t="str">
            <v>CGI015-qtz11-CL-fit-4-offset</v>
          </cell>
          <cell r="B165">
            <v>750</v>
          </cell>
          <cell r="C165">
            <v>8.0537892000481889E-22</v>
          </cell>
          <cell r="D165">
            <v>1700</v>
          </cell>
          <cell r="E165">
            <v>1024</v>
          </cell>
          <cell r="F165">
            <v>1.66015625</v>
          </cell>
          <cell r="G165" t="str">
            <v>Interior</v>
          </cell>
          <cell r="I165">
            <v>52.960590786444293</v>
          </cell>
          <cell r="J165">
            <v>72.133891108542826</v>
          </cell>
          <cell r="K165">
            <v>0.30287229950019101</v>
          </cell>
          <cell r="L165">
            <v>1001.4862976191614</v>
          </cell>
          <cell r="M165">
            <v>71.831018809042632</v>
          </cell>
          <cell r="N165">
            <v>929.35240651061861</v>
          </cell>
        </row>
        <row r="166">
          <cell r="A166" t="str">
            <v>CGI018-qtz12-CL-fit-6-offset</v>
          </cell>
          <cell r="B166">
            <v>750</v>
          </cell>
          <cell r="C166">
            <v>8.0537892000481889E-22</v>
          </cell>
          <cell r="D166">
            <v>1800</v>
          </cell>
          <cell r="E166">
            <v>1024</v>
          </cell>
          <cell r="F166">
            <v>1.7578125</v>
          </cell>
          <cell r="G166" t="str">
            <v>Interior</v>
          </cell>
          <cell r="I166">
            <v>69.015037444395873</v>
          </cell>
          <cell r="J166">
            <v>73.70748755100378</v>
          </cell>
          <cell r="K166">
            <v>3.6572779959077839</v>
          </cell>
          <cell r="L166">
            <v>191.60658983226901</v>
          </cell>
          <cell r="M166">
            <v>70.050209555095989</v>
          </cell>
          <cell r="N166">
            <v>117.89910228126523</v>
          </cell>
        </row>
        <row r="167">
          <cell r="A167" t="str">
            <v>CGI008-qtz01-CL-fit-4-offset</v>
          </cell>
          <cell r="B167">
            <v>750</v>
          </cell>
          <cell r="C167">
            <v>8.0537892000481889E-22</v>
          </cell>
          <cell r="D167">
            <v>1500</v>
          </cell>
          <cell r="E167">
            <v>1024</v>
          </cell>
          <cell r="F167">
            <v>1.46484375</v>
          </cell>
          <cell r="G167" t="str">
            <v>Interior</v>
          </cell>
          <cell r="I167">
            <v>78.751440894639799</v>
          </cell>
          <cell r="J167">
            <v>73.787801490995136</v>
          </cell>
          <cell r="K167">
            <v>9.3358262296760058E-2</v>
          </cell>
          <cell r="L167">
            <v>341.33154044227939</v>
          </cell>
          <cell r="M167">
            <v>73.694443228698375</v>
          </cell>
          <cell r="N167">
            <v>267.54373895128424</v>
          </cell>
        </row>
        <row r="168">
          <cell r="A168" t="str">
            <v>CGI014-qtz09-CL-fit-5-offset</v>
          </cell>
          <cell r="B168">
            <v>750</v>
          </cell>
          <cell r="C168">
            <v>8.0537892000481889E-22</v>
          </cell>
          <cell r="D168">
            <v>1550</v>
          </cell>
          <cell r="E168">
            <v>1024</v>
          </cell>
          <cell r="F168">
            <v>1.513671875</v>
          </cell>
          <cell r="G168" t="str">
            <v>Interior</v>
          </cell>
          <cell r="I168">
            <v>64.798129281866494</v>
          </cell>
          <cell r="J168">
            <v>73.822248203758832</v>
          </cell>
          <cell r="K168">
            <v>18.133093894476197</v>
          </cell>
          <cell r="L168">
            <v>242.61153557460267</v>
          </cell>
          <cell r="M168">
            <v>55.689154309282635</v>
          </cell>
          <cell r="N168">
            <v>168.78928737084385</v>
          </cell>
        </row>
        <row r="169">
          <cell r="A169" t="str">
            <v>CGI014-qtz11-CL-fit-4-offset</v>
          </cell>
          <cell r="B169">
            <v>750</v>
          </cell>
          <cell r="C169">
            <v>8.0537892000481889E-22</v>
          </cell>
          <cell r="D169">
            <v>1500</v>
          </cell>
          <cell r="E169">
            <v>1024</v>
          </cell>
          <cell r="F169">
            <v>1.46484375</v>
          </cell>
          <cell r="G169" t="str">
            <v>Interior</v>
          </cell>
          <cell r="I169">
            <v>83.669075641739568</v>
          </cell>
          <cell r="J169">
            <v>73.851716608012524</v>
          </cell>
          <cell r="K169">
            <v>2.3942257098571944</v>
          </cell>
          <cell r="L169">
            <v>222.93835506140198</v>
          </cell>
          <cell r="M169">
            <v>71.457490898155328</v>
          </cell>
          <cell r="N169">
            <v>149.08663845338947</v>
          </cell>
        </row>
        <row r="170">
          <cell r="A170" t="str">
            <v>CGI001-qtz12-CL-fit-3-offset</v>
          </cell>
          <cell r="B170">
            <v>750</v>
          </cell>
          <cell r="C170">
            <v>8.0537892000481889E-22</v>
          </cell>
          <cell r="D170">
            <v>2100</v>
          </cell>
          <cell r="E170">
            <v>1024</v>
          </cell>
          <cell r="F170">
            <v>2.05078125</v>
          </cell>
          <cell r="G170" t="str">
            <v>Interior</v>
          </cell>
          <cell r="I170">
            <v>39.839129444215217</v>
          </cell>
          <cell r="J170">
            <v>75.165493769254027</v>
          </cell>
          <cell r="K170">
            <v>1.1411864903815107E-9</v>
          </cell>
          <cell r="L170">
            <v>566.53443491292762</v>
          </cell>
          <cell r="M170">
            <v>75.165493768112839</v>
          </cell>
          <cell r="N170">
            <v>491.36894114367362</v>
          </cell>
        </row>
        <row r="171">
          <cell r="A171" t="str">
            <v>CGI009-qtz06-CL-fit-4-offset</v>
          </cell>
          <cell r="B171">
            <v>750</v>
          </cell>
          <cell r="C171">
            <v>8.0537892000481889E-22</v>
          </cell>
          <cell r="D171">
            <v>2000</v>
          </cell>
          <cell r="E171">
            <v>1024</v>
          </cell>
          <cell r="F171">
            <v>1.953125</v>
          </cell>
          <cell r="G171" t="str">
            <v>Interior</v>
          </cell>
          <cell r="I171">
            <v>52.752370963775682</v>
          </cell>
          <cell r="J171">
            <v>77.516181927377104</v>
          </cell>
          <cell r="K171">
            <v>1.6969766710840148E-2</v>
          </cell>
          <cell r="L171">
            <v>1038.9208286335959</v>
          </cell>
          <cell r="M171">
            <v>77.499212160666261</v>
          </cell>
          <cell r="N171">
            <v>961.40464670621873</v>
          </cell>
        </row>
        <row r="172">
          <cell r="A172" t="str">
            <v>CGI014-qtz10-CL-fit-4-offset</v>
          </cell>
          <cell r="B172">
            <v>750</v>
          </cell>
          <cell r="C172">
            <v>8.0537892000481889E-22</v>
          </cell>
          <cell r="D172">
            <v>1550</v>
          </cell>
          <cell r="E172">
            <v>1024</v>
          </cell>
          <cell r="F172">
            <v>1.513671875</v>
          </cell>
          <cell r="G172" t="str">
            <v>Interior</v>
          </cell>
          <cell r="I172">
            <v>72.575046707909053</v>
          </cell>
          <cell r="J172">
            <v>78.486806517972184</v>
          </cell>
          <cell r="K172">
            <v>13.105667548602376</v>
          </cell>
          <cell r="L172">
            <v>237.24960478915378</v>
          </cell>
          <cell r="M172">
            <v>65.3811389693698</v>
          </cell>
          <cell r="N172">
            <v>158.76279827118159</v>
          </cell>
        </row>
        <row r="173">
          <cell r="A173" t="str">
            <v>CGI015-qtz11-CL-fit-3-offset</v>
          </cell>
          <cell r="B173">
            <v>750</v>
          </cell>
          <cell r="C173">
            <v>8.0537892000481889E-22</v>
          </cell>
          <cell r="D173">
            <v>1700</v>
          </cell>
          <cell r="E173">
            <v>1024</v>
          </cell>
          <cell r="F173">
            <v>1.66015625</v>
          </cell>
          <cell r="G173" t="str">
            <v>Interior</v>
          </cell>
          <cell r="I173">
            <v>68.513698346795508</v>
          </cell>
          <cell r="J173">
            <v>79.169880858517743</v>
          </cell>
          <cell r="K173">
            <v>7.1282834544669411</v>
          </cell>
          <cell r="L173">
            <v>297.67288629306478</v>
          </cell>
          <cell r="M173">
            <v>72.041597404050805</v>
          </cell>
          <cell r="N173">
            <v>218.50300543454705</v>
          </cell>
        </row>
        <row r="174">
          <cell r="A174" t="str">
            <v>CGI018-qtz11-CL-fit-3-offset</v>
          </cell>
          <cell r="B174">
            <v>750</v>
          </cell>
          <cell r="C174">
            <v>8.0537892000481889E-22</v>
          </cell>
          <cell r="D174">
            <v>1250</v>
          </cell>
          <cell r="E174">
            <v>1024</v>
          </cell>
          <cell r="F174">
            <v>1.220703125</v>
          </cell>
          <cell r="G174" t="str">
            <v>Interior</v>
          </cell>
          <cell r="I174">
            <v>71.488475592384901</v>
          </cell>
          <cell r="J174">
            <v>81.408127185930852</v>
          </cell>
          <cell r="K174">
            <v>7.2591732344384716E-13</v>
          </cell>
          <cell r="L174">
            <v>889.95952584337965</v>
          </cell>
          <cell r="M174">
            <v>81.408127185930127</v>
          </cell>
          <cell r="N174">
            <v>808.55139865744877</v>
          </cell>
        </row>
        <row r="175">
          <cell r="A175" t="str">
            <v>CGI011-qtz11-CL-fit-4-offset</v>
          </cell>
          <cell r="B175">
            <v>750</v>
          </cell>
          <cell r="C175">
            <v>8.0537892000481889E-22</v>
          </cell>
          <cell r="D175">
            <v>1600</v>
          </cell>
          <cell r="E175">
            <v>1024</v>
          </cell>
          <cell r="F175">
            <v>1.5625</v>
          </cell>
          <cell r="G175" t="str">
            <v>Interior</v>
          </cell>
          <cell r="I175">
            <v>88.978057762095602</v>
          </cell>
          <cell r="J175">
            <v>83.436132711881513</v>
          </cell>
          <cell r="K175">
            <v>9.4281706148117195</v>
          </cell>
          <cell r="L175">
            <v>208.05319952465052</v>
          </cell>
          <cell r="M175">
            <v>74.007962097069793</v>
          </cell>
          <cell r="N175">
            <v>124.61706681276901</v>
          </cell>
        </row>
        <row r="176">
          <cell r="A176" t="str">
            <v>CGI001-qtz09-CL-fit-3-offset</v>
          </cell>
          <cell r="B176">
            <v>750</v>
          </cell>
          <cell r="C176">
            <v>8.0537892000481889E-22</v>
          </cell>
          <cell r="D176">
            <v>1500</v>
          </cell>
          <cell r="E176">
            <v>1024</v>
          </cell>
          <cell r="F176">
            <v>1.46484375</v>
          </cell>
          <cell r="G176" t="str">
            <v>Interior</v>
          </cell>
          <cell r="I176">
            <v>66.864689424776273</v>
          </cell>
          <cell r="J176">
            <v>84.868464718814238</v>
          </cell>
          <cell r="K176">
            <v>1.2107819436482834</v>
          </cell>
          <cell r="L176">
            <v>613.24166192305961</v>
          </cell>
          <cell r="M176">
            <v>83.657682775165952</v>
          </cell>
          <cell r="N176">
            <v>528.37319720424534</v>
          </cell>
        </row>
        <row r="177">
          <cell r="A177" t="str">
            <v>CGI005-qtz08-CL-fit-3</v>
          </cell>
          <cell r="B177">
            <v>750</v>
          </cell>
          <cell r="C177">
            <v>8.0537892000481889E-22</v>
          </cell>
          <cell r="D177">
            <v>1900</v>
          </cell>
          <cell r="E177">
            <v>1024</v>
          </cell>
          <cell r="F177">
            <v>1.85546875</v>
          </cell>
          <cell r="G177" t="str">
            <v>Interior</v>
          </cell>
          <cell r="I177">
            <v>90.632816459662706</v>
          </cell>
          <cell r="J177">
            <v>85.07086899735441</v>
          </cell>
          <cell r="K177">
            <v>5.9829201905634228E-4</v>
          </cell>
          <cell r="L177">
            <v>295.16057775863027</v>
          </cell>
          <cell r="M177">
            <v>85.070270705335346</v>
          </cell>
          <cell r="N177">
            <v>210.08970876127586</v>
          </cell>
        </row>
        <row r="178">
          <cell r="A178" t="str">
            <v>CGI005-qtz07-CL-fit-2-offset</v>
          </cell>
          <cell r="B178">
            <v>750</v>
          </cell>
          <cell r="C178">
            <v>8.0537892000481889E-22</v>
          </cell>
          <cell r="D178">
            <v>2100</v>
          </cell>
          <cell r="E178">
            <v>1024</v>
          </cell>
          <cell r="F178">
            <v>2.05078125</v>
          </cell>
          <cell r="G178" t="str">
            <v>Interior</v>
          </cell>
          <cell r="I178">
            <v>96.515650003915326</v>
          </cell>
          <cell r="J178">
            <v>91.268634581833538</v>
          </cell>
          <cell r="K178">
            <v>13.987920593934245</v>
          </cell>
          <cell r="L178">
            <v>187.84540864428055</v>
          </cell>
          <cell r="M178">
            <v>77.28071398789929</v>
          </cell>
          <cell r="N178">
            <v>96.576774062447015</v>
          </cell>
        </row>
        <row r="179">
          <cell r="A179" t="str">
            <v>CGI014-qtz07-CL-fit-2-offset</v>
          </cell>
          <cell r="B179">
            <v>750</v>
          </cell>
          <cell r="C179">
            <v>8.0537892000481889E-22</v>
          </cell>
          <cell r="D179">
            <v>1500</v>
          </cell>
          <cell r="E179">
            <v>1024</v>
          </cell>
          <cell r="F179">
            <v>1.46484375</v>
          </cell>
          <cell r="G179" t="str">
            <v>Interior</v>
          </cell>
          <cell r="I179">
            <v>45.895015640166953</v>
          </cell>
          <cell r="J179">
            <v>92.435051081083898</v>
          </cell>
          <cell r="K179">
            <v>1.200269278874728</v>
          </cell>
          <cell r="L179">
            <v>2184.3341390037785</v>
          </cell>
          <cell r="M179">
            <v>91.23478180220917</v>
          </cell>
          <cell r="N179">
            <v>2091.8990879226944</v>
          </cell>
        </row>
        <row r="180">
          <cell r="A180" t="str">
            <v>CGI009-qtz02-CL-fit-3-offset</v>
          </cell>
          <cell r="B180">
            <v>750</v>
          </cell>
          <cell r="C180">
            <v>8.0537892000481889E-22</v>
          </cell>
          <cell r="D180">
            <v>1750</v>
          </cell>
          <cell r="E180">
            <v>1024</v>
          </cell>
          <cell r="F180">
            <v>1.708984375</v>
          </cell>
          <cell r="G180" t="str">
            <v>Interior</v>
          </cell>
          <cell r="I180">
            <v>104.23776920573854</v>
          </cell>
          <cell r="J180">
            <v>92.969950592184375</v>
          </cell>
          <cell r="K180">
            <v>1.5206546807397203</v>
          </cell>
          <cell r="L180">
            <v>230.36842158000653</v>
          </cell>
          <cell r="M180">
            <v>91.449295911444651</v>
          </cell>
          <cell r="N180">
            <v>137.39847098782215</v>
          </cell>
        </row>
        <row r="181">
          <cell r="A181" t="str">
            <v>CGI009-qtz05-CL-fit-5-offset</v>
          </cell>
          <cell r="B181">
            <v>750</v>
          </cell>
          <cell r="C181">
            <v>8.0537892000481889E-22</v>
          </cell>
          <cell r="D181">
            <v>1500</v>
          </cell>
          <cell r="E181">
            <v>1024</v>
          </cell>
          <cell r="F181">
            <v>1.46484375</v>
          </cell>
          <cell r="G181" t="str">
            <v>Interior</v>
          </cell>
          <cell r="I181">
            <v>95.564739818182133</v>
          </cell>
          <cell r="J181">
            <v>93.441798263452966</v>
          </cell>
          <cell r="K181">
            <v>2.0445609018323596</v>
          </cell>
          <cell r="L181">
            <v>412.04996470087571</v>
          </cell>
          <cell r="M181">
            <v>91.397237361620611</v>
          </cell>
          <cell r="N181">
            <v>318.60816643742271</v>
          </cell>
        </row>
        <row r="182">
          <cell r="A182" t="str">
            <v>CGI015-qtz08-CL-fit-6-offset</v>
          </cell>
          <cell r="B182">
            <v>750</v>
          </cell>
          <cell r="C182">
            <v>8.0537892000481889E-22</v>
          </cell>
          <cell r="D182">
            <v>1150</v>
          </cell>
          <cell r="E182">
            <v>1024</v>
          </cell>
          <cell r="F182">
            <v>1.123046875</v>
          </cell>
          <cell r="G182" t="str">
            <v>Interior</v>
          </cell>
          <cell r="I182">
            <v>86.508735859349457</v>
          </cell>
          <cell r="J182">
            <v>93.970641687876466</v>
          </cell>
          <cell r="K182">
            <v>31.592209217373693</v>
          </cell>
          <cell r="L182">
            <v>251.60496605211898</v>
          </cell>
          <cell r="M182">
            <v>62.378432470502773</v>
          </cell>
          <cell r="N182">
            <v>157.6343243642425</v>
          </cell>
        </row>
        <row r="183">
          <cell r="A183" t="str">
            <v>CGI015-qtz07-CL-fit-6-offset</v>
          </cell>
          <cell r="B183">
            <v>750</v>
          </cell>
          <cell r="C183">
            <v>8.0537892000481889E-22</v>
          </cell>
          <cell r="D183">
            <v>2250</v>
          </cell>
          <cell r="E183">
            <v>1024</v>
          </cell>
          <cell r="F183">
            <v>2.197265625</v>
          </cell>
          <cell r="G183" t="str">
            <v>Interior</v>
          </cell>
          <cell r="I183">
            <v>100.36575977858797</v>
          </cell>
          <cell r="J183">
            <v>94.69526980815057</v>
          </cell>
          <cell r="K183">
            <v>3.2683716643176037</v>
          </cell>
          <cell r="L183">
            <v>203.44140411904749</v>
          </cell>
          <cell r="M183">
            <v>91.426898143832972</v>
          </cell>
          <cell r="N183">
            <v>108.74613431089692</v>
          </cell>
        </row>
        <row r="184">
          <cell r="A184" t="str">
            <v>CGI015-qtz04-CL-fit-3-offset</v>
          </cell>
          <cell r="B184">
            <v>750</v>
          </cell>
          <cell r="C184">
            <v>8.0537892000481889E-22</v>
          </cell>
          <cell r="D184">
            <v>2000</v>
          </cell>
          <cell r="E184">
            <v>1024</v>
          </cell>
          <cell r="F184">
            <v>1.953125</v>
          </cell>
          <cell r="G184" t="str">
            <v>Interior</v>
          </cell>
          <cell r="I184">
            <v>104.23252127192886</v>
          </cell>
          <cell r="J184">
            <v>100.17245560354748</v>
          </cell>
          <cell r="K184">
            <v>2.5857122699181843</v>
          </cell>
          <cell r="L184">
            <v>259.61287092249302</v>
          </cell>
          <cell r="M184">
            <v>97.586743333629286</v>
          </cell>
          <cell r="N184">
            <v>159.44041531894555</v>
          </cell>
        </row>
        <row r="185">
          <cell r="A185" t="str">
            <v>CGI015-qtz05-CL-fit-3-offset</v>
          </cell>
          <cell r="B185">
            <v>750</v>
          </cell>
          <cell r="C185">
            <v>8.0537892000481889E-22</v>
          </cell>
          <cell r="D185">
            <v>1900</v>
          </cell>
          <cell r="E185">
            <v>1024</v>
          </cell>
          <cell r="F185">
            <v>1.85546875</v>
          </cell>
          <cell r="G185" t="str">
            <v>Interior</v>
          </cell>
          <cell r="I185">
            <v>105.82631388074832</v>
          </cell>
          <cell r="J185">
            <v>100.98150604368081</v>
          </cell>
          <cell r="K185">
            <v>2.6243362697200912</v>
          </cell>
          <cell r="L185">
            <v>231.66384860507941</v>
          </cell>
          <cell r="M185">
            <v>98.35716977396072</v>
          </cell>
          <cell r="N185">
            <v>130.6823425613986</v>
          </cell>
        </row>
        <row r="186">
          <cell r="A186" t="str">
            <v>CGI018-qtz11-CL-fit-5-offset</v>
          </cell>
          <cell r="B186">
            <v>750</v>
          </cell>
          <cell r="C186">
            <v>8.0537892000481889E-22</v>
          </cell>
          <cell r="D186">
            <v>1250</v>
          </cell>
          <cell r="E186">
            <v>1024</v>
          </cell>
          <cell r="F186">
            <v>1.220703125</v>
          </cell>
          <cell r="G186" t="str">
            <v>Interior</v>
          </cell>
          <cell r="I186">
            <v>108.92305843270404</v>
          </cell>
          <cell r="J186">
            <v>103.68190534978335</v>
          </cell>
          <cell r="K186">
            <v>1.0049227644369629</v>
          </cell>
          <cell r="L186">
            <v>395.47947421759608</v>
          </cell>
          <cell r="M186">
            <v>102.67698258534638</v>
          </cell>
          <cell r="N186">
            <v>291.79756886781274</v>
          </cell>
        </row>
        <row r="187">
          <cell r="A187" t="str">
            <v>CGI018-qtz10-CL-fit-6-offset</v>
          </cell>
          <cell r="B187">
            <v>750</v>
          </cell>
          <cell r="C187">
            <v>8.0537892000481889E-22</v>
          </cell>
          <cell r="D187">
            <v>2600</v>
          </cell>
          <cell r="E187">
            <v>1024</v>
          </cell>
          <cell r="F187">
            <v>2.5390625</v>
          </cell>
          <cell r="G187" t="str">
            <v>Interior</v>
          </cell>
          <cell r="I187">
            <v>116.25842123475246</v>
          </cell>
          <cell r="J187">
            <v>105.15936689892082</v>
          </cell>
          <cell r="K187">
            <v>4.666063315185097</v>
          </cell>
          <cell r="L187">
            <v>290.34772260398256</v>
          </cell>
          <cell r="M187">
            <v>100.49330358373572</v>
          </cell>
          <cell r="N187">
            <v>185.18835570506172</v>
          </cell>
        </row>
        <row r="188">
          <cell r="A188" t="str">
            <v>CGI009-qtz12-CL-fit-4-offset</v>
          </cell>
          <cell r="B188">
            <v>750</v>
          </cell>
          <cell r="C188">
            <v>8.0537892000481889E-22</v>
          </cell>
          <cell r="D188">
            <v>2000</v>
          </cell>
          <cell r="E188">
            <v>1024</v>
          </cell>
          <cell r="F188">
            <v>1.953125</v>
          </cell>
          <cell r="G188" t="str">
            <v>Interior</v>
          </cell>
          <cell r="I188">
            <v>94.304342327288211</v>
          </cell>
          <cell r="J188">
            <v>105.9124181420629</v>
          </cell>
          <cell r="K188">
            <v>2.2382571189248088E-3</v>
          </cell>
          <cell r="L188">
            <v>576.76106106794418</v>
          </cell>
          <cell r="M188">
            <v>105.91017988494399</v>
          </cell>
          <cell r="N188">
            <v>470.84864292588128</v>
          </cell>
        </row>
        <row r="189">
          <cell r="A189" t="str">
            <v>CGI011-qtz09-CL-fit-4-offset</v>
          </cell>
          <cell r="B189">
            <v>750</v>
          </cell>
          <cell r="C189">
            <v>8.0537892000481889E-22</v>
          </cell>
          <cell r="D189">
            <v>1100</v>
          </cell>
          <cell r="E189">
            <v>1024</v>
          </cell>
          <cell r="F189">
            <v>1.07421875</v>
          </cell>
          <cell r="G189" t="str">
            <v>Interior</v>
          </cell>
          <cell r="I189">
            <v>113.67854009216592</v>
          </cell>
          <cell r="J189">
            <v>111.1801418270265</v>
          </cell>
          <cell r="K189">
            <v>16.136380659349506</v>
          </cell>
          <cell r="L189">
            <v>258.6038269962034</v>
          </cell>
          <cell r="M189">
            <v>95.04376116767699</v>
          </cell>
          <cell r="N189">
            <v>147.42368516917691</v>
          </cell>
        </row>
        <row r="190">
          <cell r="A190" t="str">
            <v>CGI015-qtz10-CL-fit-4-offset</v>
          </cell>
          <cell r="B190">
            <v>750</v>
          </cell>
          <cell r="C190">
            <v>8.0537892000481889E-22</v>
          </cell>
          <cell r="D190">
            <v>2050</v>
          </cell>
          <cell r="E190">
            <v>1024</v>
          </cell>
          <cell r="F190">
            <v>2.001953125</v>
          </cell>
          <cell r="G190" t="str">
            <v>Interior</v>
          </cell>
          <cell r="I190">
            <v>115.49075916268565</v>
          </cell>
          <cell r="J190">
            <v>112.26256061778402</v>
          </cell>
          <cell r="K190">
            <v>7.4874233574815774</v>
          </cell>
          <cell r="L190">
            <v>326.51308677954978</v>
          </cell>
          <cell r="M190">
            <v>104.77513726030244</v>
          </cell>
          <cell r="N190">
            <v>214.25052616176578</v>
          </cell>
        </row>
        <row r="191">
          <cell r="A191" t="str">
            <v>CGI015-qtz05-CL-fit-4-offset</v>
          </cell>
          <cell r="B191">
            <v>750</v>
          </cell>
          <cell r="C191">
            <v>8.0537892000481889E-22</v>
          </cell>
          <cell r="D191">
            <v>1900</v>
          </cell>
          <cell r="E191">
            <v>1024</v>
          </cell>
          <cell r="F191">
            <v>1.85546875</v>
          </cell>
          <cell r="G191" t="str">
            <v>Interior</v>
          </cell>
          <cell r="I191">
            <v>119.97440325658327</v>
          </cell>
          <cell r="J191">
            <v>113.29092075361821</v>
          </cell>
          <cell r="K191">
            <v>1.8238996905869829</v>
          </cell>
          <cell r="L191">
            <v>336.2371524865772</v>
          </cell>
          <cell r="M191">
            <v>111.46702106303123</v>
          </cell>
          <cell r="N191">
            <v>222.94623173295901</v>
          </cell>
        </row>
        <row r="192">
          <cell r="A192" t="str">
            <v>CGI014-qtz09-CL-fit-2-offset</v>
          </cell>
          <cell r="B192">
            <v>750</v>
          </cell>
          <cell r="C192">
            <v>8.0537892000481889E-22</v>
          </cell>
          <cell r="D192">
            <v>1550</v>
          </cell>
          <cell r="E192">
            <v>1024</v>
          </cell>
          <cell r="F192">
            <v>1.513671875</v>
          </cell>
          <cell r="G192" t="str">
            <v>Interior</v>
          </cell>
          <cell r="I192">
            <v>60.006408318345621</v>
          </cell>
          <cell r="J192">
            <v>114.28411524176727</v>
          </cell>
          <cell r="K192">
            <v>7.7918326118945641E-2</v>
          </cell>
          <cell r="L192">
            <v>1971.0800910980461</v>
          </cell>
          <cell r="M192">
            <v>114.20619691564832</v>
          </cell>
          <cell r="N192">
            <v>1856.7959758562788</v>
          </cell>
        </row>
        <row r="193">
          <cell r="A193" t="str">
            <v>CGI018-qtz04-CL-fit-3-offset</v>
          </cell>
          <cell r="B193">
            <v>750</v>
          </cell>
          <cell r="C193">
            <v>8.0537892000481889E-22</v>
          </cell>
          <cell r="D193">
            <v>1900</v>
          </cell>
          <cell r="E193">
            <v>1024</v>
          </cell>
          <cell r="F193">
            <v>1.85546875</v>
          </cell>
          <cell r="G193" t="str">
            <v>Interior</v>
          </cell>
          <cell r="I193">
            <v>119.60241716840061</v>
          </cell>
          <cell r="J193">
            <v>115.18383210165655</v>
          </cell>
          <cell r="K193">
            <v>24.948605145207203</v>
          </cell>
          <cell r="L193">
            <v>235.34115571478071</v>
          </cell>
          <cell r="M193">
            <v>90.235226956449338</v>
          </cell>
          <cell r="N193">
            <v>120.15732361312416</v>
          </cell>
        </row>
        <row r="194">
          <cell r="A194" t="str">
            <v>CGI005-qtz10-CL-fit-6-offset</v>
          </cell>
          <cell r="B194">
            <v>750</v>
          </cell>
          <cell r="C194">
            <v>8.0537892000481889E-22</v>
          </cell>
          <cell r="D194">
            <v>2100</v>
          </cell>
          <cell r="E194">
            <v>1024</v>
          </cell>
          <cell r="F194">
            <v>2.05078125</v>
          </cell>
          <cell r="G194" t="str">
            <v>Interior</v>
          </cell>
          <cell r="I194">
            <v>109.17654050824801</v>
          </cell>
          <cell r="J194">
            <v>116.9358255069755</v>
          </cell>
          <cell r="K194">
            <v>0.34145073809834964</v>
          </cell>
          <cell r="L194">
            <v>695.83020065500909</v>
          </cell>
          <cell r="M194">
            <v>116.59437476887716</v>
          </cell>
          <cell r="N194">
            <v>578.89437514803353</v>
          </cell>
        </row>
        <row r="195">
          <cell r="A195" t="str">
            <v>CGI008-qtz08-CL-fit-2-offset</v>
          </cell>
          <cell r="B195">
            <v>750</v>
          </cell>
          <cell r="C195">
            <v>8.0537892000481889E-22</v>
          </cell>
          <cell r="D195">
            <v>2050</v>
          </cell>
          <cell r="E195">
            <v>1024</v>
          </cell>
          <cell r="F195">
            <v>2.001953125</v>
          </cell>
          <cell r="G195" t="str">
            <v>Interior</v>
          </cell>
          <cell r="I195">
            <v>125.32410396656918</v>
          </cell>
          <cell r="J195">
            <v>122.9583522447833</v>
          </cell>
          <cell r="K195">
            <v>15.9688442075651</v>
          </cell>
          <cell r="L195">
            <v>348.21753614334494</v>
          </cell>
          <cell r="M195">
            <v>106.9895080372182</v>
          </cell>
          <cell r="N195">
            <v>225.25918389856164</v>
          </cell>
        </row>
        <row r="196">
          <cell r="A196" t="str">
            <v>CGI018-qtz10-CL-fit-4-offset</v>
          </cell>
          <cell r="B196">
            <v>750</v>
          </cell>
          <cell r="C196">
            <v>8.0537892000481889E-22</v>
          </cell>
          <cell r="D196">
            <v>2600</v>
          </cell>
          <cell r="E196">
            <v>1024</v>
          </cell>
          <cell r="F196">
            <v>2.5390625</v>
          </cell>
          <cell r="G196" t="str">
            <v>Interior</v>
          </cell>
          <cell r="I196">
            <v>116.96414436878997</v>
          </cell>
          <cell r="J196">
            <v>125.40223239793517</v>
          </cell>
          <cell r="K196">
            <v>6.0054394883059805</v>
          </cell>
          <cell r="L196">
            <v>446.06947499271189</v>
          </cell>
          <cell r="M196">
            <v>119.39679290962918</v>
          </cell>
          <cell r="N196">
            <v>320.66724259477672</v>
          </cell>
        </row>
        <row r="197">
          <cell r="A197" t="str">
            <v>CGI009-qtz01-CL-fit-4-offset</v>
          </cell>
          <cell r="B197">
            <v>750</v>
          </cell>
          <cell r="C197">
            <v>8.0537892000481889E-22</v>
          </cell>
          <cell r="D197">
            <v>1150</v>
          </cell>
          <cell r="E197">
            <v>1024</v>
          </cell>
          <cell r="F197">
            <v>1.123046875</v>
          </cell>
          <cell r="G197" t="str">
            <v>Interior</v>
          </cell>
          <cell r="I197">
            <v>127.80248248238215</v>
          </cell>
          <cell r="J197">
            <v>128.72550175368696</v>
          </cell>
          <cell r="K197">
            <v>54.738584078495322</v>
          </cell>
          <cell r="L197">
            <v>238.1133904200093</v>
          </cell>
          <cell r="M197">
            <v>73.986917675191634</v>
          </cell>
          <cell r="N197">
            <v>109.38788866632234</v>
          </cell>
        </row>
        <row r="198">
          <cell r="A198" t="str">
            <v>CGI018-qtz01-CL-fit-5-offset</v>
          </cell>
          <cell r="B198">
            <v>750</v>
          </cell>
          <cell r="C198">
            <v>8.0537892000481889E-22</v>
          </cell>
          <cell r="D198">
            <v>1700</v>
          </cell>
          <cell r="E198">
            <v>1024</v>
          </cell>
          <cell r="F198">
            <v>1.66015625</v>
          </cell>
          <cell r="G198" t="str">
            <v>Interior</v>
          </cell>
          <cell r="I198">
            <v>130.51647357219375</v>
          </cell>
          <cell r="J198">
            <v>129.56402925504884</v>
          </cell>
          <cell r="K198">
            <v>57.616421769509458</v>
          </cell>
          <cell r="L198">
            <v>255.52430705768208</v>
          </cell>
          <cell r="M198">
            <v>71.947607485539379</v>
          </cell>
          <cell r="N198">
            <v>125.96027780263324</v>
          </cell>
        </row>
        <row r="199">
          <cell r="A199" t="str">
            <v>CGI015-qtz02-CL-fit-3-offset</v>
          </cell>
          <cell r="B199">
            <v>750</v>
          </cell>
          <cell r="C199">
            <v>8.0537892000481889E-22</v>
          </cell>
          <cell r="D199">
            <v>1550</v>
          </cell>
          <cell r="E199">
            <v>1024</v>
          </cell>
          <cell r="F199">
            <v>1.513671875</v>
          </cell>
          <cell r="G199" t="str">
            <v>Interior</v>
          </cell>
          <cell r="I199">
            <v>129.93516572719753</v>
          </cell>
          <cell r="J199">
            <v>129.80502407246829</v>
          </cell>
          <cell r="K199">
            <v>43.273358721208865</v>
          </cell>
          <cell r="L199">
            <v>254.33257514052491</v>
          </cell>
          <cell r="M199">
            <v>86.53166535125942</v>
          </cell>
          <cell r="N199">
            <v>124.52755106805662</v>
          </cell>
        </row>
        <row r="200">
          <cell r="A200" t="str">
            <v>CGI005-qtz07-CL-fit-3-offset</v>
          </cell>
          <cell r="B200">
            <v>750</v>
          </cell>
          <cell r="C200">
            <v>8.0537892000481889E-22</v>
          </cell>
          <cell r="D200">
            <v>2100</v>
          </cell>
          <cell r="E200">
            <v>1024</v>
          </cell>
          <cell r="F200">
            <v>2.05078125</v>
          </cell>
          <cell r="G200" t="str">
            <v>Interior</v>
          </cell>
          <cell r="I200">
            <v>139.24652155838174</v>
          </cell>
          <cell r="J200">
            <v>129.85420956478831</v>
          </cell>
          <cell r="K200">
            <v>2.6128931570465701</v>
          </cell>
          <cell r="L200">
            <v>407.05201459172446</v>
          </cell>
          <cell r="M200">
            <v>127.24131640774173</v>
          </cell>
          <cell r="N200">
            <v>277.19780502693618</v>
          </cell>
        </row>
        <row r="201">
          <cell r="A201" t="str">
            <v>CGI009-qtz10-CL-fit-4-offset</v>
          </cell>
          <cell r="B201">
            <v>750</v>
          </cell>
          <cell r="C201">
            <v>8.0537892000481889E-22</v>
          </cell>
          <cell r="D201">
            <v>1900</v>
          </cell>
          <cell r="E201">
            <v>1024</v>
          </cell>
          <cell r="F201">
            <v>1.85546875</v>
          </cell>
          <cell r="G201" t="str">
            <v>Interior</v>
          </cell>
          <cell r="I201">
            <v>129.19593320334502</v>
          </cell>
          <cell r="J201">
            <v>132.26481629327202</v>
          </cell>
          <cell r="K201">
            <v>65.400640485746564</v>
          </cell>
          <cell r="L201">
            <v>243.61216327259945</v>
          </cell>
          <cell r="M201">
            <v>66.864175807525456</v>
          </cell>
          <cell r="N201">
            <v>111.34734697932743</v>
          </cell>
        </row>
        <row r="202">
          <cell r="A202" t="str">
            <v>CGI014-qtz02-CL-fit-2-offset</v>
          </cell>
          <cell r="B202">
            <v>750</v>
          </cell>
          <cell r="C202">
            <v>8.0537892000481889E-22</v>
          </cell>
          <cell r="D202">
            <v>2000</v>
          </cell>
          <cell r="E202">
            <v>1024</v>
          </cell>
          <cell r="F202">
            <v>1.953125</v>
          </cell>
          <cell r="G202" t="str">
            <v>Interior</v>
          </cell>
          <cell r="I202">
            <v>118.62368175012168</v>
          </cell>
          <cell r="J202">
            <v>132.73845132303202</v>
          </cell>
          <cell r="K202">
            <v>16.202582211324451</v>
          </cell>
          <cell r="L202">
            <v>588.46683026981532</v>
          </cell>
          <cell r="M202">
            <v>116.53586911170757</v>
          </cell>
          <cell r="N202">
            <v>455.72837894678332</v>
          </cell>
        </row>
        <row r="203">
          <cell r="A203" t="str">
            <v>CGI009-qtz03-CL-fit-3-offset</v>
          </cell>
          <cell r="B203">
            <v>750</v>
          </cell>
          <cell r="C203">
            <v>8.0537892000481889E-22</v>
          </cell>
          <cell r="D203">
            <v>1750</v>
          </cell>
          <cell r="E203">
            <v>1024</v>
          </cell>
          <cell r="F203">
            <v>1.708984375</v>
          </cell>
          <cell r="G203" t="str">
            <v>Interior</v>
          </cell>
          <cell r="I203">
            <v>135.46034575367599</v>
          </cell>
          <cell r="J203">
            <v>132.83029799887868</v>
          </cell>
          <cell r="K203">
            <v>41.721253566400748</v>
          </cell>
          <cell r="L203">
            <v>262.955990164718</v>
          </cell>
          <cell r="M203">
            <v>91.10904443247793</v>
          </cell>
          <cell r="N203">
            <v>130.12569216583933</v>
          </cell>
        </row>
        <row r="204">
          <cell r="A204" t="str">
            <v>CGI008-qtz05-CL-fit-3-offset</v>
          </cell>
          <cell r="B204">
            <v>750</v>
          </cell>
          <cell r="C204">
            <v>8.0537892000481889E-22</v>
          </cell>
          <cell r="D204">
            <v>1450</v>
          </cell>
          <cell r="E204">
            <v>1024</v>
          </cell>
          <cell r="F204">
            <v>1.416015625</v>
          </cell>
          <cell r="G204" t="str">
            <v>Interior</v>
          </cell>
          <cell r="I204">
            <v>135.23507419688707</v>
          </cell>
          <cell r="J204">
            <v>135.55745759809673</v>
          </cell>
          <cell r="K204">
            <v>10.605516043111459</v>
          </cell>
          <cell r="L204">
            <v>403.30850114147751</v>
          </cell>
          <cell r="M204">
            <v>124.95194155498527</v>
          </cell>
          <cell r="N204">
            <v>267.75104354338077</v>
          </cell>
        </row>
        <row r="205">
          <cell r="A205" t="str">
            <v>CGI015-qtz11-CL-fit-6-offset</v>
          </cell>
          <cell r="B205">
            <v>750</v>
          </cell>
          <cell r="C205">
            <v>8.0537892000481889E-22</v>
          </cell>
          <cell r="D205">
            <v>1700</v>
          </cell>
          <cell r="E205">
            <v>1024</v>
          </cell>
          <cell r="F205">
            <v>1.66015625</v>
          </cell>
          <cell r="G205" t="str">
            <v>Interior</v>
          </cell>
          <cell r="I205">
            <v>95.848045374591052</v>
          </cell>
          <cell r="J205">
            <v>135.66997327047625</v>
          </cell>
          <cell r="K205">
            <v>0.16048481676565413</v>
          </cell>
          <cell r="L205">
            <v>995.35703199394629</v>
          </cell>
          <cell r="M205">
            <v>135.50948845371059</v>
          </cell>
          <cell r="N205">
            <v>859.68705872347005</v>
          </cell>
        </row>
        <row r="206">
          <cell r="A206" t="str">
            <v>CGI015-qtz09-CL-fit-6-offset</v>
          </cell>
          <cell r="B206">
            <v>750</v>
          </cell>
          <cell r="C206">
            <v>8.0537892000481889E-22</v>
          </cell>
          <cell r="D206">
            <v>2150</v>
          </cell>
          <cell r="E206">
            <v>1024</v>
          </cell>
          <cell r="F206">
            <v>2.099609375</v>
          </cell>
          <cell r="G206" t="str">
            <v>Interior</v>
          </cell>
          <cell r="I206">
            <v>143.43901075559032</v>
          </cell>
          <cell r="J206">
            <v>136.89612682094858</v>
          </cell>
          <cell r="K206">
            <v>0.27202266966518435</v>
          </cell>
          <cell r="L206">
            <v>0.29353303210533571</v>
          </cell>
          <cell r="M206">
            <v>136.6241041512834</v>
          </cell>
          <cell r="N206">
            <v>-136.60259378884325</v>
          </cell>
        </row>
        <row r="207">
          <cell r="A207" t="str">
            <v>CGI008-qtz08-CL-fit-3-offset</v>
          </cell>
          <cell r="B207">
            <v>750</v>
          </cell>
          <cell r="C207">
            <v>8.0537892000481889E-22</v>
          </cell>
          <cell r="D207">
            <v>2050</v>
          </cell>
          <cell r="E207">
            <v>1024</v>
          </cell>
          <cell r="F207">
            <v>2.001953125</v>
          </cell>
          <cell r="G207" t="str">
            <v>Interior</v>
          </cell>
          <cell r="I207">
            <v>135.50691860139008</v>
          </cell>
          <cell r="J207">
            <v>137.03193258374424</v>
          </cell>
          <cell r="K207">
            <v>21.24874498197309</v>
          </cell>
          <cell r="L207">
            <v>422.76842851944622</v>
          </cell>
          <cell r="M207">
            <v>115.78318760177115</v>
          </cell>
          <cell r="N207">
            <v>285.73649593570201</v>
          </cell>
        </row>
        <row r="208">
          <cell r="A208" t="str">
            <v>CGI001-qtz06-CL-fit-3-offset</v>
          </cell>
          <cell r="B208">
            <v>750</v>
          </cell>
          <cell r="C208">
            <v>8.0537892000481889E-22</v>
          </cell>
          <cell r="D208">
            <v>1500</v>
          </cell>
          <cell r="E208">
            <v>1024</v>
          </cell>
          <cell r="F208">
            <v>1.46484375</v>
          </cell>
          <cell r="G208" t="str">
            <v>Interior</v>
          </cell>
          <cell r="I208">
            <v>135.98122912037019</v>
          </cell>
          <cell r="J208">
            <v>138.16773383158036</v>
          </cell>
          <cell r="K208">
            <v>45.864370630553545</v>
          </cell>
          <cell r="L208">
            <v>306.64410829697914</v>
          </cell>
          <cell r="M208">
            <v>92.303363201026826</v>
          </cell>
          <cell r="N208">
            <v>168.47637446539878</v>
          </cell>
        </row>
        <row r="209">
          <cell r="A209" t="str">
            <v>CGI009-qtz12-CL-fit-3-offset</v>
          </cell>
          <cell r="B209">
            <v>750</v>
          </cell>
          <cell r="C209">
            <v>8.0537892000481889E-22</v>
          </cell>
          <cell r="D209">
            <v>2000</v>
          </cell>
          <cell r="E209">
            <v>1024</v>
          </cell>
          <cell r="F209">
            <v>1.953125</v>
          </cell>
          <cell r="G209" t="str">
            <v>Interior</v>
          </cell>
          <cell r="I209">
            <v>107.88860054717104</v>
          </cell>
          <cell r="J209">
            <v>140.0773622075283</v>
          </cell>
          <cell r="K209">
            <v>0.77938762667508654</v>
          </cell>
          <cell r="L209">
            <v>1304.4687030289581</v>
          </cell>
          <cell r="M209">
            <v>139.29797458085321</v>
          </cell>
          <cell r="N209">
            <v>1164.3913408214298</v>
          </cell>
        </row>
        <row r="210">
          <cell r="A210" t="str">
            <v>CGI005-qtz11-CL-fit-3</v>
          </cell>
          <cell r="B210">
            <v>750</v>
          </cell>
          <cell r="C210">
            <v>8.0537892000481889E-22</v>
          </cell>
          <cell r="D210">
            <v>2300</v>
          </cell>
          <cell r="E210">
            <v>1024</v>
          </cell>
          <cell r="F210">
            <v>2.24609375</v>
          </cell>
          <cell r="G210" t="str">
            <v>Interior</v>
          </cell>
          <cell r="I210">
            <v>140.35223403469129</v>
          </cell>
          <cell r="J210">
            <v>141.12043820203482</v>
          </cell>
          <cell r="K210">
            <v>89.818555312275109</v>
          </cell>
          <cell r="L210">
            <v>209.85081927816859</v>
          </cell>
          <cell r="M210">
            <v>51.30188288975971</v>
          </cell>
          <cell r="N210">
            <v>68.730381076133767</v>
          </cell>
        </row>
        <row r="211">
          <cell r="A211" t="str">
            <v>CGI001-qtz10-CL-fit-4</v>
          </cell>
          <cell r="B211">
            <v>750</v>
          </cell>
          <cell r="C211">
            <v>8.0537892000481889E-22</v>
          </cell>
          <cell r="D211">
            <v>2000</v>
          </cell>
          <cell r="E211">
            <v>1024</v>
          </cell>
          <cell r="F211">
            <v>1.953125</v>
          </cell>
          <cell r="G211" t="str">
            <v>Interior</v>
          </cell>
          <cell r="I211">
            <v>145.67060213895181</v>
          </cell>
          <cell r="J211">
            <v>145.72793171138218</v>
          </cell>
          <cell r="K211">
            <v>61.470592467365748</v>
          </cell>
          <cell r="L211">
            <v>276.59793978172905</v>
          </cell>
          <cell r="M211">
            <v>84.257339244016435</v>
          </cell>
          <cell r="N211">
            <v>130.87000807034687</v>
          </cell>
        </row>
        <row r="212">
          <cell r="A212" t="str">
            <v>CGI015-qtz01-CL-fit-5-offset</v>
          </cell>
          <cell r="B212">
            <v>750</v>
          </cell>
          <cell r="C212">
            <v>8.0537892000481889E-22</v>
          </cell>
          <cell r="D212">
            <v>1800</v>
          </cell>
          <cell r="E212">
            <v>1024</v>
          </cell>
          <cell r="F212">
            <v>1.7578125</v>
          </cell>
          <cell r="G212" t="str">
            <v>Interior</v>
          </cell>
          <cell r="I212">
            <v>139.48833778284651</v>
          </cell>
          <cell r="J212">
            <v>152.63721053323826</v>
          </cell>
          <cell r="K212">
            <v>52.880100144083983</v>
          </cell>
          <cell r="L212">
            <v>329.82894841313345</v>
          </cell>
          <cell r="M212">
            <v>99.757110389154278</v>
          </cell>
          <cell r="N212">
            <v>177.19173787989519</v>
          </cell>
        </row>
        <row r="213">
          <cell r="A213" t="str">
            <v>CGI009-qtz04-CL-fit-3-offset</v>
          </cell>
          <cell r="B213">
            <v>750</v>
          </cell>
          <cell r="C213">
            <v>8.0537892000481889E-22</v>
          </cell>
          <cell r="D213">
            <v>1400</v>
          </cell>
          <cell r="E213">
            <v>1024</v>
          </cell>
          <cell r="F213">
            <v>1.3671875</v>
          </cell>
          <cell r="G213" t="str">
            <v>Interior</v>
          </cell>
          <cell r="I213">
            <v>113.80245016955911</v>
          </cell>
          <cell r="J213">
            <v>157.2550032222988</v>
          </cell>
          <cell r="K213">
            <v>1.1112403851057464</v>
          </cell>
          <cell r="L213">
            <v>1421.7685324124695</v>
          </cell>
          <cell r="M213">
            <v>156.14376283719304</v>
          </cell>
          <cell r="N213">
            <v>1264.5135291901706</v>
          </cell>
        </row>
        <row r="214">
          <cell r="A214" t="str">
            <v>CGI011-qtz07-CL-fit-3-offset</v>
          </cell>
          <cell r="B214">
            <v>750</v>
          </cell>
          <cell r="C214">
            <v>8.0537892000481889E-22</v>
          </cell>
          <cell r="D214">
            <v>1250</v>
          </cell>
          <cell r="E214">
            <v>1024</v>
          </cell>
          <cell r="F214">
            <v>1.220703125</v>
          </cell>
          <cell r="G214" t="str">
            <v>Interior</v>
          </cell>
          <cell r="I214">
            <v>158.4393070557835</v>
          </cell>
          <cell r="J214">
            <v>158.00996056614912</v>
          </cell>
          <cell r="K214">
            <v>72.06669109393296</v>
          </cell>
          <cell r="L214">
            <v>257.90123063350541</v>
          </cell>
          <cell r="M214">
            <v>85.943269472216159</v>
          </cell>
          <cell r="N214">
            <v>99.891270067356288</v>
          </cell>
        </row>
        <row r="215">
          <cell r="A215" t="str">
            <v>CGI001-qtz07-CL-fit-3-offset</v>
          </cell>
          <cell r="B215">
            <v>750</v>
          </cell>
          <cell r="C215">
            <v>8.0537892000481889E-22</v>
          </cell>
          <cell r="D215">
            <v>1850</v>
          </cell>
          <cell r="E215">
            <v>1024</v>
          </cell>
          <cell r="F215">
            <v>1.806640625</v>
          </cell>
          <cell r="G215" t="str">
            <v>Interior</v>
          </cell>
          <cell r="I215">
            <v>162.47207414665417</v>
          </cell>
          <cell r="J215">
            <v>158.07164425338775</v>
          </cell>
          <cell r="K215">
            <v>64.211608259273874</v>
          </cell>
          <cell r="L215">
            <v>276.43566816982747</v>
          </cell>
          <cell r="M215">
            <v>93.860035994113872</v>
          </cell>
          <cell r="N215">
            <v>118.36402391643972</v>
          </cell>
        </row>
        <row r="216">
          <cell r="A216" t="str">
            <v>CGI015-qtz03-CL-fit-5-offset</v>
          </cell>
          <cell r="B216">
            <v>750</v>
          </cell>
          <cell r="C216">
            <v>8.0537892000481889E-22</v>
          </cell>
          <cell r="D216">
            <v>1750</v>
          </cell>
          <cell r="E216">
            <v>1024</v>
          </cell>
          <cell r="F216">
            <v>1.708984375</v>
          </cell>
          <cell r="G216" t="str">
            <v>Interior</v>
          </cell>
          <cell r="I216">
            <v>157.02442756586422</v>
          </cell>
          <cell r="J216">
            <v>158.21596161973744</v>
          </cell>
          <cell r="K216">
            <v>42.18579896375654</v>
          </cell>
          <cell r="L216">
            <v>351.39394957063837</v>
          </cell>
          <cell r="M216">
            <v>116.0301626559809</v>
          </cell>
          <cell r="N216">
            <v>193.17798795090093</v>
          </cell>
        </row>
        <row r="217">
          <cell r="A217" t="str">
            <v>CGI014-qtz07-CL-fit-3-offset</v>
          </cell>
          <cell r="B217">
            <v>750</v>
          </cell>
          <cell r="C217">
            <v>8.0537892000481889E-22</v>
          </cell>
          <cell r="D217">
            <v>1500</v>
          </cell>
          <cell r="E217">
            <v>1024</v>
          </cell>
          <cell r="F217">
            <v>1.46484375</v>
          </cell>
          <cell r="G217" t="str">
            <v>Interior</v>
          </cell>
          <cell r="I217">
            <v>161.59976466565996</v>
          </cell>
          <cell r="J217">
            <v>158.96945548267433</v>
          </cell>
          <cell r="K217">
            <v>33.083240381105661</v>
          </cell>
          <cell r="L217">
            <v>353.87035712844465</v>
          </cell>
          <cell r="M217">
            <v>125.88621510156867</v>
          </cell>
          <cell r="N217">
            <v>194.90090164577032</v>
          </cell>
        </row>
        <row r="218">
          <cell r="A218" t="str">
            <v>CGI005-qtz08-CL-fit-4-offset</v>
          </cell>
          <cell r="B218">
            <v>750</v>
          </cell>
          <cell r="C218">
            <v>8.0537892000481889E-22</v>
          </cell>
          <cell r="D218">
            <v>1900</v>
          </cell>
          <cell r="E218">
            <v>1024</v>
          </cell>
          <cell r="F218">
            <v>1.85546875</v>
          </cell>
          <cell r="G218" t="str">
            <v>Interior</v>
          </cell>
          <cell r="I218">
            <v>154.42751430732574</v>
          </cell>
          <cell r="J218">
            <v>159.91374683723345</v>
          </cell>
          <cell r="K218">
            <v>2.5372940015995815</v>
          </cell>
          <cell r="L218">
            <v>656.66471907669438</v>
          </cell>
          <cell r="M218">
            <v>157.37645283563387</v>
          </cell>
          <cell r="N218">
            <v>496.75097223946091</v>
          </cell>
        </row>
        <row r="219">
          <cell r="A219" t="str">
            <v>CGI009-qtz03-CL-fit-4-offset</v>
          </cell>
          <cell r="B219">
            <v>750</v>
          </cell>
          <cell r="C219">
            <v>8.0537892000481889E-22</v>
          </cell>
          <cell r="D219">
            <v>1750</v>
          </cell>
          <cell r="E219">
            <v>1024</v>
          </cell>
          <cell r="F219">
            <v>1.708984375</v>
          </cell>
          <cell r="G219" t="str">
            <v>Interior</v>
          </cell>
          <cell r="I219">
            <v>162.68562623675396</v>
          </cell>
          <cell r="J219">
            <v>161.86249173243982</v>
          </cell>
          <cell r="K219">
            <v>83.101317684128347</v>
          </cell>
          <cell r="L219">
            <v>271.83127712794203</v>
          </cell>
          <cell r="M219">
            <v>78.761174048311474</v>
          </cell>
          <cell r="N219">
            <v>109.96878539550221</v>
          </cell>
        </row>
        <row r="220">
          <cell r="A220" t="str">
            <v>CGI015-qtz09-CL-fit-3-offset</v>
          </cell>
          <cell r="B220">
            <v>750</v>
          </cell>
          <cell r="C220">
            <v>8.0537892000481889E-22</v>
          </cell>
          <cell r="D220">
            <v>2150</v>
          </cell>
          <cell r="E220">
            <v>1024</v>
          </cell>
          <cell r="F220">
            <v>2.099609375</v>
          </cell>
          <cell r="G220" t="str">
            <v>Interior</v>
          </cell>
          <cell r="I220">
            <v>161.92794364757026</v>
          </cell>
          <cell r="J220">
            <v>163.49697829562245</v>
          </cell>
          <cell r="K220">
            <v>69.000924868763789</v>
          </cell>
          <cell r="L220">
            <v>292.7159637879443</v>
          </cell>
          <cell r="M220">
            <v>94.496053426858666</v>
          </cell>
          <cell r="N220">
            <v>129.21898549232185</v>
          </cell>
        </row>
        <row r="221">
          <cell r="A221" t="str">
            <v>CGI001-qtz06-CL-fit-2-offset</v>
          </cell>
          <cell r="B221">
            <v>750</v>
          </cell>
          <cell r="C221">
            <v>8.0537892000481889E-22</v>
          </cell>
          <cell r="D221">
            <v>1500</v>
          </cell>
          <cell r="E221">
            <v>1024</v>
          </cell>
          <cell r="F221">
            <v>1.46484375</v>
          </cell>
          <cell r="G221" t="str">
            <v>Interior</v>
          </cell>
          <cell r="I221">
            <v>177.53010281779163</v>
          </cell>
          <cell r="J221">
            <v>164.32076073439706</v>
          </cell>
          <cell r="K221">
            <v>2.4454740435747544</v>
          </cell>
          <cell r="L221">
            <v>540.76484049965143</v>
          </cell>
          <cell r="M221">
            <v>161.87528669082229</v>
          </cell>
          <cell r="N221">
            <v>376.4440797652544</v>
          </cell>
        </row>
        <row r="222">
          <cell r="A222" t="str">
            <v>CGI018-qtz10-CL-fit-3-offset</v>
          </cell>
          <cell r="B222">
            <v>750</v>
          </cell>
          <cell r="C222">
            <v>8.0537892000481889E-22</v>
          </cell>
          <cell r="D222">
            <v>2600</v>
          </cell>
          <cell r="E222">
            <v>1024</v>
          </cell>
          <cell r="F222">
            <v>2.5390625</v>
          </cell>
          <cell r="G222" t="str">
            <v>Interior</v>
          </cell>
          <cell r="I222">
            <v>162.08664147828631</v>
          </cell>
          <cell r="J222">
            <v>164.47310246516571</v>
          </cell>
          <cell r="K222">
            <v>4.7713629822546579</v>
          </cell>
          <cell r="L222">
            <v>463.16650528187557</v>
          </cell>
          <cell r="M222">
            <v>159.70173948291105</v>
          </cell>
          <cell r="N222">
            <v>298.69340281670986</v>
          </cell>
        </row>
        <row r="223">
          <cell r="A223" t="str">
            <v>CGI018-qtz04-CL-fit-4-offset</v>
          </cell>
          <cell r="B223">
            <v>750</v>
          </cell>
          <cell r="C223">
            <v>8.0537892000481889E-22</v>
          </cell>
          <cell r="D223">
            <v>1900</v>
          </cell>
          <cell r="E223">
            <v>1024</v>
          </cell>
          <cell r="F223">
            <v>1.85546875</v>
          </cell>
          <cell r="G223" t="str">
            <v>Interior</v>
          </cell>
          <cell r="I223">
            <v>162.09508788792715</v>
          </cell>
          <cell r="J223">
            <v>166.10413200513409</v>
          </cell>
          <cell r="K223">
            <v>24.762887394772008</v>
          </cell>
          <cell r="L223">
            <v>522.71448284194651</v>
          </cell>
          <cell r="M223">
            <v>141.34124461036208</v>
          </cell>
          <cell r="N223">
            <v>356.61035083681242</v>
          </cell>
        </row>
        <row r="224">
          <cell r="A224" t="str">
            <v>CGI014-qtz05-CL-fit-5-offset</v>
          </cell>
          <cell r="B224">
            <v>750</v>
          </cell>
          <cell r="C224">
            <v>8.0537892000481889E-22</v>
          </cell>
          <cell r="D224">
            <v>1900</v>
          </cell>
          <cell r="E224">
            <v>1024</v>
          </cell>
          <cell r="F224">
            <v>1.85546875</v>
          </cell>
          <cell r="G224" t="str">
            <v>Interior</v>
          </cell>
          <cell r="I224">
            <v>170.93618973961205</v>
          </cell>
          <cell r="J224">
            <v>166.30040351012778</v>
          </cell>
          <cell r="K224">
            <v>54.635545802403996</v>
          </cell>
          <cell r="L224">
            <v>330.47143039820219</v>
          </cell>
          <cell r="M224">
            <v>111.66485770772378</v>
          </cell>
          <cell r="N224">
            <v>164.17102688807441</v>
          </cell>
        </row>
        <row r="225">
          <cell r="A225" t="str">
            <v>CGI008-qtz05-CL-fit-2-offset</v>
          </cell>
          <cell r="B225">
            <v>750</v>
          </cell>
          <cell r="C225">
            <v>8.0537892000481889E-22</v>
          </cell>
          <cell r="D225">
            <v>1450</v>
          </cell>
          <cell r="E225">
            <v>1024</v>
          </cell>
          <cell r="F225">
            <v>1.416015625</v>
          </cell>
          <cell r="G225" t="str">
            <v>Interior</v>
          </cell>
          <cell r="I225">
            <v>153.54215186967039</v>
          </cell>
          <cell r="J225">
            <v>167.29516171131021</v>
          </cell>
          <cell r="K225">
            <v>8.4491499410138129</v>
          </cell>
          <cell r="L225">
            <v>812.02146022389218</v>
          </cell>
          <cell r="M225">
            <v>158.8460117702964</v>
          </cell>
          <cell r="N225">
            <v>644.72629851258193</v>
          </cell>
        </row>
        <row r="226">
          <cell r="A226" t="str">
            <v>CGI008-qtz10-CL-fit-3-offset</v>
          </cell>
          <cell r="B226">
            <v>750</v>
          </cell>
          <cell r="C226">
            <v>8.0537892000481889E-22</v>
          </cell>
          <cell r="D226">
            <v>1800</v>
          </cell>
          <cell r="E226">
            <v>1024</v>
          </cell>
          <cell r="F226">
            <v>1.7578125</v>
          </cell>
          <cell r="G226" t="str">
            <v>Interior</v>
          </cell>
          <cell r="I226">
            <v>170.42129498324095</v>
          </cell>
          <cell r="J226">
            <v>170.56502122556159</v>
          </cell>
          <cell r="K226">
            <v>60.793236498661464</v>
          </cell>
          <cell r="L226">
            <v>391.54537330954145</v>
          </cell>
          <cell r="M226">
            <v>109.77178472690014</v>
          </cell>
          <cell r="N226">
            <v>220.98035208397985</v>
          </cell>
        </row>
        <row r="227">
          <cell r="A227" t="str">
            <v>CGI009-qtz11-CL-fit-4-offset</v>
          </cell>
          <cell r="B227">
            <v>750</v>
          </cell>
          <cell r="C227">
            <v>8.0537892000481889E-22</v>
          </cell>
          <cell r="D227">
            <v>1700</v>
          </cell>
          <cell r="E227">
            <v>1024</v>
          </cell>
          <cell r="F227">
            <v>1.66015625</v>
          </cell>
          <cell r="G227" t="str">
            <v>Interior</v>
          </cell>
          <cell r="I227">
            <v>80.298039551267749</v>
          </cell>
          <cell r="J227">
            <v>173.24812464976807</v>
          </cell>
          <cell r="K227">
            <v>3.0683255219044416</v>
          </cell>
          <cell r="L227">
            <v>1754.4666788324953</v>
          </cell>
          <cell r="M227">
            <v>170.17979912786362</v>
          </cell>
          <cell r="N227">
            <v>1581.2185541827273</v>
          </cell>
        </row>
        <row r="228">
          <cell r="A228" t="str">
            <v>CGI014-qtz07-CL-fit-1-offset</v>
          </cell>
          <cell r="B228">
            <v>750</v>
          </cell>
          <cell r="C228">
            <v>8.0537892000481889E-22</v>
          </cell>
          <cell r="D228">
            <v>1500</v>
          </cell>
          <cell r="E228">
            <v>1024</v>
          </cell>
          <cell r="F228">
            <v>1.46484375</v>
          </cell>
          <cell r="G228" t="str">
            <v>Interior</v>
          </cell>
          <cell r="I228">
            <v>173.38836476810869</v>
          </cell>
          <cell r="J228">
            <v>175.17126087787307</v>
          </cell>
          <cell r="K228">
            <v>80.962347371425835</v>
          </cell>
          <cell r="L228">
            <v>294.31103644285105</v>
          </cell>
          <cell r="M228">
            <v>94.208913506447232</v>
          </cell>
          <cell r="N228">
            <v>119.13977556497798</v>
          </cell>
        </row>
        <row r="229">
          <cell r="A229" t="str">
            <v>CGI011-qtz07-CL-fit-2-offset</v>
          </cell>
          <cell r="B229">
            <v>750</v>
          </cell>
          <cell r="C229">
            <v>8.0537892000481889E-22</v>
          </cell>
          <cell r="D229">
            <v>1250</v>
          </cell>
          <cell r="E229">
            <v>1024</v>
          </cell>
          <cell r="F229">
            <v>1.220703125</v>
          </cell>
          <cell r="G229" t="str">
            <v>Interior</v>
          </cell>
          <cell r="I229">
            <v>180.07439069488831</v>
          </cell>
          <cell r="J229">
            <v>180.3776805942893</v>
          </cell>
          <cell r="K229">
            <v>91.269274626493285</v>
          </cell>
          <cell r="L229">
            <v>326.21364865610724</v>
          </cell>
          <cell r="M229">
            <v>89.108405967796017</v>
          </cell>
          <cell r="N229">
            <v>145.83596806181794</v>
          </cell>
        </row>
        <row r="230">
          <cell r="A230" t="str">
            <v>CGI011-qtz02-CL-fit-3-offset</v>
          </cell>
          <cell r="B230">
            <v>750</v>
          </cell>
          <cell r="C230">
            <v>8.0537892000481889E-22</v>
          </cell>
          <cell r="D230">
            <v>1600</v>
          </cell>
          <cell r="E230">
            <v>1024</v>
          </cell>
          <cell r="F230">
            <v>1.5625</v>
          </cell>
          <cell r="G230" t="str">
            <v>Interior</v>
          </cell>
          <cell r="I230">
            <v>182.04647475070576</v>
          </cell>
          <cell r="J230">
            <v>183.86514896144641</v>
          </cell>
          <cell r="K230">
            <v>74.476042907444636</v>
          </cell>
          <cell r="L230">
            <v>346.28280932180741</v>
          </cell>
          <cell r="M230">
            <v>109.38910605400177</v>
          </cell>
          <cell r="N230">
            <v>162.417660360361</v>
          </cell>
        </row>
        <row r="231">
          <cell r="A231" t="str">
            <v>CGI009-qtz07-CL-fit-1-offset</v>
          </cell>
          <cell r="B231">
            <v>750</v>
          </cell>
          <cell r="C231">
            <v>8.0537892000481889E-22</v>
          </cell>
          <cell r="D231">
            <v>1200</v>
          </cell>
          <cell r="E231">
            <v>1024</v>
          </cell>
          <cell r="F231">
            <v>1.171875</v>
          </cell>
          <cell r="G231" t="str">
            <v>Interior</v>
          </cell>
          <cell r="I231">
            <v>175.5407580899583</v>
          </cell>
          <cell r="J231">
            <v>185.31793591807121</v>
          </cell>
          <cell r="K231">
            <v>55.174491060644584</v>
          </cell>
          <cell r="L231">
            <v>448.44092079478492</v>
          </cell>
          <cell r="M231">
            <v>130.14344485742663</v>
          </cell>
          <cell r="N231">
            <v>263.1229848767137</v>
          </cell>
        </row>
        <row r="232">
          <cell r="A232" t="str">
            <v>CGI005-qtz04-CL-fit-3</v>
          </cell>
          <cell r="B232">
            <v>750</v>
          </cell>
          <cell r="C232">
            <v>8.0537892000481889E-22</v>
          </cell>
          <cell r="D232">
            <v>1900</v>
          </cell>
          <cell r="E232">
            <v>1024</v>
          </cell>
          <cell r="F232">
            <v>1.85546875</v>
          </cell>
          <cell r="G232" t="str">
            <v>Interior</v>
          </cell>
          <cell r="I232">
            <v>181.38877703579217</v>
          </cell>
          <cell r="J232">
            <v>186.15287265730228</v>
          </cell>
          <cell r="K232">
            <v>74.469569172731411</v>
          </cell>
          <cell r="L232">
            <v>352.3041967439687</v>
          </cell>
          <cell r="M232">
            <v>111.68330348457087</v>
          </cell>
          <cell r="N232">
            <v>166.15132408666642</v>
          </cell>
        </row>
        <row r="233">
          <cell r="A233" t="str">
            <v>CGI018-qtz05-CL-fit-5-offset</v>
          </cell>
          <cell r="B233">
            <v>750</v>
          </cell>
          <cell r="C233">
            <v>8.0537892000481889E-22</v>
          </cell>
          <cell r="D233">
            <v>1600</v>
          </cell>
          <cell r="E233">
            <v>1024</v>
          </cell>
          <cell r="F233">
            <v>1.5625</v>
          </cell>
          <cell r="G233" t="str">
            <v>Interior</v>
          </cell>
          <cell r="I233">
            <v>143.63061887618943</v>
          </cell>
          <cell r="J233">
            <v>190.34370165371448</v>
          </cell>
          <cell r="K233">
            <v>21.35284455924786</v>
          </cell>
          <cell r="L233">
            <v>1059.5122606177022</v>
          </cell>
          <cell r="M233">
            <v>168.99085709446661</v>
          </cell>
          <cell r="N233">
            <v>869.16855896398772</v>
          </cell>
        </row>
        <row r="234">
          <cell r="A234" t="str">
            <v>CGI018-qtz12-CL-fit-4-offset</v>
          </cell>
          <cell r="B234">
            <v>750</v>
          </cell>
          <cell r="C234">
            <v>8.0537892000481889E-22</v>
          </cell>
          <cell r="D234">
            <v>1800</v>
          </cell>
          <cell r="E234">
            <v>1024</v>
          </cell>
          <cell r="F234">
            <v>1.7578125</v>
          </cell>
          <cell r="G234" t="str">
            <v>Interior</v>
          </cell>
          <cell r="I234">
            <v>187.72471399522891</v>
          </cell>
          <cell r="J234">
            <v>190.62924650633263</v>
          </cell>
          <cell r="K234">
            <v>80.203017989936455</v>
          </cell>
          <cell r="L234">
            <v>400.45672385183326</v>
          </cell>
          <cell r="M234">
            <v>110.42622851639618</v>
          </cell>
          <cell r="N234">
            <v>209.82747734550063</v>
          </cell>
        </row>
        <row r="235">
          <cell r="A235" t="str">
            <v>CGI015-qtz07-CL-fit-4-offset</v>
          </cell>
          <cell r="B235">
            <v>750</v>
          </cell>
          <cell r="C235">
            <v>8.0537892000481889E-22</v>
          </cell>
          <cell r="D235">
            <v>2250</v>
          </cell>
          <cell r="E235">
            <v>1024</v>
          </cell>
          <cell r="F235">
            <v>2.197265625</v>
          </cell>
          <cell r="G235" t="str">
            <v>Interior</v>
          </cell>
          <cell r="I235">
            <v>206.30993432226694</v>
          </cell>
          <cell r="J235">
            <v>191.73600723181076</v>
          </cell>
          <cell r="K235">
            <v>27.259634201552508</v>
          </cell>
          <cell r="L235">
            <v>364.54212097224638</v>
          </cell>
          <cell r="M235">
            <v>164.47637303025826</v>
          </cell>
          <cell r="N235">
            <v>172.80611374043562</v>
          </cell>
        </row>
        <row r="236">
          <cell r="A236" t="str">
            <v>CGI005-qtz04-CL-fit-5-offset</v>
          </cell>
          <cell r="B236">
            <v>750</v>
          </cell>
          <cell r="C236">
            <v>8.0537892000481889E-22</v>
          </cell>
          <cell r="D236">
            <v>1900</v>
          </cell>
          <cell r="E236">
            <v>1024</v>
          </cell>
          <cell r="F236">
            <v>1.85546875</v>
          </cell>
          <cell r="G236" t="str">
            <v>Interior</v>
          </cell>
          <cell r="I236">
            <v>189.99342803516473</v>
          </cell>
          <cell r="J236">
            <v>195.82554426334272</v>
          </cell>
          <cell r="K236">
            <v>86.821748160203825</v>
          </cell>
          <cell r="L236">
            <v>380.8268299211249</v>
          </cell>
          <cell r="M236">
            <v>109.0037961031389</v>
          </cell>
          <cell r="N236">
            <v>185.00128565778218</v>
          </cell>
        </row>
        <row r="237">
          <cell r="A237" t="str">
            <v>CGI011-qtz02-CL-fit-4-offset</v>
          </cell>
          <cell r="B237">
            <v>750</v>
          </cell>
          <cell r="C237">
            <v>8.0537892000481889E-22</v>
          </cell>
          <cell r="D237">
            <v>1600</v>
          </cell>
          <cell r="E237">
            <v>1024</v>
          </cell>
          <cell r="F237">
            <v>1.5625</v>
          </cell>
          <cell r="G237" t="str">
            <v>Interior</v>
          </cell>
          <cell r="I237">
            <v>201.73498562606784</v>
          </cell>
          <cell r="J237">
            <v>197.66274392032989</v>
          </cell>
          <cell r="K237">
            <v>58.785996578643051</v>
          </cell>
          <cell r="L237">
            <v>442.01581040858474</v>
          </cell>
          <cell r="M237">
            <v>138.87674734168684</v>
          </cell>
          <cell r="N237">
            <v>244.35306648825485</v>
          </cell>
        </row>
        <row r="238">
          <cell r="A238" t="str">
            <v>CGI001-qtz03-CL-fit-3</v>
          </cell>
          <cell r="B238">
            <v>750</v>
          </cell>
          <cell r="C238">
            <v>8.0537892000481889E-22</v>
          </cell>
          <cell r="D238">
            <v>1900</v>
          </cell>
          <cell r="E238">
            <v>1024</v>
          </cell>
          <cell r="F238">
            <v>1.85546875</v>
          </cell>
          <cell r="G238" t="str">
            <v>Interior</v>
          </cell>
          <cell r="I238">
            <v>177.40437558215251</v>
          </cell>
          <cell r="J238">
            <v>198.74684585611618</v>
          </cell>
          <cell r="K238">
            <v>1.4854127462649811</v>
          </cell>
          <cell r="L238">
            <v>1644.3248302606301</v>
          </cell>
          <cell r="M238">
            <v>197.2614331098512</v>
          </cell>
          <cell r="N238">
            <v>1445.5779844045139</v>
          </cell>
        </row>
        <row r="239">
          <cell r="A239" t="str">
            <v>CGI011-qtz03-CL-fit-3-offset</v>
          </cell>
          <cell r="B239">
            <v>750</v>
          </cell>
          <cell r="C239">
            <v>8.0537892000481889E-22</v>
          </cell>
          <cell r="D239">
            <v>1550</v>
          </cell>
          <cell r="E239">
            <v>1024</v>
          </cell>
          <cell r="F239">
            <v>1.513671875</v>
          </cell>
          <cell r="G239" t="str">
            <v>Interior</v>
          </cell>
          <cell r="I239">
            <v>198.55574149524955</v>
          </cell>
          <cell r="J239">
            <v>199.34841561469068</v>
          </cell>
          <cell r="K239">
            <v>115.0674404974084</v>
          </cell>
          <cell r="L239">
            <v>332.42406556068886</v>
          </cell>
          <cell r="M239">
            <v>84.280975117282281</v>
          </cell>
          <cell r="N239">
            <v>133.07564994599818</v>
          </cell>
        </row>
        <row r="240">
          <cell r="A240" t="str">
            <v>CGI015-qtz02-CL-fit-2-offset</v>
          </cell>
          <cell r="B240">
            <v>750</v>
          </cell>
          <cell r="C240">
            <v>8.0537892000481889E-22</v>
          </cell>
          <cell r="D240">
            <v>1550</v>
          </cell>
          <cell r="E240">
            <v>1024</v>
          </cell>
          <cell r="F240">
            <v>1.513671875</v>
          </cell>
          <cell r="G240" t="str">
            <v>Interior</v>
          </cell>
          <cell r="I240">
            <v>203.29691455328782</v>
          </cell>
          <cell r="J240">
            <v>201.77541071850675</v>
          </cell>
          <cell r="K240">
            <v>84.622265885761479</v>
          </cell>
          <cell r="L240">
            <v>327.19714276781605</v>
          </cell>
          <cell r="M240">
            <v>117.15314483274527</v>
          </cell>
          <cell r="N240">
            <v>125.4217320493093</v>
          </cell>
        </row>
        <row r="241">
          <cell r="A241" t="str">
            <v>CGI015-qtz01-CL-fit-4-offset</v>
          </cell>
          <cell r="B241">
            <v>750</v>
          </cell>
          <cell r="C241">
            <v>8.0537892000481889E-22</v>
          </cell>
          <cell r="D241">
            <v>1800</v>
          </cell>
          <cell r="E241">
            <v>1024</v>
          </cell>
          <cell r="F241">
            <v>1.7578125</v>
          </cell>
          <cell r="G241" t="str">
            <v>Interior</v>
          </cell>
          <cell r="I241">
            <v>203.04517930209855</v>
          </cell>
          <cell r="J241">
            <v>202.03184960978425</v>
          </cell>
          <cell r="K241">
            <v>99.989314909624213</v>
          </cell>
          <cell r="L241">
            <v>352.8302663139666</v>
          </cell>
          <cell r="M241">
            <v>102.04253470016003</v>
          </cell>
          <cell r="N241">
            <v>150.79841670418236</v>
          </cell>
        </row>
        <row r="242">
          <cell r="A242" t="str">
            <v>CGI014-qtz01-CL-fit-1-offset</v>
          </cell>
          <cell r="B242">
            <v>750</v>
          </cell>
          <cell r="C242">
            <v>8.0537892000481889E-22</v>
          </cell>
          <cell r="D242">
            <v>1600</v>
          </cell>
          <cell r="E242">
            <v>1024</v>
          </cell>
          <cell r="F242">
            <v>1.5625</v>
          </cell>
          <cell r="G242" t="str">
            <v>Interior</v>
          </cell>
          <cell r="I242">
            <v>125.2037972569988</v>
          </cell>
          <cell r="J242">
            <v>206.59665961485643</v>
          </cell>
          <cell r="K242">
            <v>3.0604645089990865E-3</v>
          </cell>
          <cell r="L242">
            <v>3204.511769728842</v>
          </cell>
          <cell r="M242">
            <v>206.59359915034744</v>
          </cell>
          <cell r="N242">
            <v>2997.9151101139855</v>
          </cell>
        </row>
        <row r="243">
          <cell r="A243" t="str">
            <v>CGI008-qtz03-CL-fit-3-offset</v>
          </cell>
          <cell r="B243">
            <v>750</v>
          </cell>
          <cell r="C243">
            <v>8.0537892000481889E-22</v>
          </cell>
          <cell r="D243">
            <v>2800</v>
          </cell>
          <cell r="E243">
            <v>1024</v>
          </cell>
          <cell r="F243">
            <v>2.734375</v>
          </cell>
          <cell r="G243" t="str">
            <v>Interior</v>
          </cell>
          <cell r="I243">
            <v>208.47935355531271</v>
          </cell>
          <cell r="J243">
            <v>209.26388537331695</v>
          </cell>
          <cell r="K243">
            <v>42.95062956873506</v>
          </cell>
          <cell r="L243">
            <v>549.1443838390984</v>
          </cell>
          <cell r="M243">
            <v>166.3132558045819</v>
          </cell>
          <cell r="N243">
            <v>339.88049846578144</v>
          </cell>
        </row>
        <row r="244">
          <cell r="A244" t="str">
            <v>CGI018-qtz02-CL-fit-4-offset</v>
          </cell>
          <cell r="B244">
            <v>750</v>
          </cell>
          <cell r="C244">
            <v>8.0537892000481889E-22</v>
          </cell>
          <cell r="D244">
            <v>1750</v>
          </cell>
          <cell r="E244">
            <v>1024</v>
          </cell>
          <cell r="F244">
            <v>1.708984375</v>
          </cell>
          <cell r="G244" t="str">
            <v>Interior</v>
          </cell>
          <cell r="I244">
            <v>210.95601911068337</v>
          </cell>
          <cell r="J244">
            <v>214.78530446998528</v>
          </cell>
          <cell r="K244">
            <v>82.667759145054049</v>
          </cell>
          <cell r="L244">
            <v>402.80833036473092</v>
          </cell>
          <cell r="M244">
            <v>132.11754532493123</v>
          </cell>
          <cell r="N244">
            <v>188.02302589474564</v>
          </cell>
        </row>
        <row r="245">
          <cell r="A245" t="str">
            <v>CGI011-qtz09-CL-fit-3-offset</v>
          </cell>
          <cell r="B245">
            <v>750</v>
          </cell>
          <cell r="C245">
            <v>8.0537892000481889E-22</v>
          </cell>
          <cell r="D245">
            <v>1100</v>
          </cell>
          <cell r="E245">
            <v>1024</v>
          </cell>
          <cell r="F245">
            <v>1.07421875</v>
          </cell>
          <cell r="G245" t="str">
            <v>Interior</v>
          </cell>
          <cell r="I245">
            <v>211.03464054826867</v>
          </cell>
          <cell r="J245">
            <v>215.71726190694997</v>
          </cell>
          <cell r="K245">
            <v>100.51243228276951</v>
          </cell>
          <cell r="L245">
            <v>446.86756828487302</v>
          </cell>
          <cell r="M245">
            <v>115.20482962418046</v>
          </cell>
          <cell r="N245">
            <v>231.15030637792304</v>
          </cell>
        </row>
        <row r="246">
          <cell r="A246" t="str">
            <v>CGI008-qtz10-CL-fit-2-offset</v>
          </cell>
          <cell r="B246">
            <v>750</v>
          </cell>
          <cell r="C246">
            <v>8.0537892000481889E-22</v>
          </cell>
          <cell r="D246">
            <v>1800</v>
          </cell>
          <cell r="E246">
            <v>1024</v>
          </cell>
          <cell r="F246">
            <v>1.7578125</v>
          </cell>
          <cell r="G246" t="str">
            <v>Interior</v>
          </cell>
          <cell r="I246">
            <v>211.46435188152017</v>
          </cell>
          <cell r="J246">
            <v>215.80683735981953</v>
          </cell>
          <cell r="K246">
            <v>93.799506017938484</v>
          </cell>
          <cell r="L246">
            <v>381.76666296501736</v>
          </cell>
          <cell r="M246">
            <v>122.00733134188104</v>
          </cell>
          <cell r="N246">
            <v>165.95982560519784</v>
          </cell>
        </row>
        <row r="247">
          <cell r="A247" t="str">
            <v>CGI011-qtz04-CL-fit-4-offset</v>
          </cell>
          <cell r="B247">
            <v>750</v>
          </cell>
          <cell r="C247">
            <v>8.0537892000481889E-22</v>
          </cell>
          <cell r="D247">
            <v>1800</v>
          </cell>
          <cell r="E247">
            <v>1024</v>
          </cell>
          <cell r="F247">
            <v>1.7578125</v>
          </cell>
          <cell r="G247" t="str">
            <v>Interior</v>
          </cell>
          <cell r="I247">
            <v>213.86138453251937</v>
          </cell>
          <cell r="J247">
            <v>218.83627953979999</v>
          </cell>
          <cell r="K247">
            <v>56.58887466903591</v>
          </cell>
          <cell r="L247">
            <v>500.80563299429804</v>
          </cell>
          <cell r="M247">
            <v>162.24740487076409</v>
          </cell>
          <cell r="N247">
            <v>281.96935345449805</v>
          </cell>
        </row>
        <row r="248">
          <cell r="A248" t="str">
            <v>CGI018-qtz08-CL-fit-6-offset</v>
          </cell>
          <cell r="B248">
            <v>750</v>
          </cell>
          <cell r="C248">
            <v>8.0537892000481889E-22</v>
          </cell>
          <cell r="D248">
            <v>2300</v>
          </cell>
          <cell r="E248">
            <v>1024</v>
          </cell>
          <cell r="F248">
            <v>2.24609375</v>
          </cell>
          <cell r="G248" t="str">
            <v>Interior</v>
          </cell>
          <cell r="I248">
            <v>219.4269212352682</v>
          </cell>
          <cell r="J248">
            <v>219.70091765456931</v>
          </cell>
          <cell r="K248">
            <v>120.95435198238334</v>
          </cell>
          <cell r="L248">
            <v>358.16019082998702</v>
          </cell>
          <cell r="M248">
            <v>98.746565672185966</v>
          </cell>
          <cell r="N248">
            <v>138.45927317541771</v>
          </cell>
        </row>
        <row r="249">
          <cell r="A249" t="str">
            <v>CGI014-qtz09-CL-fit-4-offset</v>
          </cell>
          <cell r="B249">
            <v>750</v>
          </cell>
          <cell r="C249">
            <v>8.0537892000481889E-22</v>
          </cell>
          <cell r="D249">
            <v>1550</v>
          </cell>
          <cell r="E249">
            <v>1024</v>
          </cell>
          <cell r="F249">
            <v>1.513671875</v>
          </cell>
          <cell r="G249" t="str">
            <v>Interior</v>
          </cell>
          <cell r="I249">
            <v>123.44399295080919</v>
          </cell>
          <cell r="J249">
            <v>219.80311547631322</v>
          </cell>
          <cell r="K249">
            <v>5.3633141761077309E-3</v>
          </cell>
          <cell r="L249">
            <v>2700.6740649065614</v>
          </cell>
          <cell r="M249">
            <v>219.79775216213713</v>
          </cell>
          <cell r="N249">
            <v>2480.8709494302484</v>
          </cell>
        </row>
        <row r="250">
          <cell r="A250" t="str">
            <v>CGI011-qtz06-CL-fit-4-offset</v>
          </cell>
          <cell r="B250">
            <v>750</v>
          </cell>
          <cell r="C250">
            <v>8.0537892000481889E-22</v>
          </cell>
          <cell r="D250">
            <v>1650</v>
          </cell>
          <cell r="E250">
            <v>1024</v>
          </cell>
          <cell r="F250">
            <v>1.611328125</v>
          </cell>
          <cell r="G250" t="str">
            <v>Interior</v>
          </cell>
          <cell r="I250">
            <v>220.35358906031999</v>
          </cell>
          <cell r="J250">
            <v>221.36848733246944</v>
          </cell>
          <cell r="K250">
            <v>77.395244496387861</v>
          </cell>
          <cell r="L250">
            <v>471.03730116046682</v>
          </cell>
          <cell r="M250">
            <v>143.97324283608157</v>
          </cell>
          <cell r="N250">
            <v>249.66881382799738</v>
          </cell>
        </row>
        <row r="251">
          <cell r="A251" t="str">
            <v>CGI015-qtz10-CL-fit-5-offset</v>
          </cell>
          <cell r="B251">
            <v>750</v>
          </cell>
          <cell r="C251">
            <v>8.0537892000481889E-22</v>
          </cell>
          <cell r="D251">
            <v>2050</v>
          </cell>
          <cell r="E251">
            <v>1024</v>
          </cell>
          <cell r="F251">
            <v>2.001953125</v>
          </cell>
          <cell r="G251" t="str">
            <v>Interior</v>
          </cell>
          <cell r="I251">
            <v>226.62505252469711</v>
          </cell>
          <cell r="J251">
            <v>233.93031511172941</v>
          </cell>
          <cell r="K251">
            <v>28.378414164805196</v>
          </cell>
          <cell r="L251">
            <v>703.26399828459034</v>
          </cell>
          <cell r="M251">
            <v>205.55190094692421</v>
          </cell>
          <cell r="N251">
            <v>469.3336831728609</v>
          </cell>
        </row>
        <row r="252">
          <cell r="A252" t="str">
            <v>CGI018-qtz11-CL-fit-4-offset</v>
          </cell>
          <cell r="B252">
            <v>750</v>
          </cell>
          <cell r="C252">
            <v>8.0537892000481889E-22</v>
          </cell>
          <cell r="D252">
            <v>1250</v>
          </cell>
          <cell r="E252">
            <v>1024</v>
          </cell>
          <cell r="F252">
            <v>1.220703125</v>
          </cell>
          <cell r="G252" t="str">
            <v>Interior</v>
          </cell>
          <cell r="I252">
            <v>209.07034453582685</v>
          </cell>
          <cell r="J252">
            <v>240.50291270791087</v>
          </cell>
          <cell r="K252">
            <v>73.545229756517273</v>
          </cell>
          <cell r="L252">
            <v>922.98532539877397</v>
          </cell>
          <cell r="M252">
            <v>166.95768295139359</v>
          </cell>
          <cell r="N252">
            <v>682.48241269086316</v>
          </cell>
        </row>
        <row r="253">
          <cell r="A253" t="str">
            <v>CGI011-qtz05-CL-fit-5-offset</v>
          </cell>
          <cell r="B253">
            <v>750</v>
          </cell>
          <cell r="C253">
            <v>8.0537892000481889E-22</v>
          </cell>
          <cell r="D253">
            <v>2200</v>
          </cell>
          <cell r="E253">
            <v>1024</v>
          </cell>
          <cell r="F253">
            <v>2.1484375</v>
          </cell>
          <cell r="G253" t="str">
            <v>Interior</v>
          </cell>
          <cell r="I253">
            <v>246.62514472059974</v>
          </cell>
          <cell r="J253">
            <v>241.13414157035342</v>
          </cell>
          <cell r="K253">
            <v>75.309701187927786</v>
          </cell>
          <cell r="L253">
            <v>471.15200445716926</v>
          </cell>
          <cell r="M253">
            <v>165.82444038242562</v>
          </cell>
          <cell r="N253">
            <v>230.01786288681583</v>
          </cell>
        </row>
        <row r="254">
          <cell r="A254" t="str">
            <v>CGI018-qtz05-CL-fit-3-offset</v>
          </cell>
          <cell r="B254">
            <v>750</v>
          </cell>
          <cell r="C254">
            <v>8.0537892000481889E-22</v>
          </cell>
          <cell r="D254">
            <v>1600</v>
          </cell>
          <cell r="E254">
            <v>1024</v>
          </cell>
          <cell r="F254">
            <v>1.5625</v>
          </cell>
          <cell r="G254" t="str">
            <v>Interior</v>
          </cell>
          <cell r="I254">
            <v>245.82951748798419</v>
          </cell>
          <cell r="J254">
            <v>243.67982676204986</v>
          </cell>
          <cell r="K254">
            <v>16.55249189689118</v>
          </cell>
          <cell r="L254">
            <v>630.46458515716768</v>
          </cell>
          <cell r="M254">
            <v>227.12733486515867</v>
          </cell>
          <cell r="N254">
            <v>386.78475839511782</v>
          </cell>
        </row>
        <row r="255">
          <cell r="A255" t="str">
            <v>CGI011-qtz01-CL-fit-3-offset</v>
          </cell>
          <cell r="B255">
            <v>750</v>
          </cell>
          <cell r="C255">
            <v>8.0537892000481889E-22</v>
          </cell>
          <cell r="D255">
            <v>2000</v>
          </cell>
          <cell r="E255">
            <v>1024</v>
          </cell>
          <cell r="F255">
            <v>1.953125</v>
          </cell>
          <cell r="G255" t="str">
            <v>Interior</v>
          </cell>
          <cell r="I255">
            <v>233.08405323502234</v>
          </cell>
          <cell r="J255">
            <v>249.94909393910993</v>
          </cell>
          <cell r="K255">
            <v>99.270898901538388</v>
          </cell>
          <cell r="L255">
            <v>544.87074945274469</v>
          </cell>
          <cell r="M255">
            <v>150.67819503757153</v>
          </cell>
          <cell r="N255">
            <v>294.92165551363473</v>
          </cell>
        </row>
        <row r="256">
          <cell r="A256" t="str">
            <v>CGI011-qtz05-CL-fit-4-offset</v>
          </cell>
          <cell r="B256">
            <v>750</v>
          </cell>
          <cell r="C256">
            <v>8.0537892000481889E-22</v>
          </cell>
          <cell r="D256">
            <v>2200</v>
          </cell>
          <cell r="E256">
            <v>1024</v>
          </cell>
          <cell r="F256">
            <v>2.1484375</v>
          </cell>
          <cell r="G256" t="str">
            <v>Interior</v>
          </cell>
          <cell r="I256">
            <v>248.39163919288447</v>
          </cell>
          <cell r="J256">
            <v>251.66139991602589</v>
          </cell>
          <cell r="K256">
            <v>44.612561950807702</v>
          </cell>
          <cell r="L256">
            <v>663.78874973279767</v>
          </cell>
          <cell r="M256">
            <v>207.04883796521818</v>
          </cell>
          <cell r="N256">
            <v>412.12734981677181</v>
          </cell>
        </row>
        <row r="257">
          <cell r="A257" t="str">
            <v>CGI005-qtz08-CL-fit-2-offset</v>
          </cell>
          <cell r="B257">
            <v>750</v>
          </cell>
          <cell r="C257">
            <v>8.0537892000481889E-22</v>
          </cell>
          <cell r="D257">
            <v>1900</v>
          </cell>
          <cell r="E257">
            <v>1024</v>
          </cell>
          <cell r="F257">
            <v>1.85546875</v>
          </cell>
          <cell r="G257" t="str">
            <v>Interior</v>
          </cell>
          <cell r="I257">
            <v>246.93869211689235</v>
          </cell>
          <cell r="J257">
            <v>252.39290631738979</v>
          </cell>
          <cell r="K257">
            <v>119.02414967859951</v>
          </cell>
          <cell r="L257">
            <v>478.67924945915451</v>
          </cell>
          <cell r="M257">
            <v>133.36875663879027</v>
          </cell>
          <cell r="N257">
            <v>226.28634314176472</v>
          </cell>
        </row>
        <row r="258">
          <cell r="A258" t="str">
            <v>CGI008-qtz07-CL-fit-2-offset</v>
          </cell>
          <cell r="B258">
            <v>750</v>
          </cell>
          <cell r="C258">
            <v>8.0537892000481889E-22</v>
          </cell>
          <cell r="D258">
            <v>1900</v>
          </cell>
          <cell r="E258">
            <v>1024</v>
          </cell>
          <cell r="F258">
            <v>1.85546875</v>
          </cell>
          <cell r="G258" t="str">
            <v>Interior</v>
          </cell>
          <cell r="I258">
            <v>288.38240837474848</v>
          </cell>
          <cell r="J258">
            <v>252.88914647411283</v>
          </cell>
          <cell r="K258">
            <v>0.14913947288667159</v>
          </cell>
          <cell r="L258">
            <v>1148.8082322727976</v>
          </cell>
          <cell r="M258">
            <v>252.74000700122616</v>
          </cell>
          <cell r="N258">
            <v>895.9190857986847</v>
          </cell>
        </row>
        <row r="259">
          <cell r="A259" t="str">
            <v>CGI005-qtz09-CL-fit-5-offset</v>
          </cell>
          <cell r="B259">
            <v>750</v>
          </cell>
          <cell r="C259">
            <v>8.0537892000481889E-22</v>
          </cell>
          <cell r="D259">
            <v>2400</v>
          </cell>
          <cell r="E259">
            <v>1024</v>
          </cell>
          <cell r="F259">
            <v>2.34375</v>
          </cell>
          <cell r="G259" t="str">
            <v>Interior</v>
          </cell>
          <cell r="I259">
            <v>264.03739733760648</v>
          </cell>
          <cell r="J259">
            <v>254.69192031314094</v>
          </cell>
          <cell r="K259">
            <v>26.261608390275413</v>
          </cell>
          <cell r="L259">
            <v>585.37479684850121</v>
          </cell>
          <cell r="M259">
            <v>228.43031192286554</v>
          </cell>
          <cell r="N259">
            <v>330.68287653536026</v>
          </cell>
        </row>
        <row r="260">
          <cell r="A260" t="str">
            <v>CGI009-qtz08-CL-fit-5-offset</v>
          </cell>
          <cell r="B260">
            <v>750</v>
          </cell>
          <cell r="C260">
            <v>8.0537892000481889E-22</v>
          </cell>
          <cell r="D260">
            <v>2300</v>
          </cell>
          <cell r="E260">
            <v>1024</v>
          </cell>
          <cell r="F260">
            <v>2.24609375</v>
          </cell>
          <cell r="G260" t="str">
            <v>Interior</v>
          </cell>
          <cell r="I260">
            <v>243.7581019618691</v>
          </cell>
          <cell r="J260">
            <v>256.77231026527193</v>
          </cell>
          <cell r="K260">
            <v>75.508878784303192</v>
          </cell>
          <cell r="L260">
            <v>638.74375763014677</v>
          </cell>
          <cell r="M260">
            <v>181.26343148096873</v>
          </cell>
          <cell r="N260">
            <v>381.97144736487485</v>
          </cell>
        </row>
        <row r="261">
          <cell r="A261" t="str">
            <v>CGI018-qtz01-CL-fit-4-offset</v>
          </cell>
          <cell r="B261">
            <v>750</v>
          </cell>
          <cell r="C261">
            <v>8.0537892000481889E-22</v>
          </cell>
          <cell r="D261">
            <v>1700</v>
          </cell>
          <cell r="E261">
            <v>1024</v>
          </cell>
          <cell r="F261">
            <v>1.66015625</v>
          </cell>
          <cell r="G261" t="str">
            <v>Interior</v>
          </cell>
          <cell r="I261">
            <v>254.78309448543251</v>
          </cell>
          <cell r="J261">
            <v>265.41581724040049</v>
          </cell>
          <cell r="K261">
            <v>97.019427081955186</v>
          </cell>
          <cell r="L261">
            <v>583.32242668411072</v>
          </cell>
          <cell r="M261">
            <v>168.39639015844529</v>
          </cell>
          <cell r="N261">
            <v>317.90660944371024</v>
          </cell>
        </row>
        <row r="262">
          <cell r="A262" t="str">
            <v>CGI014-qtz10-CL-fit-1-offset</v>
          </cell>
          <cell r="B262">
            <v>750</v>
          </cell>
          <cell r="C262">
            <v>8.0537892000481889E-22</v>
          </cell>
          <cell r="D262">
            <v>1550</v>
          </cell>
          <cell r="E262">
            <v>1024</v>
          </cell>
          <cell r="F262">
            <v>1.513671875</v>
          </cell>
          <cell r="G262" t="str">
            <v>Interior</v>
          </cell>
          <cell r="I262">
            <v>268.48658548572718</v>
          </cell>
          <cell r="J262">
            <v>269.81134191646015</v>
          </cell>
          <cell r="K262">
            <v>103.8144879201721</v>
          </cell>
          <cell r="L262">
            <v>551.59180675964944</v>
          </cell>
          <cell r="M262">
            <v>165.99685399628805</v>
          </cell>
          <cell r="N262">
            <v>281.78046484318929</v>
          </cell>
        </row>
        <row r="263">
          <cell r="A263" t="str">
            <v>CGI001-qtz10-CL-fit-2</v>
          </cell>
          <cell r="B263">
            <v>750</v>
          </cell>
          <cell r="C263">
            <v>8.0537892000481889E-22</v>
          </cell>
          <cell r="D263">
            <v>2000</v>
          </cell>
          <cell r="E263">
            <v>1024</v>
          </cell>
          <cell r="F263">
            <v>1.953125</v>
          </cell>
          <cell r="G263" t="str">
            <v>Interior</v>
          </cell>
          <cell r="I263">
            <v>269.36933978897156</v>
          </cell>
          <cell r="J263">
            <v>272.36911881466455</v>
          </cell>
          <cell r="K263">
            <v>142.1153678310047</v>
          </cell>
          <cell r="L263">
            <v>471.37240360705658</v>
          </cell>
          <cell r="M263">
            <v>130.25375098365984</v>
          </cell>
          <cell r="N263">
            <v>199.00328479239204</v>
          </cell>
        </row>
        <row r="264">
          <cell r="A264" t="str">
            <v>CGI009-qtz05-CL-fit-3-offset</v>
          </cell>
          <cell r="B264">
            <v>750</v>
          </cell>
          <cell r="C264">
            <v>8.0537892000481889E-22</v>
          </cell>
          <cell r="D264">
            <v>1500</v>
          </cell>
          <cell r="E264">
            <v>1024</v>
          </cell>
          <cell r="F264">
            <v>1.46484375</v>
          </cell>
          <cell r="G264" t="str">
            <v>Interior</v>
          </cell>
          <cell r="I264">
            <v>285.79690134328575</v>
          </cell>
          <cell r="J264">
            <v>273.76861426936028</v>
          </cell>
          <cell r="K264">
            <v>90.789846651209828</v>
          </cell>
          <cell r="L264">
            <v>515.7076887425286</v>
          </cell>
          <cell r="M264">
            <v>182.97876761815047</v>
          </cell>
          <cell r="N264">
            <v>241.93907447316832</v>
          </cell>
        </row>
        <row r="265">
          <cell r="A265" t="str">
            <v>CGI015-qtz08-CL-fit-4-offset</v>
          </cell>
          <cell r="B265">
            <v>750</v>
          </cell>
          <cell r="C265">
            <v>8.0537892000481889E-22</v>
          </cell>
          <cell r="D265">
            <v>1150</v>
          </cell>
          <cell r="E265">
            <v>1024</v>
          </cell>
          <cell r="F265">
            <v>1.123046875</v>
          </cell>
          <cell r="G265" t="str">
            <v>Interior</v>
          </cell>
          <cell r="I265">
            <v>271.32976588232304</v>
          </cell>
          <cell r="J265">
            <v>275.05241984422975</v>
          </cell>
          <cell r="K265">
            <v>104.03424260519661</v>
          </cell>
          <cell r="L265">
            <v>590.83663213715352</v>
          </cell>
          <cell r="M265">
            <v>171.01817723903315</v>
          </cell>
          <cell r="N265">
            <v>315.78421229292377</v>
          </cell>
        </row>
        <row r="266">
          <cell r="A266" t="str">
            <v>CGI018-qtz03-CL-fit-4-offset</v>
          </cell>
          <cell r="B266">
            <v>750</v>
          </cell>
          <cell r="C266">
            <v>8.0537892000481889E-22</v>
          </cell>
          <cell r="D266">
            <v>2100</v>
          </cell>
          <cell r="E266">
            <v>1024</v>
          </cell>
          <cell r="F266">
            <v>2.05078125</v>
          </cell>
          <cell r="G266" t="str">
            <v>Interior</v>
          </cell>
          <cell r="I266">
            <v>230.14575171727694</v>
          </cell>
          <cell r="J266">
            <v>277.06541987785084</v>
          </cell>
          <cell r="K266">
            <v>49.396019142597886</v>
          </cell>
          <cell r="L266">
            <v>1024.8959467235081</v>
          </cell>
          <cell r="M266">
            <v>227.66940073525296</v>
          </cell>
          <cell r="N266">
            <v>747.83052684565723</v>
          </cell>
        </row>
        <row r="267">
          <cell r="A267" t="str">
            <v>CGI001-qtz05-CL-fit-3-offset</v>
          </cell>
          <cell r="B267">
            <v>750</v>
          </cell>
          <cell r="C267">
            <v>8.0537892000481889E-22</v>
          </cell>
          <cell r="D267">
            <v>1800</v>
          </cell>
          <cell r="E267">
            <v>1024</v>
          </cell>
          <cell r="F267">
            <v>1.7578125</v>
          </cell>
          <cell r="G267" t="str">
            <v>Interior</v>
          </cell>
          <cell r="I267">
            <v>283.70461020987619</v>
          </cell>
          <cell r="J267">
            <v>277.43651249493928</v>
          </cell>
          <cell r="K267">
            <v>4.1963851400438035</v>
          </cell>
          <cell r="L267">
            <v>1110.1601563350016</v>
          </cell>
          <cell r="M267">
            <v>273.24012735489549</v>
          </cell>
          <cell r="N267">
            <v>832.72364384006232</v>
          </cell>
        </row>
        <row r="268">
          <cell r="A268" t="str">
            <v>CGI009-qtz09-CL-fit-3-offset</v>
          </cell>
          <cell r="B268">
            <v>750</v>
          </cell>
          <cell r="C268">
            <v>8.0537892000481889E-22</v>
          </cell>
          <cell r="D268">
            <v>2100</v>
          </cell>
          <cell r="E268">
            <v>1024</v>
          </cell>
          <cell r="F268">
            <v>2.05078125</v>
          </cell>
          <cell r="G268" t="str">
            <v>Interior</v>
          </cell>
          <cell r="I268">
            <v>288.95126928701302</v>
          </cell>
          <cell r="J268">
            <v>287.09322374879844</v>
          </cell>
          <cell r="K268">
            <v>144.88640920348337</v>
          </cell>
          <cell r="L268">
            <v>497.8800145290511</v>
          </cell>
          <cell r="M268">
            <v>142.20681454531507</v>
          </cell>
          <cell r="N268">
            <v>210.78679078025266</v>
          </cell>
        </row>
        <row r="269">
          <cell r="A269" t="str">
            <v>CGI008-qtz02-CL-fit-3-offset</v>
          </cell>
          <cell r="B269">
            <v>750</v>
          </cell>
          <cell r="C269">
            <v>8.0537892000481889E-22</v>
          </cell>
          <cell r="D269">
            <v>2400</v>
          </cell>
          <cell r="E269">
            <v>1024</v>
          </cell>
          <cell r="F269">
            <v>2.34375</v>
          </cell>
          <cell r="G269" t="str">
            <v>Interior</v>
          </cell>
          <cell r="I269">
            <v>278.26298625221892</v>
          </cell>
          <cell r="J269">
            <v>288.08736835642111</v>
          </cell>
          <cell r="K269">
            <v>101.5722248350088</v>
          </cell>
          <cell r="L269">
            <v>690.69567308967601</v>
          </cell>
          <cell r="M269">
            <v>186.51514352141231</v>
          </cell>
          <cell r="N269">
            <v>402.6083047332549</v>
          </cell>
        </row>
        <row r="270">
          <cell r="A270" t="str">
            <v>CGI001-qtz02-CL-fit-3-offset</v>
          </cell>
          <cell r="B270">
            <v>750</v>
          </cell>
          <cell r="C270">
            <v>8.0537892000481889E-22</v>
          </cell>
          <cell r="D270">
            <v>1700</v>
          </cell>
          <cell r="E270">
            <v>1024</v>
          </cell>
          <cell r="F270">
            <v>1.66015625</v>
          </cell>
          <cell r="G270" t="str">
            <v>Interior</v>
          </cell>
          <cell r="I270">
            <v>303.05255896668433</v>
          </cell>
          <cell r="J270">
            <v>288.12926427366733</v>
          </cell>
          <cell r="K270">
            <v>15.579167910669765</v>
          </cell>
          <cell r="L270">
            <v>693.18273376115474</v>
          </cell>
          <cell r="M270">
            <v>272.55009636299758</v>
          </cell>
          <cell r="N270">
            <v>405.0534694874874</v>
          </cell>
        </row>
        <row r="271">
          <cell r="A271" t="str">
            <v>CGI005-qtz04-CL-fit-4-offset</v>
          </cell>
          <cell r="B271">
            <v>750</v>
          </cell>
          <cell r="C271">
            <v>8.0537892000481889E-22</v>
          </cell>
          <cell r="D271">
            <v>1900</v>
          </cell>
          <cell r="E271">
            <v>1024</v>
          </cell>
          <cell r="F271">
            <v>1.85546875</v>
          </cell>
          <cell r="G271" t="str">
            <v>Interior</v>
          </cell>
          <cell r="I271">
            <v>278.72808959499946</v>
          </cell>
          <cell r="J271">
            <v>288.61399668584215</v>
          </cell>
          <cell r="K271">
            <v>100.5320286715946</v>
          </cell>
          <cell r="L271">
            <v>746.15139019184437</v>
          </cell>
          <cell r="M271">
            <v>188.08196801424754</v>
          </cell>
          <cell r="N271">
            <v>457.53739350600222</v>
          </cell>
        </row>
        <row r="272">
          <cell r="A272" t="str">
            <v>CGI005-qtz10-CL-fit-5-offset</v>
          </cell>
          <cell r="B272">
            <v>750</v>
          </cell>
          <cell r="C272">
            <v>8.0537892000481889E-22</v>
          </cell>
          <cell r="D272">
            <v>2100</v>
          </cell>
          <cell r="E272">
            <v>1024</v>
          </cell>
          <cell r="F272">
            <v>2.05078125</v>
          </cell>
          <cell r="G272" t="str">
            <v>Interior</v>
          </cell>
          <cell r="I272">
            <v>295.24552491796589</v>
          </cell>
          <cell r="J272">
            <v>296.23637482160836</v>
          </cell>
          <cell r="K272">
            <v>50.119903227438428</v>
          </cell>
          <cell r="L272">
            <v>870.17939151648636</v>
          </cell>
          <cell r="M272">
            <v>246.11647159416992</v>
          </cell>
          <cell r="N272">
            <v>573.943016694878</v>
          </cell>
        </row>
        <row r="273">
          <cell r="A273" t="str">
            <v>CGI009-qtz10-CL-fit-3-offset</v>
          </cell>
          <cell r="B273">
            <v>750</v>
          </cell>
          <cell r="C273">
            <v>8.0537892000481889E-22</v>
          </cell>
          <cell r="D273">
            <v>1900</v>
          </cell>
          <cell r="E273">
            <v>1024</v>
          </cell>
          <cell r="F273">
            <v>1.85546875</v>
          </cell>
          <cell r="G273" t="str">
            <v>Interior</v>
          </cell>
          <cell r="I273">
            <v>296.87702360780679</v>
          </cell>
          <cell r="J273">
            <v>296.74847780572719</v>
          </cell>
          <cell r="K273">
            <v>190.4899784811935</v>
          </cell>
          <cell r="L273">
            <v>405.33218414753594</v>
          </cell>
          <cell r="M273">
            <v>106.25849932453369</v>
          </cell>
          <cell r="N273">
            <v>108.58370634180875</v>
          </cell>
        </row>
        <row r="274">
          <cell r="A274" t="str">
            <v>CGI001-qtz03-CL-fit-2</v>
          </cell>
          <cell r="B274">
            <v>750</v>
          </cell>
          <cell r="C274">
            <v>8.0537892000481889E-22</v>
          </cell>
          <cell r="D274">
            <v>1900</v>
          </cell>
          <cell r="E274">
            <v>1024</v>
          </cell>
          <cell r="F274">
            <v>1.85546875</v>
          </cell>
          <cell r="G274" t="str">
            <v>Interior</v>
          </cell>
          <cell r="I274">
            <v>305.23624029240364</v>
          </cell>
          <cell r="J274">
            <v>303.53769558649623</v>
          </cell>
          <cell r="K274">
            <v>166.13240766409183</v>
          </cell>
          <cell r="L274">
            <v>520.79536232284522</v>
          </cell>
          <cell r="M274">
            <v>137.4052879224044</v>
          </cell>
          <cell r="N274">
            <v>217.25766673634899</v>
          </cell>
        </row>
        <row r="275">
          <cell r="A275" t="str">
            <v>CGI011-qtz08-CL-fit-5-offset</v>
          </cell>
          <cell r="B275">
            <v>750</v>
          </cell>
          <cell r="C275">
            <v>8.0537892000481889E-22</v>
          </cell>
          <cell r="D275">
            <v>1300</v>
          </cell>
          <cell r="E275">
            <v>1024</v>
          </cell>
          <cell r="F275">
            <v>1.26953125</v>
          </cell>
          <cell r="G275" t="str">
            <v>Interior</v>
          </cell>
          <cell r="I275">
            <v>295.19797578598462</v>
          </cell>
          <cell r="J275">
            <v>304.89271245156323</v>
          </cell>
          <cell r="K275">
            <v>164.23237688523847</v>
          </cell>
          <cell r="L275">
            <v>525.02473513897417</v>
          </cell>
          <cell r="M275">
            <v>140.66033556632476</v>
          </cell>
          <cell r="N275">
            <v>220.13202268741094</v>
          </cell>
        </row>
        <row r="276">
          <cell r="A276" t="str">
            <v>CGI011-qtz12-CL-fit-4-offset</v>
          </cell>
          <cell r="B276">
            <v>750</v>
          </cell>
          <cell r="C276">
            <v>8.0537892000481889E-22</v>
          </cell>
          <cell r="D276">
            <v>1550</v>
          </cell>
          <cell r="E276">
            <v>1024</v>
          </cell>
          <cell r="F276">
            <v>1.513671875</v>
          </cell>
          <cell r="G276" t="str">
            <v>Interior</v>
          </cell>
          <cell r="I276">
            <v>296.43183134491022</v>
          </cell>
          <cell r="J276">
            <v>307.11788031197125</v>
          </cell>
          <cell r="K276">
            <v>163.80766267693252</v>
          </cell>
          <cell r="L276">
            <v>528.10707398394209</v>
          </cell>
          <cell r="M276">
            <v>143.31021763503873</v>
          </cell>
          <cell r="N276">
            <v>220.98919367197084</v>
          </cell>
        </row>
        <row r="277">
          <cell r="A277" t="str">
            <v>CGI015-qtz05-CL-fit-2-offset</v>
          </cell>
          <cell r="B277">
            <v>750</v>
          </cell>
          <cell r="C277">
            <v>8.0537892000481889E-22</v>
          </cell>
          <cell r="D277">
            <v>1900</v>
          </cell>
          <cell r="E277">
            <v>1024</v>
          </cell>
          <cell r="F277">
            <v>1.85546875</v>
          </cell>
          <cell r="G277" t="str">
            <v>Interior</v>
          </cell>
          <cell r="I277">
            <v>308.27099590730427</v>
          </cell>
          <cell r="J277">
            <v>307.81823344675752</v>
          </cell>
          <cell r="K277">
            <v>188.34618149363291</v>
          </cell>
          <cell r="L277">
            <v>482.77566657848882</v>
          </cell>
          <cell r="M277">
            <v>119.47205195312461</v>
          </cell>
          <cell r="N277">
            <v>174.95743313173131</v>
          </cell>
        </row>
        <row r="278">
          <cell r="A278" t="str">
            <v>CGI009-qtz04-CL-fit-2-offset</v>
          </cell>
          <cell r="B278">
            <v>750</v>
          </cell>
          <cell r="C278">
            <v>8.0537892000481889E-22</v>
          </cell>
          <cell r="D278">
            <v>1400</v>
          </cell>
          <cell r="E278">
            <v>1024</v>
          </cell>
          <cell r="F278">
            <v>1.3671875</v>
          </cell>
          <cell r="G278" t="str">
            <v>Interior</v>
          </cell>
          <cell r="I278">
            <v>311.55662286661084</v>
          </cell>
          <cell r="J278">
            <v>308.49371831873549</v>
          </cell>
          <cell r="K278">
            <v>62.711498699881311</v>
          </cell>
          <cell r="L278">
            <v>830.02678400587956</v>
          </cell>
          <cell r="M278">
            <v>245.78221961885419</v>
          </cell>
          <cell r="N278">
            <v>521.53306568714402</v>
          </cell>
        </row>
        <row r="279">
          <cell r="A279" t="str">
            <v>CGI018-qtz05-CL-fit-4-offset</v>
          </cell>
          <cell r="B279">
            <v>750</v>
          </cell>
          <cell r="C279">
            <v>8.0537892000481889E-22</v>
          </cell>
          <cell r="D279">
            <v>1600</v>
          </cell>
          <cell r="E279">
            <v>1024</v>
          </cell>
          <cell r="F279">
            <v>1.5625</v>
          </cell>
          <cell r="G279" t="str">
            <v>Interior</v>
          </cell>
          <cell r="I279">
            <v>313.36945612780966</v>
          </cell>
          <cell r="J279">
            <v>313.30408572888734</v>
          </cell>
          <cell r="K279">
            <v>167.08090288826952</v>
          </cell>
          <cell r="L279">
            <v>510.47236796563476</v>
          </cell>
          <cell r="M279">
            <v>146.22318284061782</v>
          </cell>
          <cell r="N279">
            <v>197.16828223674742</v>
          </cell>
        </row>
        <row r="280">
          <cell r="A280" t="str">
            <v>CGI008-qtz06-CL-fit-4-offset</v>
          </cell>
          <cell r="B280">
            <v>750</v>
          </cell>
          <cell r="C280">
            <v>8.0537892000481889E-22</v>
          </cell>
          <cell r="D280">
            <v>1900</v>
          </cell>
          <cell r="E280">
            <v>1024</v>
          </cell>
          <cell r="F280">
            <v>1.85546875</v>
          </cell>
          <cell r="G280" t="str">
            <v>Interior</v>
          </cell>
          <cell r="I280">
            <v>316.5851152675047</v>
          </cell>
          <cell r="J280">
            <v>318.70920401717927</v>
          </cell>
          <cell r="K280">
            <v>0.22064963277259694</v>
          </cell>
          <cell r="L280">
            <v>1962.7989026040673</v>
          </cell>
          <cell r="M280">
            <v>318.48855438440665</v>
          </cell>
          <cell r="N280">
            <v>1644.0896985868881</v>
          </cell>
        </row>
        <row r="281">
          <cell r="A281" t="str">
            <v>CGI015-qtz09-CL-fit-4-offset</v>
          </cell>
          <cell r="B281">
            <v>750</v>
          </cell>
          <cell r="C281">
            <v>8.0537892000481889E-22</v>
          </cell>
          <cell r="D281">
            <v>2150</v>
          </cell>
          <cell r="E281">
            <v>1024</v>
          </cell>
          <cell r="F281">
            <v>2.099609375</v>
          </cell>
          <cell r="G281" t="str">
            <v>Interior</v>
          </cell>
          <cell r="I281">
            <v>327.88239545794204</v>
          </cell>
          <cell r="J281">
            <v>319.86960615207977</v>
          </cell>
          <cell r="K281">
            <v>97.412006427276438</v>
          </cell>
          <cell r="L281">
            <v>621.6484906669931</v>
          </cell>
          <cell r="M281">
            <v>222.45759972480334</v>
          </cell>
          <cell r="N281">
            <v>301.77888451491333</v>
          </cell>
        </row>
        <row r="282">
          <cell r="A282" t="str">
            <v>CGI011-qtz06-CL-fit-3-offset</v>
          </cell>
          <cell r="B282">
            <v>750</v>
          </cell>
          <cell r="C282">
            <v>8.0537892000481889E-22</v>
          </cell>
          <cell r="D282">
            <v>1650</v>
          </cell>
          <cell r="E282">
            <v>1024</v>
          </cell>
          <cell r="F282">
            <v>1.611328125</v>
          </cell>
          <cell r="G282" t="str">
            <v>Interior</v>
          </cell>
          <cell r="I282">
            <v>320.57035100669918</v>
          </cell>
          <cell r="J282">
            <v>321.33938094051837</v>
          </cell>
          <cell r="K282">
            <v>155.86851310913485</v>
          </cell>
          <cell r="L282">
            <v>530.23145777884031</v>
          </cell>
          <cell r="M282">
            <v>165.47086783138352</v>
          </cell>
          <cell r="N282">
            <v>208.89207683832194</v>
          </cell>
        </row>
        <row r="283">
          <cell r="A283" t="str">
            <v>CGI018-qtz03-CL-fit-3-offset</v>
          </cell>
          <cell r="B283">
            <v>750</v>
          </cell>
          <cell r="C283">
            <v>8.0537892000481889E-22</v>
          </cell>
          <cell r="D283">
            <v>2100</v>
          </cell>
          <cell r="E283">
            <v>1024</v>
          </cell>
          <cell r="F283">
            <v>2.05078125</v>
          </cell>
          <cell r="G283" t="str">
            <v>Interior</v>
          </cell>
          <cell r="I283">
            <v>326.24297807749304</v>
          </cell>
          <cell r="J283">
            <v>331.11546757391943</v>
          </cell>
          <cell r="K283">
            <v>159.06351388810614</v>
          </cell>
          <cell r="L283">
            <v>629.37027731028934</v>
          </cell>
          <cell r="M283">
            <v>172.05195368581329</v>
          </cell>
          <cell r="N283">
            <v>298.25480973636991</v>
          </cell>
        </row>
        <row r="284">
          <cell r="A284" t="str">
            <v>CGI015-qtz07-CL-fit-5-offset</v>
          </cell>
          <cell r="B284">
            <v>750</v>
          </cell>
          <cell r="C284">
            <v>8.0537892000481889E-22</v>
          </cell>
          <cell r="D284">
            <v>2250</v>
          </cell>
          <cell r="E284">
            <v>1024</v>
          </cell>
          <cell r="F284">
            <v>2.197265625</v>
          </cell>
          <cell r="G284" t="str">
            <v>Interior</v>
          </cell>
          <cell r="I284">
            <v>326.93946955579332</v>
          </cell>
          <cell r="J284">
            <v>332.36593484325641</v>
          </cell>
          <cell r="K284">
            <v>28.928824644146989</v>
          </cell>
          <cell r="L284">
            <v>1074.5167585387121</v>
          </cell>
          <cell r="M284">
            <v>303.43711019910944</v>
          </cell>
          <cell r="N284">
            <v>742.15082369545576</v>
          </cell>
        </row>
        <row r="285">
          <cell r="A285" t="str">
            <v>CGI015-qtz01-CL-fit-2-offset</v>
          </cell>
          <cell r="B285">
            <v>750</v>
          </cell>
          <cell r="C285">
            <v>8.0537892000481889E-22</v>
          </cell>
          <cell r="D285">
            <v>1800</v>
          </cell>
          <cell r="E285">
            <v>1024</v>
          </cell>
          <cell r="F285">
            <v>1.7578125</v>
          </cell>
          <cell r="G285" t="str">
            <v>Interior</v>
          </cell>
          <cell r="I285">
            <v>334.56276929647993</v>
          </cell>
          <cell r="J285">
            <v>333.51308849275915</v>
          </cell>
          <cell r="K285">
            <v>100.73410901261052</v>
          </cell>
          <cell r="L285">
            <v>669.57564032980611</v>
          </cell>
          <cell r="M285">
            <v>232.77897948014862</v>
          </cell>
          <cell r="N285">
            <v>336.06255183704695</v>
          </cell>
        </row>
        <row r="286">
          <cell r="A286" t="str">
            <v>CGI015-qtz08-CL-fit-5-offset</v>
          </cell>
          <cell r="B286">
            <v>750</v>
          </cell>
          <cell r="C286">
            <v>8.0537892000481889E-22</v>
          </cell>
          <cell r="D286">
            <v>1150</v>
          </cell>
          <cell r="E286">
            <v>1024</v>
          </cell>
          <cell r="F286">
            <v>1.123046875</v>
          </cell>
          <cell r="G286" t="str">
            <v>Interior</v>
          </cell>
          <cell r="I286">
            <v>324.07791453708933</v>
          </cell>
          <cell r="J286">
            <v>334.61627350601924</v>
          </cell>
          <cell r="K286">
            <v>121.7282880467201</v>
          </cell>
          <cell r="L286">
            <v>741.5822125257846</v>
          </cell>
          <cell r="M286">
            <v>212.88798545929916</v>
          </cell>
          <cell r="N286">
            <v>406.96593901976536</v>
          </cell>
        </row>
        <row r="287">
          <cell r="A287" t="str">
            <v>CGI001-qtz08-CL-fit-3</v>
          </cell>
          <cell r="B287">
            <v>750</v>
          </cell>
          <cell r="C287">
            <v>8.0537892000481889E-22</v>
          </cell>
          <cell r="D287">
            <v>1500</v>
          </cell>
          <cell r="E287">
            <v>1024</v>
          </cell>
          <cell r="F287">
            <v>1.46484375</v>
          </cell>
          <cell r="G287" t="str">
            <v>Interior</v>
          </cell>
          <cell r="I287">
            <v>248.74832102104185</v>
          </cell>
          <cell r="J287">
            <v>337.41473065082596</v>
          </cell>
          <cell r="K287">
            <v>0.17799863370432034</v>
          </cell>
          <cell r="L287">
            <v>3789.30741255871</v>
          </cell>
          <cell r="M287">
            <v>337.23673201712165</v>
          </cell>
          <cell r="N287">
            <v>3451.8926819078843</v>
          </cell>
        </row>
        <row r="288">
          <cell r="A288" t="str">
            <v>CGI009-qtz08-CL-fit-4-offset</v>
          </cell>
          <cell r="B288">
            <v>750</v>
          </cell>
          <cell r="C288">
            <v>8.0537892000481889E-22</v>
          </cell>
          <cell r="D288">
            <v>2300</v>
          </cell>
          <cell r="E288">
            <v>1024</v>
          </cell>
          <cell r="F288">
            <v>2.24609375</v>
          </cell>
          <cell r="G288" t="str">
            <v>Interior</v>
          </cell>
          <cell r="I288">
            <v>109.60751297932258</v>
          </cell>
          <cell r="J288">
            <v>340.36618116297751</v>
          </cell>
          <cell r="K288">
            <v>3.9901689085957487E-3</v>
          </cell>
          <cell r="L288">
            <v>4662.6568902520603</v>
          </cell>
          <cell r="M288">
            <v>340.3621909940689</v>
          </cell>
          <cell r="N288">
            <v>4322.2907090890831</v>
          </cell>
        </row>
        <row r="289">
          <cell r="A289" t="str">
            <v>CGI009-qtz05-CL-fit-2-offset</v>
          </cell>
          <cell r="B289">
            <v>750</v>
          </cell>
          <cell r="C289">
            <v>8.0537892000481889E-22</v>
          </cell>
          <cell r="D289">
            <v>1500</v>
          </cell>
          <cell r="E289">
            <v>1024</v>
          </cell>
          <cell r="F289">
            <v>1.46484375</v>
          </cell>
          <cell r="G289" t="str">
            <v>Interior</v>
          </cell>
          <cell r="I289">
            <v>345.63287074180124</v>
          </cell>
          <cell r="J289">
            <v>352.26784880842922</v>
          </cell>
          <cell r="K289">
            <v>182.61562838005304</v>
          </cell>
          <cell r="L289">
            <v>674.28216124674395</v>
          </cell>
          <cell r="M289">
            <v>169.65222042837618</v>
          </cell>
          <cell r="N289">
            <v>322.01431243831473</v>
          </cell>
        </row>
        <row r="290">
          <cell r="A290" t="str">
            <v>CGI015-qtz06-CL-fit-4-offset</v>
          </cell>
          <cell r="B290">
            <v>750</v>
          </cell>
          <cell r="C290">
            <v>8.0537892000481889E-22</v>
          </cell>
          <cell r="D290">
            <v>1700</v>
          </cell>
          <cell r="E290">
            <v>1024</v>
          </cell>
          <cell r="F290">
            <v>1.66015625</v>
          </cell>
          <cell r="G290" t="str">
            <v>Interior</v>
          </cell>
          <cell r="I290">
            <v>347.70182135955633</v>
          </cell>
          <cell r="J290">
            <v>353.18210382911855</v>
          </cell>
          <cell r="K290">
            <v>193.29431757031722</v>
          </cell>
          <cell r="L290">
            <v>583.8052636200681</v>
          </cell>
          <cell r="M290">
            <v>159.88778625880133</v>
          </cell>
          <cell r="N290">
            <v>230.62315979094956</v>
          </cell>
        </row>
        <row r="291">
          <cell r="A291" t="str">
            <v>CGI001-qtz07-CL-fit-2-offset</v>
          </cell>
          <cell r="B291">
            <v>750</v>
          </cell>
          <cell r="C291">
            <v>8.0537892000481889E-22</v>
          </cell>
          <cell r="D291">
            <v>1850</v>
          </cell>
          <cell r="E291">
            <v>1024</v>
          </cell>
          <cell r="F291">
            <v>1.806640625</v>
          </cell>
          <cell r="G291" t="str">
            <v>Interior</v>
          </cell>
          <cell r="I291">
            <v>357.41731796399642</v>
          </cell>
          <cell r="J291">
            <v>357.40710781454294</v>
          </cell>
          <cell r="K291">
            <v>160.9800875517376</v>
          </cell>
          <cell r="L291">
            <v>612.97901339295606</v>
          </cell>
          <cell r="M291">
            <v>196.42702026280534</v>
          </cell>
          <cell r="N291">
            <v>255.57190557841312</v>
          </cell>
        </row>
        <row r="292">
          <cell r="A292" t="str">
            <v>CGI018-qtz12-CL-fit-5-offset</v>
          </cell>
          <cell r="B292">
            <v>750</v>
          </cell>
          <cell r="C292">
            <v>8.0537892000481889E-22</v>
          </cell>
          <cell r="D292">
            <v>1800</v>
          </cell>
          <cell r="E292">
            <v>1024</v>
          </cell>
          <cell r="F292">
            <v>1.7578125</v>
          </cell>
          <cell r="G292" t="str">
            <v>Interior</v>
          </cell>
          <cell r="I292">
            <v>362.40601633649811</v>
          </cell>
          <cell r="J292">
            <v>372.32106642885441</v>
          </cell>
          <cell r="K292">
            <v>186.90770353159411</v>
          </cell>
          <cell r="L292">
            <v>627.24375878590217</v>
          </cell>
          <cell r="M292">
            <v>185.4133628972603</v>
          </cell>
          <cell r="N292">
            <v>254.92269235704777</v>
          </cell>
        </row>
        <row r="293">
          <cell r="A293" t="str">
            <v>CGI009-qtz11-CL-fit-3-offset</v>
          </cell>
          <cell r="B293">
            <v>750</v>
          </cell>
          <cell r="C293">
            <v>8.0537892000481889E-22</v>
          </cell>
          <cell r="D293">
            <v>1700</v>
          </cell>
          <cell r="E293">
            <v>1024</v>
          </cell>
          <cell r="F293">
            <v>1.66015625</v>
          </cell>
          <cell r="G293" t="str">
            <v>Interior</v>
          </cell>
          <cell r="I293">
            <v>372.45602734316037</v>
          </cell>
          <cell r="J293">
            <v>375.01232561874849</v>
          </cell>
          <cell r="K293">
            <v>205.93658599855911</v>
          </cell>
          <cell r="L293">
            <v>566.19218065169309</v>
          </cell>
          <cell r="M293">
            <v>169.07573962018938</v>
          </cell>
          <cell r="N293">
            <v>191.1798550329446</v>
          </cell>
        </row>
        <row r="294">
          <cell r="A294" t="str">
            <v>CGI009-qtz02-CL-fit-2-offset</v>
          </cell>
          <cell r="B294">
            <v>750</v>
          </cell>
          <cell r="C294">
            <v>8.0537892000481889E-22</v>
          </cell>
          <cell r="D294">
            <v>1750</v>
          </cell>
          <cell r="E294">
            <v>1024</v>
          </cell>
          <cell r="F294">
            <v>1.708984375</v>
          </cell>
          <cell r="G294" t="str">
            <v>Interior</v>
          </cell>
          <cell r="I294">
            <v>354.8986467851168</v>
          </cell>
          <cell r="J294">
            <v>379.6193964085378</v>
          </cell>
          <cell r="K294">
            <v>113.39731898543617</v>
          </cell>
          <cell r="L294">
            <v>1117.983456039429</v>
          </cell>
          <cell r="M294">
            <v>266.22207742310161</v>
          </cell>
          <cell r="N294">
            <v>738.36405963089123</v>
          </cell>
        </row>
        <row r="295">
          <cell r="A295" t="str">
            <v>CGI018-qtz02-CL-fit-3-offset</v>
          </cell>
          <cell r="B295">
            <v>750</v>
          </cell>
          <cell r="C295">
            <v>8.0537892000481889E-22</v>
          </cell>
          <cell r="D295">
            <v>1750</v>
          </cell>
          <cell r="E295">
            <v>1024</v>
          </cell>
          <cell r="F295">
            <v>1.708984375</v>
          </cell>
          <cell r="G295" t="str">
            <v>Interior</v>
          </cell>
          <cell r="I295">
            <v>397.50404093419309</v>
          </cell>
          <cell r="J295">
            <v>387.95258458534505</v>
          </cell>
          <cell r="K295">
            <v>196.56900921250315</v>
          </cell>
          <cell r="L295">
            <v>642.89136978006343</v>
          </cell>
          <cell r="M295">
            <v>191.3835753728419</v>
          </cell>
          <cell r="N295">
            <v>254.93878519471838</v>
          </cell>
        </row>
        <row r="296">
          <cell r="A296" t="str">
            <v>CGI014-qtz11-CL-fit-3-offset</v>
          </cell>
          <cell r="B296">
            <v>750</v>
          </cell>
          <cell r="C296">
            <v>8.0537892000481889E-22</v>
          </cell>
          <cell r="D296">
            <v>1500</v>
          </cell>
          <cell r="E296">
            <v>1024</v>
          </cell>
          <cell r="F296">
            <v>1.46484375</v>
          </cell>
          <cell r="G296" t="str">
            <v>Interior</v>
          </cell>
          <cell r="I296">
            <v>394.2613572813612</v>
          </cell>
          <cell r="J296">
            <v>389.70130338710345</v>
          </cell>
          <cell r="K296">
            <v>222.87356253846764</v>
          </cell>
          <cell r="L296">
            <v>624.3473350936797</v>
          </cell>
          <cell r="M296">
            <v>166.82774084863581</v>
          </cell>
          <cell r="N296">
            <v>234.64603170657625</v>
          </cell>
        </row>
        <row r="297">
          <cell r="A297" t="str">
            <v>CGI009-qtz06-CL-fit-2-offset</v>
          </cell>
          <cell r="B297">
            <v>750</v>
          </cell>
          <cell r="C297">
            <v>8.0537892000481889E-22</v>
          </cell>
          <cell r="D297">
            <v>2000</v>
          </cell>
          <cell r="E297">
            <v>1024</v>
          </cell>
          <cell r="F297">
            <v>1.953125</v>
          </cell>
          <cell r="G297" t="str">
            <v>Interior</v>
          </cell>
          <cell r="I297">
            <v>414.6569097052037</v>
          </cell>
          <cell r="J297">
            <v>395.63734721645574</v>
          </cell>
          <cell r="K297">
            <v>54.323707093530217</v>
          </cell>
          <cell r="L297">
            <v>1107.1018210261009</v>
          </cell>
          <cell r="M297">
            <v>341.31364012292551</v>
          </cell>
          <cell r="N297">
            <v>711.46447380964514</v>
          </cell>
        </row>
        <row r="298">
          <cell r="A298" t="str">
            <v>CGI015-qtz03-CL-fit-4-offset</v>
          </cell>
          <cell r="B298">
            <v>750</v>
          </cell>
          <cell r="C298">
            <v>8.0537892000481889E-22</v>
          </cell>
          <cell r="D298">
            <v>1750</v>
          </cell>
          <cell r="E298">
            <v>1024</v>
          </cell>
          <cell r="F298">
            <v>1.708984375</v>
          </cell>
          <cell r="G298" t="str">
            <v>Interior</v>
          </cell>
          <cell r="I298">
            <v>374.08695031885293</v>
          </cell>
          <cell r="J298">
            <v>396.65206665463342</v>
          </cell>
          <cell r="K298">
            <v>189.21626478176</v>
          </cell>
          <cell r="L298">
            <v>802.28204678177735</v>
          </cell>
          <cell r="M298">
            <v>207.43580187287341</v>
          </cell>
          <cell r="N298">
            <v>405.62998012714394</v>
          </cell>
        </row>
        <row r="299">
          <cell r="A299" t="str">
            <v>CGI009-qtz05-CL-fit-1-offset</v>
          </cell>
          <cell r="B299">
            <v>750</v>
          </cell>
          <cell r="C299">
            <v>8.0537892000481889E-22</v>
          </cell>
          <cell r="D299">
            <v>1500</v>
          </cell>
          <cell r="E299">
            <v>1024</v>
          </cell>
          <cell r="F299">
            <v>1.46484375</v>
          </cell>
          <cell r="G299" t="str">
            <v>Interior</v>
          </cell>
          <cell r="I299">
            <v>392.72824991252543</v>
          </cell>
          <cell r="J299">
            <v>400.43054585781982</v>
          </cell>
          <cell r="K299">
            <v>182.000389021209</v>
          </cell>
          <cell r="L299">
            <v>811.55523825889384</v>
          </cell>
          <cell r="M299">
            <v>218.43015683661082</v>
          </cell>
          <cell r="N299">
            <v>411.12469240107401</v>
          </cell>
        </row>
        <row r="300">
          <cell r="A300" t="str">
            <v>CGI008-qtz09-CL-fit-2-offset</v>
          </cell>
          <cell r="B300">
            <v>750</v>
          </cell>
          <cell r="C300">
            <v>8.0537892000481889E-22</v>
          </cell>
          <cell r="D300">
            <v>2000</v>
          </cell>
          <cell r="E300">
            <v>1024</v>
          </cell>
          <cell r="F300">
            <v>1.953125</v>
          </cell>
          <cell r="G300" t="str">
            <v>Interior</v>
          </cell>
          <cell r="I300">
            <v>412.29120748104521</v>
          </cell>
          <cell r="J300">
            <v>416.68941848231407</v>
          </cell>
          <cell r="K300">
            <v>4.9779617166522607</v>
          </cell>
          <cell r="L300">
            <v>260.79785838281066</v>
          </cell>
          <cell r="M300">
            <v>411.71145676566181</v>
          </cell>
          <cell r="N300">
            <v>-155.89156009950341</v>
          </cell>
        </row>
        <row r="301">
          <cell r="A301" t="str">
            <v>CGI008-qtz09-CL-fit-1-offset</v>
          </cell>
          <cell r="B301">
            <v>750</v>
          </cell>
          <cell r="C301">
            <v>8.0537892000481889E-22</v>
          </cell>
          <cell r="D301">
            <v>2000</v>
          </cell>
          <cell r="E301">
            <v>1024</v>
          </cell>
          <cell r="F301">
            <v>1.953125</v>
          </cell>
          <cell r="G301" t="str">
            <v>Interior</v>
          </cell>
          <cell r="I301">
            <v>412.54399022412554</v>
          </cell>
          <cell r="J301">
            <v>418.37180174196806</v>
          </cell>
          <cell r="K301">
            <v>166.71705654515657</v>
          </cell>
          <cell r="L301">
            <v>559.48594533680784</v>
          </cell>
          <cell r="M301">
            <v>251.65474519681149</v>
          </cell>
          <cell r="N301">
            <v>141.11414359483979</v>
          </cell>
        </row>
        <row r="302">
          <cell r="A302" t="str">
            <v>CGI005-qtz09-CL-fit-4-offset</v>
          </cell>
          <cell r="B302">
            <v>750</v>
          </cell>
          <cell r="C302">
            <v>8.0537892000481889E-22</v>
          </cell>
          <cell r="D302">
            <v>2400</v>
          </cell>
          <cell r="E302">
            <v>1024</v>
          </cell>
          <cell r="F302">
            <v>2.34375</v>
          </cell>
          <cell r="G302" t="str">
            <v>Interior</v>
          </cell>
          <cell r="I302">
            <v>448.33907266379396</v>
          </cell>
          <cell r="J302">
            <v>429.61424810393623</v>
          </cell>
          <cell r="K302">
            <v>128.42275195791126</v>
          </cell>
          <cell r="L302">
            <v>836.94768650315928</v>
          </cell>
          <cell r="M302">
            <v>301.19149614602497</v>
          </cell>
          <cell r="N302">
            <v>407.33343839922304</v>
          </cell>
        </row>
        <row r="303">
          <cell r="A303" t="str">
            <v>CGI011-qtz11-CL-fit-3-offset</v>
          </cell>
          <cell r="B303">
            <v>750</v>
          </cell>
          <cell r="C303">
            <v>8.0537892000481889E-22</v>
          </cell>
          <cell r="D303">
            <v>1600</v>
          </cell>
          <cell r="E303">
            <v>1024</v>
          </cell>
          <cell r="F303">
            <v>1.5625</v>
          </cell>
          <cell r="G303" t="str">
            <v>Interior</v>
          </cell>
          <cell r="I303">
            <v>438.53277679983313</v>
          </cell>
          <cell r="J303">
            <v>434.28217021080451</v>
          </cell>
          <cell r="K303">
            <v>231.52415121845661</v>
          </cell>
          <cell r="L303">
            <v>708.007571278976</v>
          </cell>
          <cell r="M303">
            <v>202.7580189923479</v>
          </cell>
          <cell r="N303">
            <v>273.72540106817149</v>
          </cell>
        </row>
        <row r="304">
          <cell r="A304" t="str">
            <v>CGI011-qtz09-CL-fit-2-offset</v>
          </cell>
          <cell r="B304">
            <v>750</v>
          </cell>
          <cell r="C304">
            <v>8.0537892000481889E-22</v>
          </cell>
          <cell r="D304">
            <v>1100</v>
          </cell>
          <cell r="E304">
            <v>1024</v>
          </cell>
          <cell r="F304">
            <v>1.07421875</v>
          </cell>
          <cell r="G304" t="str">
            <v>Interior</v>
          </cell>
          <cell r="I304">
            <v>391.76101504614871</v>
          </cell>
          <cell r="J304">
            <v>438.92693766106675</v>
          </cell>
          <cell r="K304">
            <v>150.75944311580622</v>
          </cell>
          <cell r="L304">
            <v>1197.4405703366385</v>
          </cell>
          <cell r="M304">
            <v>288.16749454526052</v>
          </cell>
          <cell r="N304">
            <v>758.51363267557178</v>
          </cell>
        </row>
        <row r="305">
          <cell r="A305" t="str">
            <v>CGI014-qtz12-CL-fit-3-offset</v>
          </cell>
          <cell r="B305">
            <v>750</v>
          </cell>
          <cell r="C305">
            <v>8.0537892000481889E-22</v>
          </cell>
          <cell r="D305">
            <v>1650</v>
          </cell>
          <cell r="E305">
            <v>1024</v>
          </cell>
          <cell r="F305">
            <v>1.611328125</v>
          </cell>
          <cell r="G305" t="str">
            <v>Interior</v>
          </cell>
          <cell r="I305">
            <v>435.05967477280984</v>
          </cell>
          <cell r="J305">
            <v>440.18167093208223</v>
          </cell>
          <cell r="K305">
            <v>204.09556551166236</v>
          </cell>
          <cell r="L305">
            <v>804.116141671891</v>
          </cell>
          <cell r="M305">
            <v>236.08610542041987</v>
          </cell>
          <cell r="N305">
            <v>363.93447073980877</v>
          </cell>
        </row>
        <row r="306">
          <cell r="A306" t="str">
            <v>CGI009-qtz03-CL-fit-5-offset</v>
          </cell>
          <cell r="B306">
            <v>750</v>
          </cell>
          <cell r="C306">
            <v>8.0537892000481889E-22</v>
          </cell>
          <cell r="D306">
            <v>1750</v>
          </cell>
          <cell r="E306">
            <v>1024</v>
          </cell>
          <cell r="F306">
            <v>1.708984375</v>
          </cell>
          <cell r="G306" t="str">
            <v>Interior</v>
          </cell>
          <cell r="I306">
            <v>446.1154468578348</v>
          </cell>
          <cell r="J306">
            <v>447.10943094988141</v>
          </cell>
          <cell r="K306">
            <v>92.635538648531806</v>
          </cell>
          <cell r="L306">
            <v>925.46000412552303</v>
          </cell>
          <cell r="M306">
            <v>354.47389230134962</v>
          </cell>
          <cell r="N306">
            <v>478.35057317564161</v>
          </cell>
        </row>
        <row r="307">
          <cell r="A307" t="str">
            <v>CGI015-qtz12-CL-fit-3-offset</v>
          </cell>
          <cell r="B307">
            <v>750</v>
          </cell>
          <cell r="C307">
            <v>8.0537892000481889E-22</v>
          </cell>
          <cell r="D307">
            <v>2300</v>
          </cell>
          <cell r="E307">
            <v>1024</v>
          </cell>
          <cell r="F307">
            <v>2.24609375</v>
          </cell>
          <cell r="G307" t="str">
            <v>Interior</v>
          </cell>
          <cell r="I307">
            <v>459.75006021755081</v>
          </cell>
          <cell r="J307">
            <v>447.38701102126066</v>
          </cell>
          <cell r="K307">
            <v>115.19686987503088</v>
          </cell>
          <cell r="L307">
            <v>1020.7103049030893</v>
          </cell>
          <cell r="M307">
            <v>332.19014114622979</v>
          </cell>
          <cell r="N307">
            <v>573.3232938818287</v>
          </cell>
        </row>
        <row r="308">
          <cell r="A308" t="str">
            <v>CGI011-qtz08-CL-fit-3-offset</v>
          </cell>
          <cell r="B308">
            <v>750</v>
          </cell>
          <cell r="C308">
            <v>8.0537892000481889E-22</v>
          </cell>
          <cell r="D308">
            <v>1300</v>
          </cell>
          <cell r="E308">
            <v>1024</v>
          </cell>
          <cell r="F308">
            <v>1.26953125</v>
          </cell>
          <cell r="G308" t="str">
            <v>Interior</v>
          </cell>
          <cell r="I308">
            <v>461.78565403136486</v>
          </cell>
          <cell r="J308">
            <v>450.87228693435645</v>
          </cell>
          <cell r="K308">
            <v>270.53665671263531</v>
          </cell>
          <cell r="L308">
            <v>678.84118452362554</v>
          </cell>
          <cell r="M308">
            <v>180.33563022172115</v>
          </cell>
          <cell r="N308">
            <v>227.96889758926909</v>
          </cell>
        </row>
        <row r="309">
          <cell r="A309" t="str">
            <v>CGI015-qtz06-CL-fit-3-offset</v>
          </cell>
          <cell r="B309">
            <v>750</v>
          </cell>
          <cell r="C309">
            <v>8.0537892000481889E-22</v>
          </cell>
          <cell r="D309">
            <v>1700</v>
          </cell>
          <cell r="E309">
            <v>1024</v>
          </cell>
          <cell r="F309">
            <v>1.66015625</v>
          </cell>
          <cell r="G309" t="str">
            <v>Interior</v>
          </cell>
          <cell r="I309">
            <v>371.05054197169244</v>
          </cell>
          <cell r="J309">
            <v>453.99495757093547</v>
          </cell>
          <cell r="K309">
            <v>2.7760662263655038</v>
          </cell>
          <cell r="L309">
            <v>3036.0476178213376</v>
          </cell>
          <cell r="M309">
            <v>451.21889134456995</v>
          </cell>
          <cell r="N309">
            <v>2582.0526602504019</v>
          </cell>
        </row>
        <row r="310">
          <cell r="A310" t="str">
            <v>CGI015-qtz06-CL-fit-2-offset</v>
          </cell>
          <cell r="B310">
            <v>750</v>
          </cell>
          <cell r="C310">
            <v>8.0537892000481889E-22</v>
          </cell>
          <cell r="D310">
            <v>1700</v>
          </cell>
          <cell r="E310">
            <v>1024</v>
          </cell>
          <cell r="F310">
            <v>1.66015625</v>
          </cell>
          <cell r="G310" t="str">
            <v>Interior</v>
          </cell>
          <cell r="I310">
            <v>464.45650793461186</v>
          </cell>
          <cell r="J310">
            <v>459.95307194703719</v>
          </cell>
          <cell r="K310">
            <v>227.72919728287991</v>
          </cell>
          <cell r="L310">
            <v>719.06163355166348</v>
          </cell>
          <cell r="M310">
            <v>232.22387466415728</v>
          </cell>
          <cell r="N310">
            <v>259.10856160462629</v>
          </cell>
        </row>
        <row r="311">
          <cell r="A311" t="str">
            <v>CGI014-qtz05-CL-fit-3-offset</v>
          </cell>
          <cell r="B311">
            <v>750</v>
          </cell>
          <cell r="C311">
            <v>8.0537892000481889E-22</v>
          </cell>
          <cell r="D311">
            <v>1900</v>
          </cell>
          <cell r="E311">
            <v>1024</v>
          </cell>
          <cell r="F311">
            <v>1.85546875</v>
          </cell>
          <cell r="G311" t="str">
            <v>Interior</v>
          </cell>
          <cell r="I311">
            <v>463.33627682385401</v>
          </cell>
          <cell r="J311">
            <v>465.30572657226276</v>
          </cell>
          <cell r="K311">
            <v>231.49563800268396</v>
          </cell>
          <cell r="L311">
            <v>841.38797940190852</v>
          </cell>
          <cell r="M311">
            <v>233.8100885695788</v>
          </cell>
          <cell r="N311">
            <v>376.08225282964577</v>
          </cell>
        </row>
        <row r="312">
          <cell r="A312" t="str">
            <v>CGI014-qtz04-CL-fit-2-offset</v>
          </cell>
          <cell r="B312">
            <v>750</v>
          </cell>
          <cell r="C312">
            <v>8.0537892000481889E-22</v>
          </cell>
          <cell r="D312">
            <v>1600</v>
          </cell>
          <cell r="E312">
            <v>1024</v>
          </cell>
          <cell r="F312">
            <v>1.5625</v>
          </cell>
          <cell r="G312" t="str">
            <v>Interior</v>
          </cell>
          <cell r="I312">
            <v>174.87652592040533</v>
          </cell>
          <cell r="J312">
            <v>469.88269825184852</v>
          </cell>
          <cell r="K312">
            <v>0.2276029405973124</v>
          </cell>
          <cell r="L312">
            <v>35858.035990342345</v>
          </cell>
          <cell r="M312">
            <v>469.65509531125122</v>
          </cell>
          <cell r="N312">
            <v>35388.153292090494</v>
          </cell>
        </row>
        <row r="313">
          <cell r="A313" t="str">
            <v>CGI018-qtz01-CL-fit-3-offset</v>
          </cell>
          <cell r="B313">
            <v>750</v>
          </cell>
          <cell r="C313">
            <v>8.0537892000481889E-22</v>
          </cell>
          <cell r="D313">
            <v>1700</v>
          </cell>
          <cell r="E313">
            <v>1024</v>
          </cell>
          <cell r="F313">
            <v>1.66015625</v>
          </cell>
          <cell r="G313" t="str">
            <v>Interior</v>
          </cell>
          <cell r="I313">
            <v>478.10862995043908</v>
          </cell>
          <cell r="J313">
            <v>473.64947930365952</v>
          </cell>
          <cell r="K313">
            <v>246.3331590774842</v>
          </cell>
          <cell r="L313">
            <v>724.65042725620083</v>
          </cell>
          <cell r="M313">
            <v>227.31632022617532</v>
          </cell>
          <cell r="N313">
            <v>251.00094795254131</v>
          </cell>
        </row>
        <row r="314">
          <cell r="A314" t="str">
            <v>CGI009-qtz01-CL-fit-5-offset</v>
          </cell>
          <cell r="B314">
            <v>750</v>
          </cell>
          <cell r="C314">
            <v>8.0537892000481889E-22</v>
          </cell>
          <cell r="D314">
            <v>1150</v>
          </cell>
          <cell r="E314">
            <v>1024</v>
          </cell>
          <cell r="F314">
            <v>1.123046875</v>
          </cell>
          <cell r="G314" t="str">
            <v>Interior</v>
          </cell>
          <cell r="I314">
            <v>469.38889972823364</v>
          </cell>
          <cell r="J314">
            <v>479.05248297501373</v>
          </cell>
          <cell r="K314">
            <v>341.11146874866904</v>
          </cell>
          <cell r="L314">
            <v>674.61422521184181</v>
          </cell>
          <cell r="M314">
            <v>137.94101422634469</v>
          </cell>
          <cell r="N314">
            <v>195.56174223682808</v>
          </cell>
        </row>
        <row r="315">
          <cell r="A315" t="str">
            <v>CGI015-qtz01-CL-fit-3-offset</v>
          </cell>
          <cell r="B315">
            <v>750</v>
          </cell>
          <cell r="C315">
            <v>8.0537892000481889E-22</v>
          </cell>
          <cell r="D315">
            <v>1800</v>
          </cell>
          <cell r="E315">
            <v>1024</v>
          </cell>
          <cell r="F315">
            <v>1.7578125</v>
          </cell>
          <cell r="G315" t="str">
            <v>Interior</v>
          </cell>
          <cell r="I315">
            <v>479.37768852454843</v>
          </cell>
          <cell r="J315">
            <v>482.28610207792269</v>
          </cell>
          <cell r="K315">
            <v>253.63781181220642</v>
          </cell>
          <cell r="L315">
            <v>811.47218922724096</v>
          </cell>
          <cell r="M315">
            <v>228.64829026571627</v>
          </cell>
          <cell r="N315">
            <v>329.18608714931827</v>
          </cell>
        </row>
        <row r="316">
          <cell r="A316" t="str">
            <v>CGI005-qtz07-CL-fit-4-offset</v>
          </cell>
          <cell r="B316">
            <v>750</v>
          </cell>
          <cell r="C316">
            <v>8.0537892000481889E-22</v>
          </cell>
          <cell r="D316">
            <v>2100</v>
          </cell>
          <cell r="E316">
            <v>1024</v>
          </cell>
          <cell r="F316">
            <v>2.05078125</v>
          </cell>
          <cell r="G316" t="str">
            <v>Interior</v>
          </cell>
          <cell r="I316">
            <v>426.14698520121573</v>
          </cell>
          <cell r="J316">
            <v>484.20822505345558</v>
          </cell>
          <cell r="K316">
            <v>19.585049907754151</v>
          </cell>
          <cell r="L316">
            <v>1809.7710407767086</v>
          </cell>
          <cell r="M316">
            <v>464.62317514570145</v>
          </cell>
          <cell r="N316">
            <v>1325.5628157232529</v>
          </cell>
        </row>
        <row r="317">
          <cell r="A317" t="str">
            <v>CGI009-qtz06-CL-fit-3-offset</v>
          </cell>
          <cell r="B317">
            <v>750</v>
          </cell>
          <cell r="C317">
            <v>8.0537892000481889E-22</v>
          </cell>
          <cell r="D317">
            <v>2000</v>
          </cell>
          <cell r="E317">
            <v>1024</v>
          </cell>
          <cell r="F317">
            <v>1.953125</v>
          </cell>
          <cell r="G317" t="str">
            <v>Interior</v>
          </cell>
          <cell r="I317">
            <v>479.48773332913379</v>
          </cell>
          <cell r="J317">
            <v>487.3667759970179</v>
          </cell>
          <cell r="K317">
            <v>123.50655202952095</v>
          </cell>
          <cell r="L317">
            <v>1238.0496937613509</v>
          </cell>
          <cell r="M317">
            <v>363.86022396749695</v>
          </cell>
          <cell r="N317">
            <v>750.68291776433307</v>
          </cell>
        </row>
        <row r="318">
          <cell r="A318" t="str">
            <v>CGI015-qtz04-CL-fit-2-offset</v>
          </cell>
          <cell r="B318">
            <v>750</v>
          </cell>
          <cell r="C318">
            <v>8.0537892000481889E-22</v>
          </cell>
          <cell r="D318">
            <v>2000</v>
          </cell>
          <cell r="E318">
            <v>1024</v>
          </cell>
          <cell r="F318">
            <v>1.953125</v>
          </cell>
          <cell r="G318" t="str">
            <v>Interior</v>
          </cell>
          <cell r="I318">
            <v>494.60455362395436</v>
          </cell>
          <cell r="J318">
            <v>503.23912339802263</v>
          </cell>
          <cell r="K318">
            <v>230.21720887402535</v>
          </cell>
          <cell r="L318">
            <v>886.71752558300579</v>
          </cell>
          <cell r="M318">
            <v>273.02191452399728</v>
          </cell>
          <cell r="N318">
            <v>383.47840218498317</v>
          </cell>
        </row>
        <row r="319">
          <cell r="A319" t="str">
            <v>CGI011-qtz12-CL-fit-3-offset</v>
          </cell>
          <cell r="B319">
            <v>750</v>
          </cell>
          <cell r="C319">
            <v>8.0537892000481889E-22</v>
          </cell>
          <cell r="D319">
            <v>1550</v>
          </cell>
          <cell r="E319">
            <v>1024</v>
          </cell>
          <cell r="F319">
            <v>1.513671875</v>
          </cell>
          <cell r="G319" t="str">
            <v>Interior</v>
          </cell>
          <cell r="I319">
            <v>519.51925106013664</v>
          </cell>
          <cell r="J319">
            <v>512.17711318168688</v>
          </cell>
          <cell r="K319">
            <v>231.69133076180515</v>
          </cell>
          <cell r="L319">
            <v>958.65479207628232</v>
          </cell>
          <cell r="M319">
            <v>280.48578241988173</v>
          </cell>
          <cell r="N319">
            <v>446.47767889459544</v>
          </cell>
        </row>
        <row r="320">
          <cell r="A320" t="str">
            <v>CGI005-qtz10-CL-fit-4-offset</v>
          </cell>
          <cell r="B320">
            <v>750</v>
          </cell>
          <cell r="C320">
            <v>8.0537892000481889E-22</v>
          </cell>
          <cell r="D320">
            <v>2100</v>
          </cell>
          <cell r="E320">
            <v>1024</v>
          </cell>
          <cell r="F320">
            <v>2.05078125</v>
          </cell>
          <cell r="G320" t="str">
            <v>Interior</v>
          </cell>
          <cell r="I320">
            <v>522.39473788326825</v>
          </cell>
          <cell r="J320">
            <v>526.15806064179185</v>
          </cell>
          <cell r="K320">
            <v>318.6014230136152</v>
          </cell>
          <cell r="L320">
            <v>768.66923975565464</v>
          </cell>
          <cell r="M320">
            <v>207.55663762817665</v>
          </cell>
          <cell r="N320">
            <v>242.5111791138628</v>
          </cell>
        </row>
        <row r="321">
          <cell r="A321" t="str">
            <v>CGI001-qtz08-CL-fit-2-offset</v>
          </cell>
          <cell r="B321">
            <v>750</v>
          </cell>
          <cell r="C321">
            <v>8.0537892000481889E-22</v>
          </cell>
          <cell r="D321">
            <v>1500</v>
          </cell>
          <cell r="E321">
            <v>1024</v>
          </cell>
          <cell r="F321">
            <v>1.46484375</v>
          </cell>
          <cell r="G321" t="str">
            <v>Interior</v>
          </cell>
          <cell r="I321">
            <v>551.32963271258473</v>
          </cell>
          <cell r="J321">
            <v>539.60571259926905</v>
          </cell>
          <cell r="K321">
            <v>193.85679719303576</v>
          </cell>
          <cell r="L321">
            <v>1029.9142082330413</v>
          </cell>
          <cell r="M321">
            <v>345.74891540623332</v>
          </cell>
          <cell r="N321">
            <v>490.30849563377228</v>
          </cell>
        </row>
        <row r="322">
          <cell r="A322" t="str">
            <v>CGI008-qtz11-CL-fit-1-offset</v>
          </cell>
          <cell r="B322">
            <v>750</v>
          </cell>
          <cell r="C322">
            <v>8.0537892000481889E-22</v>
          </cell>
          <cell r="D322">
            <v>1800</v>
          </cell>
          <cell r="E322">
            <v>1024</v>
          </cell>
          <cell r="F322">
            <v>1.7578125</v>
          </cell>
          <cell r="G322" t="str">
            <v>Interior</v>
          </cell>
          <cell r="I322">
            <v>494.15681816617098</v>
          </cell>
          <cell r="J322">
            <v>553.79456323145348</v>
          </cell>
          <cell r="K322">
            <v>36.975770691781889</v>
          </cell>
          <cell r="L322">
            <v>2143.6875524991792</v>
          </cell>
          <cell r="M322">
            <v>516.81879253967156</v>
          </cell>
          <cell r="N322">
            <v>1589.8929892677256</v>
          </cell>
        </row>
        <row r="323">
          <cell r="A323" t="str">
            <v>CGI008-qtz07-CL-fit-1-offset</v>
          </cell>
          <cell r="B323">
            <v>750</v>
          </cell>
          <cell r="C323">
            <v>8.0537892000481889E-22</v>
          </cell>
          <cell r="D323">
            <v>1900</v>
          </cell>
          <cell r="E323">
            <v>1024</v>
          </cell>
          <cell r="F323">
            <v>1.85546875</v>
          </cell>
          <cell r="G323" t="str">
            <v>Interior</v>
          </cell>
          <cell r="I323">
            <v>653.4908728803656</v>
          </cell>
          <cell r="J323">
            <v>562.83060148995287</v>
          </cell>
          <cell r="K323">
            <v>0.49895801383873073</v>
          </cell>
          <cell r="L323">
            <v>2052.3069810756715</v>
          </cell>
          <cell r="M323">
            <v>562.3316434761141</v>
          </cell>
          <cell r="N323">
            <v>1489.4763795857186</v>
          </cell>
        </row>
        <row r="324">
          <cell r="A324" t="str">
            <v>CGI011-qtz12-CL-fit-1-offset</v>
          </cell>
          <cell r="B324">
            <v>750</v>
          </cell>
          <cell r="C324">
            <v>8.0537892000481889E-22</v>
          </cell>
          <cell r="D324">
            <v>1550</v>
          </cell>
          <cell r="E324">
            <v>1024</v>
          </cell>
          <cell r="F324">
            <v>1.513671875</v>
          </cell>
          <cell r="G324" t="str">
            <v>Interior</v>
          </cell>
          <cell r="I324">
            <v>541.67658272340987</v>
          </cell>
          <cell r="J324">
            <v>576.13989240011006</v>
          </cell>
          <cell r="K324">
            <v>210.17355628234969</v>
          </cell>
          <cell r="L324">
            <v>1093.2814582906631</v>
          </cell>
          <cell r="M324">
            <v>365.96633611776036</v>
          </cell>
          <cell r="N324">
            <v>517.14156589055301</v>
          </cell>
        </row>
        <row r="325">
          <cell r="A325" t="str">
            <v>CGI008-qtz01-CL-fit-3-offset</v>
          </cell>
          <cell r="B325">
            <v>750</v>
          </cell>
          <cell r="C325">
            <v>8.0537892000481889E-22</v>
          </cell>
          <cell r="D325">
            <v>1500</v>
          </cell>
          <cell r="E325">
            <v>1024</v>
          </cell>
          <cell r="F325">
            <v>1.46484375</v>
          </cell>
          <cell r="G325" t="str">
            <v>Interior</v>
          </cell>
          <cell r="I325">
            <v>602.9999120351905</v>
          </cell>
          <cell r="J325">
            <v>579.39145564670775</v>
          </cell>
          <cell r="K325">
            <v>185.05423009567028</v>
          </cell>
          <cell r="L325">
            <v>1134.2937857961126</v>
          </cell>
          <cell r="M325">
            <v>394.33722555103748</v>
          </cell>
          <cell r="N325">
            <v>554.90233014940486</v>
          </cell>
        </row>
        <row r="326">
          <cell r="A326" t="str">
            <v>CGI001-qtz04-CL-fit-2-offset</v>
          </cell>
          <cell r="B326">
            <v>750</v>
          </cell>
          <cell r="C326">
            <v>8.0537892000481889E-22</v>
          </cell>
          <cell r="D326">
            <v>2050</v>
          </cell>
          <cell r="E326">
            <v>1024</v>
          </cell>
          <cell r="F326">
            <v>2.001953125</v>
          </cell>
          <cell r="G326" t="str">
            <v>Interior</v>
          </cell>
          <cell r="I326">
            <v>611.23227684249628</v>
          </cell>
          <cell r="J326">
            <v>623.68242198031044</v>
          </cell>
          <cell r="K326">
            <v>247.48269671478417</v>
          </cell>
          <cell r="L326">
            <v>1136.2101609928318</v>
          </cell>
          <cell r="M326">
            <v>376.19972526552624</v>
          </cell>
          <cell r="N326">
            <v>512.52773901252135</v>
          </cell>
        </row>
        <row r="327">
          <cell r="A327" t="str">
            <v>CGI014-qtz08-CL-fit-4-offset</v>
          </cell>
          <cell r="B327">
            <v>750</v>
          </cell>
          <cell r="C327">
            <v>8.0537892000481889E-22</v>
          </cell>
          <cell r="D327">
            <v>1550</v>
          </cell>
          <cell r="E327">
            <v>1024</v>
          </cell>
          <cell r="F327">
            <v>1.513671875</v>
          </cell>
          <cell r="G327" t="str">
            <v>Interior</v>
          </cell>
          <cell r="I327">
            <v>656.87075281841317</v>
          </cell>
          <cell r="J327">
            <v>663.08895158915448</v>
          </cell>
          <cell r="K327">
            <v>413.51141614220131</v>
          </cell>
          <cell r="L327">
            <v>1041.3517680455932</v>
          </cell>
          <cell r="M327">
            <v>249.57753544695316</v>
          </cell>
          <cell r="N327">
            <v>378.26281645643871</v>
          </cell>
        </row>
        <row r="328">
          <cell r="A328" t="str">
            <v>CGI018-qtz08-CL-fit-4-offset</v>
          </cell>
          <cell r="B328">
            <v>750</v>
          </cell>
          <cell r="C328">
            <v>8.0537892000481889E-22</v>
          </cell>
          <cell r="D328">
            <v>2300</v>
          </cell>
          <cell r="E328">
            <v>1024</v>
          </cell>
          <cell r="F328">
            <v>2.24609375</v>
          </cell>
          <cell r="G328" t="str">
            <v>Interior</v>
          </cell>
          <cell r="I328">
            <v>654.95288725860564</v>
          </cell>
          <cell r="J328">
            <v>663.18232271378884</v>
          </cell>
          <cell r="K328">
            <v>120.97278685846456</v>
          </cell>
          <cell r="L328">
            <v>1918.5159529299444</v>
          </cell>
          <cell r="M328">
            <v>542.20953585532425</v>
          </cell>
          <cell r="N328">
            <v>1255.3336302161556</v>
          </cell>
        </row>
        <row r="329">
          <cell r="A329" t="str">
            <v>CGI008-qtz11-CL-fit-2-offset</v>
          </cell>
          <cell r="B329">
            <v>750</v>
          </cell>
          <cell r="C329">
            <v>8.0537892000481889E-22</v>
          </cell>
          <cell r="D329">
            <v>1800</v>
          </cell>
          <cell r="E329">
            <v>1024</v>
          </cell>
          <cell r="F329">
            <v>1.7578125</v>
          </cell>
          <cell r="G329" t="str">
            <v>Interior</v>
          </cell>
          <cell r="I329">
            <v>614.12293533282934</v>
          </cell>
          <cell r="J329">
            <v>682.77610545446248</v>
          </cell>
          <cell r="K329">
            <v>109.79651946595845</v>
          </cell>
          <cell r="L329">
            <v>2611.7783480927433</v>
          </cell>
          <cell r="M329">
            <v>572.97958598850403</v>
          </cell>
          <cell r="N329">
            <v>1929.0022426382807</v>
          </cell>
        </row>
        <row r="330">
          <cell r="A330" t="str">
            <v>CGI001-qtz04-CL-fit-3-offset</v>
          </cell>
          <cell r="B330">
            <v>750</v>
          </cell>
          <cell r="C330">
            <v>8.0537892000481889E-22</v>
          </cell>
          <cell r="D330">
            <v>2050</v>
          </cell>
          <cell r="E330">
            <v>1024</v>
          </cell>
          <cell r="F330">
            <v>2.001953125</v>
          </cell>
          <cell r="G330" t="str">
            <v>Interior</v>
          </cell>
          <cell r="I330">
            <v>680.61485554636215</v>
          </cell>
          <cell r="J330">
            <v>682.89925780004933</v>
          </cell>
          <cell r="K330">
            <v>448.63804778539151</v>
          </cell>
          <cell r="L330">
            <v>937.75803148015473</v>
          </cell>
          <cell r="M330">
            <v>234.26121001465782</v>
          </cell>
          <cell r="N330">
            <v>254.8587736801054</v>
          </cell>
        </row>
        <row r="331">
          <cell r="A331" t="str">
            <v>CGI008-qtz03-CL-fit-2-offset</v>
          </cell>
          <cell r="B331">
            <v>750</v>
          </cell>
          <cell r="C331">
            <v>8.0537892000481889E-22</v>
          </cell>
          <cell r="D331">
            <v>2800</v>
          </cell>
          <cell r="E331">
            <v>1024</v>
          </cell>
          <cell r="F331">
            <v>2.734375</v>
          </cell>
          <cell r="G331" t="str">
            <v>Interior</v>
          </cell>
          <cell r="I331">
            <v>608.66401798291724</v>
          </cell>
          <cell r="J331">
            <v>694.85349494659113</v>
          </cell>
          <cell r="K331">
            <v>3.7174013165166748</v>
          </cell>
          <cell r="L331">
            <v>4306.8313365886588</v>
          </cell>
          <cell r="M331">
            <v>691.13609363007447</v>
          </cell>
          <cell r="N331">
            <v>3611.9778416420677</v>
          </cell>
        </row>
        <row r="332">
          <cell r="A332" t="str">
            <v>CGI011-qtz12-CL-fit-2-offset</v>
          </cell>
          <cell r="B332">
            <v>750</v>
          </cell>
          <cell r="C332">
            <v>8.0537892000481889E-22</v>
          </cell>
          <cell r="D332">
            <v>1550</v>
          </cell>
          <cell r="E332">
            <v>1024</v>
          </cell>
          <cell r="F332">
            <v>1.513671875</v>
          </cell>
          <cell r="G332" t="str">
            <v>Interior</v>
          </cell>
          <cell r="I332">
            <v>700.46040956587331</v>
          </cell>
          <cell r="J332">
            <v>705.15059127326651</v>
          </cell>
          <cell r="K332">
            <v>445.64634994683155</v>
          </cell>
          <cell r="L332">
            <v>1183.4446329697339</v>
          </cell>
          <cell r="M332">
            <v>259.50424132643496</v>
          </cell>
          <cell r="N332">
            <v>478.29404169646739</v>
          </cell>
        </row>
        <row r="333">
          <cell r="A333" t="str">
            <v>CGI011-qtz03-CL-fit-2-offset</v>
          </cell>
          <cell r="B333">
            <v>750</v>
          </cell>
          <cell r="C333">
            <v>8.0537892000481889E-22</v>
          </cell>
          <cell r="D333">
            <v>1550</v>
          </cell>
          <cell r="E333">
            <v>1024</v>
          </cell>
          <cell r="F333">
            <v>1.513671875</v>
          </cell>
          <cell r="G333" t="str">
            <v>Interior</v>
          </cell>
          <cell r="I333">
            <v>701.76429089402541</v>
          </cell>
          <cell r="J333">
            <v>719.49771062612308</v>
          </cell>
          <cell r="K333">
            <v>403.1528522392091</v>
          </cell>
          <cell r="L333">
            <v>1254.3667277035424</v>
          </cell>
          <cell r="M333">
            <v>316.34485838691398</v>
          </cell>
          <cell r="N333">
            <v>534.86901707741936</v>
          </cell>
        </row>
        <row r="334">
          <cell r="A334" t="str">
            <v>CGI011-qtz11-CL-fit-2-offset</v>
          </cell>
          <cell r="B334">
            <v>750</v>
          </cell>
          <cell r="C334">
            <v>8.0537892000481889E-22</v>
          </cell>
          <cell r="D334">
            <v>1600</v>
          </cell>
          <cell r="E334">
            <v>1024</v>
          </cell>
          <cell r="F334">
            <v>1.5625</v>
          </cell>
          <cell r="G334" t="str">
            <v>Interior</v>
          </cell>
          <cell r="I334">
            <v>734.8387752388187</v>
          </cell>
          <cell r="J334">
            <v>730.56117725617003</v>
          </cell>
          <cell r="K334">
            <v>516.15436018805997</v>
          </cell>
          <cell r="L334">
            <v>990.98900830554794</v>
          </cell>
          <cell r="M334">
            <v>214.40681706811006</v>
          </cell>
          <cell r="N334">
            <v>260.42783104937791</v>
          </cell>
        </row>
        <row r="335">
          <cell r="A335" t="str">
            <v>CGI011-qtz05-CL-fit-3-offset</v>
          </cell>
          <cell r="B335">
            <v>750</v>
          </cell>
          <cell r="C335">
            <v>8.0537892000481889E-22</v>
          </cell>
          <cell r="D335">
            <v>2200</v>
          </cell>
          <cell r="E335">
            <v>1024</v>
          </cell>
          <cell r="F335">
            <v>2.1484375</v>
          </cell>
          <cell r="G335" t="str">
            <v>Interior</v>
          </cell>
          <cell r="I335">
            <v>808.03022622458684</v>
          </cell>
          <cell r="J335">
            <v>811.13234610351276</v>
          </cell>
          <cell r="K335">
            <v>332.73751495932839</v>
          </cell>
          <cell r="L335">
            <v>1552.3252690941677</v>
          </cell>
          <cell r="M335">
            <v>478.39483114418437</v>
          </cell>
          <cell r="N335">
            <v>741.19292299065489</v>
          </cell>
        </row>
        <row r="336">
          <cell r="A336" t="str">
            <v>CGI015-qtz04-CL-fit-1-offset</v>
          </cell>
          <cell r="B336">
            <v>750</v>
          </cell>
          <cell r="C336">
            <v>8.0537892000481889E-22</v>
          </cell>
          <cell r="D336">
            <v>2000</v>
          </cell>
          <cell r="E336">
            <v>1024</v>
          </cell>
          <cell r="F336">
            <v>1.953125</v>
          </cell>
          <cell r="G336" t="str">
            <v>Interior</v>
          </cell>
          <cell r="I336">
            <v>800.73849441668278</v>
          </cell>
          <cell r="J336">
            <v>811.99677329995745</v>
          </cell>
          <cell r="K336">
            <v>535.27553648769083</v>
          </cell>
          <cell r="L336">
            <v>1109.3933509506385</v>
          </cell>
          <cell r="M336">
            <v>276.72123681226662</v>
          </cell>
          <cell r="N336">
            <v>297.39657765068102</v>
          </cell>
        </row>
        <row r="337">
          <cell r="A337" t="str">
            <v>CGI018-qtz09-CL-fit-3-offset</v>
          </cell>
          <cell r="B337">
            <v>750</v>
          </cell>
          <cell r="C337">
            <v>8.0537892000481889E-22</v>
          </cell>
          <cell r="D337">
            <v>2250</v>
          </cell>
          <cell r="E337">
            <v>1024</v>
          </cell>
          <cell r="F337">
            <v>2.197265625</v>
          </cell>
          <cell r="G337" t="str">
            <v>Interior</v>
          </cell>
          <cell r="I337">
            <v>155.99768173881085</v>
          </cell>
          <cell r="J337">
            <v>813.71148345971756</v>
          </cell>
          <cell r="K337">
            <v>7.6931959913847606E-3</v>
          </cell>
          <cell r="L337">
            <v>72470.108113350434</v>
          </cell>
          <cell r="M337">
            <v>813.70379026372621</v>
          </cell>
          <cell r="N337">
            <v>71656.396629890718</v>
          </cell>
        </row>
        <row r="338">
          <cell r="A338" t="str">
            <v>CGI018-qtz08-CL-fit-2-offset</v>
          </cell>
          <cell r="B338">
            <v>750</v>
          </cell>
          <cell r="C338">
            <v>8.0537892000481889E-22</v>
          </cell>
          <cell r="D338">
            <v>2300</v>
          </cell>
          <cell r="E338">
            <v>1024</v>
          </cell>
          <cell r="F338">
            <v>2.24609375</v>
          </cell>
          <cell r="G338" t="str">
            <v>Interior</v>
          </cell>
          <cell r="I338">
            <v>823.64114681334638</v>
          </cell>
          <cell r="J338">
            <v>855.3546389347656</v>
          </cell>
          <cell r="K338">
            <v>210.73502014672587</v>
          </cell>
          <cell r="L338">
            <v>1841.9180836895869</v>
          </cell>
          <cell r="M338">
            <v>644.6196187880397</v>
          </cell>
          <cell r="N338">
            <v>986.56344475482126</v>
          </cell>
        </row>
        <row r="339">
          <cell r="A339" t="str">
            <v>CGI014-qtz08-CL-fit-2-offset</v>
          </cell>
          <cell r="B339">
            <v>750</v>
          </cell>
          <cell r="C339">
            <v>8.0537892000481889E-22</v>
          </cell>
          <cell r="D339">
            <v>1550</v>
          </cell>
          <cell r="E339">
            <v>1024</v>
          </cell>
          <cell r="F339">
            <v>1.513671875</v>
          </cell>
          <cell r="G339" t="str">
            <v>Interior</v>
          </cell>
          <cell r="I339">
            <v>863.02283827321526</v>
          </cell>
          <cell r="J339">
            <v>857.92037116514314</v>
          </cell>
          <cell r="K339">
            <v>568.07495142820608</v>
          </cell>
          <cell r="L339">
            <v>1215.9636760501905</v>
          </cell>
          <cell r="M339">
            <v>289.84541973693706</v>
          </cell>
          <cell r="N339">
            <v>358.04330488504741</v>
          </cell>
        </row>
        <row r="340">
          <cell r="A340" t="str">
            <v>CGI018-qtz01-CL-fit-2-offset</v>
          </cell>
          <cell r="B340">
            <v>750</v>
          </cell>
          <cell r="C340">
            <v>8.0537892000481889E-22</v>
          </cell>
          <cell r="D340">
            <v>1700</v>
          </cell>
          <cell r="E340">
            <v>1024</v>
          </cell>
          <cell r="F340">
            <v>1.66015625</v>
          </cell>
          <cell r="G340" t="str">
            <v>Interior</v>
          </cell>
          <cell r="I340">
            <v>908.59121929469495</v>
          </cell>
          <cell r="J340">
            <v>905.03398288675714</v>
          </cell>
          <cell r="K340">
            <v>502.40205656280699</v>
          </cell>
          <cell r="L340">
            <v>1412.2963312127474</v>
          </cell>
          <cell r="M340">
            <v>402.63192632395015</v>
          </cell>
          <cell r="N340">
            <v>507.26234832599027</v>
          </cell>
        </row>
        <row r="341">
          <cell r="A341" t="str">
            <v>CGI001-qtz01-CL-fit-3</v>
          </cell>
          <cell r="B341">
            <v>750</v>
          </cell>
          <cell r="C341">
            <v>8.0537892000481889E-22</v>
          </cell>
          <cell r="D341">
            <v>2100</v>
          </cell>
          <cell r="E341">
            <v>1024</v>
          </cell>
          <cell r="F341">
            <v>2.05078125</v>
          </cell>
          <cell r="G341" t="str">
            <v>Interior</v>
          </cell>
          <cell r="I341">
            <v>878.91614694580335</v>
          </cell>
          <cell r="J341">
            <v>915.87039718361336</v>
          </cell>
          <cell r="K341">
            <v>359.94546981586808</v>
          </cell>
          <cell r="L341">
            <v>1812.3325082202309</v>
          </cell>
          <cell r="M341">
            <v>555.92492736774534</v>
          </cell>
          <cell r="N341">
            <v>896.46211103661756</v>
          </cell>
        </row>
        <row r="342">
          <cell r="A342" t="str">
            <v>CGI014-qtz08-CL-fit-3-offset</v>
          </cell>
          <cell r="B342">
            <v>750</v>
          </cell>
          <cell r="C342">
            <v>8.0537892000481889E-22</v>
          </cell>
          <cell r="D342">
            <v>1550</v>
          </cell>
          <cell r="E342">
            <v>1024</v>
          </cell>
          <cell r="F342">
            <v>1.513671875</v>
          </cell>
          <cell r="G342" t="str">
            <v>Interior</v>
          </cell>
          <cell r="I342">
            <v>887.65211829733187</v>
          </cell>
          <cell r="J342">
            <v>960.29662002853274</v>
          </cell>
          <cell r="K342">
            <v>327.97424797584114</v>
          </cell>
          <cell r="L342">
            <v>2659.272021390967</v>
          </cell>
          <cell r="M342">
            <v>632.32237205269166</v>
          </cell>
          <cell r="N342">
            <v>1698.9754013624342</v>
          </cell>
        </row>
        <row r="343">
          <cell r="A343" t="str">
            <v>CGI018-qtz08-CL-fit-3-offset</v>
          </cell>
          <cell r="B343">
            <v>750</v>
          </cell>
          <cell r="C343">
            <v>8.0537892000481889E-22</v>
          </cell>
          <cell r="D343">
            <v>2300</v>
          </cell>
          <cell r="E343">
            <v>1024</v>
          </cell>
          <cell r="F343">
            <v>2.24609375</v>
          </cell>
          <cell r="G343" t="str">
            <v>Interior</v>
          </cell>
          <cell r="I343">
            <v>985.58471170865926</v>
          </cell>
          <cell r="J343">
            <v>977.69695108329381</v>
          </cell>
          <cell r="K343">
            <v>361.23121064051526</v>
          </cell>
          <cell r="L343">
            <v>1852.5033339660481</v>
          </cell>
          <cell r="M343">
            <v>616.4657404427785</v>
          </cell>
          <cell r="N343">
            <v>874.80638288275429</v>
          </cell>
        </row>
        <row r="344">
          <cell r="A344" t="str">
            <v>CGI008-qtz03-CL-fit-1-offset</v>
          </cell>
          <cell r="B344">
            <v>750</v>
          </cell>
          <cell r="C344">
            <v>8.0537892000481889E-22</v>
          </cell>
          <cell r="D344">
            <v>2800</v>
          </cell>
          <cell r="E344">
            <v>1024</v>
          </cell>
          <cell r="F344">
            <v>2.734375</v>
          </cell>
          <cell r="G344" t="str">
            <v>Interior</v>
          </cell>
          <cell r="I344">
            <v>995.25175967748839</v>
          </cell>
          <cell r="J344">
            <v>983.83849215114151</v>
          </cell>
          <cell r="K344">
            <v>35.28617033164317</v>
          </cell>
          <cell r="L344">
            <v>3051.3905819775719</v>
          </cell>
          <cell r="M344">
            <v>948.55232181949839</v>
          </cell>
          <cell r="N344">
            <v>2067.5520898264303</v>
          </cell>
        </row>
        <row r="345">
          <cell r="A345" t="str">
            <v>CGI005-qtz12-CL-fit-1-offset</v>
          </cell>
          <cell r="B345">
            <v>750</v>
          </cell>
          <cell r="C345">
            <v>8.0537892000481889E-22</v>
          </cell>
          <cell r="D345">
            <v>2700</v>
          </cell>
          <cell r="E345">
            <v>1024</v>
          </cell>
          <cell r="F345">
            <v>2.63671875</v>
          </cell>
          <cell r="G345" t="str">
            <v>Interior</v>
          </cell>
          <cell r="I345">
            <v>990.69142451996947</v>
          </cell>
          <cell r="J345">
            <v>995.37310369193312</v>
          </cell>
          <cell r="K345">
            <v>109.79357094625874</v>
          </cell>
          <cell r="L345">
            <v>2781.9970633480184</v>
          </cell>
          <cell r="M345">
            <v>885.57953274567444</v>
          </cell>
          <cell r="N345">
            <v>1786.6239596560854</v>
          </cell>
        </row>
        <row r="346">
          <cell r="A346" t="str">
            <v>CGI005-qtz06-CL-fit-3-offset</v>
          </cell>
          <cell r="B346">
            <v>750</v>
          </cell>
          <cell r="C346">
            <v>8.0537892000481889E-22</v>
          </cell>
          <cell r="D346">
            <v>2050</v>
          </cell>
          <cell r="E346">
            <v>1024</v>
          </cell>
          <cell r="F346">
            <v>2.001953125</v>
          </cell>
          <cell r="G346" t="str">
            <v>Interior</v>
          </cell>
          <cell r="I346">
            <v>1027.7863111246618</v>
          </cell>
          <cell r="J346">
            <v>1050.0103118998134</v>
          </cell>
          <cell r="K346">
            <v>468.04450976886977</v>
          </cell>
          <cell r="L346">
            <v>2142.1868510386794</v>
          </cell>
          <cell r="M346">
            <v>581.96580213094353</v>
          </cell>
          <cell r="N346">
            <v>1092.176539138866</v>
          </cell>
        </row>
        <row r="347">
          <cell r="A347" t="str">
            <v>CGI005-qtz01-CL-fit-3-offset</v>
          </cell>
          <cell r="B347">
            <v>750</v>
          </cell>
          <cell r="C347">
            <v>8.0537892000481889E-22</v>
          </cell>
          <cell r="D347">
            <v>1700</v>
          </cell>
          <cell r="E347">
            <v>1024</v>
          </cell>
          <cell r="F347">
            <v>1.66015625</v>
          </cell>
          <cell r="G347" t="str">
            <v>Interior</v>
          </cell>
          <cell r="I347">
            <v>1067.652838260967</v>
          </cell>
          <cell r="J347">
            <v>1055.4176700275823</v>
          </cell>
          <cell r="K347">
            <v>512.8328775714624</v>
          </cell>
          <cell r="L347">
            <v>1744.5687554411754</v>
          </cell>
          <cell r="M347">
            <v>542.58479245611989</v>
          </cell>
          <cell r="N347">
            <v>689.15108541359314</v>
          </cell>
        </row>
        <row r="348">
          <cell r="A348" t="str">
            <v>CGI005-qtz09-CL-fit-3-offset</v>
          </cell>
          <cell r="B348">
            <v>750</v>
          </cell>
          <cell r="C348">
            <v>8.0537892000481889E-22</v>
          </cell>
          <cell r="D348">
            <v>2400</v>
          </cell>
          <cell r="E348">
            <v>1024</v>
          </cell>
          <cell r="F348">
            <v>2.34375</v>
          </cell>
          <cell r="G348" t="str">
            <v>Interior</v>
          </cell>
          <cell r="I348">
            <v>1045.4435087016532</v>
          </cell>
          <cell r="J348">
            <v>1065.2537916881188</v>
          </cell>
          <cell r="K348">
            <v>289.54791567722526</v>
          </cell>
          <cell r="L348">
            <v>2491.9160547993301</v>
          </cell>
          <cell r="M348">
            <v>775.70587601089346</v>
          </cell>
          <cell r="N348">
            <v>1426.6622631112114</v>
          </cell>
        </row>
        <row r="349">
          <cell r="A349" t="str">
            <v>CGI005-qtz03-CL-fit-4-offset</v>
          </cell>
          <cell r="B349">
            <v>750</v>
          </cell>
          <cell r="C349">
            <v>8.0537892000481889E-22</v>
          </cell>
          <cell r="D349">
            <v>1400</v>
          </cell>
          <cell r="E349">
            <v>1024</v>
          </cell>
          <cell r="F349">
            <v>1.3671875</v>
          </cell>
          <cell r="G349" t="str">
            <v>Interior</v>
          </cell>
          <cell r="I349">
            <v>1061.0680384869613</v>
          </cell>
          <cell r="J349">
            <v>1066.234236395863</v>
          </cell>
          <cell r="K349">
            <v>702.32342211048069</v>
          </cell>
          <cell r="L349">
            <v>1577.0232578763566</v>
          </cell>
          <cell r="M349">
            <v>363.91081428538234</v>
          </cell>
          <cell r="N349">
            <v>510.7890214804936</v>
          </cell>
        </row>
        <row r="350">
          <cell r="A350" t="str">
            <v>CGI005-qtz04-CL-fit-2-offset</v>
          </cell>
          <cell r="B350">
            <v>750</v>
          </cell>
          <cell r="C350">
            <v>8.0537892000481889E-22</v>
          </cell>
          <cell r="D350">
            <v>1900</v>
          </cell>
          <cell r="E350">
            <v>1024</v>
          </cell>
          <cell r="F350">
            <v>1.85546875</v>
          </cell>
          <cell r="G350" t="str">
            <v>Interior</v>
          </cell>
          <cell r="I350">
            <v>1070.1480464009217</v>
          </cell>
          <cell r="J350">
            <v>1071.5348571383852</v>
          </cell>
          <cell r="K350">
            <v>785.3725239645845</v>
          </cell>
          <cell r="L350">
            <v>1479.2693130157206</v>
          </cell>
          <cell r="M350">
            <v>286.16233317380068</v>
          </cell>
          <cell r="N350">
            <v>407.73445587733545</v>
          </cell>
        </row>
        <row r="351">
          <cell r="A351" t="str">
            <v>CGI011-qtz06-CL-fit-2-offset</v>
          </cell>
          <cell r="B351">
            <v>750</v>
          </cell>
          <cell r="C351">
            <v>8.0537892000481889E-22</v>
          </cell>
          <cell r="D351">
            <v>1650</v>
          </cell>
          <cell r="E351">
            <v>1024</v>
          </cell>
          <cell r="F351">
            <v>1.611328125</v>
          </cell>
          <cell r="G351" t="str">
            <v>Interior</v>
          </cell>
          <cell r="I351">
            <v>1059.1375313809631</v>
          </cell>
          <cell r="J351">
            <v>1078.8322349321186</v>
          </cell>
          <cell r="K351">
            <v>685.62008331676327</v>
          </cell>
          <cell r="L351">
            <v>1651.4444889429992</v>
          </cell>
          <cell r="M351">
            <v>393.21215161535531</v>
          </cell>
          <cell r="N351">
            <v>572.61225401088063</v>
          </cell>
        </row>
        <row r="352">
          <cell r="A352" t="str">
            <v>CGI009-qtz09-CL-fit-2-offset</v>
          </cell>
          <cell r="B352">
            <v>750</v>
          </cell>
          <cell r="C352">
            <v>8.0537892000481889E-22</v>
          </cell>
          <cell r="D352">
            <v>2100</v>
          </cell>
          <cell r="E352">
            <v>1024</v>
          </cell>
          <cell r="F352">
            <v>2.05078125</v>
          </cell>
          <cell r="G352" t="str">
            <v>Interior</v>
          </cell>
          <cell r="I352">
            <v>1103.782823683752</v>
          </cell>
          <cell r="J352">
            <v>1080.7901084845648</v>
          </cell>
          <cell r="K352">
            <v>540.95860660742096</v>
          </cell>
          <cell r="L352">
            <v>1940.951396463111</v>
          </cell>
          <cell r="M352">
            <v>539.83150187714386</v>
          </cell>
          <cell r="N352">
            <v>860.16128797854617</v>
          </cell>
        </row>
        <row r="353">
          <cell r="A353" t="str">
            <v>CGI014-qtz10-CL-fit-2-offset</v>
          </cell>
          <cell r="B353">
            <v>750</v>
          </cell>
          <cell r="C353">
            <v>8.0537892000481889E-22</v>
          </cell>
          <cell r="D353">
            <v>1550</v>
          </cell>
          <cell r="E353">
            <v>1024</v>
          </cell>
          <cell r="F353">
            <v>1.513671875</v>
          </cell>
          <cell r="G353" t="str">
            <v>Interior</v>
          </cell>
          <cell r="I353">
            <v>1111.6901556747268</v>
          </cell>
          <cell r="J353">
            <v>1131.237728240478</v>
          </cell>
          <cell r="K353">
            <v>273.08345819759023</v>
          </cell>
          <cell r="L353">
            <v>2844.0367821135633</v>
          </cell>
          <cell r="M353">
            <v>858.15427004288767</v>
          </cell>
          <cell r="N353">
            <v>1712.7990538730853</v>
          </cell>
        </row>
        <row r="354">
          <cell r="A354" t="str">
            <v>CGI014-qtz12-CL-fit-2-offset</v>
          </cell>
          <cell r="B354">
            <v>750</v>
          </cell>
          <cell r="C354">
            <v>8.0537892000481889E-22</v>
          </cell>
          <cell r="D354">
            <v>1650</v>
          </cell>
          <cell r="E354">
            <v>1024</v>
          </cell>
          <cell r="F354">
            <v>1.611328125</v>
          </cell>
          <cell r="G354" t="str">
            <v>Interior</v>
          </cell>
          <cell r="I354">
            <v>1121.4986853123476</v>
          </cell>
          <cell r="J354">
            <v>1157.6032409022405</v>
          </cell>
          <cell r="K354">
            <v>357.57446339906375</v>
          </cell>
          <cell r="L354">
            <v>2643.9280111823778</v>
          </cell>
          <cell r="M354">
            <v>800.0287775031768</v>
          </cell>
          <cell r="N354">
            <v>1486.3247702801373</v>
          </cell>
        </row>
        <row r="355">
          <cell r="A355" t="str">
            <v>CGI005-qtz11-CL-fit-2-offset</v>
          </cell>
          <cell r="B355">
            <v>750</v>
          </cell>
          <cell r="C355">
            <v>8.0537892000481889E-22</v>
          </cell>
          <cell r="D355">
            <v>2300</v>
          </cell>
          <cell r="E355">
            <v>1024</v>
          </cell>
          <cell r="F355">
            <v>2.24609375</v>
          </cell>
          <cell r="G355" t="str">
            <v>Interior</v>
          </cell>
          <cell r="I355">
            <v>1163.1586557171352</v>
          </cell>
          <cell r="J355">
            <v>1170.5619195694451</v>
          </cell>
          <cell r="K355">
            <v>531.6774639754027</v>
          </cell>
          <cell r="L355">
            <v>2149.7156992068976</v>
          </cell>
          <cell r="M355">
            <v>638.88445559404238</v>
          </cell>
          <cell r="N355">
            <v>979.15377963745254</v>
          </cell>
        </row>
        <row r="356">
          <cell r="A356" t="str">
            <v>CGI009-qtz08-CL-fit-3-offset</v>
          </cell>
          <cell r="B356">
            <v>750</v>
          </cell>
          <cell r="C356">
            <v>8.0537892000481889E-22</v>
          </cell>
          <cell r="D356">
            <v>2300</v>
          </cell>
          <cell r="E356">
            <v>1024</v>
          </cell>
          <cell r="F356">
            <v>2.24609375</v>
          </cell>
          <cell r="G356" t="str">
            <v>Interior</v>
          </cell>
          <cell r="I356">
            <v>1130.4689598222296</v>
          </cell>
          <cell r="J356">
            <v>1174.6919119685383</v>
          </cell>
          <cell r="K356">
            <v>363.71263987871959</v>
          </cell>
          <cell r="L356">
            <v>2736.8271994804477</v>
          </cell>
          <cell r="M356">
            <v>810.97927208981878</v>
          </cell>
          <cell r="N356">
            <v>1562.1352875119094</v>
          </cell>
        </row>
        <row r="357">
          <cell r="A357" t="str">
            <v>CGI018-qtz08-CL-fit-5-offset</v>
          </cell>
          <cell r="B357">
            <v>750</v>
          </cell>
          <cell r="C357">
            <v>8.0537892000481889E-22</v>
          </cell>
          <cell r="D357">
            <v>2300</v>
          </cell>
          <cell r="E357">
            <v>1024</v>
          </cell>
          <cell r="F357">
            <v>2.24609375</v>
          </cell>
          <cell r="G357" t="str">
            <v>Interior</v>
          </cell>
          <cell r="I357">
            <v>1210.9573500610677</v>
          </cell>
          <cell r="J357">
            <v>1218.9936031234563</v>
          </cell>
          <cell r="K357">
            <v>897.84274158831397</v>
          </cell>
          <cell r="L357">
            <v>1691.1107719739991</v>
          </cell>
          <cell r="M357">
            <v>321.15086153514233</v>
          </cell>
          <cell r="N357">
            <v>472.11716885054284</v>
          </cell>
        </row>
        <row r="358">
          <cell r="A358" t="str">
            <v>CGI008-qtz06-CL-fit-2-offset</v>
          </cell>
          <cell r="B358">
            <v>750</v>
          </cell>
          <cell r="C358">
            <v>8.0537892000481889E-22</v>
          </cell>
          <cell r="D358">
            <v>1900</v>
          </cell>
          <cell r="E358">
            <v>1024</v>
          </cell>
          <cell r="F358">
            <v>1.85546875</v>
          </cell>
          <cell r="G358" t="str">
            <v>Interior</v>
          </cell>
          <cell r="I358">
            <v>1200.2174015912735</v>
          </cell>
          <cell r="J358">
            <v>1235.3683459157264</v>
          </cell>
          <cell r="K358">
            <v>680.91109527122251</v>
          </cell>
          <cell r="L358">
            <v>1985.0976536487769</v>
          </cell>
          <cell r="M358">
            <v>554.45725064450392</v>
          </cell>
          <cell r="N358">
            <v>749.72930773305052</v>
          </cell>
        </row>
        <row r="359">
          <cell r="A359" t="str">
            <v>CGI005-qtz11-CL-fit-1-offset</v>
          </cell>
          <cell r="B359">
            <v>750</v>
          </cell>
          <cell r="C359">
            <v>8.0537892000481889E-22</v>
          </cell>
          <cell r="D359">
            <v>2300</v>
          </cell>
          <cell r="E359">
            <v>1024</v>
          </cell>
          <cell r="F359">
            <v>2.24609375</v>
          </cell>
          <cell r="G359" t="str">
            <v>Interior</v>
          </cell>
          <cell r="I359">
            <v>1251.9048929646997</v>
          </cell>
          <cell r="J359">
            <v>1240.1627060585568</v>
          </cell>
          <cell r="K359">
            <v>953.22606009968945</v>
          </cell>
          <cell r="L359">
            <v>1612.3804160307227</v>
          </cell>
          <cell r="M359">
            <v>286.9366459588673</v>
          </cell>
          <cell r="N359">
            <v>372.21770997216595</v>
          </cell>
        </row>
        <row r="360">
          <cell r="A360" t="str">
            <v>CGI005-qtz12-CL-fit-3</v>
          </cell>
          <cell r="B360">
            <v>750</v>
          </cell>
          <cell r="C360">
            <v>8.0537892000481889E-22</v>
          </cell>
          <cell r="D360">
            <v>2700</v>
          </cell>
          <cell r="E360">
            <v>1024</v>
          </cell>
          <cell r="F360">
            <v>2.63671875</v>
          </cell>
          <cell r="G360" t="str">
            <v>Interior</v>
          </cell>
          <cell r="I360">
            <v>1190.9765919149409</v>
          </cell>
          <cell r="J360">
            <v>1287.0529945926205</v>
          </cell>
          <cell r="K360">
            <v>206.41736739255288</v>
          </cell>
          <cell r="L360">
            <v>3767.7531544195131</v>
          </cell>
          <cell r="M360">
            <v>1080.6356272000676</v>
          </cell>
          <cell r="N360">
            <v>2480.7001598268926</v>
          </cell>
        </row>
        <row r="361">
          <cell r="A361" t="str">
            <v>CGI014-qtz04-CL-fit-1-offset</v>
          </cell>
          <cell r="B361">
            <v>750</v>
          </cell>
          <cell r="C361">
            <v>8.0537892000481889E-22</v>
          </cell>
          <cell r="D361">
            <v>1600</v>
          </cell>
          <cell r="E361">
            <v>1024</v>
          </cell>
          <cell r="F361">
            <v>1.5625</v>
          </cell>
          <cell r="G361" t="str">
            <v>Interior</v>
          </cell>
          <cell r="I361">
            <v>1366.1257992811459</v>
          </cell>
          <cell r="J361">
            <v>1343.7430262510779</v>
          </cell>
          <cell r="K361">
            <v>543.15582704502754</v>
          </cell>
          <cell r="L361">
            <v>2438.3595570567036</v>
          </cell>
          <cell r="M361">
            <v>800.5871992060504</v>
          </cell>
          <cell r="N361">
            <v>1094.6165308056256</v>
          </cell>
        </row>
        <row r="362">
          <cell r="A362" t="str">
            <v>CGI005-qtz05-CL-fit-3-offset</v>
          </cell>
          <cell r="B362">
            <v>750</v>
          </cell>
          <cell r="C362">
            <v>8.0537892000481889E-22</v>
          </cell>
          <cell r="D362">
            <v>1900</v>
          </cell>
          <cell r="E362">
            <v>1024</v>
          </cell>
          <cell r="F362">
            <v>1.85546875</v>
          </cell>
          <cell r="G362" t="str">
            <v>Interior</v>
          </cell>
          <cell r="I362">
            <v>1293.0997912740211</v>
          </cell>
          <cell r="J362">
            <v>1376.2136315744076</v>
          </cell>
          <cell r="K362">
            <v>334.31659612351245</v>
          </cell>
          <cell r="L362">
            <v>4776.8191420442308</v>
          </cell>
          <cell r="M362">
            <v>1041.8970354508951</v>
          </cell>
          <cell r="N362">
            <v>3400.6055104698235</v>
          </cell>
        </row>
        <row r="363">
          <cell r="A363" t="str">
            <v>CGI011-qtz01-CL-fit-4-offset</v>
          </cell>
          <cell r="B363">
            <v>750</v>
          </cell>
          <cell r="C363">
            <v>8.0537892000481889E-22</v>
          </cell>
          <cell r="D363">
            <v>2000</v>
          </cell>
          <cell r="E363">
            <v>1024</v>
          </cell>
          <cell r="F363">
            <v>1.953125</v>
          </cell>
          <cell r="G363" t="str">
            <v>Interior</v>
          </cell>
          <cell r="I363">
            <v>1507.5109228116492</v>
          </cell>
          <cell r="J363">
            <v>1413.1195224186974</v>
          </cell>
          <cell r="K363">
            <v>59.905433276745477</v>
          </cell>
          <cell r="L363">
            <v>4565.8204996880613</v>
          </cell>
          <cell r="M363">
            <v>1353.2140891419519</v>
          </cell>
          <cell r="N363">
            <v>3152.7009772693636</v>
          </cell>
        </row>
        <row r="364">
          <cell r="A364" t="str">
            <v>CGI008-qtz07-CL-fit-5-offset</v>
          </cell>
          <cell r="B364">
            <v>750</v>
          </cell>
          <cell r="C364">
            <v>8.0537892000481889E-22</v>
          </cell>
          <cell r="D364">
            <v>1900</v>
          </cell>
          <cell r="E364">
            <v>1024</v>
          </cell>
          <cell r="F364">
            <v>1.85546875</v>
          </cell>
          <cell r="G364" t="str">
            <v>Interior</v>
          </cell>
          <cell r="I364">
            <v>1418.9693623911498</v>
          </cell>
          <cell r="J364">
            <v>1475.782264230812</v>
          </cell>
          <cell r="K364">
            <v>108.51163233860895</v>
          </cell>
          <cell r="L364">
            <v>4679.4331978728587</v>
          </cell>
          <cell r="M364">
            <v>1367.270631892203</v>
          </cell>
          <cell r="N364">
            <v>3203.6509336420468</v>
          </cell>
        </row>
        <row r="365">
          <cell r="A365" t="str">
            <v>CGI018-qtz09-CL-fit-2-offset</v>
          </cell>
          <cell r="B365">
            <v>750</v>
          </cell>
          <cell r="C365">
            <v>8.0537892000481889E-22</v>
          </cell>
          <cell r="D365">
            <v>2250</v>
          </cell>
          <cell r="E365">
            <v>1024</v>
          </cell>
          <cell r="F365">
            <v>2.197265625</v>
          </cell>
          <cell r="G365" t="str">
            <v>Interior</v>
          </cell>
          <cell r="I365">
            <v>1042.7303729202097</v>
          </cell>
          <cell r="J365">
            <v>1483.6561501457488</v>
          </cell>
          <cell r="K365">
            <v>3.9684866667793514E-2</v>
          </cell>
          <cell r="L365">
            <v>11312.618682814851</v>
          </cell>
          <cell r="M365">
            <v>1483.616465279081</v>
          </cell>
          <cell r="N365">
            <v>9828.9625326691021</v>
          </cell>
        </row>
        <row r="366">
          <cell r="A366" t="str">
            <v>CGI005-qtz06-CL-fit-2-offset</v>
          </cell>
          <cell r="B366">
            <v>750</v>
          </cell>
          <cell r="C366">
            <v>8.0537892000481889E-22</v>
          </cell>
          <cell r="D366">
            <v>2050</v>
          </cell>
          <cell r="E366">
            <v>1024</v>
          </cell>
          <cell r="F366">
            <v>2.001953125</v>
          </cell>
          <cell r="G366" t="str">
            <v>Interior</v>
          </cell>
          <cell r="I366">
            <v>1498.4678808589056</v>
          </cell>
          <cell r="J366">
            <v>1503.2793801574458</v>
          </cell>
          <cell r="K366">
            <v>1032.9868260285527</v>
          </cell>
          <cell r="L366">
            <v>2073.4921910339131</v>
          </cell>
          <cell r="M366">
            <v>470.29255412889302</v>
          </cell>
          <cell r="N366">
            <v>570.2128108764673</v>
          </cell>
        </row>
        <row r="367">
          <cell r="A367" t="str">
            <v>CGI008-qtz04-CL-fit-2-offset</v>
          </cell>
          <cell r="B367">
            <v>750</v>
          </cell>
          <cell r="C367">
            <v>8.0537892000481889E-22</v>
          </cell>
          <cell r="D367">
            <v>2700</v>
          </cell>
          <cell r="E367">
            <v>1024</v>
          </cell>
          <cell r="F367">
            <v>2.63671875</v>
          </cell>
          <cell r="G367" t="str">
            <v>Interior</v>
          </cell>
          <cell r="I367">
            <v>1511.1097524618699</v>
          </cell>
          <cell r="J367">
            <v>1520.7328357146077</v>
          </cell>
          <cell r="K367">
            <v>3.4937441771758064</v>
          </cell>
          <cell r="L367">
            <v>2154.9421059614069</v>
          </cell>
          <cell r="M367">
            <v>1517.2390915374319</v>
          </cell>
          <cell r="N367">
            <v>634.20927024679918</v>
          </cell>
        </row>
        <row r="368">
          <cell r="A368" t="str">
            <v>CGI005-qtz12-CL-fit-2-offset</v>
          </cell>
          <cell r="B368">
            <v>750</v>
          </cell>
          <cell r="C368">
            <v>8.0537892000481889E-22</v>
          </cell>
          <cell r="D368">
            <v>2700</v>
          </cell>
          <cell r="E368">
            <v>1024</v>
          </cell>
          <cell r="F368">
            <v>2.63671875</v>
          </cell>
          <cell r="G368" t="str">
            <v>Interior</v>
          </cell>
          <cell r="I368">
            <v>1430.5944355015454</v>
          </cell>
          <cell r="J368">
            <v>1556.2877103135088</v>
          </cell>
          <cell r="K368">
            <v>588.56860945732387</v>
          </cell>
          <cell r="L368">
            <v>4626.8319560544278</v>
          </cell>
          <cell r="M368">
            <v>967.71910085618492</v>
          </cell>
          <cell r="N368">
            <v>3070.544245740919</v>
          </cell>
        </row>
        <row r="369">
          <cell r="A369" t="str">
            <v>CGI008-qtz07-CL-fit-4-offset</v>
          </cell>
          <cell r="B369">
            <v>750</v>
          </cell>
          <cell r="C369">
            <v>8.0537892000481889E-22</v>
          </cell>
          <cell r="D369">
            <v>1900</v>
          </cell>
          <cell r="E369">
            <v>1024</v>
          </cell>
          <cell r="F369">
            <v>1.85546875</v>
          </cell>
          <cell r="G369" t="str">
            <v>Interior</v>
          </cell>
          <cell r="I369">
            <v>1420.7754121312278</v>
          </cell>
          <cell r="J369">
            <v>1601.9334763155916</v>
          </cell>
          <cell r="K369">
            <v>13.212632012877593</v>
          </cell>
          <cell r="L369">
            <v>11468.219182649698</v>
          </cell>
          <cell r="M369">
            <v>1588.7208443027141</v>
          </cell>
          <cell r="N369">
            <v>9866.2857063341071</v>
          </cell>
        </row>
        <row r="370">
          <cell r="A370" t="str">
            <v>CGI005-qtz01-CL-fit-2</v>
          </cell>
          <cell r="B370">
            <v>750</v>
          </cell>
          <cell r="C370">
            <v>8.0537892000481889E-22</v>
          </cell>
          <cell r="D370">
            <v>1700</v>
          </cell>
          <cell r="E370">
            <v>1024</v>
          </cell>
          <cell r="F370">
            <v>1.66015625</v>
          </cell>
          <cell r="G370" t="str">
            <v>Interior</v>
          </cell>
          <cell r="I370">
            <v>1847.9244863225431</v>
          </cell>
          <cell r="J370">
            <v>1899.3967238572552</v>
          </cell>
          <cell r="K370">
            <v>916.6912142688733</v>
          </cell>
          <cell r="L370">
            <v>3836.7117617252825</v>
          </cell>
          <cell r="M370">
            <v>982.70550958838191</v>
          </cell>
          <cell r="N370">
            <v>1937.3150378680273</v>
          </cell>
        </row>
        <row r="371">
          <cell r="A371" t="str">
            <v>CGI008-qtz04-CL-fit-3-offset</v>
          </cell>
          <cell r="B371">
            <v>750</v>
          </cell>
          <cell r="C371">
            <v>8.0537892000481889E-22</v>
          </cell>
          <cell r="D371">
            <v>2700</v>
          </cell>
          <cell r="E371">
            <v>1024</v>
          </cell>
          <cell r="F371">
            <v>2.63671875</v>
          </cell>
          <cell r="G371" t="str">
            <v>Interior</v>
          </cell>
          <cell r="I371">
            <v>1919.1456748092044</v>
          </cell>
          <cell r="J371">
            <v>1924.5305824243542</v>
          </cell>
          <cell r="K371">
            <v>99.016071592514152</v>
          </cell>
          <cell r="L371">
            <v>494.39101710102886</v>
          </cell>
          <cell r="M371">
            <v>1825.51451083184</v>
          </cell>
          <cell r="N371">
            <v>-1430.1395653233253</v>
          </cell>
        </row>
        <row r="372">
          <cell r="A372" t="str">
            <v>CGI008-qtz06-CL-fit-3-offset</v>
          </cell>
          <cell r="B372">
            <v>750</v>
          </cell>
          <cell r="C372">
            <v>8.0537892000481889E-22</v>
          </cell>
          <cell r="D372">
            <v>1900</v>
          </cell>
          <cell r="E372">
            <v>1024</v>
          </cell>
          <cell r="F372">
            <v>1.85546875</v>
          </cell>
          <cell r="G372" t="str">
            <v>Interior</v>
          </cell>
          <cell r="I372">
            <v>1395.724244987503</v>
          </cell>
          <cell r="J372">
            <v>1940.0887897037637</v>
          </cell>
          <cell r="K372">
            <v>153.67267791015161</v>
          </cell>
          <cell r="L372">
            <v>9911.8524057164559</v>
          </cell>
          <cell r="M372">
            <v>1786.4161117936121</v>
          </cell>
          <cell r="N372">
            <v>7971.7636160126922</v>
          </cell>
        </row>
        <row r="373">
          <cell r="A373" t="str">
            <v>CGI001-qtz12-CL-fit-2-offset</v>
          </cell>
          <cell r="B373">
            <v>750</v>
          </cell>
          <cell r="C373">
            <v>8.0537892000481889E-22</v>
          </cell>
          <cell r="D373">
            <v>2100</v>
          </cell>
          <cell r="E373">
            <v>1024</v>
          </cell>
          <cell r="F373">
            <v>2.05078125</v>
          </cell>
          <cell r="G373" t="str">
            <v>Interior</v>
          </cell>
          <cell r="I373">
            <v>2263.7163911317703</v>
          </cell>
          <cell r="J373">
            <v>2282.5195585620945</v>
          </cell>
          <cell r="K373">
            <v>1141.5152628327889</v>
          </cell>
          <cell r="L373">
            <v>3888.5834418865325</v>
          </cell>
          <cell r="M373">
            <v>1141.0042957293056</v>
          </cell>
          <cell r="N373">
            <v>1606.0638833244379</v>
          </cell>
        </row>
        <row r="374">
          <cell r="A374" t="str">
            <v>CGI008-qtz07-CL-fit-3-offset</v>
          </cell>
          <cell r="B374">
            <v>750</v>
          </cell>
          <cell r="C374">
            <v>8.0537892000481889E-22</v>
          </cell>
          <cell r="D374">
            <v>1900</v>
          </cell>
          <cell r="E374">
            <v>1024</v>
          </cell>
          <cell r="F374">
            <v>1.85546875</v>
          </cell>
          <cell r="G374" t="str">
            <v>Interior</v>
          </cell>
          <cell r="I374">
            <v>2253.092297112044</v>
          </cell>
          <cell r="J374">
            <v>2605.231286647308</v>
          </cell>
          <cell r="K374">
            <v>185.35981127876624</v>
          </cell>
          <cell r="L374">
            <v>11143.527327916239</v>
          </cell>
          <cell r="M374">
            <v>2419.8714753685417</v>
          </cell>
          <cell r="N374">
            <v>8538.2960412689317</v>
          </cell>
        </row>
        <row r="375">
          <cell r="A375" t="str">
            <v>CGI018-qtz01-CL-fit-1-offset</v>
          </cell>
          <cell r="B375">
            <v>750</v>
          </cell>
          <cell r="C375">
            <v>8.0537892000481889E-22</v>
          </cell>
          <cell r="D375">
            <v>1700</v>
          </cell>
          <cell r="E375">
            <v>1024</v>
          </cell>
          <cell r="F375">
            <v>1.66015625</v>
          </cell>
          <cell r="G375" t="str">
            <v>Interior</v>
          </cell>
          <cell r="I375">
            <v>2791.8000742214313</v>
          </cell>
          <cell r="J375">
            <v>2868.2283424839989</v>
          </cell>
          <cell r="K375">
            <v>1803.5105180642959</v>
          </cell>
          <cell r="L375">
            <v>4411.3509641274513</v>
          </cell>
          <cell r="M375">
            <v>1064.717824419703</v>
          </cell>
          <cell r="N375">
            <v>1543.1226216434525</v>
          </cell>
        </row>
        <row r="376">
          <cell r="A376" t="str">
            <v>CGI011-qtz06-CL-fit-1-offset</v>
          </cell>
          <cell r="B376">
            <v>750</v>
          </cell>
          <cell r="C376">
            <v>8.0537892000481889E-22</v>
          </cell>
          <cell r="D376">
            <v>1650</v>
          </cell>
          <cell r="E376">
            <v>1024</v>
          </cell>
          <cell r="F376">
            <v>1.611328125</v>
          </cell>
          <cell r="G376" t="str">
            <v>Interior</v>
          </cell>
          <cell r="I376">
            <v>3373.8629898350091</v>
          </cell>
          <cell r="J376">
            <v>3420.3912142350364</v>
          </cell>
          <cell r="K376">
            <v>2210.0288972553203</v>
          </cell>
          <cell r="L376">
            <v>5190.2063147775316</v>
          </cell>
          <cell r="M376">
            <v>1210.3623169797161</v>
          </cell>
          <cell r="N376">
            <v>1769.8151005424952</v>
          </cell>
        </row>
        <row r="377">
          <cell r="A377" t="str">
            <v>CGI009-qtz02-CL-fit-1-offset</v>
          </cell>
          <cell r="B377">
            <v>750</v>
          </cell>
          <cell r="C377">
            <v>8.0537892000481889E-22</v>
          </cell>
          <cell r="D377">
            <v>1750</v>
          </cell>
          <cell r="E377">
            <v>1024</v>
          </cell>
          <cell r="F377">
            <v>1.708984375</v>
          </cell>
          <cell r="G377" t="str">
            <v>Interior</v>
          </cell>
          <cell r="I377">
            <v>3506.2801392207948</v>
          </cell>
          <cell r="J377">
            <v>3754.3082971000108</v>
          </cell>
          <cell r="K377">
            <v>1278.5270637981291</v>
          </cell>
          <cell r="L377">
            <v>8784.2627031041902</v>
          </cell>
          <cell r="M377">
            <v>2475.7812333018819</v>
          </cell>
          <cell r="N377">
            <v>5029.954406004179</v>
          </cell>
        </row>
        <row r="378">
          <cell r="A378" t="str">
            <v>CGI018-qtz08-CL-fit-1-offset</v>
          </cell>
          <cell r="B378">
            <v>750</v>
          </cell>
          <cell r="C378">
            <v>8.0537892000481889E-22</v>
          </cell>
          <cell r="D378">
            <v>2300</v>
          </cell>
          <cell r="E378">
            <v>1024</v>
          </cell>
          <cell r="F378">
            <v>2.24609375</v>
          </cell>
          <cell r="G378" t="str">
            <v>Interior</v>
          </cell>
          <cell r="I378">
            <v>5047.4699803299445</v>
          </cell>
          <cell r="J378">
            <v>4980.605176381122</v>
          </cell>
          <cell r="K378">
            <v>3597.3761562014752</v>
          </cell>
          <cell r="L378">
            <v>6720.2043200734715</v>
          </cell>
          <cell r="M378">
            <v>1383.2290201796468</v>
          </cell>
          <cell r="N378">
            <v>1739.5991436923496</v>
          </cell>
        </row>
        <row r="379">
          <cell r="A379" t="str">
            <v>CGI001-qtz01-CL-fit-2</v>
          </cell>
          <cell r="B379">
            <v>750</v>
          </cell>
          <cell r="C379">
            <v>8.0537892000481889E-22</v>
          </cell>
          <cell r="D379">
            <v>2100</v>
          </cell>
          <cell r="E379">
            <v>1024</v>
          </cell>
          <cell r="F379">
            <v>2.05078125</v>
          </cell>
          <cell r="G379" t="str">
            <v>Interior</v>
          </cell>
          <cell r="I379">
            <v>5086.2311676823801</v>
          </cell>
          <cell r="J379">
            <v>5117.758369658889</v>
          </cell>
          <cell r="K379">
            <v>3644.7718151952804</v>
          </cell>
          <cell r="L379">
            <v>7022.6611382616493</v>
          </cell>
          <cell r="M379">
            <v>1472.9865544636086</v>
          </cell>
          <cell r="N379">
            <v>1904.9027686027603</v>
          </cell>
        </row>
        <row r="380">
          <cell r="A380" t="str">
            <v>CGI014-qtz05-CL-fit-4-offset</v>
          </cell>
          <cell r="B380">
            <v>750</v>
          </cell>
          <cell r="C380">
            <v>8.0537892000481889E-22</v>
          </cell>
          <cell r="D380">
            <v>1900</v>
          </cell>
          <cell r="E380">
            <v>1024</v>
          </cell>
          <cell r="F380">
            <v>1.85546875</v>
          </cell>
          <cell r="G380" t="str">
            <v>Interior</v>
          </cell>
          <cell r="I380">
            <v>5978.7485971947635</v>
          </cell>
          <cell r="J380">
            <v>5915.9472235899711</v>
          </cell>
          <cell r="K380">
            <v>3541.0133246002201</v>
          </cell>
          <cell r="L380">
            <v>10173.116639752112</v>
          </cell>
          <cell r="M380">
            <v>2374.933898989751</v>
          </cell>
          <cell r="N380">
            <v>4257.1694161621408</v>
          </cell>
        </row>
        <row r="382">
          <cell r="A382" t="str">
            <v>CGI018-qtz12-CL-fit-7-offset</v>
          </cell>
          <cell r="B382">
            <v>750</v>
          </cell>
          <cell r="C382">
            <v>8.0537892000481889E-22</v>
          </cell>
          <cell r="D382">
            <v>1800</v>
          </cell>
          <cell r="E382">
            <v>1024</v>
          </cell>
          <cell r="F382">
            <v>1.7578125</v>
          </cell>
          <cell r="G382" t="str">
            <v>RIm</v>
          </cell>
          <cell r="I382">
            <v>0.31560715000389578</v>
          </cell>
          <cell r="J382">
            <v>0.37440823997873945</v>
          </cell>
          <cell r="K382">
            <v>0.30496659159695405</v>
          </cell>
          <cell r="L382">
            <v>0.32908201523227953</v>
          </cell>
          <cell r="M382">
            <v>6.9441648381785404E-2</v>
          </cell>
          <cell r="N382">
            <v>-4.532622474645992E-2</v>
          </cell>
        </row>
        <row r="383">
          <cell r="A383" t="str">
            <v>CGI001-qtz02-CL-fit-4-offset</v>
          </cell>
          <cell r="B383">
            <v>750</v>
          </cell>
          <cell r="C383">
            <v>8.0537892000481889E-22</v>
          </cell>
          <cell r="D383">
            <v>1700</v>
          </cell>
          <cell r="E383">
            <v>1024</v>
          </cell>
          <cell r="F383">
            <v>1.66015625</v>
          </cell>
          <cell r="G383" t="str">
            <v>Rim</v>
          </cell>
          <cell r="I383">
            <v>1.1008848618220943</v>
          </cell>
          <cell r="J383">
            <v>2.1032350063238625</v>
          </cell>
          <cell r="K383">
            <v>1.1645040047624379E-13</v>
          </cell>
          <cell r="L383">
            <v>34.043528522496267</v>
          </cell>
          <cell r="M383">
            <v>2.1032350063237462</v>
          </cell>
          <cell r="N383">
            <v>31.940293516172403</v>
          </cell>
        </row>
        <row r="384">
          <cell r="A384" t="str">
            <v>CGI001-qtz05-CL-fit-4-offset</v>
          </cell>
          <cell r="B384">
            <v>750</v>
          </cell>
          <cell r="C384">
            <v>8.0537892000481889E-22</v>
          </cell>
          <cell r="D384">
            <v>1800</v>
          </cell>
          <cell r="E384">
            <v>1024</v>
          </cell>
          <cell r="F384">
            <v>1.7578125</v>
          </cell>
          <cell r="G384" t="str">
            <v>Rim</v>
          </cell>
          <cell r="I384">
            <v>1.4653154368902925</v>
          </cell>
          <cell r="J384">
            <v>2.1086827257956267</v>
          </cell>
          <cell r="K384">
            <v>6.3538008894312567E-3</v>
          </cell>
          <cell r="L384">
            <v>14.966759772946755</v>
          </cell>
          <cell r="M384">
            <v>2.1023289249061956</v>
          </cell>
          <cell r="N384">
            <v>12.858077047151129</v>
          </cell>
        </row>
        <row r="385">
          <cell r="A385" t="str">
            <v>CGI001-qtz04-CL-fit-4-offset</v>
          </cell>
          <cell r="B385">
            <v>750</v>
          </cell>
          <cell r="C385">
            <v>8.0537892000481889E-22</v>
          </cell>
          <cell r="D385">
            <v>2050</v>
          </cell>
          <cell r="E385">
            <v>1024</v>
          </cell>
          <cell r="F385">
            <v>2.001953125</v>
          </cell>
          <cell r="G385" t="str">
            <v>Rim</v>
          </cell>
          <cell r="I385">
            <v>3.0504216750630868</v>
          </cell>
          <cell r="J385">
            <v>3.4199699817336802</v>
          </cell>
          <cell r="K385">
            <v>2.631397211700548E-2</v>
          </cell>
          <cell r="L385">
            <v>31.193335233940243</v>
          </cell>
          <cell r="M385">
            <v>3.3936560096166746</v>
          </cell>
          <cell r="N385">
            <v>27.773365252206563</v>
          </cell>
        </row>
        <row r="386">
          <cell r="A386" t="str">
            <v>CGI001-qtz03-CL-fit-4-offset</v>
          </cell>
          <cell r="B386">
            <v>750</v>
          </cell>
          <cell r="C386">
            <v>8.0537892000481889E-22</v>
          </cell>
          <cell r="D386">
            <v>1900</v>
          </cell>
          <cell r="E386">
            <v>1024</v>
          </cell>
          <cell r="F386">
            <v>1.85546875</v>
          </cell>
          <cell r="G386" t="str">
            <v>Rim</v>
          </cell>
          <cell r="I386">
            <v>2.1738457953832437</v>
          </cell>
          <cell r="J386">
            <v>3.5809042014511565</v>
          </cell>
          <cell r="K386">
            <v>1.7577914413635859E-9</v>
          </cell>
          <cell r="L386">
            <v>28.224837639063203</v>
          </cell>
          <cell r="M386">
            <v>3.5809041996933653</v>
          </cell>
          <cell r="N386">
            <v>24.643933437612048</v>
          </cell>
        </row>
        <row r="387">
          <cell r="A387" t="str">
            <v>CGI008-qtz11-CL-fit-4-offset</v>
          </cell>
          <cell r="B387">
            <v>750</v>
          </cell>
          <cell r="C387">
            <v>8.0537892000481889E-22</v>
          </cell>
          <cell r="D387">
            <v>1800</v>
          </cell>
          <cell r="E387">
            <v>1024</v>
          </cell>
          <cell r="F387">
            <v>1.7578125</v>
          </cell>
          <cell r="G387" t="str">
            <v>Rim</v>
          </cell>
          <cell r="I387">
            <v>4.7177048582409933</v>
          </cell>
          <cell r="J387">
            <v>9.8239366106047541</v>
          </cell>
          <cell r="K387">
            <v>3.546326706034508E-3</v>
          </cell>
          <cell r="L387">
            <v>91.044991343533425</v>
          </cell>
          <cell r="M387">
            <v>9.8203902838987194</v>
          </cell>
          <cell r="N387">
            <v>81.221054732928678</v>
          </cell>
        </row>
        <row r="388">
          <cell r="A388" t="str">
            <v>CGI009-qtz10-CL-fit-5-offset</v>
          </cell>
          <cell r="B388">
            <v>750</v>
          </cell>
          <cell r="C388">
            <v>8.0537892000481889E-22</v>
          </cell>
          <cell r="D388">
            <v>1900</v>
          </cell>
          <cell r="E388">
            <v>1024</v>
          </cell>
          <cell r="F388">
            <v>1.85546875</v>
          </cell>
          <cell r="G388" t="str">
            <v>Rim</v>
          </cell>
          <cell r="I388">
            <v>6.1788815248045088</v>
          </cell>
          <cell r="J388">
            <v>10.037448763234634</v>
          </cell>
          <cell r="K388">
            <v>8.1784684527768159E-2</v>
          </cell>
          <cell r="L388">
            <v>67.33468066028378</v>
          </cell>
          <cell r="M388">
            <v>9.9556640787068655</v>
          </cell>
          <cell r="N388">
            <v>57.297231897049144</v>
          </cell>
        </row>
        <row r="389">
          <cell r="A389" t="str">
            <v>CGI015-qtz02-CL-fit-4-offset</v>
          </cell>
          <cell r="B389">
            <v>750</v>
          </cell>
          <cell r="C389">
            <v>8.0537892000481889E-22</v>
          </cell>
          <cell r="D389">
            <v>1550</v>
          </cell>
          <cell r="E389">
            <v>1024</v>
          </cell>
          <cell r="F389">
            <v>1.513671875</v>
          </cell>
          <cell r="G389" t="str">
            <v>Rim</v>
          </cell>
          <cell r="I389">
            <v>17.418851841083622</v>
          </cell>
          <cell r="J389">
            <v>14.999675680308387</v>
          </cell>
          <cell r="K389">
            <v>0.11118404814089591</v>
          </cell>
          <cell r="L389">
            <v>47.114551789696172</v>
          </cell>
          <cell r="M389">
            <v>14.888491632167492</v>
          </cell>
          <cell r="N389">
            <v>32.114876109387787</v>
          </cell>
        </row>
        <row r="390">
          <cell r="A390" t="str">
            <v>CGI014-qtz04-CL-fit-3-offset</v>
          </cell>
          <cell r="B390">
            <v>750</v>
          </cell>
          <cell r="C390">
            <v>8.0537892000481889E-22</v>
          </cell>
          <cell r="D390">
            <v>1600</v>
          </cell>
          <cell r="E390">
            <v>1024</v>
          </cell>
          <cell r="F390">
            <v>1.5625</v>
          </cell>
          <cell r="G390" t="str">
            <v>Rim</v>
          </cell>
          <cell r="I390">
            <v>4.5803493520661531</v>
          </cell>
          <cell r="J390">
            <v>15.114616788079243</v>
          </cell>
          <cell r="K390">
            <v>0.25402925432351647</v>
          </cell>
          <cell r="L390">
            <v>132.94072588366859</v>
          </cell>
          <cell r="M390">
            <v>14.860587533755726</v>
          </cell>
          <cell r="N390">
            <v>117.82610909558935</v>
          </cell>
        </row>
        <row r="391">
          <cell r="A391" t="str">
            <v>CGI015-qtz11-CL-fit-7-offset</v>
          </cell>
          <cell r="B391">
            <v>750</v>
          </cell>
          <cell r="C391">
            <v>8.0537892000481889E-22</v>
          </cell>
          <cell r="D391">
            <v>1700</v>
          </cell>
          <cell r="E391">
            <v>1024</v>
          </cell>
          <cell r="F391">
            <v>1.66015625</v>
          </cell>
          <cell r="G391" t="str">
            <v>Rim</v>
          </cell>
          <cell r="I391">
            <v>17.134863468840088</v>
          </cell>
          <cell r="J391">
            <v>19.085497857626311</v>
          </cell>
          <cell r="K391">
            <v>0.19422873066699509</v>
          </cell>
          <cell r="L391">
            <v>103.20412669165428</v>
          </cell>
          <cell r="M391">
            <v>18.891269126959315</v>
          </cell>
          <cell r="N391">
            <v>84.118628834027973</v>
          </cell>
        </row>
        <row r="392">
          <cell r="A392" t="str">
            <v>CGI015-qtz01-CL-fit-6-offset</v>
          </cell>
          <cell r="B392">
            <v>750</v>
          </cell>
          <cell r="C392">
            <v>8.0537892000481889E-22</v>
          </cell>
          <cell r="D392">
            <v>1800</v>
          </cell>
          <cell r="E392">
            <v>1024</v>
          </cell>
          <cell r="F392">
            <v>1.7578125</v>
          </cell>
          <cell r="G392" t="str">
            <v>Rim</v>
          </cell>
          <cell r="I392">
            <v>18.673899252885626</v>
          </cell>
          <cell r="J392">
            <v>20.856984604020287</v>
          </cell>
          <cell r="K392">
            <v>0.25096879429829627</v>
          </cell>
          <cell r="L392">
            <v>112.29015574295113</v>
          </cell>
          <cell r="M392">
            <v>20.606015809721992</v>
          </cell>
          <cell r="N392">
            <v>91.433171138930845</v>
          </cell>
        </row>
        <row r="393">
          <cell r="A393" t="str">
            <v>CGI014-qtz05-CL-fit-6-offset</v>
          </cell>
          <cell r="B393">
            <v>750</v>
          </cell>
          <cell r="C393">
            <v>8.0537892000481889E-22</v>
          </cell>
          <cell r="D393">
            <v>1900</v>
          </cell>
          <cell r="E393">
            <v>1024</v>
          </cell>
          <cell r="F393">
            <v>1.85546875</v>
          </cell>
          <cell r="G393" t="str">
            <v>Rim</v>
          </cell>
          <cell r="I393">
            <v>22.208003572052515</v>
          </cell>
          <cell r="J393">
            <v>21.320811113790125</v>
          </cell>
          <cell r="K393">
            <v>1.4987759936008203</v>
          </cell>
          <cell r="L393">
            <v>103.71005786290978</v>
          </cell>
          <cell r="M393">
            <v>19.822035120189305</v>
          </cell>
          <cell r="N393">
            <v>82.38924674911965</v>
          </cell>
        </row>
        <row r="394">
          <cell r="A394" t="str">
            <v>CGI008-qtz01-CL-fit-5-offset</v>
          </cell>
          <cell r="B394">
            <v>750</v>
          </cell>
          <cell r="C394">
            <v>8.0537892000481889E-22</v>
          </cell>
          <cell r="D394">
            <v>1500</v>
          </cell>
          <cell r="E394">
            <v>1024</v>
          </cell>
          <cell r="F394">
            <v>1.46484375</v>
          </cell>
          <cell r="G394" t="str">
            <v>Rim</v>
          </cell>
          <cell r="I394">
            <v>22.611902556875982</v>
          </cell>
          <cell r="J394">
            <v>22.947955255301263</v>
          </cell>
          <cell r="K394">
            <v>1.0800936278943969</v>
          </cell>
          <cell r="L394">
            <v>61.868233908320498</v>
          </cell>
          <cell r="M394">
            <v>21.867861627406867</v>
          </cell>
          <cell r="N394">
            <v>38.920278653019238</v>
          </cell>
        </row>
        <row r="395">
          <cell r="A395" t="str">
            <v>CGI001-qtz12-CL-fit-4-offset</v>
          </cell>
          <cell r="B395">
            <v>750</v>
          </cell>
          <cell r="C395">
            <v>8.0537892000481889E-22</v>
          </cell>
          <cell r="D395">
            <v>2100</v>
          </cell>
          <cell r="E395">
            <v>1024</v>
          </cell>
          <cell r="F395">
            <v>2.05078125</v>
          </cell>
          <cell r="G395" t="str">
            <v>Rim</v>
          </cell>
          <cell r="I395">
            <v>29.867772937744768</v>
          </cell>
          <cell r="J395">
            <v>27.01109297962163</v>
          </cell>
          <cell r="K395">
            <v>4.622826714498396E-6</v>
          </cell>
          <cell r="L395">
            <v>121.30856084816124</v>
          </cell>
          <cell r="M395">
            <v>27.011088356794914</v>
          </cell>
          <cell r="N395">
            <v>94.297467868539599</v>
          </cell>
        </row>
        <row r="396">
          <cell r="A396" t="str">
            <v>CGI008-qtz10-CL-fit-4-offset</v>
          </cell>
          <cell r="B396">
            <v>750</v>
          </cell>
          <cell r="C396">
            <v>8.0537892000481889E-22</v>
          </cell>
          <cell r="D396">
            <v>1800</v>
          </cell>
          <cell r="E396">
            <v>1024</v>
          </cell>
          <cell r="F396">
            <v>1.7578125</v>
          </cell>
          <cell r="G396" t="str">
            <v>Rim</v>
          </cell>
          <cell r="I396">
            <v>21.713174462077543</v>
          </cell>
          <cell r="J396">
            <v>27.314055978234428</v>
          </cell>
          <cell r="K396">
            <v>8.2427274841184988E-3</v>
          </cell>
          <cell r="L396">
            <v>146.82170476058539</v>
          </cell>
          <cell r="M396">
            <v>27.305813250750308</v>
          </cell>
          <cell r="N396">
            <v>119.50764878235097</v>
          </cell>
        </row>
        <row r="397">
          <cell r="A397" t="str">
            <v>CGI001-qtz10-CL-fit-5-offset</v>
          </cell>
          <cell r="B397">
            <v>750</v>
          </cell>
          <cell r="C397">
            <v>8.0537892000481889E-22</v>
          </cell>
          <cell r="D397">
            <v>2000</v>
          </cell>
          <cell r="E397">
            <v>1024</v>
          </cell>
          <cell r="F397">
            <v>1.953125</v>
          </cell>
          <cell r="G397" t="str">
            <v>Rim</v>
          </cell>
          <cell r="I397">
            <v>30.787311109053263</v>
          </cell>
          <cell r="J397">
            <v>27.480943837535357</v>
          </cell>
          <cell r="K397">
            <v>1.3188896080976245</v>
          </cell>
          <cell r="L397">
            <v>98.218263807071835</v>
          </cell>
          <cell r="M397">
            <v>26.162054229437732</v>
          </cell>
          <cell r="N397">
            <v>70.737319969536486</v>
          </cell>
        </row>
        <row r="398">
          <cell r="A398" t="str">
            <v>CGI014-qtz11-CL-fit-5-offset</v>
          </cell>
          <cell r="B398">
            <v>750</v>
          </cell>
          <cell r="C398">
            <v>8.0537892000481889E-22</v>
          </cell>
          <cell r="D398">
            <v>1500</v>
          </cell>
          <cell r="E398">
            <v>1024</v>
          </cell>
          <cell r="F398">
            <v>1.46484375</v>
          </cell>
          <cell r="G398" t="str">
            <v>Rim</v>
          </cell>
          <cell r="I398">
            <v>31.391710850805339</v>
          </cell>
          <cell r="J398">
            <v>28.494821323266848</v>
          </cell>
          <cell r="K398">
            <v>1.1031225812102408</v>
          </cell>
          <cell r="L398">
            <v>98.761825902393497</v>
          </cell>
          <cell r="M398">
            <v>27.391698742056608</v>
          </cell>
          <cell r="N398">
            <v>70.267004579126649</v>
          </cell>
        </row>
        <row r="399">
          <cell r="A399" t="str">
            <v>CGI009-qtz07-CL-fit-4-offset</v>
          </cell>
          <cell r="B399">
            <v>750</v>
          </cell>
          <cell r="C399">
            <v>8.0537892000481889E-22</v>
          </cell>
          <cell r="D399">
            <v>1200</v>
          </cell>
          <cell r="E399">
            <v>1024</v>
          </cell>
          <cell r="F399">
            <v>1.171875</v>
          </cell>
          <cell r="G399" t="str">
            <v>Rim</v>
          </cell>
          <cell r="I399">
            <v>29.748359522309592</v>
          </cell>
          <cell r="J399">
            <v>36.084299105782755</v>
          </cell>
          <cell r="K399">
            <v>1.7190879406989215E-11</v>
          </cell>
          <cell r="L399">
            <v>294.66984818116902</v>
          </cell>
          <cell r="M399">
            <v>36.084299105765567</v>
          </cell>
          <cell r="N399">
            <v>258.58554907538627</v>
          </cell>
        </row>
        <row r="400">
          <cell r="A400" t="str">
            <v>CGI018-qtz02-CL-fit-5-offset</v>
          </cell>
          <cell r="B400">
            <v>750</v>
          </cell>
          <cell r="C400">
            <v>8.0537892000481889E-22</v>
          </cell>
          <cell r="D400">
            <v>1750</v>
          </cell>
          <cell r="E400">
            <v>1024</v>
          </cell>
          <cell r="F400">
            <v>1.708984375</v>
          </cell>
          <cell r="G400" t="str">
            <v>Rim</v>
          </cell>
          <cell r="I400">
            <v>39.625330330071613</v>
          </cell>
          <cell r="J400">
            <v>41.35252724542044</v>
          </cell>
          <cell r="K400">
            <v>4.0917560668643702</v>
          </cell>
          <cell r="L400">
            <v>128.86106255205419</v>
          </cell>
          <cell r="M400">
            <v>37.26077117855607</v>
          </cell>
          <cell r="N400">
            <v>87.508535306633746</v>
          </cell>
        </row>
        <row r="401">
          <cell r="A401" t="str">
            <v>CGI001-qtz08-CL-fit-4-offset</v>
          </cell>
          <cell r="B401">
            <v>750</v>
          </cell>
          <cell r="C401">
            <v>8.0537892000481889E-22</v>
          </cell>
          <cell r="D401">
            <v>1500</v>
          </cell>
          <cell r="E401">
            <v>1024</v>
          </cell>
          <cell r="F401">
            <v>1.46484375</v>
          </cell>
          <cell r="G401" t="str">
            <v>Rim</v>
          </cell>
          <cell r="I401">
            <v>54.722906280097646</v>
          </cell>
          <cell r="J401">
            <v>48.23842321360457</v>
          </cell>
          <cell r="K401">
            <v>1.7055893023630042</v>
          </cell>
          <cell r="L401">
            <v>145.25630250273568</v>
          </cell>
          <cell r="M401">
            <v>46.532833911241568</v>
          </cell>
          <cell r="N401">
            <v>97.017879289131116</v>
          </cell>
        </row>
        <row r="402">
          <cell r="A402" t="str">
            <v>CGI009-qtz11-CL-fit-5-offset</v>
          </cell>
          <cell r="B402">
            <v>750</v>
          </cell>
          <cell r="C402">
            <v>8.0537892000481889E-22</v>
          </cell>
          <cell r="D402">
            <v>1700</v>
          </cell>
          <cell r="E402">
            <v>1024</v>
          </cell>
          <cell r="F402">
            <v>1.66015625</v>
          </cell>
          <cell r="G402" t="str">
            <v>Rim</v>
          </cell>
          <cell r="I402">
            <v>54.622401380683677</v>
          </cell>
          <cell r="J402">
            <v>55.00672964457933</v>
          </cell>
          <cell r="K402">
            <v>2.162349415527602</v>
          </cell>
          <cell r="L402">
            <v>117.47385591917855</v>
          </cell>
          <cell r="M402">
            <v>52.84438022905173</v>
          </cell>
          <cell r="N402">
            <v>62.467126274599217</v>
          </cell>
        </row>
        <row r="403">
          <cell r="A403" t="str">
            <v>CGI015-qtz12-CL-fit-4-offset</v>
          </cell>
          <cell r="B403">
            <v>750</v>
          </cell>
          <cell r="C403">
            <v>8.0537892000481889E-22</v>
          </cell>
          <cell r="D403">
            <v>2300</v>
          </cell>
          <cell r="E403">
            <v>1024</v>
          </cell>
          <cell r="F403">
            <v>2.24609375</v>
          </cell>
          <cell r="G403" t="str">
            <v>Rim</v>
          </cell>
          <cell r="I403">
            <v>60.613785717272862</v>
          </cell>
          <cell r="J403">
            <v>56.520457705949738</v>
          </cell>
          <cell r="K403">
            <v>2.7605906367795958</v>
          </cell>
          <cell r="L403">
            <v>146.09670442769402</v>
          </cell>
          <cell r="M403">
            <v>53.759867069170141</v>
          </cell>
          <cell r="N403">
            <v>89.576246721744283</v>
          </cell>
        </row>
        <row r="404">
          <cell r="A404" t="str">
            <v>CGI008-qtz05-CL-fit-4-offset</v>
          </cell>
          <cell r="B404">
            <v>750</v>
          </cell>
          <cell r="C404">
            <v>8.0537892000481889E-22</v>
          </cell>
          <cell r="D404">
            <v>1450</v>
          </cell>
          <cell r="E404">
            <v>1024</v>
          </cell>
          <cell r="F404">
            <v>1.416015625</v>
          </cell>
          <cell r="G404" t="str">
            <v>RIm</v>
          </cell>
          <cell r="I404">
            <v>68.755979169225142</v>
          </cell>
          <cell r="J404">
            <v>66.196217206270717</v>
          </cell>
          <cell r="K404">
            <v>10.028638230334296</v>
          </cell>
          <cell r="L404">
            <v>141.93437120799567</v>
          </cell>
          <cell r="M404">
            <v>56.167578975936422</v>
          </cell>
          <cell r="N404">
            <v>75.738154001724951</v>
          </cell>
        </row>
        <row r="405">
          <cell r="A405" t="str">
            <v>CGI018-qtz11-CL-fit-6-offset</v>
          </cell>
          <cell r="B405">
            <v>750</v>
          </cell>
          <cell r="C405">
            <v>8.0537892000481889E-22</v>
          </cell>
          <cell r="D405">
            <v>1250</v>
          </cell>
          <cell r="E405">
            <v>1024</v>
          </cell>
          <cell r="F405">
            <v>1.220703125</v>
          </cell>
          <cell r="G405" t="str">
            <v>Rim</v>
          </cell>
          <cell r="I405">
            <v>27.453114332541976</v>
          </cell>
          <cell r="J405">
            <v>79.196642810668649</v>
          </cell>
          <cell r="K405">
            <v>5.5896909748405825E-2</v>
          </cell>
          <cell r="L405">
            <v>696.51514945823499</v>
          </cell>
          <cell r="M405">
            <v>79.140745900920237</v>
          </cell>
          <cell r="N405">
            <v>617.31850664756632</v>
          </cell>
        </row>
        <row r="406">
          <cell r="A406" t="str">
            <v>CGI001-qtz06-CL-fit-4-offset</v>
          </cell>
          <cell r="B406">
            <v>750</v>
          </cell>
          <cell r="C406">
            <v>8.0537892000481889E-22</v>
          </cell>
          <cell r="D406">
            <v>1500</v>
          </cell>
          <cell r="E406">
            <v>1024</v>
          </cell>
          <cell r="F406">
            <v>1.46484375</v>
          </cell>
          <cell r="G406" t="str">
            <v>Rim</v>
          </cell>
          <cell r="I406">
            <v>90.277711592026336</v>
          </cell>
          <cell r="J406">
            <v>88.979441883008903</v>
          </cell>
          <cell r="K406">
            <v>55.385864370450165</v>
          </cell>
          <cell r="L406">
            <v>133.96392758824817</v>
          </cell>
          <cell r="M406">
            <v>33.593577512558738</v>
          </cell>
          <cell r="N406">
            <v>44.984485705239265</v>
          </cell>
        </row>
        <row r="407">
          <cell r="A407" t="str">
            <v>CGI005-qtz01-CL-fit-4-offset</v>
          </cell>
          <cell r="B407">
            <v>750</v>
          </cell>
          <cell r="C407">
            <v>8.0537892000481889E-22</v>
          </cell>
          <cell r="D407">
            <v>1700</v>
          </cell>
          <cell r="E407">
            <v>1024</v>
          </cell>
          <cell r="F407">
            <v>1.66015625</v>
          </cell>
          <cell r="G407" t="str">
            <v>Rim</v>
          </cell>
          <cell r="I407">
            <v>94.508104346599026</v>
          </cell>
          <cell r="J407">
            <v>91.375086146466302</v>
          </cell>
          <cell r="K407">
            <v>22.819882654141541</v>
          </cell>
          <cell r="L407">
            <v>170.6574669091118</v>
          </cell>
          <cell r="M407">
            <v>68.555203492324765</v>
          </cell>
          <cell r="N407">
            <v>79.282380762645502</v>
          </cell>
        </row>
        <row r="408">
          <cell r="A408" t="str">
            <v>CGI011-qtz01-CL-fit-5-offset</v>
          </cell>
          <cell r="B408">
            <v>750</v>
          </cell>
          <cell r="C408">
            <v>8.0537892000481889E-22</v>
          </cell>
          <cell r="D408">
            <v>2000</v>
          </cell>
          <cell r="E408">
            <v>1024</v>
          </cell>
          <cell r="F408">
            <v>1.953125</v>
          </cell>
          <cell r="G408" t="str">
            <v>Rim</v>
          </cell>
          <cell r="I408">
            <v>89.478312331153717</v>
          </cell>
          <cell r="J408">
            <v>92.235248545000189</v>
          </cell>
          <cell r="K408">
            <v>2.3497426658967768</v>
          </cell>
          <cell r="L408">
            <v>317.75572762172987</v>
          </cell>
          <cell r="M408">
            <v>89.88550587910342</v>
          </cell>
          <cell r="N408">
            <v>225.52047907672969</v>
          </cell>
        </row>
        <row r="409">
          <cell r="A409" t="str">
            <v>CGI015-qtz12-CL-fit-5-offset</v>
          </cell>
          <cell r="B409">
            <v>750</v>
          </cell>
          <cell r="C409">
            <v>8.0537892000481889E-22</v>
          </cell>
          <cell r="D409">
            <v>2300</v>
          </cell>
          <cell r="E409">
            <v>1024</v>
          </cell>
          <cell r="F409">
            <v>2.24609375</v>
          </cell>
          <cell r="G409" t="str">
            <v>Rim</v>
          </cell>
          <cell r="I409">
            <v>133.10771424920085</v>
          </cell>
          <cell r="J409">
            <v>135.78607797587108</v>
          </cell>
          <cell r="K409">
            <v>3.5088091418724168</v>
          </cell>
          <cell r="L409">
            <v>391.5237210616063</v>
          </cell>
          <cell r="M409">
            <v>132.27726883399868</v>
          </cell>
          <cell r="N409">
            <v>255.73764308573521</v>
          </cell>
        </row>
        <row r="410">
          <cell r="A410" t="str">
            <v>CGI005-qtz12-CL-fit-4-offset</v>
          </cell>
          <cell r="B410">
            <v>750</v>
          </cell>
          <cell r="C410">
            <v>8.0537892000481889E-22</v>
          </cell>
          <cell r="D410">
            <v>2700</v>
          </cell>
          <cell r="E410">
            <v>1024</v>
          </cell>
          <cell r="F410">
            <v>2.63671875</v>
          </cell>
          <cell r="G410" t="str">
            <v>Rim</v>
          </cell>
          <cell r="I410">
            <v>143.20252966908811</v>
          </cell>
          <cell r="J410">
            <v>139.46194757571331</v>
          </cell>
          <cell r="K410">
            <v>9.057927761227754</v>
          </cell>
          <cell r="L410">
            <v>288.38511568453157</v>
          </cell>
          <cell r="M410">
            <v>130.40401981448557</v>
          </cell>
          <cell r="N410">
            <v>148.92316810881826</v>
          </cell>
        </row>
        <row r="411">
          <cell r="A411" t="str">
            <v>CGI009-qtz06-CL-fit-5-offset</v>
          </cell>
          <cell r="B411">
            <v>750</v>
          </cell>
          <cell r="C411">
            <v>8.0537892000481889E-22</v>
          </cell>
          <cell r="D411">
            <v>2000</v>
          </cell>
          <cell r="E411">
            <v>1024</v>
          </cell>
          <cell r="F411">
            <v>1.953125</v>
          </cell>
          <cell r="G411" t="str">
            <v>Rim</v>
          </cell>
          <cell r="I411">
            <v>189.97379093997546</v>
          </cell>
          <cell r="J411">
            <v>191.52809919517156</v>
          </cell>
          <cell r="K411">
            <v>58.068407272223212</v>
          </cell>
          <cell r="L411">
            <v>407.82121214684236</v>
          </cell>
          <cell r="M411">
            <v>133.45969192294837</v>
          </cell>
          <cell r="N411">
            <v>216.29311295167079</v>
          </cell>
        </row>
        <row r="412">
          <cell r="A412" t="str">
            <v>CGI008-qtz12-CL-fit-3-offset</v>
          </cell>
          <cell r="B412">
            <v>750</v>
          </cell>
          <cell r="C412">
            <v>8.0537892000481889E-22</v>
          </cell>
          <cell r="D412">
            <v>1700</v>
          </cell>
          <cell r="E412">
            <v>1024</v>
          </cell>
          <cell r="F412">
            <v>1.66015625</v>
          </cell>
          <cell r="G412" t="str">
            <v>Rim</v>
          </cell>
          <cell r="I412">
            <v>307.31515888534403</v>
          </cell>
          <cell r="J412">
            <v>304.67507362215139</v>
          </cell>
          <cell r="K412">
            <v>112.97680980518253</v>
          </cell>
          <cell r="L412">
            <v>536.87698277753861</v>
          </cell>
          <cell r="M412">
            <v>191.69826381696885</v>
          </cell>
          <cell r="N412">
            <v>232.20190915538723</v>
          </cell>
        </row>
        <row r="413">
          <cell r="A413" t="str">
            <v>CGI001-qtz01-CL-fit-4</v>
          </cell>
          <cell r="B413">
            <v>750</v>
          </cell>
          <cell r="C413">
            <v>8.0537892000481889E-22</v>
          </cell>
          <cell r="D413">
            <v>2100</v>
          </cell>
          <cell r="E413">
            <v>1024</v>
          </cell>
          <cell r="F413">
            <v>2.05078125</v>
          </cell>
          <cell r="G413" t="str">
            <v>Rim</v>
          </cell>
          <cell r="I413">
            <v>341.93744865109056</v>
          </cell>
          <cell r="J413">
            <v>316.12319347664436</v>
          </cell>
          <cell r="K413">
            <v>14.222848287502664</v>
          </cell>
          <cell r="L413">
            <v>656.02489512221177</v>
          </cell>
          <cell r="M413">
            <v>301.90034518914172</v>
          </cell>
          <cell r="N413">
            <v>339.90170164556741</v>
          </cell>
        </row>
        <row r="414">
          <cell r="A414" t="str">
            <v>CGI005-qtz01-CL-fit-5-offset</v>
          </cell>
          <cell r="B414">
            <v>750</v>
          </cell>
          <cell r="C414">
            <v>8.0537892000481889E-22</v>
          </cell>
          <cell r="D414">
            <v>1700</v>
          </cell>
          <cell r="E414">
            <v>1024</v>
          </cell>
          <cell r="F414">
            <v>1.66015625</v>
          </cell>
          <cell r="G414" t="str">
            <v>Rim</v>
          </cell>
          <cell r="I414">
            <v>392.19933493556044</v>
          </cell>
          <cell r="J414">
            <v>419.75867788100334</v>
          </cell>
          <cell r="K414">
            <v>178.31347842681541</v>
          </cell>
          <cell r="L414">
            <v>885.13876352370517</v>
          </cell>
          <cell r="M414">
            <v>241.44519945418793</v>
          </cell>
          <cell r="N414">
            <v>465.38008564270183</v>
          </cell>
        </row>
      </sheetData>
      <sheetData sheetId="4" refreshError="1"/>
      <sheetData sheetId="5" refreshError="1"/>
      <sheetData sheetId="6" refreshError="1">
        <row r="1">
          <cell r="A1" t="str">
            <v>L (2*sqrt[Dt]) [a]</v>
          </cell>
          <cell r="B1" t="str">
            <v>T</v>
          </cell>
          <cell r="C1" t="str">
            <v>D</v>
          </cell>
          <cell r="D1" t="str">
            <v>View Field</v>
          </cell>
          <cell r="E1" t="str">
            <v>Img Width</v>
          </cell>
          <cell r="F1" t="str">
            <v>Resolution</v>
          </cell>
          <cell r="H1" t="str">
            <v>Profile 1</v>
          </cell>
          <cell r="I1" t="str">
            <v>Profile 2</v>
          </cell>
          <cell r="J1" t="str">
            <v>Profile 3</v>
          </cell>
          <cell r="K1" t="str">
            <v>Profile 4</v>
          </cell>
          <cell r="L1" t="str">
            <v>Profile 5</v>
          </cell>
          <cell r="M1" t="str">
            <v>Profile 6</v>
          </cell>
          <cell r="N1" t="str">
            <v>Profile 7</v>
          </cell>
          <cell r="O1" t="str">
            <v>Profile 8</v>
          </cell>
          <cell r="P1" t="str">
            <v>Profile 9</v>
          </cell>
          <cell r="Q1" t="str">
            <v>Profile 10</v>
          </cell>
          <cell r="R1" t="str">
            <v>Profile 11</v>
          </cell>
          <cell r="T1" t="str">
            <v>Profile (Avg)</v>
          </cell>
          <cell r="U1" t="str">
            <v>Average</v>
          </cell>
          <cell r="V1" t="str">
            <v>Median</v>
          </cell>
          <cell r="X1" t="str">
            <v>Profile MC Median</v>
          </cell>
          <cell r="Z1" t="str">
            <v>Profile MC Avg</v>
          </cell>
          <cell r="AA1" t="str">
            <v>Profile MC CI Low</v>
          </cell>
          <cell r="AB1" t="str">
            <v>Profile MC CI High</v>
          </cell>
          <cell r="AC1" t="str">
            <v>Error (-)</v>
          </cell>
          <cell r="AD1" t="str">
            <v>Error (+)</v>
          </cell>
          <cell r="AG1" t="str">
            <v>Bin</v>
          </cell>
          <cell r="AH1" t="str">
            <v>Profile (Avg)</v>
          </cell>
          <cell r="AI1" t="str">
            <v>Average</v>
          </cell>
          <cell r="AJ1" t="str">
            <v>Median</v>
          </cell>
          <cell r="AL1" t="str">
            <v>Profile MC Median</v>
          </cell>
          <cell r="AN1" t="str">
            <v>Profile MC Avg</v>
          </cell>
          <cell r="AO1" t="str">
            <v>Profile MC CI Low</v>
          </cell>
          <cell r="AP1" t="str">
            <v>Profile MC CI High</v>
          </cell>
        </row>
        <row r="2">
          <cell r="A2" t="str">
            <v>CGI001-qtz01-CL-fit-1-offset</v>
          </cell>
          <cell r="B2">
            <v>750</v>
          </cell>
          <cell r="C2">
            <v>6.6965312637759184E-25</v>
          </cell>
          <cell r="D2">
            <v>2100</v>
          </cell>
          <cell r="E2">
            <v>1024</v>
          </cell>
          <cell r="F2">
            <v>2.05078125</v>
          </cell>
          <cell r="H2">
            <v>1601972.1021100131</v>
          </cell>
          <cell r="I2">
            <v>1999173.4595941158</v>
          </cell>
          <cell r="J2">
            <v>3577273.2365316427</v>
          </cell>
          <cell r="K2">
            <v>3800314.2911605248</v>
          </cell>
          <cell r="L2">
            <v>3585251.0383178475</v>
          </cell>
          <cell r="M2">
            <v>1069952.8977906203</v>
          </cell>
          <cell r="N2">
            <v>1592009.8252235737</v>
          </cell>
          <cell r="O2">
            <v>1204409.8191005427</v>
          </cell>
          <cell r="P2">
            <v>943919.30066671676</v>
          </cell>
          <cell r="Q2">
            <v>1056905.8730391127</v>
          </cell>
          <cell r="R2">
            <v>943038.67869641411</v>
          </cell>
          <cell r="T2">
            <v>1594143.7387560131</v>
          </cell>
          <cell r="U2">
            <v>1804919.3030714744</v>
          </cell>
          <cell r="V2">
            <v>1592009.8252235737</v>
          </cell>
          <cell r="X2">
            <v>1572323.4671401531</v>
          </cell>
          <cell r="Z2">
            <v>1602036.1925354754</v>
          </cell>
          <cell r="AA2">
            <v>461477.54004572664</v>
          </cell>
          <cell r="AB2">
            <v>3491742.8803976513</v>
          </cell>
          <cell r="AC2">
            <v>1140558.6524897488</v>
          </cell>
          <cell r="AD2">
            <v>1889706.687862176</v>
          </cell>
          <cell r="AG2">
            <v>100</v>
          </cell>
          <cell r="AH2">
            <v>0</v>
          </cell>
          <cell r="AI2">
            <v>0</v>
          </cell>
          <cell r="AJ2">
            <v>0</v>
          </cell>
          <cell r="AL2">
            <v>0</v>
          </cell>
          <cell r="AN2">
            <v>0</v>
          </cell>
          <cell r="AO2">
            <v>41</v>
          </cell>
          <cell r="AP2">
            <v>0</v>
          </cell>
        </row>
        <row r="3">
          <cell r="A3" t="str">
            <v>CGI001-qtz01-CL-fit-2</v>
          </cell>
          <cell r="B3">
            <v>750</v>
          </cell>
          <cell r="C3">
            <v>6.6965312637759184E-25</v>
          </cell>
          <cell r="D3">
            <v>2100</v>
          </cell>
          <cell r="E3">
            <v>1024</v>
          </cell>
          <cell r="F3">
            <v>2.05078125</v>
          </cell>
          <cell r="H3">
            <v>6219024.9817774119</v>
          </cell>
          <cell r="I3">
            <v>5767847.5576855987</v>
          </cell>
          <cell r="J3">
            <v>5492650.0731862085</v>
          </cell>
          <cell r="K3">
            <v>4483457.2212657062</v>
          </cell>
          <cell r="L3">
            <v>6787703.4601240922</v>
          </cell>
          <cell r="M3">
            <v>6466365.2666550269</v>
          </cell>
          <cell r="N3">
            <v>7230060.7595257433</v>
          </cell>
          <cell r="O3">
            <v>6643129.3261783896</v>
          </cell>
          <cell r="P3">
            <v>7539987.4268907802</v>
          </cell>
          <cell r="Q3">
            <v>6733192.2090635039</v>
          </cell>
          <cell r="R3">
            <v>6442195.2375114178</v>
          </cell>
          <cell r="T3">
            <v>6310985.0466239098</v>
          </cell>
          <cell r="U3">
            <v>6318327.552558356</v>
          </cell>
          <cell r="V3">
            <v>6466365.2666550269</v>
          </cell>
          <cell r="X3">
            <v>6117112.2830136875</v>
          </cell>
          <cell r="Z3">
            <v>6155029.441731316</v>
          </cell>
          <cell r="AA3">
            <v>4383496.877054533</v>
          </cell>
          <cell r="AB3">
            <v>8446019.3200140931</v>
          </cell>
          <cell r="AC3">
            <v>1771532.564676783</v>
          </cell>
          <cell r="AD3">
            <v>2290989.878282777</v>
          </cell>
          <cell r="AF3">
            <v>100</v>
          </cell>
          <cell r="AG3">
            <v>1000</v>
          </cell>
          <cell r="AH3">
            <v>2</v>
          </cell>
          <cell r="AI3">
            <v>1</v>
          </cell>
          <cell r="AJ3">
            <v>3</v>
          </cell>
          <cell r="AL3">
            <v>1</v>
          </cell>
          <cell r="AN3">
            <v>1</v>
          </cell>
          <cell r="AO3">
            <v>26</v>
          </cell>
          <cell r="AP3">
            <v>1</v>
          </cell>
        </row>
        <row r="4">
          <cell r="A4" t="str">
            <v>CGI001-qtz01-CL-fit-3</v>
          </cell>
          <cell r="B4">
            <v>750</v>
          </cell>
          <cell r="C4">
            <v>6.6965312637759184E-25</v>
          </cell>
          <cell r="D4">
            <v>2100</v>
          </cell>
          <cell r="E4">
            <v>1024</v>
          </cell>
          <cell r="F4">
            <v>2.05078125</v>
          </cell>
          <cell r="H4">
            <v>1079784.4814279319</v>
          </cell>
          <cell r="I4">
            <v>1499667.3236240586</v>
          </cell>
          <cell r="J4">
            <v>1349175.2445408388</v>
          </cell>
          <cell r="K4">
            <v>1243839.6269893944</v>
          </cell>
          <cell r="L4">
            <v>984300.7700102051</v>
          </cell>
          <cell r="M4">
            <v>882472.6524494543</v>
          </cell>
          <cell r="N4">
            <v>1101290.5797815763</v>
          </cell>
          <cell r="O4">
            <v>1374846.6178215737</v>
          </cell>
          <cell r="P4">
            <v>618853.37136076635</v>
          </cell>
          <cell r="Q4">
            <v>1498095.8318087794</v>
          </cell>
          <cell r="R4">
            <v>748071.50248970196</v>
          </cell>
          <cell r="T4">
            <v>1091844.4986629344</v>
          </cell>
          <cell r="U4">
            <v>1106241.9837826111</v>
          </cell>
          <cell r="V4">
            <v>1101290.5797815763</v>
          </cell>
          <cell r="X4">
            <v>1057055.5251956999</v>
          </cell>
          <cell r="Z4">
            <v>1101499.6903519358</v>
          </cell>
          <cell r="AA4">
            <v>432899.48530378641</v>
          </cell>
          <cell r="AB4">
            <v>2179657.4086880516</v>
          </cell>
          <cell r="AC4">
            <v>668600.20504814945</v>
          </cell>
          <cell r="AD4">
            <v>1078157.7183361158</v>
          </cell>
          <cell r="AF4">
            <v>1000</v>
          </cell>
          <cell r="AG4">
            <v>10000</v>
          </cell>
          <cell r="AH4">
            <v>10</v>
          </cell>
          <cell r="AI4">
            <v>9</v>
          </cell>
          <cell r="AJ4">
            <v>12</v>
          </cell>
          <cell r="AL4">
            <v>17</v>
          </cell>
          <cell r="AN4">
            <v>5</v>
          </cell>
          <cell r="AO4">
            <v>62</v>
          </cell>
          <cell r="AP4">
            <v>0</v>
          </cell>
        </row>
        <row r="5">
          <cell r="A5" t="str">
            <v>CGI001-qtz01-CL-fit-4</v>
          </cell>
          <cell r="B5">
            <v>750</v>
          </cell>
          <cell r="C5">
            <v>6.6965312637759184E-25</v>
          </cell>
          <cell r="D5">
            <v>2100</v>
          </cell>
          <cell r="E5">
            <v>1024</v>
          </cell>
          <cell r="F5">
            <v>2.05078125</v>
          </cell>
          <cell r="H5">
            <v>432617.10528905626</v>
          </cell>
          <cell r="I5">
            <v>388891.2029021362</v>
          </cell>
          <cell r="J5">
            <v>275709.07454981952</v>
          </cell>
          <cell r="K5">
            <v>249325.91608423027</v>
          </cell>
          <cell r="L5">
            <v>250319.76188622226</v>
          </cell>
          <cell r="M5">
            <v>285969.72199468646</v>
          </cell>
          <cell r="N5">
            <v>328793.43810663273</v>
          </cell>
          <cell r="O5">
            <v>305053.19525222713</v>
          </cell>
          <cell r="P5">
            <v>292914.2285728709</v>
          </cell>
          <cell r="Q5">
            <v>651005.29392519558</v>
          </cell>
          <cell r="R5">
            <v>588682.71833992389</v>
          </cell>
          <cell r="T5">
            <v>425646.44096998707</v>
          </cell>
          <cell r="U5">
            <v>358025.63576864934</v>
          </cell>
          <cell r="V5">
            <v>305053.19525222713</v>
          </cell>
          <cell r="X5">
            <v>411241.58501805761</v>
          </cell>
          <cell r="Z5">
            <v>380195.27740864392</v>
          </cell>
          <cell r="AA5">
            <v>17105.545754926214</v>
          </cell>
          <cell r="AB5">
            <v>788988.50870425999</v>
          </cell>
          <cell r="AC5">
            <v>363089.7316537177</v>
          </cell>
          <cell r="AD5">
            <v>408793.23129561607</v>
          </cell>
          <cell r="AF5">
            <v>10000</v>
          </cell>
          <cell r="AG5">
            <v>100000</v>
          </cell>
          <cell r="AH5">
            <v>63</v>
          </cell>
          <cell r="AI5">
            <v>70</v>
          </cell>
          <cell r="AJ5">
            <v>65</v>
          </cell>
          <cell r="AL5">
            <v>63</v>
          </cell>
          <cell r="AN5">
            <v>69</v>
          </cell>
          <cell r="AO5">
            <v>89</v>
          </cell>
          <cell r="AP5">
            <v>9</v>
          </cell>
        </row>
        <row r="6">
          <cell r="A6" t="str">
            <v>CGI001-qtz02-CL-fit-1-offset</v>
          </cell>
          <cell r="B6">
            <v>750</v>
          </cell>
          <cell r="C6">
            <v>6.6965312637759184E-25</v>
          </cell>
          <cell r="D6">
            <v>1700</v>
          </cell>
          <cell r="E6">
            <v>1024</v>
          </cell>
          <cell r="F6">
            <v>1.66015625</v>
          </cell>
          <cell r="H6">
            <v>572940.18585851695</v>
          </cell>
          <cell r="I6">
            <v>417471.40369153587</v>
          </cell>
          <cell r="J6">
            <v>860314.12104328035</v>
          </cell>
          <cell r="K6">
            <v>693621.82161753101</v>
          </cell>
          <cell r="L6">
            <v>289835.19959138084</v>
          </cell>
          <cell r="M6">
            <v>524728.51948451181</v>
          </cell>
          <cell r="N6">
            <v>525491.9588103072</v>
          </cell>
          <cell r="O6">
            <v>383171.76069343463</v>
          </cell>
          <cell r="P6">
            <v>552014.44800099288</v>
          </cell>
          <cell r="Q6">
            <v>577495.09069084399</v>
          </cell>
          <cell r="R6">
            <v>385184.32095546677</v>
          </cell>
          <cell r="T6">
            <v>502928.16651872499</v>
          </cell>
          <cell r="U6">
            <v>514952.49708476948</v>
          </cell>
          <cell r="V6">
            <v>525491.9588103072</v>
          </cell>
          <cell r="X6">
            <v>467667.86611476442</v>
          </cell>
          <cell r="Z6">
            <v>484515.89087361598</v>
          </cell>
          <cell r="AA6">
            <v>182574.10487138378</v>
          </cell>
          <cell r="AB6">
            <v>877873.59864661517</v>
          </cell>
          <cell r="AC6">
            <v>301941.78600223223</v>
          </cell>
          <cell r="AD6">
            <v>393357.70777299919</v>
          </cell>
          <cell r="AF6">
            <v>100000</v>
          </cell>
          <cell r="AG6">
            <v>1000000</v>
          </cell>
          <cell r="AH6">
            <v>233</v>
          </cell>
          <cell r="AI6">
            <v>232</v>
          </cell>
          <cell r="AJ6">
            <v>232</v>
          </cell>
          <cell r="AL6">
            <v>231</v>
          </cell>
          <cell r="AN6">
            <v>232</v>
          </cell>
          <cell r="AO6">
            <v>152</v>
          </cell>
          <cell r="AP6">
            <v>204</v>
          </cell>
        </row>
        <row r="7">
          <cell r="A7" t="str">
            <v>CGI001-qtz02-CL-fit-2</v>
          </cell>
          <cell r="B7">
            <v>750</v>
          </cell>
          <cell r="C7">
            <v>6.6965312637759184E-25</v>
          </cell>
          <cell r="D7">
            <v>1700</v>
          </cell>
          <cell r="E7">
            <v>1024</v>
          </cell>
          <cell r="F7">
            <v>1.66015625</v>
          </cell>
          <cell r="H7">
            <v>802717.9001966631</v>
          </cell>
          <cell r="I7">
            <v>760356.75396737608</v>
          </cell>
          <cell r="J7">
            <v>928195.30059497955</v>
          </cell>
          <cell r="K7">
            <v>1162467.517766353</v>
          </cell>
          <cell r="L7">
            <v>1304671.2456918845</v>
          </cell>
          <cell r="M7">
            <v>1118061.4037783954</v>
          </cell>
          <cell r="N7">
            <v>1294049.0990025285</v>
          </cell>
          <cell r="O7">
            <v>1143066.342381337</v>
          </cell>
          <cell r="P7">
            <v>1373880.7438380453</v>
          </cell>
          <cell r="Q7">
            <v>971213.41707348323</v>
          </cell>
          <cell r="R7">
            <v>961112.19394442928</v>
          </cell>
          <cell r="T7">
            <v>1099102.8326303926</v>
          </cell>
          <cell r="U7">
            <v>1065369.2437460134</v>
          </cell>
          <cell r="V7">
            <v>1118061.4037783954</v>
          </cell>
          <cell r="X7">
            <v>1082080.6153576788</v>
          </cell>
          <cell r="Z7">
            <v>1079051.7299242963</v>
          </cell>
          <cell r="AA7">
            <v>643367.60208133003</v>
          </cell>
          <cell r="AB7">
            <v>1636888.0708928891</v>
          </cell>
          <cell r="AC7">
            <v>435684.12784296623</v>
          </cell>
          <cell r="AD7">
            <v>557836.34096859279</v>
          </cell>
          <cell r="AF7">
            <v>1000000</v>
          </cell>
          <cell r="AG7">
            <v>10000000</v>
          </cell>
          <cell r="AH7">
            <v>103</v>
          </cell>
          <cell r="AI7">
            <v>99</v>
          </cell>
          <cell r="AJ7">
            <v>99</v>
          </cell>
          <cell r="AL7">
            <v>99</v>
          </cell>
          <cell r="AN7">
            <v>104</v>
          </cell>
          <cell r="AO7">
            <v>41</v>
          </cell>
          <cell r="AP7">
            <v>180</v>
          </cell>
        </row>
        <row r="8">
          <cell r="A8" t="str">
            <v>CGI001-qtz02-CL-fit-3-offset</v>
          </cell>
          <cell r="B8">
            <v>750</v>
          </cell>
          <cell r="C8">
            <v>6.6965312637759184E-25</v>
          </cell>
          <cell r="D8">
            <v>1700</v>
          </cell>
          <cell r="E8">
            <v>1024</v>
          </cell>
          <cell r="F8">
            <v>1.66015625</v>
          </cell>
          <cell r="H8">
            <v>357836.44856249983</v>
          </cell>
          <cell r="I8">
            <v>377019.12584269576</v>
          </cell>
          <cell r="J8">
            <v>346812.18772262125</v>
          </cell>
          <cell r="K8">
            <v>424898.6340721164</v>
          </cell>
          <cell r="L8">
            <v>313186.298855684</v>
          </cell>
          <cell r="M8">
            <v>422949.57750677853</v>
          </cell>
          <cell r="N8">
            <v>376820.55005257874</v>
          </cell>
          <cell r="O8">
            <v>452547.35543153831</v>
          </cell>
          <cell r="P8">
            <v>413089.59595147322</v>
          </cell>
          <cell r="Q8">
            <v>335419.71272644738</v>
          </cell>
          <cell r="R8">
            <v>301959.42639187368</v>
          </cell>
          <cell r="T8">
            <v>396693.46854559105</v>
          </cell>
          <cell r="U8">
            <v>373309.46223636431</v>
          </cell>
          <cell r="V8">
            <v>376820.55005257874</v>
          </cell>
          <cell r="X8">
            <v>364475.47697651148</v>
          </cell>
          <cell r="Z8">
            <v>346527.51781772956</v>
          </cell>
          <cell r="AA8">
            <v>18736.765247914482</v>
          </cell>
          <cell r="AB8">
            <v>833677.52571016422</v>
          </cell>
          <cell r="AC8">
            <v>327790.75256981509</v>
          </cell>
          <cell r="AD8">
            <v>487150.00789243466</v>
          </cell>
          <cell r="AF8">
            <v>10000000</v>
          </cell>
          <cell r="AG8">
            <v>100000000</v>
          </cell>
          <cell r="AH8">
            <v>0</v>
          </cell>
          <cell r="AI8">
            <v>0</v>
          </cell>
          <cell r="AJ8">
            <v>0</v>
          </cell>
          <cell r="AL8">
            <v>0</v>
          </cell>
          <cell r="AN8">
            <v>0</v>
          </cell>
          <cell r="AO8">
            <v>0</v>
          </cell>
          <cell r="AP8">
            <v>17</v>
          </cell>
        </row>
        <row r="9">
          <cell r="A9" t="str">
            <v>CGI001-qtz02-CL-fit-4-offset</v>
          </cell>
          <cell r="B9">
            <v>750</v>
          </cell>
          <cell r="C9">
            <v>6.6965312637759184E-25</v>
          </cell>
          <cell r="D9">
            <v>1700</v>
          </cell>
          <cell r="E9">
            <v>1024</v>
          </cell>
          <cell r="F9">
            <v>1.66015625</v>
          </cell>
          <cell r="H9">
            <v>1368.9445220664727</v>
          </cell>
          <cell r="I9">
            <v>307.1802905744712</v>
          </cell>
          <cell r="J9">
            <v>776.05273461993124</v>
          </cell>
          <cell r="K9">
            <v>101.14779787641515</v>
          </cell>
          <cell r="L9">
            <v>783.58098555423192</v>
          </cell>
          <cell r="M9">
            <v>163.98825876091772</v>
          </cell>
          <cell r="N9">
            <v>2.5788514124649131</v>
          </cell>
          <cell r="O9">
            <v>1115.1506725367874</v>
          </cell>
          <cell r="P9">
            <v>1308.1111556849412</v>
          </cell>
          <cell r="Q9">
            <v>7.7982747778157595</v>
          </cell>
          <cell r="R9">
            <v>388.07524921701156</v>
          </cell>
          <cell r="T9">
            <v>182.60289484127443</v>
          </cell>
          <cell r="U9">
            <v>425.47988663717689</v>
          </cell>
          <cell r="V9">
            <v>388.07524921701156</v>
          </cell>
          <cell r="X9">
            <v>1324.0130242653358</v>
          </cell>
          <cell r="Z9">
            <v>2529.5202414306577</v>
          </cell>
          <cell r="AA9">
            <v>1.4005265424058234E-10</v>
          </cell>
          <cell r="AB9">
            <v>40943.496199167093</v>
          </cell>
          <cell r="AC9">
            <v>2529.5202414305177</v>
          </cell>
          <cell r="AD9">
            <v>38413.975957736438</v>
          </cell>
          <cell r="AH9">
            <v>0</v>
          </cell>
          <cell r="AI9">
            <v>0</v>
          </cell>
        </row>
        <row r="10">
          <cell r="A10" t="str">
            <v>CGI001-qtz03-CL-fit-1</v>
          </cell>
          <cell r="B10">
            <v>750</v>
          </cell>
          <cell r="C10">
            <v>6.6965312637759184E-25</v>
          </cell>
          <cell r="D10">
            <v>1900</v>
          </cell>
          <cell r="E10">
            <v>1024</v>
          </cell>
          <cell r="F10">
            <v>1.85546875</v>
          </cell>
          <cell r="H10">
            <v>4299339.7977954047</v>
          </cell>
          <cell r="I10">
            <v>2271858.9995931438</v>
          </cell>
          <cell r="J10">
            <v>2168883.0383288004</v>
          </cell>
          <cell r="K10">
            <v>2570416.7241767622</v>
          </cell>
          <cell r="L10">
            <v>2432930.9162711566</v>
          </cell>
          <cell r="M10">
            <v>3880946.2698874376</v>
          </cell>
          <cell r="N10">
            <v>3703112.766702028</v>
          </cell>
          <cell r="O10">
            <v>3135942.0412104125</v>
          </cell>
          <cell r="P10">
            <v>2159473.5753492392</v>
          </cell>
          <cell r="Q10">
            <v>3007315.5263883681</v>
          </cell>
          <cell r="R10">
            <v>2877029.0620381255</v>
          </cell>
          <cell r="T10">
            <v>2893879.9260398359</v>
          </cell>
          <cell r="U10">
            <v>2915270.3180580297</v>
          </cell>
          <cell r="V10">
            <v>2877029.0620381255</v>
          </cell>
          <cell r="X10">
            <v>2905915.1859149132</v>
          </cell>
          <cell r="Z10">
            <v>2835208.746333445</v>
          </cell>
          <cell r="AA10">
            <v>1619433.7337613876</v>
          </cell>
          <cell r="AB10">
            <v>4086058.1961641195</v>
          </cell>
          <cell r="AC10">
            <v>1215775.0125720573</v>
          </cell>
          <cell r="AD10">
            <v>1250849.4498306746</v>
          </cell>
        </row>
        <row r="11">
          <cell r="A11" t="str">
            <v>CGI001-qtz03-CL-fit-2</v>
          </cell>
          <cell r="B11">
            <v>750</v>
          </cell>
          <cell r="C11">
            <v>6.6965312637759184E-25</v>
          </cell>
          <cell r="D11">
            <v>1900</v>
          </cell>
          <cell r="E11">
            <v>1024</v>
          </cell>
          <cell r="F11">
            <v>1.85546875</v>
          </cell>
          <cell r="H11">
            <v>842844.30560550734</v>
          </cell>
          <cell r="I11">
            <v>554750.46143601532</v>
          </cell>
          <cell r="J11">
            <v>379639.96712874417</v>
          </cell>
          <cell r="K11">
            <v>235062.80008382129</v>
          </cell>
          <cell r="L11">
            <v>244655.46754001291</v>
          </cell>
          <cell r="M11">
            <v>231438.57975333298</v>
          </cell>
          <cell r="N11">
            <v>212036.55162011803</v>
          </cell>
          <cell r="O11">
            <v>374914.56511557038</v>
          </cell>
          <cell r="P11">
            <v>387409.5697071855</v>
          </cell>
          <cell r="Q11">
            <v>414586.14624596469</v>
          </cell>
          <cell r="R11">
            <v>389200.23342179199</v>
          </cell>
          <cell r="T11">
            <v>367556.32671096013</v>
          </cell>
          <cell r="U11">
            <v>371270.04376925278</v>
          </cell>
          <cell r="V11">
            <v>379639.96712874417</v>
          </cell>
          <cell r="X11">
            <v>367101.74845717481</v>
          </cell>
          <cell r="Z11">
            <v>365058.94144718826</v>
          </cell>
          <cell r="AA11">
            <v>199804.24759021003</v>
          </cell>
          <cell r="AB11">
            <v>626350.55363661004</v>
          </cell>
          <cell r="AC11">
            <v>165254.69385697824</v>
          </cell>
          <cell r="AD11">
            <v>261291.61218942178</v>
          </cell>
        </row>
        <row r="12">
          <cell r="A12" t="str">
            <v>CGI001-qtz03-CL-fit-3</v>
          </cell>
          <cell r="B12">
            <v>750</v>
          </cell>
          <cell r="C12">
            <v>6.6965312637759184E-25</v>
          </cell>
          <cell r="D12">
            <v>1900</v>
          </cell>
          <cell r="E12">
            <v>1024</v>
          </cell>
          <cell r="F12">
            <v>1.85546875</v>
          </cell>
          <cell r="H12">
            <v>1526911.3679461142</v>
          </cell>
          <cell r="I12">
            <v>218227.10290361545</v>
          </cell>
          <cell r="J12">
            <v>237549.59539241265</v>
          </cell>
          <cell r="K12">
            <v>502853.37629406177</v>
          </cell>
          <cell r="L12">
            <v>53266.982306895719</v>
          </cell>
          <cell r="M12">
            <v>127383.74963258636</v>
          </cell>
          <cell r="N12">
            <v>1441.6708801276282</v>
          </cell>
          <cell r="O12">
            <v>6833.8433930282963</v>
          </cell>
          <cell r="P12">
            <v>213488.24088953776</v>
          </cell>
          <cell r="Q12">
            <v>384421.48065247823</v>
          </cell>
          <cell r="R12">
            <v>176775.43029692781</v>
          </cell>
          <cell r="T12">
            <v>260252.04899503812</v>
          </cell>
          <cell r="U12">
            <v>215819.02246048543</v>
          </cell>
          <cell r="V12">
            <v>213488.24088953776</v>
          </cell>
          <cell r="X12">
            <v>213360.82634805763</v>
          </cell>
          <cell r="Z12">
            <v>239029.00436801315</v>
          </cell>
          <cell r="AA12">
            <v>1786.4773062729246</v>
          </cell>
          <cell r="AB12">
            <v>1977597.8096243346</v>
          </cell>
          <cell r="AC12">
            <v>237242.52706174023</v>
          </cell>
          <cell r="AD12">
            <v>1738568.8052563213</v>
          </cell>
        </row>
        <row r="13">
          <cell r="A13" t="str">
            <v>CGI001-qtz03-CL-fit-4-offset</v>
          </cell>
          <cell r="B13">
            <v>750</v>
          </cell>
          <cell r="C13">
            <v>6.6965312637759184E-25</v>
          </cell>
          <cell r="D13">
            <v>1900</v>
          </cell>
          <cell r="E13">
            <v>1024</v>
          </cell>
          <cell r="F13">
            <v>1.85546875</v>
          </cell>
          <cell r="H13">
            <v>2765.8945372258845</v>
          </cell>
          <cell r="I13">
            <v>330.14482412885695</v>
          </cell>
          <cell r="J13">
            <v>22100.198939268183</v>
          </cell>
          <cell r="K13">
            <v>10897.408022720952</v>
          </cell>
          <cell r="L13">
            <v>2546.522244246481</v>
          </cell>
          <cell r="M13">
            <v>2282.041975447712</v>
          </cell>
          <cell r="N13">
            <v>31959.235139831493</v>
          </cell>
          <cell r="O13">
            <v>2655.3188297335264</v>
          </cell>
          <cell r="P13">
            <v>2026.3319503680375</v>
          </cell>
          <cell r="Q13">
            <v>21592.414235110427</v>
          </cell>
          <cell r="R13">
            <v>23.49036444937245</v>
          </cell>
          <cell r="T13">
            <v>2781.5076516412364</v>
          </cell>
          <cell r="U13">
            <v>5959.1911647551888</v>
          </cell>
          <cell r="V13">
            <v>2655.3188297335264</v>
          </cell>
          <cell r="X13">
            <v>2614.4424777247755</v>
          </cell>
          <cell r="Z13">
            <v>4306.6845278629844</v>
          </cell>
          <cell r="AA13">
            <v>2.1140619178426208E-6</v>
          </cell>
          <cell r="AB13">
            <v>33945.468720536592</v>
          </cell>
          <cell r="AC13">
            <v>4306.6845257489222</v>
          </cell>
          <cell r="AD13">
            <v>29638.784192673607</v>
          </cell>
        </row>
        <row r="14">
          <cell r="A14" t="str">
            <v>CGI001-qtz04-CL-fit-1-offset</v>
          </cell>
          <cell r="B14">
            <v>750</v>
          </cell>
          <cell r="C14">
            <v>6.6965312637759184E-25</v>
          </cell>
          <cell r="D14">
            <v>2050</v>
          </cell>
          <cell r="E14">
            <v>1024</v>
          </cell>
          <cell r="F14">
            <v>2.001953125</v>
          </cell>
          <cell r="H14">
            <v>1109185.8722233595</v>
          </cell>
          <cell r="I14">
            <v>824820.70821429638</v>
          </cell>
          <cell r="J14">
            <v>2851499.4490835993</v>
          </cell>
          <cell r="K14">
            <v>145860.209056716</v>
          </cell>
          <cell r="L14">
            <v>1410199.647801595</v>
          </cell>
          <cell r="M14">
            <v>48.550248443502603</v>
          </cell>
          <cell r="N14">
            <v>879383.75913506653</v>
          </cell>
          <cell r="O14">
            <v>2231753.7490231283</v>
          </cell>
          <cell r="P14">
            <v>295584.5501200803</v>
          </cell>
          <cell r="Q14">
            <v>498560.82488213247</v>
          </cell>
          <cell r="R14">
            <v>763205.65337287704</v>
          </cell>
          <cell r="T14">
            <v>902359.15393348073</v>
          </cell>
          <cell r="U14">
            <v>790718.37198339403</v>
          </cell>
          <cell r="V14">
            <v>824820.70821429638</v>
          </cell>
          <cell r="X14">
            <v>695271.55830705422</v>
          </cell>
          <cell r="Z14">
            <v>790408.03775581426</v>
          </cell>
          <cell r="AA14">
            <v>1937.6883581714233</v>
          </cell>
          <cell r="AB14">
            <v>6637077.6742494553</v>
          </cell>
          <cell r="AC14">
            <v>788470.34939764289</v>
          </cell>
          <cell r="AD14">
            <v>5846669.636493641</v>
          </cell>
        </row>
        <row r="15">
          <cell r="A15" t="str">
            <v>CGI001-qtz04-CL-fit-2-offset</v>
          </cell>
          <cell r="B15">
            <v>750</v>
          </cell>
          <cell r="C15">
            <v>6.6965312637759184E-25</v>
          </cell>
          <cell r="D15">
            <v>2050</v>
          </cell>
          <cell r="E15">
            <v>1024</v>
          </cell>
          <cell r="F15">
            <v>2.001953125</v>
          </cell>
          <cell r="H15">
            <v>828994.24179269874</v>
          </cell>
          <cell r="I15">
            <v>1332988.3301254599</v>
          </cell>
          <cell r="J15">
            <v>536197.1142158102</v>
          </cell>
          <cell r="K15">
            <v>820277.25182161829</v>
          </cell>
          <cell r="L15">
            <v>604105.7154827771</v>
          </cell>
          <cell r="M15">
            <v>675280.40619874489</v>
          </cell>
          <cell r="N15">
            <v>305470.85898246331</v>
          </cell>
          <cell r="O15">
            <v>713419.988732117</v>
          </cell>
          <cell r="P15">
            <v>678693.50092624244</v>
          </cell>
          <cell r="Q15">
            <v>1092519.014538374</v>
          </cell>
          <cell r="R15">
            <v>775616.52073232143</v>
          </cell>
          <cell r="T15">
            <v>733542.89650882571</v>
          </cell>
          <cell r="U15">
            <v>737893.11174818571</v>
          </cell>
          <cell r="V15">
            <v>713419.988732117</v>
          </cell>
          <cell r="X15">
            <v>735117.28924255306</v>
          </cell>
          <cell r="Z15">
            <v>750090.83905517962</v>
          </cell>
          <cell r="AA15">
            <v>297642.67372007394</v>
          </cell>
          <cell r="AB15">
            <v>1366498.0813408906</v>
          </cell>
          <cell r="AC15">
            <v>452448.16533510567</v>
          </cell>
          <cell r="AD15">
            <v>616407.24228571099</v>
          </cell>
        </row>
        <row r="16">
          <cell r="A16" t="str">
            <v>CGI001-qtz04-CL-fit-3-offset</v>
          </cell>
          <cell r="B16">
            <v>750</v>
          </cell>
          <cell r="C16">
            <v>6.6965312637759184E-25</v>
          </cell>
          <cell r="D16">
            <v>2050</v>
          </cell>
          <cell r="E16">
            <v>1024</v>
          </cell>
          <cell r="F16">
            <v>2.001953125</v>
          </cell>
          <cell r="H16">
            <v>745386.85657608567</v>
          </cell>
          <cell r="I16">
            <v>960699.85040415602</v>
          </cell>
          <cell r="J16">
            <v>991388.72225601564</v>
          </cell>
          <cell r="K16">
            <v>1235754.7679461788</v>
          </cell>
          <cell r="L16">
            <v>1096984.7753813581</v>
          </cell>
          <cell r="M16">
            <v>603066.08351147547</v>
          </cell>
          <cell r="N16">
            <v>654406.47378860426</v>
          </cell>
          <cell r="O16">
            <v>728530.19874160981</v>
          </cell>
          <cell r="P16">
            <v>850245.50361273682</v>
          </cell>
          <cell r="Q16">
            <v>654787.8628487594</v>
          </cell>
          <cell r="R16">
            <v>675146.03354037181</v>
          </cell>
          <cell r="T16">
            <v>827624.69112740725</v>
          </cell>
          <cell r="U16">
            <v>824831.92288519535</v>
          </cell>
          <cell r="V16">
            <v>745386.85657608567</v>
          </cell>
          <cell r="X16">
            <v>818562.38059296762</v>
          </cell>
          <cell r="Z16">
            <v>821309.78719417821</v>
          </cell>
          <cell r="AA16">
            <v>539568.340930484</v>
          </cell>
          <cell r="AB16">
            <v>1127823.5266439642</v>
          </cell>
          <cell r="AC16">
            <v>281741.4462636942</v>
          </cell>
          <cell r="AD16">
            <v>306513.73944978602</v>
          </cell>
        </row>
        <row r="17">
          <cell r="A17" t="str">
            <v>CGI001-qtz04-CL-fit-4-offset</v>
          </cell>
          <cell r="B17">
            <v>750</v>
          </cell>
          <cell r="C17">
            <v>6.6965312637759184E-25</v>
          </cell>
          <cell r="D17">
            <v>2050</v>
          </cell>
          <cell r="E17">
            <v>1024</v>
          </cell>
          <cell r="F17">
            <v>2.001953125</v>
          </cell>
          <cell r="H17">
            <v>4495.6025801710703</v>
          </cell>
          <cell r="I17">
            <v>25502.093452368626</v>
          </cell>
          <cell r="J17">
            <v>4541.4486778743112</v>
          </cell>
          <cell r="K17">
            <v>4334.1123233845901</v>
          </cell>
          <cell r="L17">
            <v>676.67767170886236</v>
          </cell>
          <cell r="M17">
            <v>1547.7117589173481</v>
          </cell>
          <cell r="N17">
            <v>2983.2491866414111</v>
          </cell>
          <cell r="O17">
            <v>18585.981368033612</v>
          </cell>
          <cell r="P17">
            <v>1565.8785534095359</v>
          </cell>
          <cell r="Q17">
            <v>131.83972249269772</v>
          </cell>
          <cell r="R17">
            <v>348.31748602384812</v>
          </cell>
          <cell r="T17">
            <v>4707.9061502072345</v>
          </cell>
          <cell r="U17">
            <v>3889.0801070823736</v>
          </cell>
          <cell r="V17">
            <v>2983.2491866414111</v>
          </cell>
          <cell r="X17">
            <v>3668.6834085447608</v>
          </cell>
          <cell r="Z17">
            <v>4113.1320408179299</v>
          </cell>
          <cell r="AA17">
            <v>31.647307553494532</v>
          </cell>
          <cell r="AB17">
            <v>37515.623615402139</v>
          </cell>
          <cell r="AC17">
            <v>4081.4847332644354</v>
          </cell>
          <cell r="AD17">
            <v>33402.491574584208</v>
          </cell>
        </row>
        <row r="18">
          <cell r="A18" t="str">
            <v>CGI001-qtz05-CL-fit-1-offset</v>
          </cell>
          <cell r="B18">
            <v>750</v>
          </cell>
          <cell r="C18">
            <v>6.6965312637759184E-25</v>
          </cell>
          <cell r="D18">
            <v>1800</v>
          </cell>
          <cell r="E18">
            <v>1024</v>
          </cell>
          <cell r="F18">
            <v>1.7578125</v>
          </cell>
          <cell r="H18">
            <v>7577091.576120615</v>
          </cell>
          <cell r="I18">
            <v>4559827.223695782</v>
          </cell>
          <cell r="J18">
            <v>4143896.3033892522</v>
          </cell>
          <cell r="K18">
            <v>3674615.7888568025</v>
          </cell>
          <cell r="L18">
            <v>434085.07205015415</v>
          </cell>
          <cell r="M18">
            <v>6995585.0355177755</v>
          </cell>
          <cell r="N18">
            <v>2543898.6663850686</v>
          </cell>
          <cell r="O18">
            <v>6393945.1167455977</v>
          </cell>
          <cell r="P18">
            <v>9303126.5577054564</v>
          </cell>
          <cell r="Q18">
            <v>12751728.519792518</v>
          </cell>
          <cell r="R18">
            <v>10491985.00550855</v>
          </cell>
          <cell r="T18">
            <v>5522196.8719982384</v>
          </cell>
          <cell r="U18">
            <v>5641988.7353083435</v>
          </cell>
          <cell r="V18">
            <v>6393945.1167455977</v>
          </cell>
          <cell r="X18">
            <v>5497008.7764713271</v>
          </cell>
          <cell r="Z18">
            <v>5750204.2859532144</v>
          </cell>
          <cell r="AA18">
            <v>842859.49809110991</v>
          </cell>
          <cell r="AB18">
            <v>14533498.703496868</v>
          </cell>
          <cell r="AC18">
            <v>4907344.7878621044</v>
          </cell>
          <cell r="AD18">
            <v>8783294.4175436534</v>
          </cell>
        </row>
        <row r="19">
          <cell r="A19" t="str">
            <v>CGI001-qtz05-CL-fit-2-offset</v>
          </cell>
          <cell r="B19">
            <v>750</v>
          </cell>
          <cell r="C19">
            <v>6.6965312637759184E-25</v>
          </cell>
          <cell r="D19">
            <v>1800</v>
          </cell>
          <cell r="E19">
            <v>1024</v>
          </cell>
          <cell r="F19">
            <v>1.7578125</v>
          </cell>
          <cell r="H19">
            <v>735043.64578000514</v>
          </cell>
          <cell r="I19">
            <v>1444415.3935952436</v>
          </cell>
          <cell r="J19">
            <v>734042.04222922004</v>
          </cell>
          <cell r="K19">
            <v>566260.32447281154</v>
          </cell>
          <cell r="L19">
            <v>635294.4851944088</v>
          </cell>
          <cell r="M19">
            <v>1623994.4370487514</v>
          </cell>
          <cell r="N19">
            <v>867354.44353928848</v>
          </cell>
          <cell r="O19">
            <v>767135.88378035172</v>
          </cell>
          <cell r="P19">
            <v>739692.17133737158</v>
          </cell>
          <cell r="Q19">
            <v>863393.97995867603</v>
          </cell>
          <cell r="R19">
            <v>777008.16927643109</v>
          </cell>
          <cell r="T19">
            <v>837172.4955118763</v>
          </cell>
          <cell r="U19">
            <v>862833.30264167779</v>
          </cell>
          <cell r="V19">
            <v>767135.88378035172</v>
          </cell>
          <cell r="X19">
            <v>796254.391411633</v>
          </cell>
          <cell r="Z19">
            <v>824118.99388009438</v>
          </cell>
          <cell r="AA19">
            <v>379712.51886615565</v>
          </cell>
          <cell r="AB19">
            <v>1563791.4849913253</v>
          </cell>
          <cell r="AC19">
            <v>444406.47501393873</v>
          </cell>
          <cell r="AD19">
            <v>739672.49111123092</v>
          </cell>
        </row>
        <row r="20">
          <cell r="A20" t="str">
            <v>CGI001-qtz05-CL-fit-3-offset</v>
          </cell>
          <cell r="B20">
            <v>750</v>
          </cell>
          <cell r="C20">
            <v>6.6965312637759184E-25</v>
          </cell>
          <cell r="D20">
            <v>1800</v>
          </cell>
          <cell r="E20">
            <v>1024</v>
          </cell>
          <cell r="F20">
            <v>1.7578125</v>
          </cell>
          <cell r="H20">
            <v>185599.39065071076</v>
          </cell>
          <cell r="I20">
            <v>290779.3905457597</v>
          </cell>
          <cell r="J20">
            <v>495667.64608043624</v>
          </cell>
          <cell r="K20">
            <v>200332.49208164332</v>
          </cell>
          <cell r="L20">
            <v>520137.59241045726</v>
          </cell>
          <cell r="M20">
            <v>567554.18991731177</v>
          </cell>
          <cell r="N20">
            <v>963214.0509168175</v>
          </cell>
          <cell r="O20">
            <v>434457.88032893225</v>
          </cell>
          <cell r="P20">
            <v>882891.82698401879</v>
          </cell>
          <cell r="Q20">
            <v>422744.20436006068</v>
          </cell>
          <cell r="R20">
            <v>159904.88514583212</v>
          </cell>
          <cell r="T20">
            <v>405536.06356766599</v>
          </cell>
          <cell r="U20">
            <v>431589.58311880467</v>
          </cell>
          <cell r="V20">
            <v>434457.88032893225</v>
          </cell>
          <cell r="X20">
            <v>341206.0715779913</v>
          </cell>
          <cell r="Z20">
            <v>333667.55115705606</v>
          </cell>
          <cell r="AA20">
            <v>5046.9116007786342</v>
          </cell>
          <cell r="AB20">
            <v>1335168.2423674907</v>
          </cell>
          <cell r="AC20">
            <v>328620.63955627743</v>
          </cell>
          <cell r="AD20">
            <v>1001500.6912104345</v>
          </cell>
        </row>
        <row r="21">
          <cell r="A21" t="str">
            <v>CGI001-qtz05-CL-fit-4-offset</v>
          </cell>
          <cell r="B21">
            <v>750</v>
          </cell>
          <cell r="C21">
            <v>6.6965312637759184E-25</v>
          </cell>
          <cell r="D21">
            <v>1800</v>
          </cell>
          <cell r="E21">
            <v>1024</v>
          </cell>
          <cell r="F21">
            <v>1.7578125</v>
          </cell>
          <cell r="H21">
            <v>1.4617551147602075</v>
          </cell>
          <cell r="I21">
            <v>137.63601887270164</v>
          </cell>
          <cell r="J21">
            <v>1545.7490546960737</v>
          </cell>
          <cell r="K21">
            <v>9685.2588974936752</v>
          </cell>
          <cell r="L21">
            <v>70.710065186953173</v>
          </cell>
          <cell r="M21">
            <v>8791.1562576085653</v>
          </cell>
          <cell r="N21">
            <v>2134.8847360202908</v>
          </cell>
          <cell r="O21">
            <v>1.6095190787427027</v>
          </cell>
          <cell r="P21">
            <v>1834.0008441241746</v>
          </cell>
          <cell r="Q21">
            <v>20.224893149541501</v>
          </cell>
          <cell r="R21">
            <v>1705.1104722681855</v>
          </cell>
          <cell r="T21">
            <v>1475.9734397881909</v>
          </cell>
          <cell r="U21">
            <v>1250.1341661682384</v>
          </cell>
          <cell r="V21">
            <v>1545.7490546960737</v>
          </cell>
          <cell r="X21">
            <v>1762.306659289246</v>
          </cell>
          <cell r="Z21">
            <v>2536.072108736038</v>
          </cell>
          <cell r="AA21">
            <v>7.6415939785673448</v>
          </cell>
          <cell r="AB21">
            <v>18000.233773433749</v>
          </cell>
          <cell r="AC21">
            <v>2528.4305147574705</v>
          </cell>
          <cell r="AD21">
            <v>15464.161664697711</v>
          </cell>
        </row>
        <row r="22">
          <cell r="A22" t="str">
            <v>CGI001-qtz06-CL-fit-1-offset</v>
          </cell>
          <cell r="B22">
            <v>750</v>
          </cell>
          <cell r="C22">
            <v>6.6965312637759184E-25</v>
          </cell>
          <cell r="D22">
            <v>1500</v>
          </cell>
          <cell r="E22">
            <v>1024</v>
          </cell>
          <cell r="F22">
            <v>1.46484375</v>
          </cell>
          <cell r="H22">
            <v>4337594.9424091233</v>
          </cell>
          <cell r="I22">
            <v>3193765.8070133054</v>
          </cell>
          <cell r="J22">
            <v>3696676.284159814</v>
          </cell>
          <cell r="K22">
            <v>4003106.4904069649</v>
          </cell>
          <cell r="L22">
            <v>3372728.6133111552</v>
          </cell>
          <cell r="M22">
            <v>3857832.8284622659</v>
          </cell>
          <cell r="N22">
            <v>4435051.7519355789</v>
          </cell>
          <cell r="O22">
            <v>3059670.003936538</v>
          </cell>
          <cell r="P22">
            <v>3792303.8029708085</v>
          </cell>
          <cell r="Q22">
            <v>3250025.3967791577</v>
          </cell>
          <cell r="R22">
            <v>3075421.9702461562</v>
          </cell>
          <cell r="T22">
            <v>3607717.7977272822</v>
          </cell>
          <cell r="U22">
            <v>3628293.826580951</v>
          </cell>
          <cell r="V22">
            <v>3696676.284159814</v>
          </cell>
          <cell r="X22">
            <v>3555339.5662473724</v>
          </cell>
          <cell r="Z22">
            <v>3605391.8650640356</v>
          </cell>
          <cell r="AA22">
            <v>2748613.4739405308</v>
          </cell>
          <cell r="AB22">
            <v>4683279.8375400929</v>
          </cell>
          <cell r="AC22">
            <v>856778.39112350484</v>
          </cell>
          <cell r="AD22">
            <v>1077887.9724760572</v>
          </cell>
        </row>
        <row r="23">
          <cell r="A23" t="str">
            <v>CGI001-qtz06-CL-fit-2-offset</v>
          </cell>
          <cell r="B23">
            <v>750</v>
          </cell>
          <cell r="C23">
            <v>6.6965312637759184E-25</v>
          </cell>
          <cell r="D23">
            <v>1500</v>
          </cell>
          <cell r="E23">
            <v>1024</v>
          </cell>
          <cell r="F23">
            <v>1.46484375</v>
          </cell>
          <cell r="H23">
            <v>402702.4416822429</v>
          </cell>
          <cell r="I23">
            <v>222904.35548244789</v>
          </cell>
          <cell r="J23">
            <v>137153.92894889807</v>
          </cell>
          <cell r="K23">
            <v>72960.087684768077</v>
          </cell>
          <cell r="L23">
            <v>382092.21930236788</v>
          </cell>
          <cell r="M23">
            <v>230217.75079650673</v>
          </cell>
          <cell r="N23">
            <v>310034.19644161139</v>
          </cell>
          <cell r="O23">
            <v>299172.31500269147</v>
          </cell>
          <cell r="P23">
            <v>119323.53874176925</v>
          </cell>
          <cell r="Q23">
            <v>261682.60737985797</v>
          </cell>
          <cell r="R23">
            <v>128754.35299979888</v>
          </cell>
          <cell r="T23">
            <v>250712.13967344217</v>
          </cell>
          <cell r="U23">
            <v>220446.90647412586</v>
          </cell>
          <cell r="V23">
            <v>230217.75079650673</v>
          </cell>
          <cell r="X23">
            <v>213512.03607331039</v>
          </cell>
          <cell r="Z23">
            <v>197625.41471361279</v>
          </cell>
          <cell r="AA23">
            <v>2941.1245412501939</v>
          </cell>
          <cell r="AB23">
            <v>650367.46050016047</v>
          </cell>
          <cell r="AC23">
            <v>194684.29017236258</v>
          </cell>
          <cell r="AD23">
            <v>452742.04578654771</v>
          </cell>
        </row>
        <row r="24">
          <cell r="A24" t="str">
            <v>CGI001-qtz06-CL-fit-3-offset</v>
          </cell>
          <cell r="B24">
            <v>750</v>
          </cell>
          <cell r="C24">
            <v>6.6965312637759184E-25</v>
          </cell>
          <cell r="D24">
            <v>1500</v>
          </cell>
          <cell r="E24">
            <v>1024</v>
          </cell>
          <cell r="F24">
            <v>1.46484375</v>
          </cell>
          <cell r="H24">
            <v>114442.38924974989</v>
          </cell>
          <cell r="I24">
            <v>124867.20440906262</v>
          </cell>
          <cell r="J24">
            <v>350730.56069737067</v>
          </cell>
          <cell r="K24">
            <v>128129.91001982076</v>
          </cell>
          <cell r="L24">
            <v>243515.07386766595</v>
          </cell>
          <cell r="M24">
            <v>102242.51997575433</v>
          </cell>
          <cell r="N24">
            <v>239918.12922958858</v>
          </cell>
          <cell r="O24">
            <v>212902.91082230999</v>
          </cell>
          <cell r="P24">
            <v>290287.7094169794</v>
          </cell>
          <cell r="Q24">
            <v>74462.104251940924</v>
          </cell>
          <cell r="R24">
            <v>142101.72866280607</v>
          </cell>
          <cell r="T24">
            <v>172535.29805753319</v>
          </cell>
          <cell r="U24">
            <v>174489.68837125279</v>
          </cell>
          <cell r="V24">
            <v>142101.72866280607</v>
          </cell>
          <cell r="X24">
            <v>163542.00575797723</v>
          </cell>
          <cell r="Z24">
            <v>166171.67287000225</v>
          </cell>
          <cell r="AA24">
            <v>55160.195375998155</v>
          </cell>
          <cell r="AB24">
            <v>368794.96419584821</v>
          </cell>
          <cell r="AC24">
            <v>111011.4774940041</v>
          </cell>
          <cell r="AD24">
            <v>202623.29132584596</v>
          </cell>
        </row>
        <row r="25">
          <cell r="A25" t="str">
            <v>CGI001-qtz06-CL-fit-4-offset</v>
          </cell>
          <cell r="B25">
            <v>750</v>
          </cell>
          <cell r="C25">
            <v>6.6965312637759184E-25</v>
          </cell>
          <cell r="D25">
            <v>1500</v>
          </cell>
          <cell r="E25">
            <v>1024</v>
          </cell>
          <cell r="F25">
            <v>1.46484375</v>
          </cell>
          <cell r="H25">
            <v>80865.28814145067</v>
          </cell>
          <cell r="I25">
            <v>131705.0439925064</v>
          </cell>
          <cell r="J25">
            <v>123931.89408241828</v>
          </cell>
          <cell r="K25">
            <v>115671.85892286293</v>
          </cell>
          <cell r="L25">
            <v>100569.77941331123</v>
          </cell>
          <cell r="M25">
            <v>96942.218883672424</v>
          </cell>
          <cell r="N25">
            <v>104157.11756851879</v>
          </cell>
          <cell r="O25">
            <v>92996.830218289149</v>
          </cell>
          <cell r="P25">
            <v>125222.86729615329</v>
          </cell>
          <cell r="Q25">
            <v>100568.34414059779</v>
          </cell>
          <cell r="R25">
            <v>114357.76072771884</v>
          </cell>
          <cell r="T25">
            <v>109902.63952732433</v>
          </cell>
          <cell r="U25">
            <v>107390.7264458655</v>
          </cell>
          <cell r="V25">
            <v>104157.11756851879</v>
          </cell>
          <cell r="X25">
            <v>108575.26531055954</v>
          </cell>
          <cell r="Z25">
            <v>107013.86133148834</v>
          </cell>
          <cell r="AA25">
            <v>66611.512547549224</v>
          </cell>
          <cell r="AB25">
            <v>161115.8360512022</v>
          </cell>
          <cell r="AC25">
            <v>40402.348783939116</v>
          </cell>
          <cell r="AD25">
            <v>54101.974719713864</v>
          </cell>
        </row>
        <row r="26">
          <cell r="A26" t="str">
            <v>CGI001-qtz07-CL-fit-1</v>
          </cell>
          <cell r="B26">
            <v>750</v>
          </cell>
          <cell r="C26">
            <v>6.6965312637759184E-25</v>
          </cell>
          <cell r="D26">
            <v>1850</v>
          </cell>
          <cell r="E26">
            <v>1024</v>
          </cell>
          <cell r="F26">
            <v>1.806640625</v>
          </cell>
          <cell r="H26">
            <v>5422771.4377056621</v>
          </cell>
          <cell r="I26">
            <v>3747879.0106920502</v>
          </cell>
          <cell r="J26">
            <v>6024486.1153454222</v>
          </cell>
          <cell r="K26">
            <v>5632231.9443563279</v>
          </cell>
          <cell r="L26">
            <v>5280229.3098428855</v>
          </cell>
          <cell r="M26">
            <v>5539746.018596191</v>
          </cell>
          <cell r="N26">
            <v>6181331.7745129401</v>
          </cell>
          <cell r="O26">
            <v>6428688.9573473716</v>
          </cell>
          <cell r="P26">
            <v>6270943.0274880426</v>
          </cell>
          <cell r="Q26">
            <v>7026879.0531145213</v>
          </cell>
          <cell r="R26">
            <v>3215794.3517935835</v>
          </cell>
          <cell r="T26">
            <v>5444933.9862324698</v>
          </cell>
          <cell r="U26">
            <v>5464490.3551384313</v>
          </cell>
          <cell r="V26">
            <v>5632231.9443563279</v>
          </cell>
          <cell r="X26">
            <v>5497180.770655469</v>
          </cell>
          <cell r="Z26">
            <v>5606446.808706197</v>
          </cell>
          <cell r="AA26">
            <v>3765174.7133677416</v>
          </cell>
          <cell r="AB26">
            <v>8390861.5703696311</v>
          </cell>
          <cell r="AC26">
            <v>1841272.0953384554</v>
          </cell>
          <cell r="AD26">
            <v>2784414.7616634341</v>
          </cell>
        </row>
        <row r="27">
          <cell r="A27" t="str">
            <v>CGI001-qtz07-CL-fit-2-offset</v>
          </cell>
          <cell r="B27">
            <v>750</v>
          </cell>
          <cell r="C27">
            <v>6.6965312637759184E-25</v>
          </cell>
          <cell r="D27">
            <v>1850</v>
          </cell>
          <cell r="E27">
            <v>1024</v>
          </cell>
          <cell r="F27">
            <v>1.806640625</v>
          </cell>
          <cell r="H27">
            <v>472316.959865332</v>
          </cell>
          <cell r="I27">
            <v>551232.07238193299</v>
          </cell>
          <cell r="J27">
            <v>608785.28299713507</v>
          </cell>
          <cell r="K27">
            <v>312025.71105478512</v>
          </cell>
          <cell r="L27">
            <v>425495.4052192659</v>
          </cell>
          <cell r="M27">
            <v>480187.00088896794</v>
          </cell>
          <cell r="N27">
            <v>508562.97901620727</v>
          </cell>
          <cell r="O27">
            <v>242655.25055767526</v>
          </cell>
          <cell r="P27">
            <v>234944.67660383665</v>
          </cell>
          <cell r="Q27">
            <v>334144.3133364956</v>
          </cell>
          <cell r="R27">
            <v>321877.57965719322</v>
          </cell>
          <cell r="T27">
            <v>408481.89396258298</v>
          </cell>
          <cell r="U27">
            <v>399152.89747952565</v>
          </cell>
          <cell r="V27">
            <v>425495.4052192659</v>
          </cell>
          <cell r="X27">
            <v>429858.92575457221</v>
          </cell>
          <cell r="Z27">
            <v>429846.64620443492</v>
          </cell>
          <cell r="AA27">
            <v>193607.65140607281</v>
          </cell>
          <cell r="AB27">
            <v>737218.05565598281</v>
          </cell>
          <cell r="AC27">
            <v>236238.99479836211</v>
          </cell>
          <cell r="AD27">
            <v>307371.40945154789</v>
          </cell>
        </row>
        <row r="28">
          <cell r="A28" t="str">
            <v>CGI001-qtz07-CL-fit-3-offset</v>
          </cell>
          <cell r="B28">
            <v>750</v>
          </cell>
          <cell r="C28">
            <v>6.6965312637759184E-25</v>
          </cell>
          <cell r="D28">
            <v>1850</v>
          </cell>
          <cell r="E28">
            <v>1024</v>
          </cell>
          <cell r="F28">
            <v>1.806640625</v>
          </cell>
          <cell r="H28">
            <v>261322.02502055527</v>
          </cell>
          <cell r="I28">
            <v>201039.52885765504</v>
          </cell>
          <cell r="J28">
            <v>130068.63148042164</v>
          </cell>
          <cell r="K28">
            <v>176922.65339251934</v>
          </cell>
          <cell r="L28">
            <v>242251.39764921056</v>
          </cell>
          <cell r="M28">
            <v>177725.66766826663</v>
          </cell>
          <cell r="N28">
            <v>155003.68098348728</v>
          </cell>
          <cell r="O28">
            <v>132006.8636518275</v>
          </cell>
          <cell r="P28">
            <v>186846.40359993032</v>
          </cell>
          <cell r="Q28">
            <v>274697.06514370377</v>
          </cell>
          <cell r="R28">
            <v>200435.57619367164</v>
          </cell>
          <cell r="T28">
            <v>193125.46596973095</v>
          </cell>
          <cell r="U28">
            <v>191662.0232770014</v>
          </cell>
          <cell r="V28">
            <v>186846.40359993032</v>
          </cell>
          <cell r="X28">
            <v>195402.0349535305</v>
          </cell>
          <cell r="Z28">
            <v>190109.72265721261</v>
          </cell>
          <cell r="AA28">
            <v>77226.064770832672</v>
          </cell>
          <cell r="AB28">
            <v>332463.85495987436</v>
          </cell>
          <cell r="AC28">
            <v>112883.65788637994</v>
          </cell>
          <cell r="AD28">
            <v>142354.13230266175</v>
          </cell>
        </row>
        <row r="29">
          <cell r="A29" t="str">
            <v>CGI001-qtz08-CL-fit-1-offset</v>
          </cell>
          <cell r="B29">
            <v>750</v>
          </cell>
          <cell r="C29">
            <v>6.6965312637759184E-25</v>
          </cell>
          <cell r="D29">
            <v>1500</v>
          </cell>
          <cell r="E29">
            <v>1024</v>
          </cell>
          <cell r="F29">
            <v>1.46484375</v>
          </cell>
          <cell r="H29">
            <v>5347300.121595853</v>
          </cell>
          <cell r="I29">
            <v>4906360.7510771686</v>
          </cell>
          <cell r="J29">
            <v>7022770.593146746</v>
          </cell>
          <cell r="K29">
            <v>7556292.3333227215</v>
          </cell>
          <cell r="L29">
            <v>4123336.287205975</v>
          </cell>
          <cell r="M29">
            <v>5323377.3466405151</v>
          </cell>
          <cell r="N29">
            <v>5293864.7994443532</v>
          </cell>
          <cell r="O29">
            <v>5537380.7964273738</v>
          </cell>
          <cell r="P29">
            <v>6116762.4112639083</v>
          </cell>
          <cell r="Q29">
            <v>4456548.1178399622</v>
          </cell>
          <cell r="R29">
            <v>3908347.9481949713</v>
          </cell>
          <cell r="T29">
            <v>5306454.1021038508</v>
          </cell>
          <cell r="U29">
            <v>5365305.1836212827</v>
          </cell>
          <cell r="V29">
            <v>5323377.3466405151</v>
          </cell>
          <cell r="X29">
            <v>5314477.372123885</v>
          </cell>
          <cell r="Z29">
            <v>5374318.8431164194</v>
          </cell>
          <cell r="AA29">
            <v>3152536.0570393917</v>
          </cell>
          <cell r="AB29">
            <v>8048994.4377982812</v>
          </cell>
          <cell r="AC29">
            <v>2221782.7860770277</v>
          </cell>
          <cell r="AD29">
            <v>2674675.5946818618</v>
          </cell>
        </row>
        <row r="30">
          <cell r="A30" t="str">
            <v>CGI001-qtz08-CL-fit-2-offset</v>
          </cell>
          <cell r="B30">
            <v>750</v>
          </cell>
          <cell r="C30">
            <v>6.6965312637759184E-25</v>
          </cell>
          <cell r="D30">
            <v>1500</v>
          </cell>
          <cell r="E30">
            <v>1024</v>
          </cell>
          <cell r="F30">
            <v>1.46484375</v>
          </cell>
          <cell r="H30">
            <v>477477.25473575864</v>
          </cell>
          <cell r="I30">
            <v>649877.01253054943</v>
          </cell>
          <cell r="J30">
            <v>508531.43246145285</v>
          </cell>
          <cell r="K30">
            <v>542640.62907550309</v>
          </cell>
          <cell r="L30">
            <v>377514.57913913269</v>
          </cell>
          <cell r="M30">
            <v>331467.8462256628</v>
          </cell>
          <cell r="N30">
            <v>789382.92033574602</v>
          </cell>
          <cell r="O30">
            <v>1335550.5951717889</v>
          </cell>
          <cell r="P30">
            <v>509510.49896757113</v>
          </cell>
          <cell r="Q30">
            <v>907796.03364305885</v>
          </cell>
          <cell r="R30">
            <v>758300.25910456362</v>
          </cell>
          <cell r="T30">
            <v>683841.13664254243</v>
          </cell>
          <cell r="U30">
            <v>628211.4366767382</v>
          </cell>
          <cell r="V30">
            <v>542640.62907550309</v>
          </cell>
          <cell r="X30">
            <v>663073.53265508951</v>
          </cell>
          <cell r="Z30">
            <v>648973.39969496825</v>
          </cell>
          <cell r="AA30">
            <v>233147.837005521</v>
          </cell>
          <cell r="AB30">
            <v>1238657.9858310672</v>
          </cell>
          <cell r="AC30">
            <v>415825.56268944725</v>
          </cell>
          <cell r="AD30">
            <v>589684.58613609895</v>
          </cell>
        </row>
        <row r="31">
          <cell r="A31" t="str">
            <v>CGI001-qtz08-CL-fit-3</v>
          </cell>
          <cell r="B31">
            <v>750</v>
          </cell>
          <cell r="C31">
            <v>6.6965312637759184E-25</v>
          </cell>
          <cell r="D31">
            <v>1500</v>
          </cell>
          <cell r="E31">
            <v>1024</v>
          </cell>
          <cell r="F31">
            <v>1.46484375</v>
          </cell>
          <cell r="H31">
            <v>474014.20053683763</v>
          </cell>
          <cell r="I31">
            <v>876140.47307147959</v>
          </cell>
          <cell r="J31">
            <v>696879.39583080728</v>
          </cell>
          <cell r="K31">
            <v>349898.16724102071</v>
          </cell>
          <cell r="L31">
            <v>714752.25197088835</v>
          </cell>
          <cell r="M31">
            <v>95054.852244896247</v>
          </cell>
          <cell r="N31">
            <v>412849.29473356239</v>
          </cell>
          <cell r="O31">
            <v>0</v>
          </cell>
          <cell r="P31">
            <v>88280.042737349766</v>
          </cell>
          <cell r="Q31">
            <v>166877.08414145102</v>
          </cell>
          <cell r="R31">
            <v>112949.29887588766</v>
          </cell>
          <cell r="T31">
            <v>538774.2427292947</v>
          </cell>
          <cell r="U31">
            <v>346780.09764390311</v>
          </cell>
          <cell r="V31">
            <v>380723.18542619271</v>
          </cell>
          <cell r="X31">
            <v>299164.81570187799</v>
          </cell>
          <cell r="Z31">
            <v>405802.19917027827</v>
          </cell>
          <cell r="AA31">
            <v>214.07552914833357</v>
          </cell>
          <cell r="AB31">
            <v>4557327.0567723438</v>
          </cell>
          <cell r="AC31">
            <v>405588.12364112993</v>
          </cell>
          <cell r="AD31">
            <v>4151524.8576020654</v>
          </cell>
        </row>
        <row r="32">
          <cell r="A32" t="str">
            <v>CGI001-qtz08-CL-fit-4-offset</v>
          </cell>
          <cell r="B32">
            <v>750</v>
          </cell>
          <cell r="C32">
            <v>6.6965312637759184E-25</v>
          </cell>
          <cell r="D32">
            <v>1500</v>
          </cell>
          <cell r="E32">
            <v>1024</v>
          </cell>
          <cell r="F32">
            <v>1.46484375</v>
          </cell>
          <cell r="H32">
            <v>87291.483438858588</v>
          </cell>
          <cell r="I32">
            <v>39363.604887281756</v>
          </cell>
          <cell r="J32">
            <v>86193.122756583398</v>
          </cell>
          <cell r="K32">
            <v>32047.425156449481</v>
          </cell>
          <cell r="L32">
            <v>34606.621682445562</v>
          </cell>
          <cell r="M32">
            <v>81551.720899572436</v>
          </cell>
          <cell r="N32">
            <v>31567.927918844242</v>
          </cell>
          <cell r="O32">
            <v>76231.464297414626</v>
          </cell>
          <cell r="P32">
            <v>21314.467215604305</v>
          </cell>
          <cell r="Q32">
            <v>32992.931227331232</v>
          </cell>
          <cell r="R32">
            <v>22402.469165578332</v>
          </cell>
          <cell r="T32">
            <v>69103.392327570211</v>
          </cell>
          <cell r="U32">
            <v>46387.083715416207</v>
          </cell>
          <cell r="V32">
            <v>34606.621682445562</v>
          </cell>
          <cell r="X32">
            <v>65814.185618449686</v>
          </cell>
          <cell r="Z32">
            <v>58015.422701994656</v>
          </cell>
          <cell r="AA32">
            <v>2051.2794104904133</v>
          </cell>
          <cell r="AB32">
            <v>174696.95791068758</v>
          </cell>
          <cell r="AC32">
            <v>55964.143291504239</v>
          </cell>
          <cell r="AD32">
            <v>116681.53520869292</v>
          </cell>
        </row>
        <row r="33">
          <cell r="A33" t="str">
            <v>CGI001-qtz09-CL-fit-1-offset</v>
          </cell>
          <cell r="B33">
            <v>750</v>
          </cell>
          <cell r="C33">
            <v>6.6965312637759184E-25</v>
          </cell>
          <cell r="D33">
            <v>1500</v>
          </cell>
          <cell r="E33">
            <v>1024</v>
          </cell>
          <cell r="F33">
            <v>1.46484375</v>
          </cell>
          <cell r="H33">
            <v>691287.23201493733</v>
          </cell>
          <cell r="I33">
            <v>640194.08138260932</v>
          </cell>
          <cell r="J33">
            <v>535204.72443516133</v>
          </cell>
          <cell r="K33">
            <v>999453.51613259921</v>
          </cell>
          <cell r="L33">
            <v>531820.6430784039</v>
          </cell>
          <cell r="M33">
            <v>1281220.3825441294</v>
          </cell>
          <cell r="N33">
            <v>459705.17110936029</v>
          </cell>
          <cell r="O33">
            <v>624478.64618172403</v>
          </cell>
          <cell r="P33">
            <v>1032297.2896773299</v>
          </cell>
          <cell r="Q33">
            <v>432434.22575662151</v>
          </cell>
          <cell r="R33">
            <v>655753.36552172969</v>
          </cell>
          <cell r="T33">
            <v>693965.11612014635</v>
          </cell>
          <cell r="U33">
            <v>695812.43960733013</v>
          </cell>
          <cell r="V33">
            <v>640194.08138260932</v>
          </cell>
          <cell r="X33">
            <v>720771.56843754533</v>
          </cell>
          <cell r="Z33">
            <v>707244.46361081139</v>
          </cell>
          <cell r="AA33">
            <v>328412.35911469639</v>
          </cell>
          <cell r="AB33">
            <v>1297431.0253471364</v>
          </cell>
          <cell r="AC33">
            <v>378832.104496115</v>
          </cell>
          <cell r="AD33">
            <v>590186.56173632503</v>
          </cell>
        </row>
        <row r="34">
          <cell r="A34" t="str">
            <v>CGI001-qtz09-CL-fit-2-offset</v>
          </cell>
          <cell r="B34">
            <v>750</v>
          </cell>
          <cell r="C34">
            <v>6.6965312637759184E-25</v>
          </cell>
          <cell r="D34">
            <v>1500</v>
          </cell>
          <cell r="E34">
            <v>1024</v>
          </cell>
          <cell r="F34">
            <v>1.46484375</v>
          </cell>
          <cell r="H34">
            <v>241238.44206056945</v>
          </cell>
          <cell r="I34">
            <v>30875.420561180072</v>
          </cell>
          <cell r="J34">
            <v>216795.86562219152</v>
          </cell>
          <cell r="K34">
            <v>214236.6344192453</v>
          </cell>
          <cell r="L34">
            <v>141479.6147378156</v>
          </cell>
          <cell r="M34">
            <v>61273.125752201166</v>
          </cell>
          <cell r="N34">
            <v>365026.45994802017</v>
          </cell>
          <cell r="O34">
            <v>140355.17105926466</v>
          </cell>
          <cell r="P34">
            <v>20938.849569288752</v>
          </cell>
          <cell r="Q34">
            <v>46668.294516147762</v>
          </cell>
          <cell r="R34">
            <v>313178.22975470254</v>
          </cell>
          <cell r="T34">
            <v>168962.00782437922</v>
          </cell>
          <cell r="U34">
            <v>140160.74338002171</v>
          </cell>
          <cell r="V34">
            <v>141479.6147378156</v>
          </cell>
          <cell r="X34">
            <v>144617.42478032978</v>
          </cell>
          <cell r="Z34">
            <v>134653.40864731424</v>
          </cell>
          <cell r="AA34">
            <v>666.03769337873905</v>
          </cell>
          <cell r="AB34">
            <v>592892.16732080828</v>
          </cell>
          <cell r="AC34">
            <v>133987.37095393549</v>
          </cell>
          <cell r="AD34">
            <v>458238.75867349404</v>
          </cell>
        </row>
        <row r="35">
          <cell r="A35" t="str">
            <v>CGI001-qtz09-CL-fit-3-offset</v>
          </cell>
          <cell r="B35">
            <v>750</v>
          </cell>
          <cell r="C35">
            <v>6.6965312637759184E-25</v>
          </cell>
          <cell r="D35">
            <v>1500</v>
          </cell>
          <cell r="E35">
            <v>1024</v>
          </cell>
          <cell r="F35">
            <v>1.46484375</v>
          </cell>
          <cell r="H35">
            <v>169733.19133392427</v>
          </cell>
          <cell r="I35">
            <v>287288.3703983954</v>
          </cell>
          <cell r="J35">
            <v>65237.523402769388</v>
          </cell>
          <cell r="K35">
            <v>122313.17300389661</v>
          </cell>
          <cell r="L35">
            <v>133908.42527290285</v>
          </cell>
          <cell r="M35">
            <v>49678.816195430903</v>
          </cell>
          <cell r="N35">
            <v>67157.885707659269</v>
          </cell>
          <cell r="O35">
            <v>88451.139457645229</v>
          </cell>
          <cell r="P35">
            <v>150511.68486091107</v>
          </cell>
          <cell r="Q35">
            <v>72494.719080922077</v>
          </cell>
          <cell r="R35">
            <v>1202.4966966410188</v>
          </cell>
          <cell r="T35">
            <v>72924.532058326935</v>
          </cell>
          <cell r="U35">
            <v>94997.952459000226</v>
          </cell>
          <cell r="V35">
            <v>88451.139457645229</v>
          </cell>
          <cell r="X35">
            <v>80416.874399865337</v>
          </cell>
          <cell r="Z35">
            <v>102069.66825861575</v>
          </cell>
          <cell r="AA35">
            <v>1456.1841283586375</v>
          </cell>
          <cell r="AB35">
            <v>737533.93798548065</v>
          </cell>
          <cell r="AC35">
            <v>100613.48413025711</v>
          </cell>
          <cell r="AD35">
            <v>635464.26972686488</v>
          </cell>
        </row>
        <row r="36">
          <cell r="A36" t="str">
            <v>CGI001-qtz10-CL-fit-1-offset</v>
          </cell>
          <cell r="B36">
            <v>750</v>
          </cell>
          <cell r="C36">
            <v>6.6965312637759184E-25</v>
          </cell>
          <cell r="D36">
            <v>2000</v>
          </cell>
          <cell r="E36">
            <v>1024</v>
          </cell>
          <cell r="F36">
            <v>1.953125</v>
          </cell>
          <cell r="H36">
            <v>1065267.389968707</v>
          </cell>
          <cell r="I36">
            <v>934036.53021278407</v>
          </cell>
          <cell r="J36">
            <v>702355.61932261137</v>
          </cell>
          <cell r="K36">
            <v>1013121.6137238538</v>
          </cell>
          <cell r="L36">
            <v>557622.96063696092</v>
          </cell>
          <cell r="M36">
            <v>1035224.2605257006</v>
          </cell>
          <cell r="N36">
            <v>834261.48676404601</v>
          </cell>
          <cell r="O36">
            <v>983526.55770289572</v>
          </cell>
          <cell r="P36">
            <v>1473305.3140739661</v>
          </cell>
          <cell r="Q36">
            <v>1392287.1495967989</v>
          </cell>
          <cell r="R36">
            <v>1050663.0856998868</v>
          </cell>
          <cell r="T36">
            <v>1002039.8421297492</v>
          </cell>
          <cell r="U36">
            <v>987540.46125945915</v>
          </cell>
          <cell r="V36">
            <v>1013121.6137238538</v>
          </cell>
          <cell r="X36">
            <v>985081.13240335404</v>
          </cell>
          <cell r="Z36">
            <v>987984.30680071691</v>
          </cell>
          <cell r="AA36">
            <v>501725.63154742884</v>
          </cell>
          <cell r="AB36">
            <v>1636191.9373581114</v>
          </cell>
          <cell r="AC36">
            <v>486258.67525328806</v>
          </cell>
          <cell r="AD36">
            <v>648207.63055739447</v>
          </cell>
        </row>
        <row r="37">
          <cell r="A37" t="str">
            <v>CGI001-qtz10-CL-fit-2</v>
          </cell>
          <cell r="B37">
            <v>750</v>
          </cell>
          <cell r="C37">
            <v>6.6965312637759184E-25</v>
          </cell>
          <cell r="D37">
            <v>2000</v>
          </cell>
          <cell r="E37">
            <v>1024</v>
          </cell>
          <cell r="F37">
            <v>1.953125</v>
          </cell>
          <cell r="H37">
            <v>489086.29603292438</v>
          </cell>
          <cell r="I37">
            <v>240287.80164782473</v>
          </cell>
          <cell r="J37">
            <v>634119.702341864</v>
          </cell>
          <cell r="K37">
            <v>280424.09992978646</v>
          </cell>
          <cell r="L37">
            <v>281592.00995836296</v>
          </cell>
          <cell r="M37">
            <v>378258.18284593453</v>
          </cell>
          <cell r="N37">
            <v>339513.90774647251</v>
          </cell>
          <cell r="O37">
            <v>465464.27652097307</v>
          </cell>
          <cell r="P37">
            <v>360193.62875042582</v>
          </cell>
          <cell r="Q37">
            <v>209508.8200083916</v>
          </cell>
          <cell r="R37">
            <v>207350.42617738221</v>
          </cell>
          <cell r="T37">
            <v>324674.61589878332</v>
          </cell>
          <cell r="U37">
            <v>342677.51690093818</v>
          </cell>
          <cell r="V37">
            <v>339513.90774647251</v>
          </cell>
          <cell r="X37">
            <v>323965.31788806483</v>
          </cell>
          <cell r="Z37">
            <v>327573.09435740591</v>
          </cell>
          <cell r="AA37">
            <v>170919.41626400227</v>
          </cell>
          <cell r="AB37">
            <v>566910.51289599447</v>
          </cell>
          <cell r="AC37">
            <v>156653.67809340364</v>
          </cell>
          <cell r="AD37">
            <v>239337.41853858856</v>
          </cell>
        </row>
        <row r="38">
          <cell r="A38" t="str">
            <v>CGI001-qtz10-CL-fit-3-offset</v>
          </cell>
          <cell r="B38">
            <v>750</v>
          </cell>
          <cell r="C38">
            <v>6.6965312637759184E-25</v>
          </cell>
          <cell r="D38">
            <v>2000</v>
          </cell>
          <cell r="E38">
            <v>1024</v>
          </cell>
          <cell r="F38">
            <v>1.953125</v>
          </cell>
          <cell r="H38">
            <v>9134869.2331267148</v>
          </cell>
          <cell r="I38">
            <v>11040024.051888563</v>
          </cell>
          <cell r="J38">
            <v>11016746.481502876</v>
          </cell>
          <cell r="K38">
            <v>9586240.0005624238</v>
          </cell>
          <cell r="L38">
            <v>8594162.5329806283</v>
          </cell>
          <cell r="M38">
            <v>8705747.6006236821</v>
          </cell>
          <cell r="N38">
            <v>7398998.8985879803</v>
          </cell>
          <cell r="O38">
            <v>9209075.2540109269</v>
          </cell>
          <cell r="P38">
            <v>8236697.6074921926</v>
          </cell>
          <cell r="Q38">
            <v>7367455.1591366855</v>
          </cell>
          <cell r="R38">
            <v>5248361.5349384695</v>
          </cell>
          <cell r="T38">
            <v>8561217.9221706707</v>
          </cell>
          <cell r="U38">
            <v>8607528.5186193176</v>
          </cell>
          <cell r="V38">
            <v>8705747.6006236821</v>
          </cell>
          <cell r="X38">
            <v>8418636.1514329873</v>
          </cell>
          <cell r="Z38">
            <v>8583381.886169428</v>
          </cell>
          <cell r="AA38">
            <v>5948246.3338400526</v>
          </cell>
          <cell r="AB38">
            <v>11841335.720155846</v>
          </cell>
          <cell r="AC38">
            <v>2635135.5523293754</v>
          </cell>
          <cell r="AD38">
            <v>3257953.8339864183</v>
          </cell>
        </row>
        <row r="39">
          <cell r="A39" t="str">
            <v>CGI001-qtz10-CL-fit-4</v>
          </cell>
          <cell r="B39">
            <v>750</v>
          </cell>
          <cell r="C39">
            <v>6.6965312637759184E-25</v>
          </cell>
          <cell r="D39">
            <v>2000</v>
          </cell>
          <cell r="E39">
            <v>1024</v>
          </cell>
          <cell r="F39">
            <v>1.953125</v>
          </cell>
          <cell r="H39">
            <v>190622.72570359427</v>
          </cell>
          <cell r="I39">
            <v>213275.4839687678</v>
          </cell>
          <cell r="J39">
            <v>239470.4358070211</v>
          </cell>
          <cell r="K39">
            <v>161944.49997894742</v>
          </cell>
          <cell r="L39">
            <v>105590.10376268557</v>
          </cell>
          <cell r="M39">
            <v>151678.43026287545</v>
          </cell>
          <cell r="N39">
            <v>239901.71742547446</v>
          </cell>
          <cell r="O39">
            <v>222729.31364644336</v>
          </cell>
          <cell r="P39">
            <v>203196.04912132563</v>
          </cell>
          <cell r="Q39">
            <v>166250.3332424612</v>
          </cell>
          <cell r="R39">
            <v>84683.741752320333</v>
          </cell>
          <cell r="T39">
            <v>177948.36361350786</v>
          </cell>
          <cell r="U39">
            <v>176084.17342769989</v>
          </cell>
          <cell r="V39">
            <v>190622.72570359427</v>
          </cell>
          <cell r="X39">
            <v>175195.22810525697</v>
          </cell>
          <cell r="Z39">
            <v>175264.17727805945</v>
          </cell>
          <cell r="AA39">
            <v>73929.497859923678</v>
          </cell>
          <cell r="AB39">
            <v>332659.01590274594</v>
          </cell>
          <cell r="AC39">
            <v>101334.67941813577</v>
          </cell>
          <cell r="AD39">
            <v>157394.8386246865</v>
          </cell>
        </row>
        <row r="40">
          <cell r="A40" t="str">
            <v>CGI001-qtz10-CL-fit-5-offset</v>
          </cell>
          <cell r="B40">
            <v>750</v>
          </cell>
          <cell r="C40">
            <v>6.6965312637759184E-25</v>
          </cell>
          <cell r="D40">
            <v>2000</v>
          </cell>
          <cell r="E40">
            <v>1024</v>
          </cell>
          <cell r="F40">
            <v>1.953125</v>
          </cell>
          <cell r="H40">
            <v>36219.211972516809</v>
          </cell>
          <cell r="I40">
            <v>46384.411941477418</v>
          </cell>
          <cell r="J40">
            <v>54014.820805419055</v>
          </cell>
          <cell r="K40">
            <v>56500.429554986964</v>
          </cell>
          <cell r="L40">
            <v>38668.552746650414</v>
          </cell>
          <cell r="M40">
            <v>46743.365170177953</v>
          </cell>
          <cell r="N40">
            <v>15371.515632716406</v>
          </cell>
          <cell r="O40">
            <v>23913.051539639233</v>
          </cell>
          <cell r="P40">
            <v>28604.260969614697</v>
          </cell>
          <cell r="Q40">
            <v>26837.855174084081</v>
          </cell>
          <cell r="R40">
            <v>52743.265469289756</v>
          </cell>
          <cell r="T40">
            <v>50334.51713734676</v>
          </cell>
          <cell r="U40">
            <v>37490.40333185449</v>
          </cell>
          <cell r="V40">
            <v>38668.552746650414</v>
          </cell>
          <cell r="X40">
            <v>37027.306218952035</v>
          </cell>
          <cell r="Z40">
            <v>33050.801970134598</v>
          </cell>
          <cell r="AA40">
            <v>1586.2031346304896</v>
          </cell>
          <cell r="AB40">
            <v>118125.21455336982</v>
          </cell>
          <cell r="AC40">
            <v>31464.598835504108</v>
          </cell>
          <cell r="AD40">
            <v>85074.412583235215</v>
          </cell>
        </row>
        <row r="41">
          <cell r="A41" t="str">
            <v>CGI001-qtz11-CL-fit-1</v>
          </cell>
          <cell r="B41">
            <v>750</v>
          </cell>
          <cell r="C41">
            <v>6.6965312637759184E-25</v>
          </cell>
          <cell r="D41">
            <v>1500</v>
          </cell>
          <cell r="E41">
            <v>1024</v>
          </cell>
          <cell r="F41">
            <v>1.46484375</v>
          </cell>
          <cell r="H41">
            <v>2853150.221093805</v>
          </cell>
          <cell r="I41">
            <v>2012604.5485593304</v>
          </cell>
          <cell r="J41">
            <v>2770339.993470544</v>
          </cell>
          <cell r="K41">
            <v>2383435.8296778062</v>
          </cell>
          <cell r="L41">
            <v>4478580.0862563085</v>
          </cell>
          <cell r="M41">
            <v>2775413.7979736743</v>
          </cell>
          <cell r="N41">
            <v>3336890.6836119019</v>
          </cell>
          <cell r="O41">
            <v>2885222.4635036294</v>
          </cell>
          <cell r="P41">
            <v>2000157.7523011479</v>
          </cell>
          <cell r="Q41">
            <v>3134992.7214448373</v>
          </cell>
          <cell r="R41">
            <v>2396253.6489929087</v>
          </cell>
          <cell r="T41">
            <v>2724613.4323652363</v>
          </cell>
          <cell r="U41">
            <v>2784783.9059587712</v>
          </cell>
          <cell r="V41">
            <v>2775413.7979736743</v>
          </cell>
          <cell r="X41">
            <v>2745644.1815492031</v>
          </cell>
          <cell r="Z41">
            <v>2829947.2610691353</v>
          </cell>
          <cell r="AA41">
            <v>1033060.0622556665</v>
          </cell>
          <cell r="AB41">
            <v>6718599.7507942142</v>
          </cell>
          <cell r="AC41">
            <v>1796887.1988134687</v>
          </cell>
          <cell r="AD41">
            <v>3888652.4897250789</v>
          </cell>
        </row>
        <row r="42">
          <cell r="A42" t="str">
            <v>CGI001-qtz11-CL-fit-2-offset</v>
          </cell>
          <cell r="B42">
            <v>750</v>
          </cell>
          <cell r="C42">
            <v>6.6965312637759184E-25</v>
          </cell>
          <cell r="D42">
            <v>1500</v>
          </cell>
          <cell r="E42">
            <v>1024</v>
          </cell>
          <cell r="F42">
            <v>1.46484375</v>
          </cell>
          <cell r="H42">
            <v>33039.736521841274</v>
          </cell>
          <cell r="I42">
            <v>44708.033352332175</v>
          </cell>
          <cell r="J42">
            <v>14560.15596858249</v>
          </cell>
          <cell r="K42">
            <v>69909.980528578599</v>
          </cell>
          <cell r="L42">
            <v>39785.176327169575</v>
          </cell>
          <cell r="M42">
            <v>38844.586987332237</v>
          </cell>
          <cell r="N42">
            <v>40755.767430321663</v>
          </cell>
          <cell r="O42">
            <v>73269.119485793606</v>
          </cell>
          <cell r="P42">
            <v>19976.4673505227</v>
          </cell>
          <cell r="Q42">
            <v>53427.092667420104</v>
          </cell>
          <cell r="R42">
            <v>123203.146734646</v>
          </cell>
          <cell r="T42">
            <v>54302.378647805432</v>
          </cell>
          <cell r="U42">
            <v>46455.199838230059</v>
          </cell>
          <cell r="V42">
            <v>40755.767430321663</v>
          </cell>
          <cell r="X42">
            <v>47688.725766147152</v>
          </cell>
          <cell r="Z42">
            <v>42760.212438459916</v>
          </cell>
          <cell r="AA42">
            <v>1484.6113849298695</v>
          </cell>
          <cell r="AB42">
            <v>129777.38725806864</v>
          </cell>
          <cell r="AC42">
            <v>41275.601053530045</v>
          </cell>
          <cell r="AD42">
            <v>87017.174819608728</v>
          </cell>
        </row>
        <row r="43">
          <cell r="A43" t="str">
            <v>CGI001-qtz12-CL-fit-1</v>
          </cell>
          <cell r="B43">
            <v>750</v>
          </cell>
          <cell r="C43">
            <v>6.6965312637759184E-25</v>
          </cell>
          <cell r="D43">
            <v>2100</v>
          </cell>
          <cell r="E43">
            <v>1024</v>
          </cell>
          <cell r="F43">
            <v>2.05078125</v>
          </cell>
          <cell r="H43">
            <v>2044642.8836316236</v>
          </cell>
          <cell r="I43">
            <v>357882.5664320417</v>
          </cell>
          <cell r="J43">
            <v>2494984.8997749174</v>
          </cell>
          <cell r="K43">
            <v>1291451.9168386569</v>
          </cell>
          <cell r="L43">
            <v>1494540.7287347151</v>
          </cell>
          <cell r="M43">
            <v>468238.75427211251</v>
          </cell>
          <cell r="N43">
            <v>1021296.9087592093</v>
          </cell>
          <cell r="O43">
            <v>2860812.6958325626</v>
          </cell>
          <cell r="P43">
            <v>4012219.4662390877</v>
          </cell>
          <cell r="Q43">
            <v>82112.621180742135</v>
          </cell>
          <cell r="R43">
            <v>435635.08218914777</v>
          </cell>
          <cell r="T43">
            <v>2003137.747352897</v>
          </cell>
          <cell r="U43">
            <v>1250844.5403783515</v>
          </cell>
          <cell r="V43">
            <v>1291451.9168386569</v>
          </cell>
          <cell r="X43">
            <v>1861441.3340248452</v>
          </cell>
          <cell r="Z43">
            <v>2170083.2054752191</v>
          </cell>
          <cell r="AA43">
            <v>16512.197714708869</v>
          </cell>
          <cell r="AB43">
            <v>11932141.723825797</v>
          </cell>
          <cell r="AC43">
            <v>2153571.0077605103</v>
          </cell>
          <cell r="AD43">
            <v>9762058.5183505788</v>
          </cell>
        </row>
        <row r="44">
          <cell r="A44" t="str">
            <v>CGI001-qtz12-CL-fit-2-offset</v>
          </cell>
          <cell r="B44">
            <v>750</v>
          </cell>
          <cell r="C44">
            <v>6.6965312637759184E-25</v>
          </cell>
          <cell r="D44">
            <v>2100</v>
          </cell>
          <cell r="E44">
            <v>1024</v>
          </cell>
          <cell r="F44">
            <v>2.05078125</v>
          </cell>
          <cell r="H44">
            <v>3771560.3362333998</v>
          </cell>
          <cell r="I44">
            <v>3301941.5633326531</v>
          </cell>
          <cell r="J44">
            <v>2137487.8362113014</v>
          </cell>
          <cell r="K44">
            <v>1689608.9425901526</v>
          </cell>
          <cell r="L44">
            <v>2560258.9119594386</v>
          </cell>
          <cell r="M44">
            <v>3038034.2563097496</v>
          </cell>
          <cell r="N44">
            <v>2315373.5418001749</v>
          </cell>
          <cell r="O44">
            <v>2540987.4518921576</v>
          </cell>
          <cell r="P44">
            <v>2531787.7434198926</v>
          </cell>
          <cell r="Q44">
            <v>4101202.5013617985</v>
          </cell>
          <cell r="R44">
            <v>2593211.9030363257</v>
          </cell>
          <cell r="T44">
            <v>2829696.8234035214</v>
          </cell>
          <cell r="U44">
            <v>2739460.1629841113</v>
          </cell>
          <cell r="V44">
            <v>2560258.9119594386</v>
          </cell>
          <cell r="X44">
            <v>2722528.1126499316</v>
          </cell>
          <cell r="Z44">
            <v>2745142.3200376015</v>
          </cell>
          <cell r="AA44">
            <v>1372878.4251667941</v>
          </cell>
          <cell r="AB44">
            <v>4676724.4255487937</v>
          </cell>
          <cell r="AC44">
            <v>1372263.8948708074</v>
          </cell>
          <cell r="AD44">
            <v>1931582.1055111922</v>
          </cell>
        </row>
        <row r="45">
          <cell r="A45" t="str">
            <v>CGI001-qtz12-CL-fit-3-offset</v>
          </cell>
          <cell r="B45">
            <v>750</v>
          </cell>
          <cell r="C45">
            <v>6.6965312637759184E-25</v>
          </cell>
          <cell r="D45">
            <v>2100</v>
          </cell>
          <cell r="E45">
            <v>1024</v>
          </cell>
          <cell r="F45">
            <v>2.05078125</v>
          </cell>
          <cell r="H45">
            <v>41972.001825640487</v>
          </cell>
          <cell r="I45">
            <v>904.88191452141211</v>
          </cell>
          <cell r="J45">
            <v>117.11241966352142</v>
          </cell>
          <cell r="K45">
            <v>145336.95256089934</v>
          </cell>
          <cell r="L45">
            <v>200972.63240777195</v>
          </cell>
          <cell r="M45">
            <v>356495.10397133272</v>
          </cell>
          <cell r="N45">
            <v>200716.90354381411</v>
          </cell>
          <cell r="O45">
            <v>406854.77661342296</v>
          </cell>
          <cell r="P45">
            <v>476953.32128112018</v>
          </cell>
          <cell r="Q45">
            <v>845798.2902751402</v>
          </cell>
          <cell r="R45">
            <v>955323.57346946036</v>
          </cell>
          <cell r="T45">
            <v>56354.364504499717</v>
          </cell>
          <cell r="U45">
            <v>236190.70731622784</v>
          </cell>
          <cell r="V45">
            <v>200972.63240777195</v>
          </cell>
          <cell r="X45">
            <v>47913.753825472908</v>
          </cell>
          <cell r="Z45">
            <v>90400.091941594874</v>
          </cell>
          <cell r="AA45">
            <v>1.3724830168706067E-6</v>
          </cell>
          <cell r="AB45">
            <v>681360.05547211925</v>
          </cell>
          <cell r="AC45">
            <v>90400.091940222395</v>
          </cell>
          <cell r="AD45">
            <v>590959.9635305244</v>
          </cell>
        </row>
        <row r="46">
          <cell r="A46" t="str">
            <v>CGI001-qtz12-CL-fit-4-offset</v>
          </cell>
          <cell r="B46">
            <v>750</v>
          </cell>
          <cell r="C46">
            <v>6.6965312637759184E-25</v>
          </cell>
          <cell r="D46">
            <v>2100</v>
          </cell>
          <cell r="E46">
            <v>1024</v>
          </cell>
          <cell r="F46">
            <v>2.05078125</v>
          </cell>
          <cell r="H46">
            <v>6280.2192239346268</v>
          </cell>
          <cell r="I46">
            <v>41406.158931935293</v>
          </cell>
          <cell r="J46">
            <v>110153.60202367508</v>
          </cell>
          <cell r="K46">
            <v>89273.098014943971</v>
          </cell>
          <cell r="L46">
            <v>29425.335439461258</v>
          </cell>
          <cell r="M46">
            <v>22328.954597888849</v>
          </cell>
          <cell r="N46">
            <v>70062.333734081738</v>
          </cell>
          <cell r="O46">
            <v>3494.5765294015146</v>
          </cell>
          <cell r="P46">
            <v>19815.072591422424</v>
          </cell>
          <cell r="Q46">
            <v>2876.4454558231</v>
          </cell>
          <cell r="R46">
            <v>4587.169760940641</v>
          </cell>
          <cell r="T46">
            <v>53846.707172183211</v>
          </cell>
          <cell r="U46">
            <v>27384.677371794944</v>
          </cell>
          <cell r="V46">
            <v>22328.954597888849</v>
          </cell>
          <cell r="X46">
            <v>35921.395367288125</v>
          </cell>
          <cell r="Z46">
            <v>32485.721390944527</v>
          </cell>
          <cell r="AA46">
            <v>5.5597846706577064E-3</v>
          </cell>
          <cell r="AB46">
            <v>145895.47016934556</v>
          </cell>
          <cell r="AC46">
            <v>32485.715831159858</v>
          </cell>
          <cell r="AD46">
            <v>113409.74877840103</v>
          </cell>
        </row>
        <row r="47">
          <cell r="A47" t="str">
            <v>CGI005-qtz01-CL-fit-1-offset</v>
          </cell>
          <cell r="B47">
            <v>750</v>
          </cell>
          <cell r="C47">
            <v>6.6965312637759184E-25</v>
          </cell>
          <cell r="D47">
            <v>1700</v>
          </cell>
          <cell r="E47">
            <v>1024</v>
          </cell>
          <cell r="F47">
            <v>1.66015625</v>
          </cell>
          <cell r="H47">
            <v>1640226.643850354</v>
          </cell>
          <cell r="I47">
            <v>2555052.7769364631</v>
          </cell>
          <cell r="J47">
            <v>1920467.1353847156</v>
          </cell>
          <cell r="K47">
            <v>1625368.5146035352</v>
          </cell>
          <cell r="L47">
            <v>357605.5274364365</v>
          </cell>
          <cell r="M47">
            <v>728665.2235929186</v>
          </cell>
          <cell r="N47">
            <v>1504327.4475585839</v>
          </cell>
          <cell r="O47">
            <v>2341634.9415238691</v>
          </cell>
          <cell r="P47">
            <v>3678200.5368279959</v>
          </cell>
          <cell r="Q47">
            <v>2037723.2766521377</v>
          </cell>
          <cell r="R47">
            <v>2061228.2701124479</v>
          </cell>
          <cell r="T47">
            <v>1720066.3355989982</v>
          </cell>
          <cell r="U47">
            <v>1744631.6619666268</v>
          </cell>
          <cell r="V47">
            <v>1920467.1353847156</v>
          </cell>
          <cell r="X47">
            <v>1450893.863173912</v>
          </cell>
          <cell r="Z47">
            <v>1571854.0421597429</v>
          </cell>
          <cell r="AA47">
            <v>51295.229478545334</v>
          </cell>
          <cell r="AB47">
            <v>5509346.3849325068</v>
          </cell>
          <cell r="AC47">
            <v>1520558.8126811977</v>
          </cell>
          <cell r="AD47">
            <v>3937492.3427727642</v>
          </cell>
        </row>
        <row r="48">
          <cell r="A48" t="str">
            <v>CGI005-qtz01-CL-fit-2</v>
          </cell>
          <cell r="B48">
            <v>750</v>
          </cell>
          <cell r="C48">
            <v>6.6965312637759184E-25</v>
          </cell>
          <cell r="D48">
            <v>1700</v>
          </cell>
          <cell r="E48">
            <v>1024</v>
          </cell>
          <cell r="F48">
            <v>1.66015625</v>
          </cell>
          <cell r="H48">
            <v>2372597.7161719082</v>
          </cell>
          <cell r="I48">
            <v>2789088.3631315744</v>
          </cell>
          <cell r="J48">
            <v>2480842.226492906</v>
          </cell>
          <cell r="K48">
            <v>1209962.9439351577</v>
          </cell>
          <cell r="L48">
            <v>1459319.9534239725</v>
          </cell>
          <cell r="M48">
            <v>2896946.8750112788</v>
          </cell>
          <cell r="N48">
            <v>2141033.3615067294</v>
          </cell>
          <cell r="O48">
            <v>3307775.0483274171</v>
          </cell>
          <cell r="P48">
            <v>3596028.2964908038</v>
          </cell>
          <cell r="Q48">
            <v>2628334.2093918417</v>
          </cell>
          <cell r="R48">
            <v>3471180.2539483472</v>
          </cell>
          <cell r="T48">
            <v>2449916.7751701176</v>
          </cell>
          <cell r="U48">
            <v>2518885.6578965792</v>
          </cell>
          <cell r="V48">
            <v>2628334.2093918417</v>
          </cell>
          <cell r="X48">
            <v>2222463.1953793424</v>
          </cell>
          <cell r="Z48">
            <v>2284367.8642938025</v>
          </cell>
          <cell r="AA48">
            <v>1102486.871254419</v>
          </cell>
          <cell r="AB48">
            <v>4614339.354679212</v>
          </cell>
          <cell r="AC48">
            <v>1181880.9930393836</v>
          </cell>
          <cell r="AD48">
            <v>2329971.4903854094</v>
          </cell>
        </row>
        <row r="49">
          <cell r="A49" t="str">
            <v>CGI005-qtz01-CL-fit-3-offset</v>
          </cell>
          <cell r="B49">
            <v>750</v>
          </cell>
          <cell r="C49">
            <v>6.6965312637759184E-25</v>
          </cell>
          <cell r="D49">
            <v>1700</v>
          </cell>
          <cell r="E49">
            <v>1024</v>
          </cell>
          <cell r="F49">
            <v>1.66015625</v>
          </cell>
          <cell r="H49">
            <v>1704653.088851596</v>
          </cell>
          <cell r="I49">
            <v>1412219.8178047582</v>
          </cell>
          <cell r="J49">
            <v>1005114.284290891</v>
          </cell>
          <cell r="K49">
            <v>1565910.968960068</v>
          </cell>
          <cell r="L49">
            <v>326515.67137050797</v>
          </cell>
          <cell r="M49">
            <v>1205637.9359541642</v>
          </cell>
          <cell r="N49">
            <v>1368607.004428413</v>
          </cell>
          <cell r="O49">
            <v>1416636.1898981722</v>
          </cell>
          <cell r="P49">
            <v>1332500.341610682</v>
          </cell>
          <cell r="Q49">
            <v>1657958.1305756548</v>
          </cell>
          <cell r="R49">
            <v>1063904.0958471328</v>
          </cell>
          <cell r="T49">
            <v>1295085.9709134181</v>
          </cell>
          <cell r="U49">
            <v>1240359.076905228</v>
          </cell>
          <cell r="V49">
            <v>1368607.004428413</v>
          </cell>
          <cell r="X49">
            <v>1284045.5094565661</v>
          </cell>
          <cell r="Z49">
            <v>1269330.5082272217</v>
          </cell>
          <cell r="AA49">
            <v>616774.22655468783</v>
          </cell>
          <cell r="AB49">
            <v>2098159.2481046924</v>
          </cell>
          <cell r="AC49">
            <v>652556.28167253383</v>
          </cell>
          <cell r="AD49">
            <v>828828.73987747077</v>
          </cell>
        </row>
        <row r="50">
          <cell r="A50" t="str">
            <v>CGI005-qtz01-CL-fit-4-offset</v>
          </cell>
          <cell r="B50">
            <v>750</v>
          </cell>
          <cell r="C50">
            <v>6.6965312637759184E-25</v>
          </cell>
          <cell r="D50">
            <v>1700</v>
          </cell>
          <cell r="E50">
            <v>1024</v>
          </cell>
          <cell r="F50">
            <v>1.66015625</v>
          </cell>
          <cell r="H50">
            <v>71877.698243201536</v>
          </cell>
          <cell r="I50">
            <v>70141.00613799291</v>
          </cell>
          <cell r="J50">
            <v>107670.03466895637</v>
          </cell>
          <cell r="K50">
            <v>110072.00759570049</v>
          </cell>
          <cell r="L50">
            <v>164355.19156226306</v>
          </cell>
          <cell r="M50">
            <v>104059.51514618627</v>
          </cell>
          <cell r="N50">
            <v>128169.05800080046</v>
          </cell>
          <cell r="O50">
            <v>109742.87613992902</v>
          </cell>
          <cell r="P50">
            <v>127008.41339068282</v>
          </cell>
          <cell r="Q50">
            <v>143203.30168731284</v>
          </cell>
          <cell r="R50">
            <v>108303.95401569226</v>
          </cell>
          <cell r="T50">
            <v>113485.36026999995</v>
          </cell>
          <cell r="U50">
            <v>111556.95077474513</v>
          </cell>
          <cell r="V50">
            <v>109742.87613992902</v>
          </cell>
          <cell r="X50">
            <v>113663.07721446881</v>
          </cell>
          <cell r="Z50">
            <v>109895.05655573217</v>
          </cell>
          <cell r="AA50">
            <v>27445.033439993516</v>
          </cell>
          <cell r="AB50">
            <v>205246.44920797279</v>
          </cell>
          <cell r="AC50">
            <v>82450.023115738644</v>
          </cell>
          <cell r="AD50">
            <v>95351.392652240625</v>
          </cell>
        </row>
        <row r="51">
          <cell r="A51" t="str">
            <v>CGI005-qtz01-CL-fit-5-offset</v>
          </cell>
          <cell r="B51">
            <v>750</v>
          </cell>
          <cell r="C51">
            <v>6.6965312637759184E-25</v>
          </cell>
          <cell r="D51">
            <v>1700</v>
          </cell>
          <cell r="E51">
            <v>1024</v>
          </cell>
          <cell r="F51">
            <v>1.66015625</v>
          </cell>
          <cell r="H51">
            <v>624121.96080870635</v>
          </cell>
          <cell r="I51">
            <v>310789.80329636519</v>
          </cell>
          <cell r="J51">
            <v>403502.37458695297</v>
          </cell>
          <cell r="K51">
            <v>442163.42801945255</v>
          </cell>
          <cell r="L51">
            <v>397019.8599947925</v>
          </cell>
          <cell r="M51">
            <v>527703.28241813718</v>
          </cell>
          <cell r="N51">
            <v>559377.28743955516</v>
          </cell>
          <cell r="O51">
            <v>353974.4915180282</v>
          </cell>
          <cell r="P51">
            <v>698391.04443257127</v>
          </cell>
          <cell r="Q51">
            <v>542800.20150749269</v>
          </cell>
          <cell r="R51">
            <v>1333599.4912964513</v>
          </cell>
          <cell r="T51">
            <v>515145.86026111449</v>
          </cell>
          <cell r="U51">
            <v>538800.64793743321</v>
          </cell>
          <cell r="V51">
            <v>527703.28241813718</v>
          </cell>
          <cell r="X51">
            <v>471690.58779082494</v>
          </cell>
          <cell r="Z51">
            <v>504835.67885835766</v>
          </cell>
          <cell r="AA51">
            <v>214454.1868333114</v>
          </cell>
          <cell r="AB51">
            <v>1064539.3463289246</v>
          </cell>
          <cell r="AC51">
            <v>290381.49202504626</v>
          </cell>
          <cell r="AD51">
            <v>559703.66747056693</v>
          </cell>
        </row>
        <row r="52">
          <cell r="A52" t="str">
            <v>CGI005-qtz03-CL-fit-1-offset</v>
          </cell>
          <cell r="B52">
            <v>750</v>
          </cell>
          <cell r="C52">
            <v>6.6965312637759184E-25</v>
          </cell>
          <cell r="D52">
            <v>1400</v>
          </cell>
          <cell r="E52">
            <v>1024</v>
          </cell>
          <cell r="F52">
            <v>1.3671875</v>
          </cell>
          <cell r="H52">
            <v>4407755.7454060242</v>
          </cell>
          <cell r="I52">
            <v>3011261.1558062807</v>
          </cell>
          <cell r="J52">
            <v>5495080.2662116168</v>
          </cell>
          <cell r="K52">
            <v>2163725.989779925</v>
          </cell>
          <cell r="L52">
            <v>4511805.0266311904</v>
          </cell>
          <cell r="M52">
            <v>4032818.8966289135</v>
          </cell>
          <cell r="N52">
            <v>5517426.5808521565</v>
          </cell>
          <cell r="O52">
            <v>1665217.2070151432</v>
          </cell>
          <cell r="P52">
            <v>2299916.4762136922</v>
          </cell>
          <cell r="Q52">
            <v>2031467.118962524</v>
          </cell>
          <cell r="R52">
            <v>3469266.5387504674</v>
          </cell>
          <cell r="T52">
            <v>3346596.9838594212</v>
          </cell>
          <cell r="U52">
            <v>3380906.5353735485</v>
          </cell>
          <cell r="V52">
            <v>3469266.5387504674</v>
          </cell>
          <cell r="X52">
            <v>3291370.5068604811</v>
          </cell>
          <cell r="Z52">
            <v>3426327.5420961748</v>
          </cell>
          <cell r="AA52">
            <v>1570615.6770961643</v>
          </cell>
          <cell r="AB52">
            <v>6712661.094804124</v>
          </cell>
          <cell r="AC52">
            <v>1855711.8650000105</v>
          </cell>
          <cell r="AD52">
            <v>3286333.5527079492</v>
          </cell>
        </row>
        <row r="53">
          <cell r="A53" t="str">
            <v>CGI005-qtz03-CL-fit-2-offset</v>
          </cell>
          <cell r="B53">
            <v>750</v>
          </cell>
          <cell r="C53">
            <v>6.6965312637759184E-25</v>
          </cell>
          <cell r="D53">
            <v>1400</v>
          </cell>
          <cell r="E53">
            <v>1024</v>
          </cell>
          <cell r="F53">
            <v>1.3671875</v>
          </cell>
          <cell r="H53">
            <v>1809254.6476761654</v>
          </cell>
          <cell r="I53">
            <v>1461427.5063940776</v>
          </cell>
          <cell r="J53">
            <v>1562876.3467314069</v>
          </cell>
          <cell r="K53">
            <v>1646359.1226399911</v>
          </cell>
          <cell r="L53">
            <v>1275905.7633069973</v>
          </cell>
          <cell r="M53">
            <v>1837503.7016946506</v>
          </cell>
          <cell r="N53">
            <v>1474907.9567589262</v>
          </cell>
          <cell r="O53">
            <v>1407294.17556587</v>
          </cell>
          <cell r="P53">
            <v>1525389.0561888251</v>
          </cell>
          <cell r="Q53">
            <v>1218721.3438797737</v>
          </cell>
          <cell r="R53">
            <v>1483805.4314700379</v>
          </cell>
          <cell r="T53">
            <v>1525936.4142993218</v>
          </cell>
          <cell r="U53">
            <v>1512952.1318314944</v>
          </cell>
          <cell r="V53">
            <v>1483805.4314700379</v>
          </cell>
          <cell r="X53">
            <v>1519079.2553688462</v>
          </cell>
          <cell r="Z53">
            <v>1520511.3288352836</v>
          </cell>
          <cell r="AA53">
            <v>1157526.049422438</v>
          </cell>
          <cell r="AB53">
            <v>1972476.7020917076</v>
          </cell>
          <cell r="AC53">
            <v>362985.27941284562</v>
          </cell>
          <cell r="AD53">
            <v>451965.37325642398</v>
          </cell>
        </row>
        <row r="54">
          <cell r="A54" t="str">
            <v>CGI005-qtz03-CL-fit-3</v>
          </cell>
          <cell r="B54">
            <v>750</v>
          </cell>
          <cell r="C54">
            <v>6.6965312637759184E-25</v>
          </cell>
          <cell r="D54">
            <v>1400</v>
          </cell>
          <cell r="E54">
            <v>1024</v>
          </cell>
          <cell r="F54">
            <v>1.3671875</v>
          </cell>
          <cell r="H54">
            <v>2240670.9149380624</v>
          </cell>
          <cell r="I54">
            <v>1760388.7523879404</v>
          </cell>
          <cell r="J54">
            <v>1481461.7668697517</v>
          </cell>
          <cell r="K54">
            <v>1526917.8383898987</v>
          </cell>
          <cell r="L54">
            <v>2104598.2115104445</v>
          </cell>
          <cell r="M54">
            <v>1718395.1848227896</v>
          </cell>
          <cell r="N54">
            <v>2245287.888474355</v>
          </cell>
          <cell r="O54">
            <v>1814358.7158154498</v>
          </cell>
          <cell r="P54">
            <v>1453691.4899329802</v>
          </cell>
          <cell r="Q54">
            <v>1806634.2784882577</v>
          </cell>
          <cell r="R54">
            <v>1891363.962505131</v>
          </cell>
          <cell r="T54">
            <v>1815013.2683297487</v>
          </cell>
          <cell r="U54">
            <v>1812352.7458881</v>
          </cell>
          <cell r="V54">
            <v>1806634.2784882577</v>
          </cell>
          <cell r="X54">
            <v>1804455.4084925151</v>
          </cell>
          <cell r="Z54">
            <v>1829269.318153936</v>
          </cell>
          <cell r="AA54">
            <v>1216194.2150731722</v>
          </cell>
          <cell r="AB54">
            <v>2670664.1933920481</v>
          </cell>
          <cell r="AC54">
            <v>613075.10308076371</v>
          </cell>
          <cell r="AD54">
            <v>841394.87523811217</v>
          </cell>
        </row>
        <row r="55">
          <cell r="A55" t="str">
            <v>CGI005-qtz03-CL-fit-4-offset</v>
          </cell>
          <cell r="B55">
            <v>750</v>
          </cell>
          <cell r="C55">
            <v>6.6965312637759184E-25</v>
          </cell>
          <cell r="D55">
            <v>1400</v>
          </cell>
          <cell r="E55">
            <v>1024</v>
          </cell>
          <cell r="F55">
            <v>1.3671875</v>
          </cell>
          <cell r="H55">
            <v>1213609.9766931878</v>
          </cell>
          <cell r="I55">
            <v>1475735.4601137047</v>
          </cell>
          <cell r="J55">
            <v>1075136.1066217453</v>
          </cell>
          <cell r="K55">
            <v>1395511.8543044555</v>
          </cell>
          <cell r="L55">
            <v>995393.40709109674</v>
          </cell>
          <cell r="M55">
            <v>1582778.8232901965</v>
          </cell>
          <cell r="N55">
            <v>1047970.6945309866</v>
          </cell>
          <cell r="O55">
            <v>1743405.5917447708</v>
          </cell>
          <cell r="P55">
            <v>1474236.5348972213</v>
          </cell>
          <cell r="Q55">
            <v>1208936.9149117256</v>
          </cell>
          <cell r="R55">
            <v>1110910.9776448025</v>
          </cell>
          <cell r="T55">
            <v>1309505.7329947562</v>
          </cell>
          <cell r="U55">
            <v>1291777.755429534</v>
          </cell>
          <cell r="V55">
            <v>1213609.9766931878</v>
          </cell>
          <cell r="X55">
            <v>1276126.0975677217</v>
          </cell>
          <cell r="Z55">
            <v>1282339.3843105305</v>
          </cell>
          <cell r="AA55">
            <v>844670.85557140619</v>
          </cell>
          <cell r="AB55">
            <v>1896655.5045018629</v>
          </cell>
          <cell r="AC55">
            <v>437668.5287391243</v>
          </cell>
          <cell r="AD55">
            <v>614316.12019133242</v>
          </cell>
        </row>
        <row r="56">
          <cell r="A56" t="str">
            <v>CGI005-qtz03-CL-fit-5-offset</v>
          </cell>
          <cell r="B56">
            <v>750</v>
          </cell>
          <cell r="C56">
            <v>6.6965312637759184E-25</v>
          </cell>
          <cell r="D56">
            <v>1400</v>
          </cell>
          <cell r="E56">
            <v>1024</v>
          </cell>
          <cell r="F56">
            <v>1.3671875</v>
          </cell>
          <cell r="H56">
            <v>108092.39366661292</v>
          </cell>
          <cell r="I56">
            <v>52375.101539866919</v>
          </cell>
          <cell r="J56">
            <v>50139.546793069654</v>
          </cell>
          <cell r="K56">
            <v>71916.127910009425</v>
          </cell>
          <cell r="L56">
            <v>64054.935697905647</v>
          </cell>
          <cell r="M56">
            <v>117106.32078665745</v>
          </cell>
          <cell r="N56">
            <v>75156.050696318824</v>
          </cell>
          <cell r="O56">
            <v>90925.552604641431</v>
          </cell>
          <cell r="P56">
            <v>156974.73017842163</v>
          </cell>
          <cell r="Q56">
            <v>81209.003654464439</v>
          </cell>
          <cell r="R56">
            <v>69517.879098927471</v>
          </cell>
          <cell r="T56">
            <v>86246.222605097297</v>
          </cell>
          <cell r="U56">
            <v>82815.17164542622</v>
          </cell>
          <cell r="V56">
            <v>75156.050696318824</v>
          </cell>
          <cell r="X56">
            <v>76506.293144513009</v>
          </cell>
          <cell r="Z56">
            <v>78974.475645971688</v>
          </cell>
          <cell r="AA56">
            <v>23906.623537253086</v>
          </cell>
          <cell r="AB56">
            <v>175065.60008446139</v>
          </cell>
          <cell r="AC56">
            <v>55067.852108718602</v>
          </cell>
          <cell r="AD56">
            <v>96091.1244384897</v>
          </cell>
        </row>
        <row r="57">
          <cell r="A57" t="str">
            <v>CGI005-qtz03-CL-fit-6-offset</v>
          </cell>
          <cell r="B57">
            <v>750</v>
          </cell>
          <cell r="C57">
            <v>6.6965312637759184E-25</v>
          </cell>
          <cell r="D57">
            <v>1400</v>
          </cell>
          <cell r="E57">
            <v>1024</v>
          </cell>
          <cell r="F57">
            <v>1.3671875</v>
          </cell>
          <cell r="H57">
            <v>70889.877186279744</v>
          </cell>
          <cell r="I57">
            <v>51843.090074272513</v>
          </cell>
          <cell r="J57">
            <v>67079.349778883436</v>
          </cell>
          <cell r="K57">
            <v>7163.9179413371858</v>
          </cell>
          <cell r="L57">
            <v>22977.581760429664</v>
          </cell>
          <cell r="M57">
            <v>34433.250082644292</v>
          </cell>
          <cell r="N57">
            <v>2477.1129677004042</v>
          </cell>
          <cell r="O57">
            <v>7.3646991562231428</v>
          </cell>
          <cell r="P57">
            <v>3.3346354255670367</v>
          </cell>
          <cell r="Q57">
            <v>13633.534680242032</v>
          </cell>
          <cell r="R57">
            <v>38792.107645665339</v>
          </cell>
          <cell r="T57">
            <v>32575.188965799643</v>
          </cell>
          <cell r="U57">
            <v>19670.189144310429</v>
          </cell>
          <cell r="V57">
            <v>22977.581760429664</v>
          </cell>
          <cell r="X57">
            <v>28866.104357725198</v>
          </cell>
          <cell r="Z57">
            <v>25880.468496104255</v>
          </cell>
          <cell r="AA57">
            <v>467.58780680266091</v>
          </cell>
          <cell r="AB57">
            <v>95110.722013728475</v>
          </cell>
          <cell r="AC57">
            <v>25412.880689301594</v>
          </cell>
          <cell r="AD57">
            <v>69230.253517624224</v>
          </cell>
        </row>
        <row r="58">
          <cell r="A58" t="str">
            <v>CGI005-qtz04-CL-fit-1-offset</v>
          </cell>
          <cell r="B58">
            <v>750</v>
          </cell>
          <cell r="C58">
            <v>6.6965312637759184E-25</v>
          </cell>
          <cell r="D58">
            <v>1900</v>
          </cell>
          <cell r="E58">
            <v>1024</v>
          </cell>
          <cell r="F58">
            <v>1.85546875</v>
          </cell>
          <cell r="H58">
            <v>787331.28954301891</v>
          </cell>
          <cell r="I58">
            <v>684598.44332856662</v>
          </cell>
          <cell r="J58">
            <v>673390.44372924732</v>
          </cell>
          <cell r="K58">
            <v>664667.87237659073</v>
          </cell>
          <cell r="L58">
            <v>523836.24325508933</v>
          </cell>
          <cell r="M58">
            <v>741213.05042910646</v>
          </cell>
          <cell r="N58">
            <v>698533.5577620035</v>
          </cell>
          <cell r="O58">
            <v>961197.11690876982</v>
          </cell>
          <cell r="P58">
            <v>1175822.7996057773</v>
          </cell>
          <cell r="Q58">
            <v>927240.55094587803</v>
          </cell>
          <cell r="R58">
            <v>1064177.2133576225</v>
          </cell>
          <cell r="T58">
            <v>782086.58438792452</v>
          </cell>
          <cell r="U58">
            <v>798645.40958432818</v>
          </cell>
          <cell r="V58">
            <v>741213.05042910646</v>
          </cell>
          <cell r="X58">
            <v>756335.61281742889</v>
          </cell>
          <cell r="Z58">
            <v>759821.13923818839</v>
          </cell>
          <cell r="AA58">
            <v>453424.16337306675</v>
          </cell>
          <cell r="AB58">
            <v>1153471.8347627523</v>
          </cell>
          <cell r="AC58">
            <v>306396.97586512164</v>
          </cell>
          <cell r="AD58">
            <v>393650.6955245639</v>
          </cell>
        </row>
        <row r="59">
          <cell r="A59" t="str">
            <v>CGI005-qtz04-CL-fit-2-offset</v>
          </cell>
          <cell r="B59">
            <v>750</v>
          </cell>
          <cell r="C59">
            <v>6.6965312637759184E-25</v>
          </cell>
          <cell r="D59">
            <v>1900</v>
          </cell>
          <cell r="E59">
            <v>1024</v>
          </cell>
          <cell r="F59">
            <v>1.85546875</v>
          </cell>
          <cell r="H59">
            <v>1245355.1972410732</v>
          </cell>
          <cell r="I59">
            <v>1521379.6861234782</v>
          </cell>
          <cell r="J59">
            <v>1800699.8496978821</v>
          </cell>
          <cell r="K59">
            <v>1675652.9505212202</v>
          </cell>
          <cell r="L59">
            <v>1095758.2893259588</v>
          </cell>
          <cell r="M59">
            <v>1304573.662338784</v>
          </cell>
          <cell r="N59">
            <v>977592.32184051885</v>
          </cell>
          <cell r="O59">
            <v>1098963.1761876666</v>
          </cell>
          <cell r="P59">
            <v>957249.28408972512</v>
          </cell>
          <cell r="Q59">
            <v>1150700.5279555318</v>
          </cell>
          <cell r="R59">
            <v>1407908.2298539968</v>
          </cell>
          <cell r="T59">
            <v>1279018.451168135</v>
          </cell>
          <cell r="U59">
            <v>1280895.3791232691</v>
          </cell>
          <cell r="V59">
            <v>1245355.1972410732</v>
          </cell>
          <cell r="X59">
            <v>1287046.4482378343</v>
          </cell>
          <cell r="Z59">
            <v>1288714.3388068385</v>
          </cell>
          <cell r="AA59">
            <v>944552.4111469622</v>
          </cell>
          <cell r="AB59">
            <v>1779088.7174042731</v>
          </cell>
          <cell r="AC59">
            <v>344161.9276598763</v>
          </cell>
          <cell r="AD59">
            <v>490374.37859743461</v>
          </cell>
        </row>
        <row r="60">
          <cell r="A60" t="str">
            <v>CGI005-qtz04-CL-fit-3</v>
          </cell>
          <cell r="B60">
            <v>750</v>
          </cell>
          <cell r="C60">
            <v>6.6965312637759184E-25</v>
          </cell>
          <cell r="D60">
            <v>1900</v>
          </cell>
          <cell r="E60">
            <v>1024</v>
          </cell>
          <cell r="F60">
            <v>1.85546875</v>
          </cell>
          <cell r="H60">
            <v>138672.38367450231</v>
          </cell>
          <cell r="I60">
            <v>209477.8905826257</v>
          </cell>
          <cell r="J60">
            <v>311375.23350158962</v>
          </cell>
          <cell r="K60">
            <v>295334.51516221865</v>
          </cell>
          <cell r="L60">
            <v>189711.02540409609</v>
          </cell>
          <cell r="M60">
            <v>229736.3089182566</v>
          </cell>
          <cell r="N60">
            <v>206747.15593857769</v>
          </cell>
          <cell r="O60">
            <v>254190.36322054107</v>
          </cell>
          <cell r="P60">
            <v>182016.57672150162</v>
          </cell>
          <cell r="Q60">
            <v>161822.79575938321</v>
          </cell>
          <cell r="R60">
            <v>264786.66987461329</v>
          </cell>
          <cell r="T60">
            <v>218357.58250081266</v>
          </cell>
          <cell r="U60">
            <v>219087.49857011589</v>
          </cell>
          <cell r="V60">
            <v>209477.8905826257</v>
          </cell>
          <cell r="X60">
            <v>218152.78925123464</v>
          </cell>
          <cell r="Z60">
            <v>223882.47531602878</v>
          </cell>
          <cell r="AA60">
            <v>89563.11683033983</v>
          </cell>
          <cell r="AB60">
            <v>423709.47332340758</v>
          </cell>
          <cell r="AC60">
            <v>134319.35848568895</v>
          </cell>
          <cell r="AD60">
            <v>199826.9980073788</v>
          </cell>
        </row>
        <row r="61">
          <cell r="A61" t="str">
            <v>CGI005-qtz04-CL-fit-4-offset</v>
          </cell>
          <cell r="B61">
            <v>750</v>
          </cell>
          <cell r="C61">
            <v>6.6965312637759184E-25</v>
          </cell>
          <cell r="D61">
            <v>1900</v>
          </cell>
          <cell r="E61">
            <v>1024</v>
          </cell>
          <cell r="F61">
            <v>1.85546875</v>
          </cell>
          <cell r="H61">
            <v>231436.87376940265</v>
          </cell>
          <cell r="I61">
            <v>335029.31279592571</v>
          </cell>
          <cell r="J61">
            <v>510514.97235153028</v>
          </cell>
          <cell r="K61">
            <v>636211.32403670042</v>
          </cell>
          <cell r="L61">
            <v>405541.55810443411</v>
          </cell>
          <cell r="M61">
            <v>223124.01764178285</v>
          </cell>
          <cell r="N61">
            <v>462150.62641513871</v>
          </cell>
          <cell r="O61">
            <v>382979.86661435041</v>
          </cell>
          <cell r="P61">
            <v>347574.23888874264</v>
          </cell>
          <cell r="Q61">
            <v>202270.39374543083</v>
          </cell>
          <cell r="R61">
            <v>280617.42384962179</v>
          </cell>
          <cell r="T61">
            <v>355599.57800474181</v>
          </cell>
          <cell r="U61">
            <v>354448.34620756883</v>
          </cell>
          <cell r="V61">
            <v>347574.23888874264</v>
          </cell>
          <cell r="X61">
            <v>335220.90606420964</v>
          </cell>
          <cell r="Z61">
            <v>347110.49615566473</v>
          </cell>
          <cell r="AA61">
            <v>120907.93500121511</v>
          </cell>
          <cell r="AB61">
            <v>897381.90881521825</v>
          </cell>
          <cell r="AC61">
            <v>226202.56115444962</v>
          </cell>
          <cell r="AD61">
            <v>550271.41265955358</v>
          </cell>
        </row>
        <row r="62">
          <cell r="A62" t="str">
            <v>CGI005-qtz04-CL-fit-5-offset</v>
          </cell>
          <cell r="B62">
            <v>750</v>
          </cell>
          <cell r="C62">
            <v>6.6965312637759184E-25</v>
          </cell>
          <cell r="D62">
            <v>1900</v>
          </cell>
          <cell r="E62">
            <v>1024</v>
          </cell>
          <cell r="F62">
            <v>1.85546875</v>
          </cell>
          <cell r="H62">
            <v>149671.67131048098</v>
          </cell>
          <cell r="I62">
            <v>229954.44470549922</v>
          </cell>
          <cell r="J62">
            <v>179853.23404045755</v>
          </cell>
          <cell r="K62">
            <v>217581.89057120326</v>
          </cell>
          <cell r="L62">
            <v>281680.6562571309</v>
          </cell>
          <cell r="M62">
            <v>173921.89021691377</v>
          </cell>
          <cell r="N62">
            <v>210697.62718252765</v>
          </cell>
          <cell r="O62">
            <v>235971.74926951673</v>
          </cell>
          <cell r="P62">
            <v>310968.0073252435</v>
          </cell>
          <cell r="Q62">
            <v>170602.58734153403</v>
          </cell>
          <cell r="R62">
            <v>302128.4174599346</v>
          </cell>
          <cell r="T62">
            <v>231459.34748119873</v>
          </cell>
          <cell r="U62">
            <v>220888.74097401713</v>
          </cell>
          <cell r="V62">
            <v>217581.89057120326</v>
          </cell>
          <cell r="X62">
            <v>228501.43731382204</v>
          </cell>
          <cell r="Z62">
            <v>235515.61119605385</v>
          </cell>
          <cell r="AA62">
            <v>104418.84464042303</v>
          </cell>
          <cell r="AB62">
            <v>458013.09500314703</v>
          </cell>
          <cell r="AC62">
            <v>131096.76655563083</v>
          </cell>
          <cell r="AD62">
            <v>222497.48380709317</v>
          </cell>
        </row>
        <row r="63">
          <cell r="A63" t="str">
            <v>CGI005-qtz05-CL-fit-1-offset</v>
          </cell>
          <cell r="B63">
            <v>750</v>
          </cell>
          <cell r="C63">
            <v>6.6965312637759184E-25</v>
          </cell>
          <cell r="D63">
            <v>1900</v>
          </cell>
          <cell r="E63">
            <v>1024</v>
          </cell>
          <cell r="F63">
            <v>1.85546875</v>
          </cell>
          <cell r="H63">
            <v>591648.05564619706</v>
          </cell>
          <cell r="I63">
            <v>1724.4361147659608</v>
          </cell>
          <cell r="J63">
            <v>1140546.9404688745</v>
          </cell>
          <cell r="K63">
            <v>3540.1104210704862</v>
          </cell>
          <cell r="L63">
            <v>1590581.3666569151</v>
          </cell>
          <cell r="M63">
            <v>20887.270300844408</v>
          </cell>
          <cell r="N63">
            <v>221193.72250065301</v>
          </cell>
          <cell r="O63">
            <v>407637.29042625747</v>
          </cell>
          <cell r="P63">
            <v>2899134.9543649652</v>
          </cell>
          <cell r="Q63">
            <v>634683.5117499507</v>
          </cell>
          <cell r="R63">
            <v>87.010566313417215</v>
          </cell>
          <cell r="T63">
            <v>561666.9608043707</v>
          </cell>
          <cell r="U63">
            <v>400498.26155643206</v>
          </cell>
          <cell r="V63">
            <v>407637.29042625747</v>
          </cell>
          <cell r="X63">
            <v>446796.86901098205</v>
          </cell>
          <cell r="Z63">
            <v>454715.667215975</v>
          </cell>
          <cell r="AA63">
            <v>2.9989322387349841E-6</v>
          </cell>
          <cell r="AB63">
            <v>1938827.4959231913</v>
          </cell>
          <cell r="AC63">
            <v>454715.66721297608</v>
          </cell>
          <cell r="AD63">
            <v>1484111.8287072163</v>
          </cell>
        </row>
        <row r="64">
          <cell r="A64" t="str">
            <v>CGI005-qtz05-CL-fit-2-offset</v>
          </cell>
          <cell r="B64">
            <v>750</v>
          </cell>
          <cell r="C64">
            <v>6.6965312637759184E-25</v>
          </cell>
          <cell r="D64">
            <v>1900</v>
          </cell>
          <cell r="E64">
            <v>1024</v>
          </cell>
          <cell r="F64">
            <v>1.85546875</v>
          </cell>
          <cell r="H64">
            <v>2101317.1782974256</v>
          </cell>
          <cell r="I64">
            <v>1141808.5536712476</v>
          </cell>
          <cell r="J64">
            <v>1047740.466253925</v>
          </cell>
          <cell r="K64">
            <v>2877620.1183725963</v>
          </cell>
          <cell r="L64">
            <v>1972856.2255551144</v>
          </cell>
          <cell r="M64">
            <v>1178371.0549257579</v>
          </cell>
          <cell r="N64">
            <v>1773308.4308017539</v>
          </cell>
          <cell r="O64">
            <v>1154761.6113256223</v>
          </cell>
          <cell r="P64">
            <v>2301553.2185079767</v>
          </cell>
          <cell r="Q64">
            <v>5235634.4773273123</v>
          </cell>
          <cell r="R64">
            <v>3029176.6753176362</v>
          </cell>
          <cell r="T64">
            <v>1829328.9370945082</v>
          </cell>
          <cell r="U64">
            <v>2031959.7969687344</v>
          </cell>
          <cell r="V64">
            <v>1972856.2255551144</v>
          </cell>
          <cell r="X64">
            <v>1958494.4324623018</v>
          </cell>
          <cell r="Z64">
            <v>2109952.4685451877</v>
          </cell>
          <cell r="AA64">
            <v>103061.3683156796</v>
          </cell>
          <cell r="AB64">
            <v>9472466.7436013259</v>
          </cell>
          <cell r="AC64">
            <v>2006891.1002295082</v>
          </cell>
          <cell r="AD64">
            <v>7362514.2750561386</v>
          </cell>
        </row>
        <row r="65">
          <cell r="A65" t="str">
            <v>CGI005-qtz05-CL-fit-3-offset</v>
          </cell>
          <cell r="B65">
            <v>750</v>
          </cell>
          <cell r="C65">
            <v>6.6965312637759184E-25</v>
          </cell>
          <cell r="D65">
            <v>1900</v>
          </cell>
          <cell r="E65">
            <v>1024</v>
          </cell>
          <cell r="F65">
            <v>1.85546875</v>
          </cell>
          <cell r="H65">
            <v>884594.22156498919</v>
          </cell>
          <cell r="I65">
            <v>9316.3979111169283</v>
          </cell>
          <cell r="J65">
            <v>1680901.0225144352</v>
          </cell>
          <cell r="K65">
            <v>1041352.3110640032</v>
          </cell>
          <cell r="L65">
            <v>1847126.3450478793</v>
          </cell>
          <cell r="M65">
            <v>1902834.8447533017</v>
          </cell>
          <cell r="N65">
            <v>938176.08374869637</v>
          </cell>
          <cell r="O65">
            <v>0</v>
          </cell>
          <cell r="P65">
            <v>3113066.2250521537</v>
          </cell>
          <cell r="Q65">
            <v>1788036.739138386</v>
          </cell>
          <cell r="R65">
            <v>1514177.3656312146</v>
          </cell>
          <cell r="T65">
            <v>1631254.8652529549</v>
          </cell>
          <cell r="U65">
            <v>1298053.0076907433</v>
          </cell>
          <cell r="V65">
            <v>1596450.968599916</v>
          </cell>
          <cell r="X65">
            <v>1555186.2185550407</v>
          </cell>
          <cell r="Z65">
            <v>1655145.6338133134</v>
          </cell>
          <cell r="AA65">
            <v>402076.13243310835</v>
          </cell>
          <cell r="AB65">
            <v>5744988.3979316596</v>
          </cell>
          <cell r="AC65">
            <v>1253069.5013802052</v>
          </cell>
          <cell r="AD65">
            <v>4089842.7641183464</v>
          </cell>
        </row>
        <row r="66">
          <cell r="A66" t="str">
            <v>CGI005-qtz06-CL-fit-1-offset</v>
          </cell>
          <cell r="B66">
            <v>750</v>
          </cell>
          <cell r="C66">
            <v>6.6965312637759184E-25</v>
          </cell>
          <cell r="D66">
            <v>2050</v>
          </cell>
          <cell r="E66">
            <v>1024</v>
          </cell>
          <cell r="F66">
            <v>2.001953125</v>
          </cell>
          <cell r="H66">
            <v>6192577.7373897834</v>
          </cell>
          <cell r="I66">
            <v>4805665.9440427115</v>
          </cell>
          <cell r="J66">
            <v>8141577.8064669687</v>
          </cell>
          <cell r="K66">
            <v>6160803.9743822133</v>
          </cell>
          <cell r="L66">
            <v>4883660.8466334762</v>
          </cell>
          <cell r="M66">
            <v>5111753.5344554875</v>
          </cell>
          <cell r="N66">
            <v>7247851.5667631114</v>
          </cell>
          <cell r="O66">
            <v>7104065.0157346288</v>
          </cell>
          <cell r="P66">
            <v>4300129.4558142181</v>
          </cell>
          <cell r="Q66">
            <v>8034705.9324757801</v>
          </cell>
          <cell r="R66">
            <v>5182955.601455804</v>
          </cell>
          <cell r="T66">
            <v>6017788.9341297541</v>
          </cell>
          <cell r="U66">
            <v>6037877.9707988398</v>
          </cell>
          <cell r="V66">
            <v>6160803.9743822133</v>
          </cell>
          <cell r="X66">
            <v>6057412.1548065795</v>
          </cell>
          <cell r="Z66">
            <v>6090710.8761114348</v>
          </cell>
          <cell r="AA66">
            <v>4242969.0473699868</v>
          </cell>
          <cell r="AB66">
            <v>8373876.2147248136</v>
          </cell>
          <cell r="AC66">
            <v>1847741.828741448</v>
          </cell>
          <cell r="AD66">
            <v>2283165.3386133788</v>
          </cell>
        </row>
        <row r="67">
          <cell r="A67" t="str">
            <v>CGI005-qtz06-CL-fit-2-offset</v>
          </cell>
          <cell r="B67">
            <v>750</v>
          </cell>
          <cell r="C67">
            <v>6.6965312637759184E-25</v>
          </cell>
          <cell r="D67">
            <v>2050</v>
          </cell>
          <cell r="E67">
            <v>1024</v>
          </cell>
          <cell r="F67">
            <v>2.001953125</v>
          </cell>
          <cell r="H67">
            <v>1858001.2147261901</v>
          </cell>
          <cell r="I67">
            <v>1801485.4035821809</v>
          </cell>
          <cell r="J67">
            <v>2095229.2749459101</v>
          </cell>
          <cell r="K67">
            <v>1742417.5168724279</v>
          </cell>
          <cell r="L67">
            <v>1589746.7200801997</v>
          </cell>
          <cell r="M67">
            <v>1766654.3235710247</v>
          </cell>
          <cell r="N67">
            <v>1623769.3049307072</v>
          </cell>
          <cell r="O67">
            <v>1532469.827053328</v>
          </cell>
          <cell r="P67">
            <v>1983765.7870935469</v>
          </cell>
          <cell r="Q67">
            <v>2283579.2365898364</v>
          </cell>
          <cell r="R67">
            <v>1796803.3230128437</v>
          </cell>
          <cell r="T67">
            <v>1831906.2827900026</v>
          </cell>
          <cell r="U67">
            <v>1818831.8867320169</v>
          </cell>
          <cell r="V67">
            <v>1796803.3230128437</v>
          </cell>
          <cell r="X67">
            <v>1802178.4652545133</v>
          </cell>
          <cell r="Z67">
            <v>1807965.1628088483</v>
          </cell>
          <cell r="AA67">
            <v>1242353.3640862585</v>
          </cell>
          <cell r="AB67">
            <v>2493749.1302201422</v>
          </cell>
          <cell r="AC67">
            <v>565611.79872258985</v>
          </cell>
          <cell r="AD67">
            <v>685783.96741129388</v>
          </cell>
        </row>
        <row r="68">
          <cell r="A68" t="str">
            <v>CGI005-qtz06-CL-fit-3-offset</v>
          </cell>
          <cell r="B68">
            <v>750</v>
          </cell>
          <cell r="C68">
            <v>6.6965312637759184E-25</v>
          </cell>
          <cell r="D68">
            <v>2050</v>
          </cell>
          <cell r="E68">
            <v>1024</v>
          </cell>
          <cell r="F68">
            <v>2.001953125</v>
          </cell>
          <cell r="H68">
            <v>946678.5442753305</v>
          </cell>
          <cell r="I68">
            <v>1149315.0547797841</v>
          </cell>
          <cell r="J68">
            <v>1517908.219818132</v>
          </cell>
          <cell r="K68">
            <v>1110396.8674923147</v>
          </cell>
          <cell r="L68">
            <v>1576070.6119014346</v>
          </cell>
          <cell r="M68">
            <v>2018020.5482699757</v>
          </cell>
          <cell r="N68">
            <v>1313375.7126471847</v>
          </cell>
          <cell r="O68">
            <v>688449.35734956525</v>
          </cell>
          <cell r="P68">
            <v>1145069.3693310546</v>
          </cell>
          <cell r="Q68">
            <v>543032.30373413383</v>
          </cell>
          <cell r="R68">
            <v>1362364.7028523786</v>
          </cell>
          <cell r="T68">
            <v>1178304.6470967252</v>
          </cell>
          <cell r="U68">
            <v>1181520.5440610575</v>
          </cell>
          <cell r="V68">
            <v>1149315.0547797841</v>
          </cell>
          <cell r="X68">
            <v>1236098.8049543968</v>
          </cell>
          <cell r="Z68">
            <v>1262827.1827330522</v>
          </cell>
          <cell r="AA68">
            <v>562908.11905996804</v>
          </cell>
          <cell r="AB68">
            <v>2576366.8749979679</v>
          </cell>
          <cell r="AC68">
            <v>699919.06367308414</v>
          </cell>
          <cell r="AD68">
            <v>1313539.6922649157</v>
          </cell>
        </row>
        <row r="69">
          <cell r="A69" t="str">
            <v>CGI005-qtz06-CL-fit-4</v>
          </cell>
          <cell r="B69">
            <v>750</v>
          </cell>
          <cell r="C69">
            <v>6.6965312637759184E-25</v>
          </cell>
          <cell r="D69">
            <v>2050</v>
          </cell>
          <cell r="E69">
            <v>1024</v>
          </cell>
          <cell r="F69">
            <v>2.001953125</v>
          </cell>
          <cell r="H69">
            <v>53475.091907816131</v>
          </cell>
          <cell r="I69">
            <v>174993.43165032173</v>
          </cell>
          <cell r="J69">
            <v>60709.799781654532</v>
          </cell>
          <cell r="K69">
            <v>37295.657605087079</v>
          </cell>
          <cell r="L69">
            <v>64490.609803187515</v>
          </cell>
          <cell r="M69">
            <v>103931.71145477294</v>
          </cell>
          <cell r="N69">
            <v>1412.2685356017103</v>
          </cell>
          <cell r="O69">
            <v>65287.16637648279</v>
          </cell>
          <cell r="P69">
            <v>114356.88493721969</v>
          </cell>
          <cell r="Q69">
            <v>99808.762144312743</v>
          </cell>
          <cell r="R69">
            <v>100313.72461971475</v>
          </cell>
          <cell r="T69">
            <v>92585.85417145885</v>
          </cell>
          <cell r="U69">
            <v>70917.004495543573</v>
          </cell>
          <cell r="V69">
            <v>65287.16637648279</v>
          </cell>
          <cell r="X69">
            <v>85237.934520721974</v>
          </cell>
          <cell r="Z69">
            <v>85339.488019933429</v>
          </cell>
          <cell r="AA69">
            <v>2930.3505420565248</v>
          </cell>
          <cell r="AB69">
            <v>290114.2668641925</v>
          </cell>
          <cell r="AC69">
            <v>82409.13747787691</v>
          </cell>
          <cell r="AD69">
            <v>204774.77884425907</v>
          </cell>
        </row>
        <row r="70">
          <cell r="A70" t="str">
            <v>CGI005-qtz07-CL-fit-1-offset</v>
          </cell>
          <cell r="B70">
            <v>750</v>
          </cell>
          <cell r="C70">
            <v>6.6965312637759184E-25</v>
          </cell>
          <cell r="D70">
            <v>2100</v>
          </cell>
          <cell r="E70">
            <v>1024</v>
          </cell>
          <cell r="F70">
            <v>2.05078125</v>
          </cell>
          <cell r="H70">
            <v>1331859.9744090936</v>
          </cell>
          <cell r="I70">
            <v>1251827.9937752294</v>
          </cell>
          <cell r="J70">
            <v>1798318.8192404911</v>
          </cell>
          <cell r="K70">
            <v>2106318.2827342423</v>
          </cell>
          <cell r="L70">
            <v>2152244.132815944</v>
          </cell>
          <cell r="M70">
            <v>1841201.0642470401</v>
          </cell>
          <cell r="N70">
            <v>1492843.4103674679</v>
          </cell>
          <cell r="O70">
            <v>1040912.5643783886</v>
          </cell>
          <cell r="P70">
            <v>1304640.2114716456</v>
          </cell>
          <cell r="Q70">
            <v>834677.91447747243</v>
          </cell>
          <cell r="R70">
            <v>1195773.1949936207</v>
          </cell>
          <cell r="T70">
            <v>1470016.5812515181</v>
          </cell>
          <cell r="U70">
            <v>1457640.4384634888</v>
          </cell>
          <cell r="V70">
            <v>1331859.9744090936</v>
          </cell>
          <cell r="X70">
            <v>1429212.6157268777</v>
          </cell>
          <cell r="Z70">
            <v>1435089.2256782085</v>
          </cell>
          <cell r="AA70">
            <v>1027279.4378959552</v>
          </cell>
          <cell r="AB70">
            <v>1988480.1297321105</v>
          </cell>
          <cell r="AC70">
            <v>407809.78778225335</v>
          </cell>
          <cell r="AD70">
            <v>553390.90405390202</v>
          </cell>
        </row>
        <row r="71">
          <cell r="A71" t="str">
            <v>CGI005-qtz07-CL-fit-2-offset</v>
          </cell>
          <cell r="B71">
            <v>750</v>
          </cell>
          <cell r="C71">
            <v>6.6965312637759184E-25</v>
          </cell>
          <cell r="D71">
            <v>2100</v>
          </cell>
          <cell r="E71">
            <v>1024</v>
          </cell>
          <cell r="F71">
            <v>2.05078125</v>
          </cell>
          <cell r="H71">
            <v>53773.009750148238</v>
          </cell>
          <cell r="I71">
            <v>67811.956771875426</v>
          </cell>
          <cell r="J71">
            <v>167343.72268453444</v>
          </cell>
          <cell r="K71">
            <v>165565.80624168413</v>
          </cell>
          <cell r="L71">
            <v>131996.82614766445</v>
          </cell>
          <cell r="M71">
            <v>95629.290102121435</v>
          </cell>
          <cell r="N71">
            <v>107275.17963385332</v>
          </cell>
          <cell r="O71">
            <v>127987.08907860306</v>
          </cell>
          <cell r="P71">
            <v>148366.04882876907</v>
          </cell>
          <cell r="Q71">
            <v>98547.229358267359</v>
          </cell>
          <cell r="R71">
            <v>126333.44432183864</v>
          </cell>
          <cell r="T71">
            <v>117734.09119868629</v>
          </cell>
          <cell r="U71">
            <v>114406.71088256047</v>
          </cell>
          <cell r="V71">
            <v>126333.44432183864</v>
          </cell>
          <cell r="X71">
            <v>116077.51371847773</v>
          </cell>
          <cell r="Z71">
            <v>109767.02930881924</v>
          </cell>
          <cell r="AA71">
            <v>16823.002741726468</v>
          </cell>
          <cell r="AB71">
            <v>225918.05575546541</v>
          </cell>
          <cell r="AC71">
            <v>92944.026567092777</v>
          </cell>
          <cell r="AD71">
            <v>116151.02644664617</v>
          </cell>
        </row>
        <row r="72">
          <cell r="A72" t="str">
            <v>CGI005-qtz07-CL-fit-3-offset</v>
          </cell>
          <cell r="B72">
            <v>750</v>
          </cell>
          <cell r="C72">
            <v>6.6965312637759184E-25</v>
          </cell>
          <cell r="D72">
            <v>2100</v>
          </cell>
          <cell r="E72">
            <v>1024</v>
          </cell>
          <cell r="F72">
            <v>2.05078125</v>
          </cell>
          <cell r="H72">
            <v>142382.20990598388</v>
          </cell>
          <cell r="I72">
            <v>18429.291989801972</v>
          </cell>
          <cell r="J72">
            <v>289794.32533492148</v>
          </cell>
          <cell r="K72">
            <v>193659.53746026498</v>
          </cell>
          <cell r="L72">
            <v>33236.103228955602</v>
          </cell>
          <cell r="M72">
            <v>39248.413270145909</v>
          </cell>
          <cell r="N72">
            <v>53140.886874727679</v>
          </cell>
          <cell r="O72">
            <v>605881.11845495331</v>
          </cell>
          <cell r="P72">
            <v>319512.623505208</v>
          </cell>
          <cell r="Q72">
            <v>141325.19228240143</v>
          </cell>
          <cell r="R72">
            <v>298479.52164365124</v>
          </cell>
          <cell r="T72">
            <v>189361.05271315668</v>
          </cell>
          <cell r="U72">
            <v>157704.98789199919</v>
          </cell>
          <cell r="V72">
            <v>142382.20990598388</v>
          </cell>
          <cell r="X72">
            <v>167469.11009548881</v>
          </cell>
          <cell r="Z72">
            <v>156173.15732264484</v>
          </cell>
          <cell r="AA72">
            <v>3142.4762851380688</v>
          </cell>
          <cell r="AB72">
            <v>489553.61960457329</v>
          </cell>
          <cell r="AC72">
            <v>153030.68103750676</v>
          </cell>
          <cell r="AD72">
            <v>333380.46228192846</v>
          </cell>
        </row>
        <row r="73">
          <cell r="A73" t="str">
            <v>CGI005-qtz07-CL-fit-4-offset</v>
          </cell>
          <cell r="B73">
            <v>750</v>
          </cell>
          <cell r="C73">
            <v>6.6965312637759184E-25</v>
          </cell>
          <cell r="D73">
            <v>2100</v>
          </cell>
          <cell r="E73">
            <v>1024</v>
          </cell>
          <cell r="F73">
            <v>2.05078125</v>
          </cell>
          <cell r="H73">
            <v>104854.86339744329</v>
          </cell>
          <cell r="I73">
            <v>547833.87809719355</v>
          </cell>
          <cell r="J73">
            <v>142267.59390122141</v>
          </cell>
          <cell r="K73">
            <v>1053022.9907500329</v>
          </cell>
          <cell r="L73">
            <v>799524.61501206039</v>
          </cell>
          <cell r="M73">
            <v>796700.34410157148</v>
          </cell>
          <cell r="N73">
            <v>702513.78592239961</v>
          </cell>
          <cell r="O73">
            <v>2603641.1331039341</v>
          </cell>
          <cell r="P73">
            <v>1017522.8590858757</v>
          </cell>
          <cell r="Q73">
            <v>189974.43070640328</v>
          </cell>
          <cell r="R73">
            <v>121943.55627502862</v>
          </cell>
          <cell r="T73">
            <v>550516.97890648991</v>
          </cell>
          <cell r="U73">
            <v>597050.57907693414</v>
          </cell>
          <cell r="V73">
            <v>702513.78592239961</v>
          </cell>
          <cell r="X73">
            <v>512518.77305675676</v>
          </cell>
          <cell r="Z73">
            <v>582347.9081782297</v>
          </cell>
          <cell r="AA73">
            <v>23554.562387055157</v>
          </cell>
          <cell r="AB73">
            <v>2176576.7811182961</v>
          </cell>
          <cell r="AC73">
            <v>558793.34579117456</v>
          </cell>
          <cell r="AD73">
            <v>1594228.8729400663</v>
          </cell>
        </row>
        <row r="74">
          <cell r="A74" t="str">
            <v>CGI005-qtz08-CL-fit-1-offset</v>
          </cell>
          <cell r="B74">
            <v>750</v>
          </cell>
          <cell r="C74">
            <v>6.6965312637759184E-25</v>
          </cell>
          <cell r="D74">
            <v>1900</v>
          </cell>
          <cell r="E74">
            <v>1024</v>
          </cell>
          <cell r="F74">
            <v>1.85546875</v>
          </cell>
          <cell r="H74">
            <v>359080.39522770292</v>
          </cell>
          <cell r="I74">
            <v>477351.11525317514</v>
          </cell>
          <cell r="J74">
            <v>709784.0087247116</v>
          </cell>
          <cell r="K74">
            <v>384443.86650556256</v>
          </cell>
          <cell r="L74">
            <v>1203665.5470788968</v>
          </cell>
          <cell r="M74">
            <v>431128.94894036051</v>
          </cell>
          <cell r="N74">
            <v>838847.29788312654</v>
          </cell>
          <cell r="O74">
            <v>599657.58668545377</v>
          </cell>
          <cell r="P74">
            <v>913856.38616134331</v>
          </cell>
          <cell r="Q74">
            <v>653415.65327516128</v>
          </cell>
          <cell r="R74">
            <v>607054.62618623441</v>
          </cell>
          <cell r="T74">
            <v>615867.89570291212</v>
          </cell>
          <cell r="U74">
            <v>631314.15658694273</v>
          </cell>
          <cell r="V74">
            <v>607054.62618623441</v>
          </cell>
          <cell r="X74">
            <v>587584.81973290304</v>
          </cell>
          <cell r="Z74">
            <v>581826.03363147343</v>
          </cell>
          <cell r="AA74">
            <v>119815.00159008904</v>
          </cell>
          <cell r="AB74">
            <v>1393973.7423951365</v>
          </cell>
          <cell r="AC74">
            <v>462011.03204138437</v>
          </cell>
          <cell r="AD74">
            <v>812147.70876366307</v>
          </cell>
        </row>
        <row r="75">
          <cell r="A75" t="str">
            <v>CGI005-qtz08-CL-fit-2-offset</v>
          </cell>
          <cell r="B75">
            <v>750</v>
          </cell>
          <cell r="C75">
            <v>6.6965312637759184E-25</v>
          </cell>
          <cell r="D75">
            <v>1900</v>
          </cell>
          <cell r="E75">
            <v>1024</v>
          </cell>
          <cell r="F75">
            <v>1.85546875</v>
          </cell>
          <cell r="H75">
            <v>341518.00446368277</v>
          </cell>
          <cell r="I75">
            <v>277028.56081968453</v>
          </cell>
          <cell r="J75">
            <v>208573.94371784577</v>
          </cell>
          <cell r="K75">
            <v>364366.45569893869</v>
          </cell>
          <cell r="L75">
            <v>226715.20517130112</v>
          </cell>
          <cell r="M75">
            <v>220928.84603011693</v>
          </cell>
          <cell r="N75">
            <v>180282.61612372659</v>
          </cell>
          <cell r="O75">
            <v>368494.50097467221</v>
          </cell>
          <cell r="P75">
            <v>418097.30009373464</v>
          </cell>
          <cell r="Q75">
            <v>366147.33590412687</v>
          </cell>
          <cell r="R75">
            <v>293892.28669644054</v>
          </cell>
          <cell r="T75">
            <v>296838.69961988967</v>
          </cell>
          <cell r="U75">
            <v>291864.40396822267</v>
          </cell>
          <cell r="V75">
            <v>293892.28669644054</v>
          </cell>
          <cell r="X75">
            <v>296988.40986574424</v>
          </cell>
          <cell r="Z75">
            <v>303548.08825630648</v>
          </cell>
          <cell r="AA75">
            <v>143148.05284518428</v>
          </cell>
          <cell r="AB75">
            <v>575698.31569897302</v>
          </cell>
          <cell r="AC75">
            <v>160400.0354111222</v>
          </cell>
          <cell r="AD75">
            <v>272150.22744266654</v>
          </cell>
        </row>
        <row r="76">
          <cell r="A76" t="str">
            <v>CGI005-qtz08-CL-fit-3</v>
          </cell>
          <cell r="B76">
            <v>750</v>
          </cell>
          <cell r="C76">
            <v>6.6965312637759184E-25</v>
          </cell>
          <cell r="D76">
            <v>1900</v>
          </cell>
          <cell r="E76">
            <v>1024</v>
          </cell>
          <cell r="F76">
            <v>1.85546875</v>
          </cell>
          <cell r="H76">
            <v>207815.36133954665</v>
          </cell>
          <cell r="I76">
            <v>100307.77474691524</v>
          </cell>
          <cell r="J76">
            <v>2864.2154660694082</v>
          </cell>
          <cell r="K76">
            <v>136006.37569418299</v>
          </cell>
          <cell r="L76">
            <v>121301.23172399688</v>
          </cell>
          <cell r="M76">
            <v>194447.07014725276</v>
          </cell>
          <cell r="N76">
            <v>5.3147259802919971</v>
          </cell>
          <cell r="O76">
            <v>29768.806641926894</v>
          </cell>
          <cell r="P76">
            <v>49593.464318784827</v>
          </cell>
          <cell r="Q76">
            <v>47052.874009214276</v>
          </cell>
          <cell r="R76">
            <v>209181.79999748219</v>
          </cell>
          <cell r="T76">
            <v>119933.95115259106</v>
          </cell>
          <cell r="U76">
            <v>77180.602666510589</v>
          </cell>
          <cell r="V76">
            <v>100307.77474691524</v>
          </cell>
          <cell r="X76">
            <v>109002.34309683448</v>
          </cell>
          <cell r="Z76">
            <v>102313.09598684398</v>
          </cell>
          <cell r="AA76">
            <v>0.7195542903855594</v>
          </cell>
          <cell r="AB76">
            <v>354983.94314850849</v>
          </cell>
          <cell r="AC76">
            <v>102312.3764325536</v>
          </cell>
          <cell r="AD76">
            <v>252670.84716166451</v>
          </cell>
        </row>
        <row r="77">
          <cell r="A77" t="str">
            <v>CGI005-qtz08-CL-fit-4-offset</v>
          </cell>
          <cell r="B77">
            <v>750</v>
          </cell>
          <cell r="C77">
            <v>6.6965312637759184E-25</v>
          </cell>
          <cell r="D77">
            <v>1900</v>
          </cell>
          <cell r="E77">
            <v>1024</v>
          </cell>
          <cell r="F77">
            <v>1.85546875</v>
          </cell>
          <cell r="H77">
            <v>150985.16888201187</v>
          </cell>
          <cell r="I77">
            <v>265796.4480720695</v>
          </cell>
          <cell r="J77">
            <v>173383.11058091358</v>
          </cell>
          <cell r="K77">
            <v>69117.849466393222</v>
          </cell>
          <cell r="L77">
            <v>156701.23736131162</v>
          </cell>
          <cell r="M77">
            <v>210569.10247778794</v>
          </cell>
          <cell r="N77">
            <v>432593.29563364555</v>
          </cell>
          <cell r="O77">
            <v>207115.6330640098</v>
          </cell>
          <cell r="P77">
            <v>26681.804068663168</v>
          </cell>
          <cell r="Q77">
            <v>183503.44856953525</v>
          </cell>
          <cell r="R77">
            <v>109107.75099769625</v>
          </cell>
          <cell r="T77">
            <v>205742.01638165722</v>
          </cell>
          <cell r="U77">
            <v>165353.32630863594</v>
          </cell>
          <cell r="V77">
            <v>173383.11058091358</v>
          </cell>
          <cell r="X77">
            <v>185726.99774380462</v>
          </cell>
          <cell r="Z77">
            <v>192325.18396259184</v>
          </cell>
          <cell r="AA77">
            <v>3051.5546366474127</v>
          </cell>
          <cell r="AB77">
            <v>789758.01265362836</v>
          </cell>
          <cell r="AC77">
            <v>189273.62932594444</v>
          </cell>
          <cell r="AD77">
            <v>597432.82869103656</v>
          </cell>
        </row>
        <row r="78">
          <cell r="A78" t="str">
            <v>CGI005-qtz08-CL-fit-5-offset</v>
          </cell>
          <cell r="B78">
            <v>750</v>
          </cell>
          <cell r="C78">
            <v>6.6965312637759184E-25</v>
          </cell>
          <cell r="D78">
            <v>1900</v>
          </cell>
          <cell r="E78">
            <v>1024</v>
          </cell>
          <cell r="F78">
            <v>1.85546875</v>
          </cell>
          <cell r="H78">
            <v>52004.668748770273</v>
          </cell>
          <cell r="I78">
            <v>1820.7282088413367</v>
          </cell>
          <cell r="J78">
            <v>535.91805837947697</v>
          </cell>
          <cell r="K78">
            <v>65121.96495214093</v>
          </cell>
          <cell r="L78">
            <v>29598.297500446497</v>
          </cell>
          <cell r="M78">
            <v>20096.041205622911</v>
          </cell>
          <cell r="N78">
            <v>51664.067932442762</v>
          </cell>
          <cell r="O78">
            <v>2481.5951099239792</v>
          </cell>
          <cell r="P78">
            <v>186015.67103835387</v>
          </cell>
          <cell r="Q78">
            <v>55513.752905722358</v>
          </cell>
          <cell r="R78">
            <v>66392.402521341923</v>
          </cell>
          <cell r="T78">
            <v>61962.377720947923</v>
          </cell>
          <cell r="U78">
            <v>35226.048278126254</v>
          </cell>
          <cell r="V78">
            <v>51664.067932442762</v>
          </cell>
          <cell r="X78">
            <v>47391.559979588754</v>
          </cell>
          <cell r="Z78">
            <v>47846.563078751307</v>
          </cell>
          <cell r="AA78">
            <v>919.85691385268365</v>
          </cell>
          <cell r="AB78">
            <v>300906.84651244793</v>
          </cell>
          <cell r="AC78">
            <v>46926.706164898627</v>
          </cell>
          <cell r="AD78">
            <v>253060.2834336966</v>
          </cell>
        </row>
        <row r="79">
          <cell r="A79" t="str">
            <v>CGI005-qtz08-CL-fit-6-offset</v>
          </cell>
          <cell r="B79">
            <v>750</v>
          </cell>
          <cell r="C79">
            <v>6.6965312637759184E-25</v>
          </cell>
          <cell r="D79">
            <v>1900</v>
          </cell>
          <cell r="E79">
            <v>1024</v>
          </cell>
          <cell r="F79">
            <v>1.85546875</v>
          </cell>
          <cell r="H79">
            <v>18231.366612809874</v>
          </cell>
          <cell r="I79">
            <v>64580.043052908637</v>
          </cell>
          <cell r="J79">
            <v>24773.23917775157</v>
          </cell>
          <cell r="K79">
            <v>40308.110052002819</v>
          </cell>
          <cell r="L79">
            <v>40008.281170869523</v>
          </cell>
          <cell r="M79">
            <v>41545.731202948053</v>
          </cell>
          <cell r="N79">
            <v>19998.330116025107</v>
          </cell>
          <cell r="O79">
            <v>87284.604609523885</v>
          </cell>
          <cell r="P79">
            <v>50696.129512598607</v>
          </cell>
          <cell r="Q79">
            <v>47574.49982483271</v>
          </cell>
          <cell r="R79">
            <v>23289.872824649527</v>
          </cell>
          <cell r="T79">
            <v>46649.913734812624</v>
          </cell>
          <cell r="U79">
            <v>39416.728102554931</v>
          </cell>
          <cell r="V79">
            <v>40308.110052002819</v>
          </cell>
          <cell r="X79">
            <v>35302.459844940611</v>
          </cell>
          <cell r="Z79">
            <v>35163.985205346406</v>
          </cell>
          <cell r="AA79">
            <v>442.32102702796624</v>
          </cell>
          <cell r="AB79">
            <v>124021.06037352076</v>
          </cell>
          <cell r="AC79">
            <v>34721.664178318439</v>
          </cell>
          <cell r="AD79">
            <v>88857.075168174342</v>
          </cell>
        </row>
        <row r="80">
          <cell r="A80" t="str">
            <v>CGI005-qtz09-CL-fit-1-offset</v>
          </cell>
          <cell r="B80">
            <v>750</v>
          </cell>
          <cell r="C80">
            <v>6.6965312637759184E-25</v>
          </cell>
          <cell r="D80">
            <v>2400</v>
          </cell>
          <cell r="E80">
            <v>1024</v>
          </cell>
          <cell r="F80">
            <v>2.34375</v>
          </cell>
          <cell r="H80">
            <v>0</v>
          </cell>
          <cell r="I80">
            <v>176114.13691317997</v>
          </cell>
          <cell r="J80">
            <v>2369241.2754582898</v>
          </cell>
          <cell r="K80">
            <v>637842.21669124463</v>
          </cell>
          <cell r="L80">
            <v>1500.9138069978753</v>
          </cell>
          <cell r="M80">
            <v>70405.871507360847</v>
          </cell>
          <cell r="N80">
            <v>9397.4403570652084</v>
          </cell>
          <cell r="O80">
            <v>1931837.5533564331</v>
          </cell>
          <cell r="P80">
            <v>740027.66809559148</v>
          </cell>
          <cell r="Q80">
            <v>305882.02466319565</v>
          </cell>
          <cell r="R80">
            <v>11017.491319945062</v>
          </cell>
          <cell r="T80">
            <v>642292.29485051008</v>
          </cell>
          <cell r="U80">
            <v>368054.71552445157</v>
          </cell>
          <cell r="V80">
            <v>236548.75901806864</v>
          </cell>
          <cell r="X80">
            <v>726200.99639130477</v>
          </cell>
          <cell r="Z80">
            <v>7399799.7188632675</v>
          </cell>
          <cell r="AA80">
            <v>90.97159112286019</v>
          </cell>
          <cell r="AB80">
            <v>267810838.64937866</v>
          </cell>
          <cell r="AC80">
            <v>7399708.747272145</v>
          </cell>
          <cell r="AD80">
            <v>260411038.93051538</v>
          </cell>
        </row>
        <row r="81">
          <cell r="A81" t="str">
            <v>CGI005-qtz09-CL-fit-2-offset</v>
          </cell>
          <cell r="B81">
            <v>750</v>
          </cell>
          <cell r="C81">
            <v>6.6965312637759184E-25</v>
          </cell>
          <cell r="D81">
            <v>2400</v>
          </cell>
          <cell r="E81">
            <v>1024</v>
          </cell>
          <cell r="F81">
            <v>2.34375</v>
          </cell>
          <cell r="H81">
            <v>984050.64047963847</v>
          </cell>
          <cell r="I81">
            <v>913758.69695385906</v>
          </cell>
          <cell r="J81">
            <v>1550932.224828013</v>
          </cell>
          <cell r="K81">
            <v>1955759.1788931917</v>
          </cell>
          <cell r="L81">
            <v>1156940.3502757058</v>
          </cell>
          <cell r="M81">
            <v>1690074.3257511412</v>
          </cell>
          <cell r="N81">
            <v>566822.38896036881</v>
          </cell>
          <cell r="O81">
            <v>1718471.9383565625</v>
          </cell>
          <cell r="P81">
            <v>1743046.6155247372</v>
          </cell>
          <cell r="Q81">
            <v>3697303.487878067</v>
          </cell>
          <cell r="R81">
            <v>2415145.1405181889</v>
          </cell>
          <cell r="T81">
            <v>1606915.2886138458</v>
          </cell>
          <cell r="U81">
            <v>1580352.2255728084</v>
          </cell>
          <cell r="V81">
            <v>1690074.3257511412</v>
          </cell>
          <cell r="X81">
            <v>1538862.2882562366</v>
          </cell>
          <cell r="Z81">
            <v>1529672.6546128937</v>
          </cell>
          <cell r="AA81">
            <v>473782.82682487002</v>
          </cell>
          <cell r="AB81">
            <v>3018891.3581043235</v>
          </cell>
          <cell r="AC81">
            <v>1055889.8277880237</v>
          </cell>
          <cell r="AD81">
            <v>1489218.7034914298</v>
          </cell>
        </row>
        <row r="82">
          <cell r="A82" t="str">
            <v>CGI005-qtz09-CL-fit-3-offset</v>
          </cell>
          <cell r="B82">
            <v>750</v>
          </cell>
          <cell r="C82">
            <v>6.6965312637759184E-25</v>
          </cell>
          <cell r="D82">
            <v>2400</v>
          </cell>
          <cell r="E82">
            <v>1024</v>
          </cell>
          <cell r="F82">
            <v>2.34375</v>
          </cell>
          <cell r="H82">
            <v>1218616.3593927065</v>
          </cell>
          <cell r="I82">
            <v>609491.59894740407</v>
          </cell>
          <cell r="J82">
            <v>935620.19671373768</v>
          </cell>
          <cell r="K82">
            <v>976307.18236193538</v>
          </cell>
          <cell r="L82">
            <v>1328738.9021346935</v>
          </cell>
          <cell r="M82">
            <v>1070327.3491963733</v>
          </cell>
          <cell r="N82">
            <v>1420035.8217879676</v>
          </cell>
          <cell r="O82">
            <v>1522050.5138356064</v>
          </cell>
          <cell r="P82">
            <v>1558456.67638867</v>
          </cell>
          <cell r="Q82">
            <v>1293618.9964254212</v>
          </cell>
          <cell r="R82">
            <v>3344453.6926882924</v>
          </cell>
          <cell r="T82">
            <v>1246103.4529118028</v>
          </cell>
          <cell r="U82">
            <v>1326088.0526385859</v>
          </cell>
          <cell r="V82">
            <v>1293618.9964254212</v>
          </cell>
          <cell r="X82">
            <v>1257334.7764666846</v>
          </cell>
          <cell r="Z82">
            <v>1281160.2223403342</v>
          </cell>
          <cell r="AA82">
            <v>348233.70254270994</v>
          </cell>
          <cell r="AB82">
            <v>2996979.4538453608</v>
          </cell>
          <cell r="AC82">
            <v>932926.51979762432</v>
          </cell>
          <cell r="AD82">
            <v>1715819.2315050266</v>
          </cell>
        </row>
        <row r="83">
          <cell r="A83" t="str">
            <v>CGI005-qtz09-CL-fit-4-offset</v>
          </cell>
          <cell r="B83">
            <v>750</v>
          </cell>
          <cell r="C83">
            <v>6.6965312637759184E-25</v>
          </cell>
          <cell r="D83">
            <v>2400</v>
          </cell>
          <cell r="E83">
            <v>1024</v>
          </cell>
          <cell r="F83">
            <v>2.34375</v>
          </cell>
          <cell r="H83">
            <v>415022.46556857071</v>
          </cell>
          <cell r="I83">
            <v>484375.77307269553</v>
          </cell>
          <cell r="J83">
            <v>296812.80245170143</v>
          </cell>
          <cell r="K83">
            <v>709528.09399143036</v>
          </cell>
          <cell r="L83">
            <v>841838.16760031669</v>
          </cell>
          <cell r="M83">
            <v>629252.97826138826</v>
          </cell>
          <cell r="N83">
            <v>680515.32808849297</v>
          </cell>
          <cell r="O83">
            <v>571761.14170128689</v>
          </cell>
          <cell r="P83">
            <v>586376.02624765818</v>
          </cell>
          <cell r="Q83">
            <v>506770.92398378084</v>
          </cell>
          <cell r="R83">
            <v>358787.15131751524</v>
          </cell>
          <cell r="T83">
            <v>583330.27499713586</v>
          </cell>
          <cell r="U83">
            <v>541670.17030083248</v>
          </cell>
          <cell r="V83">
            <v>571761.14170128689</v>
          </cell>
          <cell r="X83">
            <v>539208.76930891466</v>
          </cell>
          <cell r="Z83">
            <v>516688.78338295547</v>
          </cell>
          <cell r="AA83">
            <v>154451.57082353358</v>
          </cell>
          <cell r="AB83">
            <v>1006580.8659816057</v>
          </cell>
          <cell r="AC83">
            <v>362237.2125594219</v>
          </cell>
          <cell r="AD83">
            <v>489892.08259865025</v>
          </cell>
        </row>
        <row r="84">
          <cell r="A84" t="str">
            <v>CGI005-qtz09-CL-fit-5-offset</v>
          </cell>
          <cell r="B84">
            <v>750</v>
          </cell>
          <cell r="C84">
            <v>6.6965312637759184E-25</v>
          </cell>
          <cell r="D84">
            <v>2400</v>
          </cell>
          <cell r="E84">
            <v>1024</v>
          </cell>
          <cell r="F84">
            <v>2.34375</v>
          </cell>
          <cell r="H84">
            <v>333188.72564723331</v>
          </cell>
          <cell r="I84">
            <v>300528.80023908085</v>
          </cell>
          <cell r="J84">
            <v>589899.0097341896</v>
          </cell>
          <cell r="K84">
            <v>365684.05653053016</v>
          </cell>
          <cell r="L84">
            <v>375713.82175135508</v>
          </cell>
          <cell r="M84">
            <v>273773.30360117444</v>
          </cell>
          <cell r="N84">
            <v>133254.8793309262</v>
          </cell>
          <cell r="O84">
            <v>191804.95537711232</v>
          </cell>
          <cell r="P84">
            <v>273368.95941423433</v>
          </cell>
          <cell r="Q84">
            <v>250612.40795169937</v>
          </cell>
          <cell r="R84">
            <v>268816.18064832012</v>
          </cell>
          <cell r="T84">
            <v>319555.3572383381</v>
          </cell>
          <cell r="U84">
            <v>295472.87249861524</v>
          </cell>
          <cell r="V84">
            <v>273773.30360117444</v>
          </cell>
          <cell r="X84">
            <v>317552.69337567379</v>
          </cell>
          <cell r="Z84">
            <v>306313.0681183284</v>
          </cell>
          <cell r="AA84">
            <v>31584.330707691668</v>
          </cell>
          <cell r="AB84">
            <v>704018.99597502116</v>
          </cell>
          <cell r="AC84">
            <v>274728.73741063674</v>
          </cell>
          <cell r="AD84">
            <v>397705.92785669275</v>
          </cell>
        </row>
        <row r="85">
          <cell r="A85" t="str">
            <v>CGI005-qtz10-CL-fit-1</v>
          </cell>
          <cell r="B85">
            <v>750</v>
          </cell>
          <cell r="C85">
            <v>6.6965312637759184E-25</v>
          </cell>
          <cell r="D85">
            <v>2100</v>
          </cell>
          <cell r="E85">
            <v>1024</v>
          </cell>
          <cell r="F85">
            <v>2.05078125</v>
          </cell>
          <cell r="H85">
            <v>7738820.7747369744</v>
          </cell>
          <cell r="I85">
            <v>10417584.102767054</v>
          </cell>
          <cell r="J85">
            <v>9467127.3568033259</v>
          </cell>
          <cell r="K85">
            <v>10614912.211740635</v>
          </cell>
          <cell r="L85">
            <v>9355298.609376112</v>
          </cell>
          <cell r="M85">
            <v>8934942.1482926831</v>
          </cell>
          <cell r="N85">
            <v>9361482.6752740499</v>
          </cell>
          <cell r="O85">
            <v>9202006.6561551802</v>
          </cell>
          <cell r="P85">
            <v>9124018.5625708662</v>
          </cell>
          <cell r="Q85">
            <v>9327656.3899321649</v>
          </cell>
          <cell r="R85">
            <v>9878449.789495958</v>
          </cell>
          <cell r="T85">
            <v>9385879.9216289781</v>
          </cell>
          <cell r="U85">
            <v>9387572.8929630592</v>
          </cell>
          <cell r="V85">
            <v>9355298.609376112</v>
          </cell>
          <cell r="X85">
            <v>9340946.7422004025</v>
          </cell>
          <cell r="Z85">
            <v>9315246.0687214099</v>
          </cell>
          <cell r="AA85">
            <v>7930751.3139293697</v>
          </cell>
          <cell r="AB85">
            <v>11104615.217818724</v>
          </cell>
          <cell r="AC85">
            <v>1384494.7547920402</v>
          </cell>
          <cell r="AD85">
            <v>1789369.1490973141</v>
          </cell>
        </row>
        <row r="86">
          <cell r="A86" t="str">
            <v>CGI005-qtz10-CL-fit-2</v>
          </cell>
          <cell r="B86">
            <v>750</v>
          </cell>
          <cell r="C86">
            <v>6.6965312637759184E-25</v>
          </cell>
          <cell r="D86">
            <v>2100</v>
          </cell>
          <cell r="E86">
            <v>1024</v>
          </cell>
          <cell r="F86">
            <v>2.05078125</v>
          </cell>
          <cell r="H86">
            <v>1790881.583070704</v>
          </cell>
          <cell r="I86">
            <v>1549799.2583689597</v>
          </cell>
          <cell r="J86">
            <v>1677166.7382682741</v>
          </cell>
          <cell r="K86">
            <v>1730632.4940769493</v>
          </cell>
          <cell r="L86">
            <v>2454874.5963965575</v>
          </cell>
          <cell r="M86">
            <v>1864157.4552923695</v>
          </cell>
          <cell r="N86">
            <v>1939998.6492820634</v>
          </cell>
          <cell r="O86">
            <v>1882029.8237242948</v>
          </cell>
          <cell r="P86">
            <v>1640404.450096986</v>
          </cell>
          <cell r="Q86">
            <v>2059837.0347147093</v>
          </cell>
          <cell r="R86">
            <v>2450426.5458993213</v>
          </cell>
          <cell r="T86">
            <v>1904804.9093958824</v>
          </cell>
          <cell r="U86">
            <v>1902386.209878837</v>
          </cell>
          <cell r="V86">
            <v>1864157.4552923695</v>
          </cell>
          <cell r="X86">
            <v>1906946.3689949578</v>
          </cell>
          <cell r="Z86">
            <v>1928366.9336338844</v>
          </cell>
          <cell r="AA86">
            <v>1493856.7229859168</v>
          </cell>
          <cell r="AB86">
            <v>2570875.4234613804</v>
          </cell>
          <cell r="AC86">
            <v>434510.21064796764</v>
          </cell>
          <cell r="AD86">
            <v>642508.489827496</v>
          </cell>
        </row>
        <row r="87">
          <cell r="A87" t="str">
            <v>CGI005-qtz10-CL-fit-3-offset</v>
          </cell>
          <cell r="B87">
            <v>750</v>
          </cell>
          <cell r="C87">
            <v>6.6965312637759184E-25</v>
          </cell>
          <cell r="D87">
            <v>2100</v>
          </cell>
          <cell r="E87">
            <v>1024</v>
          </cell>
          <cell r="F87">
            <v>2.05078125</v>
          </cell>
          <cell r="H87">
            <v>3000672.6874436312</v>
          </cell>
          <cell r="I87">
            <v>3366440.0856612744</v>
          </cell>
          <cell r="J87">
            <v>3740119.1699971794</v>
          </cell>
          <cell r="K87">
            <v>3717537.3521432355</v>
          </cell>
          <cell r="L87">
            <v>2893947.0779308965</v>
          </cell>
          <cell r="M87">
            <v>1651801.3560771211</v>
          </cell>
          <cell r="N87">
            <v>2419462.9941529431</v>
          </cell>
          <cell r="O87">
            <v>1220470.3980391659</v>
          </cell>
          <cell r="P87">
            <v>805695.03202575317</v>
          </cell>
          <cell r="Q87">
            <v>2407443.0622160719</v>
          </cell>
          <cell r="R87">
            <v>1756183.3924400758</v>
          </cell>
          <cell r="T87">
            <v>2501411.9308326198</v>
          </cell>
          <cell r="U87">
            <v>2346485.6487558773</v>
          </cell>
          <cell r="V87">
            <v>2419462.9941529431</v>
          </cell>
          <cell r="X87">
            <v>2489587.620997041</v>
          </cell>
          <cell r="Z87">
            <v>2515314.8833420817</v>
          </cell>
          <cell r="AA87">
            <v>1125449.586312782</v>
          </cell>
          <cell r="AB87">
            <v>4617785.261186</v>
          </cell>
          <cell r="AC87">
            <v>1389865.2970292997</v>
          </cell>
          <cell r="AD87">
            <v>2102470.3778439183</v>
          </cell>
        </row>
        <row r="88">
          <cell r="A88" t="str">
            <v>CGI005-qtz10-CL-fit-4-offset</v>
          </cell>
          <cell r="B88">
            <v>750</v>
          </cell>
          <cell r="C88">
            <v>6.6965312637759184E-25</v>
          </cell>
          <cell r="D88">
            <v>2100</v>
          </cell>
          <cell r="E88">
            <v>1024</v>
          </cell>
          <cell r="F88">
            <v>2.05078125</v>
          </cell>
          <cell r="H88">
            <v>520939.21393877425</v>
          </cell>
          <cell r="I88">
            <v>603794.12039387564</v>
          </cell>
          <cell r="J88">
            <v>536708.01308014174</v>
          </cell>
          <cell r="K88">
            <v>428877.32565944787</v>
          </cell>
          <cell r="L88">
            <v>782184.2984830658</v>
          </cell>
          <cell r="M88">
            <v>860159.39455950784</v>
          </cell>
          <cell r="N88">
            <v>570586.95793697564</v>
          </cell>
          <cell r="O88">
            <v>601016.2066948266</v>
          </cell>
          <cell r="P88">
            <v>579961.49507172697</v>
          </cell>
          <cell r="Q88">
            <v>829356.31365281728</v>
          </cell>
          <cell r="R88">
            <v>648274.27810377406</v>
          </cell>
          <cell r="T88">
            <v>639581.83194986288</v>
          </cell>
          <cell r="U88">
            <v>626425.45831052645</v>
          </cell>
          <cell r="V88">
            <v>601016.2066948266</v>
          </cell>
          <cell r="X88">
            <v>628274.09182496055</v>
          </cell>
          <cell r="Z88">
            <v>632800.16763869498</v>
          </cell>
          <cell r="AA88">
            <v>383175.79635104968</v>
          </cell>
          <cell r="AB88">
            <v>924463.6928735316</v>
          </cell>
          <cell r="AC88">
            <v>249624.37128764531</v>
          </cell>
          <cell r="AD88">
            <v>291663.52523483662</v>
          </cell>
        </row>
        <row r="89">
          <cell r="A89" t="str">
            <v>CGI005-qtz10-CL-fit-5-offset</v>
          </cell>
          <cell r="B89">
            <v>750</v>
          </cell>
          <cell r="C89">
            <v>6.6965312637759184E-25</v>
          </cell>
          <cell r="D89">
            <v>2100</v>
          </cell>
          <cell r="E89">
            <v>1024</v>
          </cell>
          <cell r="F89">
            <v>2.05078125</v>
          </cell>
          <cell r="H89">
            <v>331213.44340212963</v>
          </cell>
          <cell r="I89">
            <v>321932.54022007395</v>
          </cell>
          <cell r="J89">
            <v>64858.930605664282</v>
          </cell>
          <cell r="K89">
            <v>284210.15211128327</v>
          </cell>
          <cell r="L89">
            <v>334114.58223628759</v>
          </cell>
          <cell r="M89">
            <v>544451.8886202462</v>
          </cell>
          <cell r="N89">
            <v>524497.54151671345</v>
          </cell>
          <cell r="O89">
            <v>326568.18181126571</v>
          </cell>
          <cell r="P89">
            <v>290561.46024289075</v>
          </cell>
          <cell r="Q89">
            <v>574825.94471856637</v>
          </cell>
          <cell r="R89">
            <v>390575.78852644516</v>
          </cell>
          <cell r="T89">
            <v>377558.60082931136</v>
          </cell>
          <cell r="U89">
            <v>345363.60928988393</v>
          </cell>
          <cell r="V89">
            <v>331213.44340212963</v>
          </cell>
          <cell r="X89">
            <v>355086.10746126727</v>
          </cell>
          <cell r="Z89">
            <v>356277.78356020415</v>
          </cell>
          <cell r="AA89">
            <v>60278.242484154143</v>
          </cell>
          <cell r="AB89">
            <v>1046547.9976790705</v>
          </cell>
          <cell r="AC89">
            <v>295999.54107605002</v>
          </cell>
          <cell r="AD89">
            <v>690270.21411886625</v>
          </cell>
        </row>
        <row r="90">
          <cell r="A90" t="str">
            <v>CGI005-qtz10-CL-fit-6-offset</v>
          </cell>
          <cell r="B90">
            <v>750</v>
          </cell>
          <cell r="C90">
            <v>6.6965312637759184E-25</v>
          </cell>
          <cell r="D90">
            <v>2100</v>
          </cell>
          <cell r="E90">
            <v>1024</v>
          </cell>
          <cell r="F90">
            <v>2.05078125</v>
          </cell>
          <cell r="H90">
            <v>38048.557833973122</v>
          </cell>
          <cell r="I90">
            <v>2702.7361682230867</v>
          </cell>
          <cell r="J90">
            <v>183190.82204364912</v>
          </cell>
          <cell r="K90">
            <v>60.005980139149322</v>
          </cell>
          <cell r="L90">
            <v>321647.62165578635</v>
          </cell>
          <cell r="M90">
            <v>29672.021923771415</v>
          </cell>
          <cell r="N90">
            <v>301408.60645435267</v>
          </cell>
          <cell r="O90">
            <v>217547.64411989111</v>
          </cell>
          <cell r="P90">
            <v>44108.090215488126</v>
          </cell>
          <cell r="Q90">
            <v>443653.32403573667</v>
          </cell>
          <cell r="R90">
            <v>515592.68166328256</v>
          </cell>
          <cell r="T90">
            <v>180475.31828586856</v>
          </cell>
          <cell r="U90">
            <v>134339.92388463984</v>
          </cell>
          <cell r="V90">
            <v>183190.82204364912</v>
          </cell>
          <cell r="X90">
            <v>131304.52292522506</v>
          </cell>
          <cell r="Z90">
            <v>140636.46557751857</v>
          </cell>
          <cell r="AA90">
            <v>410.65622760855547</v>
          </cell>
          <cell r="AB90">
            <v>836861.58316279633</v>
          </cell>
          <cell r="AC90">
            <v>140225.80934991001</v>
          </cell>
          <cell r="AD90">
            <v>696225.11758527777</v>
          </cell>
        </row>
        <row r="91">
          <cell r="A91" t="str">
            <v>CGI005-qtz11-CL-fit-1-offset</v>
          </cell>
          <cell r="B91">
            <v>750</v>
          </cell>
          <cell r="C91">
            <v>6.6965312637759184E-25</v>
          </cell>
          <cell r="D91">
            <v>2300</v>
          </cell>
          <cell r="E91">
            <v>1024</v>
          </cell>
          <cell r="F91">
            <v>2.24609375</v>
          </cell>
          <cell r="H91">
            <v>1521167.9272698867</v>
          </cell>
          <cell r="I91">
            <v>1729663.073100744</v>
          </cell>
          <cell r="J91">
            <v>1847809.850050973</v>
          </cell>
          <cell r="K91">
            <v>1781548.7676446524</v>
          </cell>
          <cell r="L91">
            <v>1294347.0846938586</v>
          </cell>
          <cell r="M91">
            <v>1636758.2285511463</v>
          </cell>
          <cell r="N91">
            <v>1335596.1039536034</v>
          </cell>
          <cell r="O91">
            <v>1529455.608557706</v>
          </cell>
          <cell r="P91">
            <v>1470711.8973042704</v>
          </cell>
          <cell r="Q91">
            <v>1336187.8919810075</v>
          </cell>
          <cell r="R91">
            <v>1301639.5509155216</v>
          </cell>
          <cell r="T91">
            <v>1519095.2999737286</v>
          </cell>
          <cell r="U91">
            <v>1519978.3864801012</v>
          </cell>
          <cell r="V91">
            <v>1521167.9272698867</v>
          </cell>
          <cell r="X91">
            <v>1505641.9076226936</v>
          </cell>
          <cell r="Z91">
            <v>1491519.8055425913</v>
          </cell>
          <cell r="AA91">
            <v>1146426.6268065702</v>
          </cell>
          <cell r="AB91">
            <v>1939178.8777635391</v>
          </cell>
          <cell r="AC91">
            <v>345093.17873602104</v>
          </cell>
          <cell r="AD91">
            <v>447659.07222094783</v>
          </cell>
        </row>
        <row r="92">
          <cell r="A92" t="str">
            <v>CGI005-qtz11-CL-fit-2-offset</v>
          </cell>
          <cell r="B92">
            <v>750</v>
          </cell>
          <cell r="C92">
            <v>6.6965312637759184E-25</v>
          </cell>
          <cell r="D92">
            <v>2300</v>
          </cell>
          <cell r="E92">
            <v>1024</v>
          </cell>
          <cell r="F92">
            <v>2.24609375</v>
          </cell>
          <cell r="H92">
            <v>776464.23025398084</v>
          </cell>
          <cell r="I92">
            <v>1603739.1547570312</v>
          </cell>
          <cell r="J92">
            <v>1782699.6286580523</v>
          </cell>
          <cell r="K92">
            <v>542387.49546837679</v>
          </cell>
          <cell r="L92">
            <v>1185849.3399344992</v>
          </cell>
          <cell r="M92">
            <v>1275664.2437892489</v>
          </cell>
          <cell r="N92">
            <v>1162534.577795377</v>
          </cell>
          <cell r="O92">
            <v>1767502.8603318126</v>
          </cell>
          <cell r="P92">
            <v>2505457.4272726947</v>
          </cell>
          <cell r="Q92">
            <v>1850676.3468174636</v>
          </cell>
          <cell r="R92">
            <v>1662050.2295977687</v>
          </cell>
          <cell r="T92">
            <v>1409750.9028126101</v>
          </cell>
          <cell r="U92">
            <v>1413456.4230441209</v>
          </cell>
          <cell r="V92">
            <v>1603739.1547570312</v>
          </cell>
          <cell r="X92">
            <v>1398908.5170155794</v>
          </cell>
          <cell r="Z92">
            <v>1407812.2798907519</v>
          </cell>
          <cell r="AA92">
            <v>639438.24774434662</v>
          </cell>
          <cell r="AB92">
            <v>2585421.6757115852</v>
          </cell>
          <cell r="AC92">
            <v>768374.03214640531</v>
          </cell>
          <cell r="AD92">
            <v>1177609.3958208333</v>
          </cell>
        </row>
        <row r="93">
          <cell r="A93" t="str">
            <v>CGI005-qtz11-CL-fit-3</v>
          </cell>
          <cell r="B93">
            <v>750</v>
          </cell>
          <cell r="C93">
            <v>6.6965312637759184E-25</v>
          </cell>
          <cell r="D93">
            <v>2300</v>
          </cell>
          <cell r="E93">
            <v>1024</v>
          </cell>
          <cell r="F93">
            <v>2.24609375</v>
          </cell>
          <cell r="H93">
            <v>169546.89832731191</v>
          </cell>
          <cell r="I93">
            <v>172912.36998047345</v>
          </cell>
          <cell r="J93">
            <v>200278.71499190328</v>
          </cell>
          <cell r="K93">
            <v>97755.17654680449</v>
          </cell>
          <cell r="L93">
            <v>136424.11689854314</v>
          </cell>
          <cell r="M93">
            <v>187632.56957192571</v>
          </cell>
          <cell r="N93">
            <v>190361.71585018613</v>
          </cell>
          <cell r="O93">
            <v>193003.51083846396</v>
          </cell>
          <cell r="P93">
            <v>239353.70377952527</v>
          </cell>
          <cell r="Q93">
            <v>139834.0525990173</v>
          </cell>
          <cell r="R93">
            <v>198684.00424068849</v>
          </cell>
          <cell r="T93">
            <v>173228.05713136389</v>
          </cell>
          <cell r="U93">
            <v>172968.37954206637</v>
          </cell>
          <cell r="V93">
            <v>187632.56957192571</v>
          </cell>
          <cell r="X93">
            <v>168798.92919873589</v>
          </cell>
          <cell r="Z93">
            <v>169722.83355797498</v>
          </cell>
          <cell r="AA93">
            <v>108023.04689458672</v>
          </cell>
          <cell r="AB93">
            <v>252383.53938047602</v>
          </cell>
          <cell r="AC93">
            <v>61699.786663388266</v>
          </cell>
          <cell r="AD93">
            <v>82660.705822501041</v>
          </cell>
        </row>
        <row r="94">
          <cell r="A94" t="str">
            <v>CGI005-qtz11-CL-fit-4-offset</v>
          </cell>
          <cell r="B94">
            <v>750</v>
          </cell>
          <cell r="C94">
            <v>6.6965312637759184E-25</v>
          </cell>
          <cell r="D94">
            <v>2300</v>
          </cell>
          <cell r="E94">
            <v>1024</v>
          </cell>
          <cell r="F94">
            <v>2.24609375</v>
          </cell>
          <cell r="H94">
            <v>139370.93260775605</v>
          </cell>
          <cell r="I94">
            <v>30947.593343925906</v>
          </cell>
          <cell r="J94">
            <v>116243.92147172552</v>
          </cell>
          <cell r="K94">
            <v>1322.4758192388786</v>
          </cell>
          <cell r="L94">
            <v>88941.628648425161</v>
          </cell>
          <cell r="M94">
            <v>89687.10577282033</v>
          </cell>
          <cell r="N94">
            <v>43618.3920451831</v>
          </cell>
          <cell r="O94">
            <v>74493.44603688296</v>
          </cell>
          <cell r="P94">
            <v>61531.501400408895</v>
          </cell>
          <cell r="Q94">
            <v>89330.71214951505</v>
          </cell>
          <cell r="R94">
            <v>57126.716544660099</v>
          </cell>
          <cell r="T94">
            <v>87069.325972249993</v>
          </cell>
          <cell r="U94">
            <v>64423.609495172175</v>
          </cell>
          <cell r="V94">
            <v>74493.44603688296</v>
          </cell>
          <cell r="X94">
            <v>78907.780248345458</v>
          </cell>
          <cell r="Z94">
            <v>74790.918508528892</v>
          </cell>
          <cell r="AA94">
            <v>2092.567792597783</v>
          </cell>
          <cell r="AB94">
            <v>292571.82109116262</v>
          </cell>
          <cell r="AC94">
            <v>72698.350715931112</v>
          </cell>
          <cell r="AD94">
            <v>217780.90258263372</v>
          </cell>
        </row>
        <row r="95">
          <cell r="A95" t="str">
            <v>CGI005-qtz12-CL-fit-1-offset</v>
          </cell>
          <cell r="B95">
            <v>750</v>
          </cell>
          <cell r="C95">
            <v>6.6965312637759184E-25</v>
          </cell>
          <cell r="D95">
            <v>2700</v>
          </cell>
          <cell r="E95">
            <v>1024</v>
          </cell>
          <cell r="F95">
            <v>2.63671875</v>
          </cell>
          <cell r="H95">
            <v>1870181.4317059808</v>
          </cell>
          <cell r="I95">
            <v>2819644.8935830146</v>
          </cell>
          <cell r="J95">
            <v>379168.04739952087</v>
          </cell>
          <cell r="K95">
            <v>845595.75529332797</v>
          </cell>
          <cell r="L95">
            <v>1622350.0615456337</v>
          </cell>
          <cell r="M95">
            <v>1381154.718245615</v>
          </cell>
          <cell r="N95">
            <v>305196.62084166968</v>
          </cell>
          <cell r="O95">
            <v>241425.8210795983</v>
          </cell>
          <cell r="P95">
            <v>1353520.7538966876</v>
          </cell>
          <cell r="Q95">
            <v>854914.49432983436</v>
          </cell>
          <cell r="R95">
            <v>1034169.8324953434</v>
          </cell>
          <cell r="T95">
            <v>1177815.6018675724</v>
          </cell>
          <cell r="U95">
            <v>1032950.4174724965</v>
          </cell>
          <cell r="V95">
            <v>1034169.8324953434</v>
          </cell>
          <cell r="X95">
            <v>1191485.4991478578</v>
          </cell>
          <cell r="Z95">
            <v>1197116.0645358241</v>
          </cell>
          <cell r="AA95">
            <v>132046.6135512531</v>
          </cell>
          <cell r="AB95">
            <v>3345854.2969191452</v>
          </cell>
          <cell r="AC95">
            <v>1065069.4509845711</v>
          </cell>
          <cell r="AD95">
            <v>2148738.232383321</v>
          </cell>
        </row>
        <row r="96">
          <cell r="A96" t="str">
            <v>CGI005-qtz12-CL-fit-2-offset</v>
          </cell>
          <cell r="B96">
            <v>750</v>
          </cell>
          <cell r="C96">
            <v>6.6965312637759184E-25</v>
          </cell>
          <cell r="D96">
            <v>2700</v>
          </cell>
          <cell r="E96">
            <v>1024</v>
          </cell>
          <cell r="F96">
            <v>2.63671875</v>
          </cell>
          <cell r="H96">
            <v>1433538.2090895404</v>
          </cell>
          <cell r="I96">
            <v>1197976.6766168796</v>
          </cell>
          <cell r="J96">
            <v>2594171.9160292135</v>
          </cell>
          <cell r="K96">
            <v>5373852.8979767272</v>
          </cell>
          <cell r="L96">
            <v>1529573.5633730071</v>
          </cell>
          <cell r="M96">
            <v>3013445.7166563245</v>
          </cell>
          <cell r="N96">
            <v>1172988.388779721</v>
          </cell>
          <cell r="O96">
            <v>1364431.7193936694</v>
          </cell>
          <cell r="P96">
            <v>1902833.8139511188</v>
          </cell>
          <cell r="Q96">
            <v>1309789.8011907835</v>
          </cell>
          <cell r="R96">
            <v>1548870.1327457244</v>
          </cell>
          <cell r="T96">
            <v>1784763.0033523855</v>
          </cell>
          <cell r="U96">
            <v>1912658.1584982292</v>
          </cell>
          <cell r="V96">
            <v>1529573.5633730071</v>
          </cell>
          <cell r="X96">
            <v>1720548.379519508</v>
          </cell>
          <cell r="Z96">
            <v>1871717.2607394368</v>
          </cell>
          <cell r="AA96">
            <v>707860.13289840939</v>
          </cell>
          <cell r="AB96">
            <v>5564601.6975507271</v>
          </cell>
          <cell r="AC96">
            <v>1163857.1278410275</v>
          </cell>
          <cell r="AD96">
            <v>3692884.4368112902</v>
          </cell>
        </row>
        <row r="97">
          <cell r="A97" t="str">
            <v>CGI005-qtz12-CL-fit-3</v>
          </cell>
          <cell r="B97">
            <v>750</v>
          </cell>
          <cell r="C97">
            <v>6.6965312637759184E-25</v>
          </cell>
          <cell r="D97">
            <v>2700</v>
          </cell>
          <cell r="E97">
            <v>1024</v>
          </cell>
          <cell r="F97">
            <v>2.63671875</v>
          </cell>
          <cell r="H97">
            <v>1675133.7076235218</v>
          </cell>
          <cell r="I97">
            <v>1187555.9445122741</v>
          </cell>
          <cell r="J97">
            <v>1930073.4004721623</v>
          </cell>
          <cell r="K97">
            <v>1856677.3381976509</v>
          </cell>
          <cell r="L97">
            <v>2577835.446391765</v>
          </cell>
          <cell r="M97">
            <v>608397.78287300118</v>
          </cell>
          <cell r="N97">
            <v>597820.55375960749</v>
          </cell>
          <cell r="O97">
            <v>444785.11860455293</v>
          </cell>
          <cell r="P97">
            <v>674771.84665273025</v>
          </cell>
          <cell r="Q97">
            <v>2500864.4596170746</v>
          </cell>
          <cell r="R97">
            <v>1776336.1092638404</v>
          </cell>
          <cell r="T97">
            <v>1474040.9581540548</v>
          </cell>
          <cell r="U97">
            <v>1332390.2684209382</v>
          </cell>
          <cell r="V97">
            <v>1675133.7076235218</v>
          </cell>
          <cell r="X97">
            <v>1432364.613208161</v>
          </cell>
          <cell r="Z97">
            <v>1547913.8526256848</v>
          </cell>
          <cell r="AA97">
            <v>248254.19291347172</v>
          </cell>
          <cell r="AB97">
            <v>4531404.1655651368</v>
          </cell>
          <cell r="AC97">
            <v>1299659.6597122131</v>
          </cell>
          <cell r="AD97">
            <v>2983490.312939452</v>
          </cell>
        </row>
        <row r="98">
          <cell r="A98" t="str">
            <v>CGI005-qtz12-CL-fit-4-offset</v>
          </cell>
          <cell r="B98">
            <v>750</v>
          </cell>
          <cell r="C98">
            <v>6.6965312637759184E-25</v>
          </cell>
          <cell r="D98">
            <v>2700</v>
          </cell>
          <cell r="E98">
            <v>1024</v>
          </cell>
          <cell r="F98">
            <v>2.63671875</v>
          </cell>
          <cell r="H98">
            <v>124246.71115220782</v>
          </cell>
          <cell r="I98">
            <v>126455.27363735056</v>
          </cell>
          <cell r="J98">
            <v>159440.34429691316</v>
          </cell>
          <cell r="K98">
            <v>151203.01858906611</v>
          </cell>
          <cell r="L98">
            <v>205807.72611758171</v>
          </cell>
          <cell r="M98">
            <v>201149.51744567888</v>
          </cell>
          <cell r="N98">
            <v>146857.30874685774</v>
          </cell>
          <cell r="O98">
            <v>101589.09844613951</v>
          </cell>
          <cell r="P98">
            <v>137187.84589385544</v>
          </cell>
          <cell r="Q98">
            <v>179463.90050116074</v>
          </cell>
          <cell r="R98">
            <v>203086.246141679</v>
          </cell>
          <cell r="T98">
            <v>183153.72753039293</v>
          </cell>
          <cell r="U98">
            <v>156026.36663828223</v>
          </cell>
          <cell r="V98">
            <v>151203.01858906611</v>
          </cell>
          <cell r="X98">
            <v>172226.92487187276</v>
          </cell>
          <cell r="Z98">
            <v>167728.19881821005</v>
          </cell>
          <cell r="AA98">
            <v>10893.795295604828</v>
          </cell>
          <cell r="AB98">
            <v>346835.22538280609</v>
          </cell>
          <cell r="AC98">
            <v>156834.40352260522</v>
          </cell>
          <cell r="AD98">
            <v>179107.02656459605</v>
          </cell>
        </row>
        <row r="99">
          <cell r="A99" t="str">
            <v>CGI008-qtz01-CL-fit-1-offset</v>
          </cell>
          <cell r="B99">
            <v>750</v>
          </cell>
          <cell r="C99">
            <v>6.6965312637759184E-25</v>
          </cell>
          <cell r="D99">
            <v>1500</v>
          </cell>
          <cell r="E99">
            <v>1024</v>
          </cell>
          <cell r="F99">
            <v>1.46484375</v>
          </cell>
          <cell r="H99">
            <v>250262.18512640471</v>
          </cell>
          <cell r="I99">
            <v>239724.0548689097</v>
          </cell>
          <cell r="J99">
            <v>64987.367966564372</v>
          </cell>
          <cell r="K99">
            <v>61783.996977231705</v>
          </cell>
          <cell r="L99">
            <v>162240.989353627</v>
          </cell>
          <cell r="M99">
            <v>157330.32493146797</v>
          </cell>
          <cell r="N99">
            <v>609757.20187072409</v>
          </cell>
          <cell r="O99">
            <v>632378.76583899383</v>
          </cell>
          <cell r="P99">
            <v>901580.51596099499</v>
          </cell>
          <cell r="Q99">
            <v>436309.49149530835</v>
          </cell>
          <cell r="R99">
            <v>284752.58124800917</v>
          </cell>
          <cell r="T99">
            <v>283870.18619912799</v>
          </cell>
          <cell r="U99">
            <v>298769.18567474908</v>
          </cell>
          <cell r="V99">
            <v>250262.18512640471</v>
          </cell>
          <cell r="X99">
            <v>273462.09046504303</v>
          </cell>
          <cell r="Z99">
            <v>300801.85915199632</v>
          </cell>
          <cell r="AA99">
            <v>66157.782719108043</v>
          </cell>
          <cell r="AB99">
            <v>1016824.097406342</v>
          </cell>
          <cell r="AC99">
            <v>234644.07643288828</v>
          </cell>
          <cell r="AD99">
            <v>716022.23825434572</v>
          </cell>
        </row>
        <row r="100">
          <cell r="A100" t="str">
            <v>CGI008-qtz01-CL-fit-2-offset</v>
          </cell>
          <cell r="B100">
            <v>750</v>
          </cell>
          <cell r="C100">
            <v>6.6965312637759184E-25</v>
          </cell>
          <cell r="D100">
            <v>1500</v>
          </cell>
          <cell r="E100">
            <v>1024</v>
          </cell>
          <cell r="F100">
            <v>1.46484375</v>
          </cell>
          <cell r="H100">
            <v>392085.70398801996</v>
          </cell>
          <cell r="I100">
            <v>97446.892141654433</v>
          </cell>
          <cell r="J100">
            <v>1065133.347273923</v>
          </cell>
          <cell r="K100">
            <v>245643.18673522788</v>
          </cell>
          <cell r="L100">
            <v>20024.283089361623</v>
          </cell>
          <cell r="M100">
            <v>2135314.4258453166</v>
          </cell>
          <cell r="N100">
            <v>308030.72307846724</v>
          </cell>
          <cell r="O100">
            <v>923192.62293030391</v>
          </cell>
          <cell r="P100">
            <v>1014801.4694491845</v>
          </cell>
          <cell r="Q100">
            <v>966250.03159907635</v>
          </cell>
          <cell r="R100">
            <v>403109.19515459897</v>
          </cell>
          <cell r="T100">
            <v>497195.60348111542</v>
          </cell>
          <cell r="U100">
            <v>557043.05236669036</v>
          </cell>
          <cell r="V100">
            <v>403109.19515459897</v>
          </cell>
          <cell r="X100">
            <v>509996.36927858827</v>
          </cell>
          <cell r="Z100">
            <v>485328.98285370076</v>
          </cell>
          <cell r="AA100">
            <v>1131.6695641455274</v>
          </cell>
          <cell r="AB100">
            <v>2273276.3237557877</v>
          </cell>
          <cell r="AC100">
            <v>484197.31328955526</v>
          </cell>
          <cell r="AD100">
            <v>1787947.3409020868</v>
          </cell>
        </row>
        <row r="101">
          <cell r="A101" t="str">
            <v>CGI008-qtz01-CL-fit-3-offset</v>
          </cell>
          <cell r="B101">
            <v>750</v>
          </cell>
          <cell r="C101">
            <v>6.6965312637759184E-25</v>
          </cell>
          <cell r="D101">
            <v>1500</v>
          </cell>
          <cell r="E101">
            <v>1024</v>
          </cell>
          <cell r="F101">
            <v>1.46484375</v>
          </cell>
          <cell r="H101">
            <v>393319.71281126962</v>
          </cell>
          <cell r="I101">
            <v>819472.23236400005</v>
          </cell>
          <cell r="J101">
            <v>375673.08838925033</v>
          </cell>
          <cell r="K101">
            <v>542092.89810762845</v>
          </cell>
          <cell r="L101">
            <v>574367.22154483269</v>
          </cell>
          <cell r="M101">
            <v>449521.84573197714</v>
          </cell>
          <cell r="N101">
            <v>1791433.0468321419</v>
          </cell>
          <cell r="O101">
            <v>901229.75611863669</v>
          </cell>
          <cell r="P101">
            <v>1068143.7835670321</v>
          </cell>
          <cell r="Q101">
            <v>1178338.6562475467</v>
          </cell>
          <cell r="R101">
            <v>521237.73663611035</v>
          </cell>
          <cell r="T101">
            <v>703961.98641041282</v>
          </cell>
          <cell r="U101">
            <v>736271.87799630163</v>
          </cell>
          <cell r="V101">
            <v>574367.22154483269</v>
          </cell>
          <cell r="X101">
            <v>725216.38261428312</v>
          </cell>
          <cell r="Z101">
            <v>696822.94672906632</v>
          </cell>
          <cell r="AA101">
            <v>222561.15906302349</v>
          </cell>
          <cell r="AB101">
            <v>1364193.2937942299</v>
          </cell>
          <cell r="AC101">
            <v>474261.7876660428</v>
          </cell>
          <cell r="AD101">
            <v>667370.34706516354</v>
          </cell>
        </row>
        <row r="102">
          <cell r="A102" t="str">
            <v>CGI008-qtz01-CL-fit-4-offset</v>
          </cell>
          <cell r="B102">
            <v>750</v>
          </cell>
          <cell r="C102">
            <v>6.6965312637759184E-25</v>
          </cell>
          <cell r="D102">
            <v>1500</v>
          </cell>
          <cell r="E102">
            <v>1024</v>
          </cell>
          <cell r="F102">
            <v>1.46484375</v>
          </cell>
          <cell r="H102">
            <v>0.58239850391021408</v>
          </cell>
          <cell r="I102">
            <v>4177.6119428746106</v>
          </cell>
          <cell r="J102">
            <v>7589.7227960360615</v>
          </cell>
          <cell r="K102">
            <v>105482.77412364028</v>
          </cell>
          <cell r="L102">
            <v>77938.846041716868</v>
          </cell>
          <cell r="M102">
            <v>148153.4688317985</v>
          </cell>
          <cell r="N102">
            <v>50737.304236836178</v>
          </cell>
          <cell r="O102">
            <v>22740.711284592075</v>
          </cell>
          <cell r="P102">
            <v>0.65224190606161681</v>
          </cell>
          <cell r="Q102">
            <v>210549.95667998728</v>
          </cell>
          <cell r="R102">
            <v>318479.71977886144</v>
          </cell>
          <cell r="T102">
            <v>134060.91211080475</v>
          </cell>
          <cell r="U102">
            <v>53379.258980439343</v>
          </cell>
          <cell r="V102">
            <v>50737.304236836178</v>
          </cell>
          <cell r="X102">
            <v>94712.841496965601</v>
          </cell>
          <cell r="Z102">
            <v>88743.167967887493</v>
          </cell>
          <cell r="AA102">
            <v>112.28018432291339</v>
          </cell>
          <cell r="AB102">
            <v>410512.87088291411</v>
          </cell>
          <cell r="AC102">
            <v>88630.887783564584</v>
          </cell>
          <cell r="AD102">
            <v>321769.70291502663</v>
          </cell>
        </row>
        <row r="103">
          <cell r="A103" t="str">
            <v>CGI008-qtz01-CL-fit-5-offset</v>
          </cell>
          <cell r="B103">
            <v>750</v>
          </cell>
          <cell r="C103">
            <v>6.6965312637759184E-25</v>
          </cell>
          <cell r="D103">
            <v>1500</v>
          </cell>
          <cell r="E103">
            <v>1024</v>
          </cell>
          <cell r="F103">
            <v>1.46484375</v>
          </cell>
          <cell r="H103">
            <v>47462.110667482746</v>
          </cell>
          <cell r="I103">
            <v>28226.868857008696</v>
          </cell>
          <cell r="J103">
            <v>39704.918598392273</v>
          </cell>
          <cell r="K103">
            <v>26103.732259648103</v>
          </cell>
          <cell r="L103">
            <v>16570.500363965257</v>
          </cell>
          <cell r="M103">
            <v>12557.504784017796</v>
          </cell>
          <cell r="N103">
            <v>22734.42775537811</v>
          </cell>
          <cell r="O103">
            <v>22369.814266160676</v>
          </cell>
          <cell r="P103">
            <v>10373.793406174578</v>
          </cell>
          <cell r="Q103">
            <v>36160.349055146675</v>
          </cell>
          <cell r="R103">
            <v>21890.635720386275</v>
          </cell>
          <cell r="T103">
            <v>27937.044812007338</v>
          </cell>
          <cell r="U103">
            <v>24671.582582596271</v>
          </cell>
          <cell r="V103">
            <v>22734.42775537811</v>
          </cell>
          <cell r="X103">
            <v>27194.899781954293</v>
          </cell>
          <cell r="Z103">
            <v>27599.063891194706</v>
          </cell>
          <cell r="AA103">
            <v>1299.0078075842227</v>
          </cell>
          <cell r="AB103">
            <v>74407.733563828573</v>
          </cell>
          <cell r="AC103">
            <v>26300.056083610485</v>
          </cell>
          <cell r="AD103">
            <v>46808.669672633871</v>
          </cell>
        </row>
        <row r="104">
          <cell r="A104" t="str">
            <v>CGI008-qtz02-CL-fit-1-offset</v>
          </cell>
          <cell r="B104">
            <v>750</v>
          </cell>
          <cell r="C104">
            <v>6.6965312637759184E-25</v>
          </cell>
          <cell r="D104">
            <v>2400</v>
          </cell>
          <cell r="E104">
            <v>1024</v>
          </cell>
          <cell r="F104">
            <v>2.34375</v>
          </cell>
          <cell r="H104">
            <v>4572381.6423329674</v>
          </cell>
          <cell r="I104">
            <v>2806300.4337862423</v>
          </cell>
          <cell r="J104">
            <v>2252994.2339194086</v>
          </cell>
          <cell r="K104">
            <v>6125239.0963157658</v>
          </cell>
          <cell r="L104">
            <v>2800706.2979221311</v>
          </cell>
          <cell r="M104">
            <v>2096423.8288355493</v>
          </cell>
          <cell r="N104">
            <v>3111.7638875574517</v>
          </cell>
          <cell r="O104">
            <v>4679.5049358944607</v>
          </cell>
          <cell r="P104">
            <v>2777031.9271845883</v>
          </cell>
          <cell r="Q104">
            <v>1574356.9997506873</v>
          </cell>
          <cell r="R104">
            <v>604283.16307282331</v>
          </cell>
          <cell r="T104">
            <v>3084602.1967409132</v>
          </cell>
          <cell r="U104">
            <v>1794039.0895585483</v>
          </cell>
          <cell r="V104">
            <v>2252994.2339194086</v>
          </cell>
          <cell r="X104">
            <v>2830326.3861424527</v>
          </cell>
          <cell r="Z104">
            <v>3022715.0249629226</v>
          </cell>
          <cell r="AA104">
            <v>176200.61895451168</v>
          </cell>
          <cell r="AB104">
            <v>9626690.3769334871</v>
          </cell>
          <cell r="AC104">
            <v>2846514.4060084107</v>
          </cell>
          <cell r="AD104">
            <v>6603975.3519705646</v>
          </cell>
        </row>
        <row r="105">
          <cell r="A105" t="str">
            <v>CGI008-qtz02-CL-fit-2-offset</v>
          </cell>
          <cell r="B105">
            <v>750</v>
          </cell>
          <cell r="C105">
            <v>6.6965312637759184E-25</v>
          </cell>
          <cell r="D105">
            <v>2400</v>
          </cell>
          <cell r="E105">
            <v>1024</v>
          </cell>
          <cell r="F105">
            <v>2.34375</v>
          </cell>
          <cell r="H105">
            <v>7352560.3085317351</v>
          </cell>
          <cell r="I105">
            <v>896049.31009116711</v>
          </cell>
          <cell r="J105">
            <v>3386686.3077363479</v>
          </cell>
          <cell r="K105">
            <v>1011173.0587098149</v>
          </cell>
          <cell r="L105">
            <v>0</v>
          </cell>
          <cell r="M105">
            <v>4489181.0611795625</v>
          </cell>
          <cell r="N105">
            <v>26480.204906184543</v>
          </cell>
          <cell r="O105">
            <v>5165.9161507759081</v>
          </cell>
          <cell r="P105">
            <v>405.64944109534173</v>
          </cell>
          <cell r="Q105">
            <v>2285202.8743543974</v>
          </cell>
          <cell r="R105">
            <v>3867.6569754632783</v>
          </cell>
          <cell r="T105">
            <v>2077976.2114412803</v>
          </cell>
          <cell r="U105">
            <v>1092320.9488527365</v>
          </cell>
          <cell r="V105">
            <v>952741.75431647571</v>
          </cell>
          <cell r="X105">
            <v>1285510.3102494222</v>
          </cell>
          <cell r="Z105">
            <v>1387716.5692362653</v>
          </cell>
          <cell r="AA105">
            <v>3502.9007396546508</v>
          </cell>
          <cell r="AB105">
            <v>6641597.6571487878</v>
          </cell>
          <cell r="AC105">
            <v>1384213.6684966106</v>
          </cell>
          <cell r="AD105">
            <v>5253881.0879125223</v>
          </cell>
        </row>
        <row r="106">
          <cell r="A106" t="str">
            <v>CGI008-qtz02-CL-fit-3-offset</v>
          </cell>
          <cell r="B106">
            <v>750</v>
          </cell>
          <cell r="C106">
            <v>6.6965312637759184E-25</v>
          </cell>
          <cell r="D106">
            <v>2400</v>
          </cell>
          <cell r="E106">
            <v>1024</v>
          </cell>
          <cell r="F106">
            <v>2.34375</v>
          </cell>
          <cell r="H106">
            <v>284526.3524043393</v>
          </cell>
          <cell r="I106">
            <v>309629.6041901813</v>
          </cell>
          <cell r="J106">
            <v>502320.11267738038</v>
          </cell>
          <cell r="K106">
            <v>372864.70060177689</v>
          </cell>
          <cell r="L106">
            <v>371904.31132619304</v>
          </cell>
          <cell r="M106">
            <v>139402.77707611007</v>
          </cell>
          <cell r="N106">
            <v>559132.52847414243</v>
          </cell>
          <cell r="O106">
            <v>566046.27656369412</v>
          </cell>
          <cell r="P106">
            <v>338279.63552331022</v>
          </cell>
          <cell r="Q106">
            <v>129365.99752672257</v>
          </cell>
          <cell r="R106">
            <v>504296.79692329391</v>
          </cell>
          <cell r="T106">
            <v>330089.10111145669</v>
          </cell>
          <cell r="U106">
            <v>353914.21037252888</v>
          </cell>
          <cell r="V106">
            <v>371904.31132619304</v>
          </cell>
          <cell r="X106">
            <v>334661.53523005039</v>
          </cell>
          <cell r="Z106">
            <v>346477.13040482084</v>
          </cell>
          <cell r="AA106">
            <v>122158.95889654937</v>
          </cell>
          <cell r="AB106">
            <v>830686.38573234156</v>
          </cell>
          <cell r="AC106">
            <v>224318.17150827148</v>
          </cell>
          <cell r="AD106">
            <v>484209.25532752072</v>
          </cell>
        </row>
        <row r="107">
          <cell r="A107" t="str">
            <v>CGI008-qtz02-CL-fit-4-offset</v>
          </cell>
          <cell r="B107">
            <v>750</v>
          </cell>
          <cell r="C107">
            <v>6.6965312637759184E-25</v>
          </cell>
          <cell r="D107">
            <v>2400</v>
          </cell>
          <cell r="E107">
            <v>1024</v>
          </cell>
          <cell r="F107">
            <v>2.34375</v>
          </cell>
          <cell r="H107">
            <v>3386.6393084602055</v>
          </cell>
          <cell r="I107">
            <v>1644.0859061828696</v>
          </cell>
          <cell r="J107">
            <v>4542.0968362409649</v>
          </cell>
          <cell r="K107">
            <v>17472.747024360084</v>
          </cell>
          <cell r="L107">
            <v>250.49104524367729</v>
          </cell>
          <cell r="M107">
            <v>541872.87820520508</v>
          </cell>
          <cell r="N107">
            <v>408471.02056237776</v>
          </cell>
          <cell r="O107">
            <v>261721.03002859294</v>
          </cell>
          <cell r="P107">
            <v>4981.3219417322252</v>
          </cell>
          <cell r="Q107">
            <v>5.0148091594937192</v>
          </cell>
          <cell r="R107">
            <v>6401.3021386151295</v>
          </cell>
          <cell r="T107">
            <v>7918.0760266543693</v>
          </cell>
          <cell r="U107">
            <v>45788.178706017257</v>
          </cell>
          <cell r="V107">
            <v>4981.3219417322252</v>
          </cell>
          <cell r="X107">
            <v>7104.5087948431155</v>
          </cell>
          <cell r="Z107">
            <v>19302.83292634337</v>
          </cell>
          <cell r="AA107">
            <v>701.5581595397955</v>
          </cell>
          <cell r="AB107">
            <v>855359.47595130163</v>
          </cell>
          <cell r="AC107">
            <v>18601.274766803574</v>
          </cell>
          <cell r="AD107">
            <v>836056.6430249582</v>
          </cell>
        </row>
        <row r="108">
          <cell r="A108" t="str">
            <v>CGI008-qtz03-CL-fit-1-offset</v>
          </cell>
          <cell r="B108">
            <v>750</v>
          </cell>
          <cell r="C108">
            <v>6.6965312637759184E-25</v>
          </cell>
          <cell r="D108">
            <v>2800</v>
          </cell>
          <cell r="E108">
            <v>1024</v>
          </cell>
          <cell r="F108">
            <v>2.734375</v>
          </cell>
          <cell r="H108">
            <v>1298128.7027157799</v>
          </cell>
          <cell r="I108">
            <v>1152517.1110476064</v>
          </cell>
          <cell r="J108">
            <v>1896318.259420265</v>
          </cell>
          <cell r="K108">
            <v>1103761.4001460313</v>
          </cell>
          <cell r="L108">
            <v>3938.9054508022123</v>
          </cell>
          <cell r="M108">
            <v>2247852.2415184788</v>
          </cell>
          <cell r="N108">
            <v>1179852.4848905727</v>
          </cell>
          <cell r="O108">
            <v>735551.05401094677</v>
          </cell>
          <cell r="P108">
            <v>1880325.7767528344</v>
          </cell>
          <cell r="Q108">
            <v>1458484.4567491722</v>
          </cell>
          <cell r="R108">
            <v>718309.21452594013</v>
          </cell>
          <cell r="T108">
            <v>1271494.9491092064</v>
          </cell>
          <cell r="U108">
            <v>1106882.4589591816</v>
          </cell>
          <cell r="V108">
            <v>1179852.4848905727</v>
          </cell>
          <cell r="X108">
            <v>1196970.126426297</v>
          </cell>
          <cell r="Z108">
            <v>1183243.6093504813</v>
          </cell>
          <cell r="AA108">
            <v>42437.997574255503</v>
          </cell>
          <cell r="AB108">
            <v>3669848.694233181</v>
          </cell>
          <cell r="AC108">
            <v>1140805.6117762257</v>
          </cell>
          <cell r="AD108">
            <v>2486605.0848826999</v>
          </cell>
        </row>
        <row r="109">
          <cell r="A109" t="str">
            <v>CGI008-qtz03-CL-fit-2-offset</v>
          </cell>
          <cell r="B109">
            <v>750</v>
          </cell>
          <cell r="C109">
            <v>6.6965312637759184E-25</v>
          </cell>
          <cell r="D109">
            <v>2800</v>
          </cell>
          <cell r="E109">
            <v>1024</v>
          </cell>
          <cell r="F109">
            <v>2.734375</v>
          </cell>
          <cell r="H109">
            <v>562177.01828590129</v>
          </cell>
          <cell r="I109">
            <v>1460227.977904134</v>
          </cell>
          <cell r="J109">
            <v>1831.2911749648081</v>
          </cell>
          <cell r="K109">
            <v>629.08851729827472</v>
          </cell>
          <cell r="L109">
            <v>393149.11449639063</v>
          </cell>
          <cell r="M109">
            <v>129990.09632837358</v>
          </cell>
          <cell r="N109">
            <v>313828.04005207686</v>
          </cell>
          <cell r="O109">
            <v>2993.2788477776944</v>
          </cell>
          <cell r="P109">
            <v>1297974.3495667556</v>
          </cell>
          <cell r="Q109">
            <v>1440196.7728652209</v>
          </cell>
          <cell r="R109">
            <v>150482.47847948337</v>
          </cell>
          <cell r="T109">
            <v>703420.63680499909</v>
          </cell>
          <cell r="U109">
            <v>333854.95621398295</v>
          </cell>
          <cell r="V109">
            <v>313828.04005207686</v>
          </cell>
          <cell r="X109">
            <v>732028.49376748456</v>
          </cell>
          <cell r="Z109">
            <v>835686.91801509005</v>
          </cell>
          <cell r="AA109">
            <v>4470.8469797131002</v>
          </cell>
          <cell r="AB109">
            <v>5179743.1145701185</v>
          </cell>
          <cell r="AC109">
            <v>831216.07103537698</v>
          </cell>
          <cell r="AD109">
            <v>4344056.1965550287</v>
          </cell>
        </row>
        <row r="110">
          <cell r="A110" t="str">
            <v>CGI008-qtz03-CL-fit-3-offset</v>
          </cell>
          <cell r="B110">
            <v>750</v>
          </cell>
          <cell r="C110">
            <v>6.6965312637759184E-25</v>
          </cell>
          <cell r="D110">
            <v>2800</v>
          </cell>
          <cell r="E110">
            <v>1024</v>
          </cell>
          <cell r="F110">
            <v>2.734375</v>
          </cell>
          <cell r="H110">
            <v>1079705.5913889387</v>
          </cell>
          <cell r="I110">
            <v>168571.29375406849</v>
          </cell>
          <cell r="J110">
            <v>71156.760736525888</v>
          </cell>
          <cell r="K110">
            <v>553114.14741497417</v>
          </cell>
          <cell r="L110">
            <v>292597.04191552859</v>
          </cell>
          <cell r="M110">
            <v>284578.76505729288</v>
          </cell>
          <cell r="N110">
            <v>343886.7048889916</v>
          </cell>
          <cell r="O110">
            <v>368119.82811712736</v>
          </cell>
          <cell r="P110">
            <v>509271.56443914794</v>
          </cell>
          <cell r="Q110">
            <v>314451.98434582457</v>
          </cell>
          <cell r="R110">
            <v>504049.41050609038</v>
          </cell>
          <cell r="T110">
            <v>266396.4234457853</v>
          </cell>
          <cell r="U110">
            <v>372323.85375900712</v>
          </cell>
          <cell r="V110">
            <v>343886.7048889916</v>
          </cell>
          <cell r="X110">
            <v>250734.10396505098</v>
          </cell>
          <cell r="Z110">
            <v>251677.6452753284</v>
          </cell>
          <cell r="AA110">
            <v>51655.895109029982</v>
          </cell>
          <cell r="AB110">
            <v>660445.37591491209</v>
          </cell>
          <cell r="AC110">
            <v>200021.75016629841</v>
          </cell>
          <cell r="AD110">
            <v>408767.73063958366</v>
          </cell>
        </row>
        <row r="111">
          <cell r="A111" t="str">
            <v>CGI008-qtz03-CL-fit-4-offset</v>
          </cell>
          <cell r="B111">
            <v>750</v>
          </cell>
          <cell r="C111">
            <v>6.6965312637759184E-25</v>
          </cell>
          <cell r="D111">
            <v>2800</v>
          </cell>
          <cell r="E111">
            <v>1024</v>
          </cell>
          <cell r="F111">
            <v>2.734375</v>
          </cell>
          <cell r="H111">
            <v>2.6849651727369075</v>
          </cell>
          <cell r="I111">
            <v>46810.345969591493</v>
          </cell>
          <cell r="J111">
            <v>472816.08773881936</v>
          </cell>
          <cell r="K111">
            <v>860442.57799138769</v>
          </cell>
          <cell r="L111">
            <v>35629.870451756338</v>
          </cell>
          <cell r="M111">
            <v>25701.132729161392</v>
          </cell>
          <cell r="N111">
            <v>37939.777714713942</v>
          </cell>
          <cell r="O111">
            <v>198.99608423487629</v>
          </cell>
          <cell r="P111">
            <v>3215.3114408280926</v>
          </cell>
          <cell r="Q111">
            <v>62174.840495086464</v>
          </cell>
          <cell r="R111">
            <v>130749.04815122248</v>
          </cell>
          <cell r="T111">
            <v>3971.3574702936216</v>
          </cell>
          <cell r="U111">
            <v>77325.433863083599</v>
          </cell>
          <cell r="V111">
            <v>37939.777714713942</v>
          </cell>
          <cell r="X111">
            <v>3651.5740901649656</v>
          </cell>
          <cell r="Z111">
            <v>26747.568633712162</v>
          </cell>
          <cell r="AA111">
            <v>2.267220136739997E-10</v>
          </cell>
          <cell r="AB111">
            <v>2169654.124325356</v>
          </cell>
          <cell r="AC111">
            <v>26747.568633711937</v>
          </cell>
          <cell r="AD111">
            <v>2142906.5556916436</v>
          </cell>
        </row>
        <row r="112">
          <cell r="A112" t="str">
            <v>CGI008-qtz04-CL-fit-1-offset</v>
          </cell>
          <cell r="B112">
            <v>750</v>
          </cell>
          <cell r="C112">
            <v>6.6965312637759184E-25</v>
          </cell>
          <cell r="D112">
            <v>2700</v>
          </cell>
          <cell r="E112">
            <v>1024</v>
          </cell>
          <cell r="F112">
            <v>2.63671875</v>
          </cell>
          <cell r="H112">
            <v>9.0730947236863094E-11</v>
          </cell>
          <cell r="I112">
            <v>843.62927060644176</v>
          </cell>
          <cell r="J112">
            <v>169275.08947884385</v>
          </cell>
          <cell r="K112">
            <v>966387.89665775816</v>
          </cell>
          <cell r="L112">
            <v>133.00447033468316</v>
          </cell>
          <cell r="M112">
            <v>117898.26633362593</v>
          </cell>
          <cell r="N112">
            <v>4907.314012680723</v>
          </cell>
          <cell r="O112">
            <v>54.596686431899514</v>
          </cell>
          <cell r="P112">
            <v>95272.25826205207</v>
          </cell>
          <cell r="Q112">
            <v>223435.66047309566</v>
          </cell>
          <cell r="R112">
            <v>440233.20584154915</v>
          </cell>
          <cell r="T112">
            <v>108672.61384565139</v>
          </cell>
          <cell r="U112">
            <v>90039.049806218973</v>
          </cell>
          <cell r="V112">
            <v>95272.25826205207</v>
          </cell>
          <cell r="X112">
            <v>19631.902081895983</v>
          </cell>
          <cell r="Z112">
            <v>65506.057492601292</v>
          </cell>
          <cell r="AA112">
            <v>5.8767286494186476E-10</v>
          </cell>
          <cell r="AB112">
            <v>840936.03143196891</v>
          </cell>
          <cell r="AC112">
            <v>65506.057492600703</v>
          </cell>
          <cell r="AD112">
            <v>775429.97393936757</v>
          </cell>
        </row>
        <row r="113">
          <cell r="A113" t="str">
            <v>CGI008-qtz04-CL-fit-2-offset</v>
          </cell>
          <cell r="B113">
            <v>750</v>
          </cell>
          <cell r="C113">
            <v>6.6965312637759184E-25</v>
          </cell>
          <cell r="D113">
            <v>2700</v>
          </cell>
          <cell r="E113">
            <v>1024</v>
          </cell>
          <cell r="F113">
            <v>2.63671875</v>
          </cell>
          <cell r="H113">
            <v>1415072.4600921676</v>
          </cell>
          <cell r="I113">
            <v>6766496.4173155939</v>
          </cell>
          <cell r="J113">
            <v>241572.00920563028</v>
          </cell>
          <cell r="K113">
            <v>5296910.5977363177</v>
          </cell>
          <cell r="L113">
            <v>1589635.5022620424</v>
          </cell>
          <cell r="M113">
            <v>2974435.6596365729</v>
          </cell>
          <cell r="N113">
            <v>539035.35582951549</v>
          </cell>
          <cell r="O113">
            <v>5162044.3544037864</v>
          </cell>
          <cell r="P113">
            <v>259219.57436686009</v>
          </cell>
          <cell r="Q113">
            <v>4167682.0172501984</v>
          </cell>
          <cell r="R113">
            <v>1862889.956035251</v>
          </cell>
          <cell r="T113">
            <v>1905412.7899215426</v>
          </cell>
          <cell r="U113">
            <v>2247543.0017464212</v>
          </cell>
          <cell r="V113">
            <v>1862889.956035251</v>
          </cell>
          <cell r="X113">
            <v>1817382.6007948196</v>
          </cell>
          <cell r="Z113">
            <v>1828956.0977172195</v>
          </cell>
          <cell r="AA113">
            <v>154335.73662009751</v>
          </cell>
          <cell r="AB113">
            <v>5323943.8921846421</v>
          </cell>
          <cell r="AC113">
            <v>1674620.3610971221</v>
          </cell>
          <cell r="AD113">
            <v>3494987.7944674226</v>
          </cell>
        </row>
        <row r="114">
          <cell r="A114" t="str">
            <v>CGI008-qtz04-CL-fit-3-offset</v>
          </cell>
          <cell r="B114">
            <v>750</v>
          </cell>
          <cell r="C114">
            <v>6.6965312637759184E-25</v>
          </cell>
          <cell r="D114">
            <v>2700</v>
          </cell>
          <cell r="E114">
            <v>1024</v>
          </cell>
          <cell r="F114">
            <v>2.63671875</v>
          </cell>
          <cell r="H114">
            <v>4834887.8826166932</v>
          </cell>
          <cell r="I114">
            <v>3144542.8732092148</v>
          </cell>
          <cell r="J114">
            <v>2991531.4269224694</v>
          </cell>
          <cell r="K114">
            <v>843696.70401418093</v>
          </cell>
          <cell r="L114">
            <v>1147858.5364479464</v>
          </cell>
          <cell r="M114">
            <v>4332318.1099029724</v>
          </cell>
          <cell r="N114">
            <v>2431715.0785227572</v>
          </cell>
          <cell r="O114">
            <v>2864360.522350328</v>
          </cell>
          <cell r="P114">
            <v>2676441.3358858647</v>
          </cell>
          <cell r="Q114">
            <v>456689.02091510867</v>
          </cell>
          <cell r="R114">
            <v>273447.20685906213</v>
          </cell>
          <cell r="T114">
            <v>2137247.3321763212</v>
          </cell>
          <cell r="U114">
            <v>2078732.7804509981</v>
          </cell>
          <cell r="V114">
            <v>2676441.3358858647</v>
          </cell>
          <cell r="X114">
            <v>2308119.5473105717</v>
          </cell>
          <cell r="Z114">
            <v>2314595.8720055297</v>
          </cell>
          <cell r="AA114">
            <v>235281.04457436319</v>
          </cell>
          <cell r="AB114">
            <v>6223637.8001887603</v>
          </cell>
          <cell r="AC114">
            <v>2079314.8274311665</v>
          </cell>
          <cell r="AD114">
            <v>3909041.9281832306</v>
          </cell>
        </row>
        <row r="115">
          <cell r="A115" t="str">
            <v>CGI008-qtz05-CL-fit-1-offset</v>
          </cell>
          <cell r="B115">
            <v>750</v>
          </cell>
          <cell r="C115">
            <v>6.6965312637759184E-25</v>
          </cell>
          <cell r="D115">
            <v>1450</v>
          </cell>
          <cell r="E115">
            <v>1024</v>
          </cell>
          <cell r="F115">
            <v>1.416015625</v>
          </cell>
          <cell r="H115">
            <v>308223.60321253008</v>
          </cell>
          <cell r="I115">
            <v>296016.43613421015</v>
          </cell>
          <cell r="J115">
            <v>368791.56655583298</v>
          </cell>
          <cell r="K115">
            <v>150730.5159154771</v>
          </cell>
          <cell r="L115">
            <v>451858.95062939468</v>
          </cell>
          <cell r="M115">
            <v>334626.74926397548</v>
          </cell>
          <cell r="N115">
            <v>183049.37532536808</v>
          </cell>
          <cell r="O115">
            <v>190303.44523160439</v>
          </cell>
          <cell r="P115">
            <v>31549.63016872033</v>
          </cell>
          <cell r="Q115">
            <v>163919.86359455227</v>
          </cell>
          <cell r="R115">
            <v>166563.40510269388</v>
          </cell>
          <cell r="T115">
            <v>220680.02653629592</v>
          </cell>
          <cell r="U115">
            <v>223483.42938522142</v>
          </cell>
          <cell r="V115">
            <v>190303.44523160439</v>
          </cell>
          <cell r="X115">
            <v>205440.63390447036</v>
          </cell>
          <cell r="Z115">
            <v>202036.11646126147</v>
          </cell>
          <cell r="AA115">
            <v>32399.221294018091</v>
          </cell>
          <cell r="AB115">
            <v>441189.69589672779</v>
          </cell>
          <cell r="AC115">
            <v>169636.89516724338</v>
          </cell>
          <cell r="AD115">
            <v>239153.57943546632</v>
          </cell>
        </row>
        <row r="116">
          <cell r="A116" t="str">
            <v>CGI008-qtz05-CL-fit-2-offset</v>
          </cell>
          <cell r="B116">
            <v>750</v>
          </cell>
          <cell r="C116">
            <v>6.6965312637759184E-25</v>
          </cell>
          <cell r="D116">
            <v>1450</v>
          </cell>
          <cell r="E116">
            <v>1024</v>
          </cell>
          <cell r="F116">
            <v>1.416015625</v>
          </cell>
          <cell r="H116">
            <v>461256.10606444371</v>
          </cell>
          <cell r="I116">
            <v>172806.65243589153</v>
          </cell>
          <cell r="J116">
            <v>218228.32577322167</v>
          </cell>
          <cell r="K116">
            <v>27560.372717728413</v>
          </cell>
          <cell r="L116">
            <v>227576.39171616815</v>
          </cell>
          <cell r="M116">
            <v>334234.83397023584</v>
          </cell>
          <cell r="N116">
            <v>561579.16305039672</v>
          </cell>
          <cell r="O116">
            <v>195071.54792252707</v>
          </cell>
          <cell r="P116">
            <v>1789.1686475670599</v>
          </cell>
          <cell r="Q116">
            <v>153424.65035605384</v>
          </cell>
          <cell r="R116">
            <v>97911.979859191051</v>
          </cell>
          <cell r="T116">
            <v>194757.31879097325</v>
          </cell>
          <cell r="U116">
            <v>184209.36182470692</v>
          </cell>
          <cell r="V116">
            <v>195071.54792252707</v>
          </cell>
          <cell r="X116">
            <v>184662.18938890475</v>
          </cell>
          <cell r="Z116">
            <v>201202.66949237545</v>
          </cell>
          <cell r="AA116">
            <v>10161.629934085509</v>
          </cell>
          <cell r="AB116">
            <v>976602.57362420973</v>
          </cell>
          <cell r="AC116">
            <v>191041.03955828995</v>
          </cell>
          <cell r="AD116">
            <v>775399.90413183428</v>
          </cell>
        </row>
        <row r="117">
          <cell r="A117" t="str">
            <v>CGI008-qtz05-CL-fit-3-offset</v>
          </cell>
          <cell r="B117">
            <v>750</v>
          </cell>
          <cell r="C117">
            <v>6.6965312637759184E-25</v>
          </cell>
          <cell r="D117">
            <v>1450</v>
          </cell>
          <cell r="E117">
            <v>1024</v>
          </cell>
          <cell r="F117">
            <v>1.416015625</v>
          </cell>
          <cell r="H117">
            <v>349964.68318107812</v>
          </cell>
          <cell r="I117">
            <v>217908.88097257848</v>
          </cell>
          <cell r="J117">
            <v>166843.20252279297</v>
          </cell>
          <cell r="K117">
            <v>47849.276855482152</v>
          </cell>
          <cell r="L117">
            <v>23593.262653401867</v>
          </cell>
          <cell r="M117">
            <v>174445.67730866757</v>
          </cell>
          <cell r="N117">
            <v>118489.17465006324</v>
          </cell>
          <cell r="O117">
            <v>113160.66313990738</v>
          </cell>
          <cell r="P117">
            <v>391633.54484317842</v>
          </cell>
          <cell r="Q117">
            <v>159803.35557033264</v>
          </cell>
          <cell r="R117">
            <v>38529.471246689463</v>
          </cell>
          <cell r="T117">
            <v>153318.85517616774</v>
          </cell>
          <cell r="U117">
            <v>142975.30234766114</v>
          </cell>
          <cell r="V117">
            <v>159803.35557033264</v>
          </cell>
          <cell r="X117">
            <v>162644.61959974063</v>
          </cell>
          <cell r="Z117">
            <v>163032.34390844085</v>
          </cell>
          <cell r="AA117">
            <v>12755.049921291167</v>
          </cell>
          <cell r="AB117">
            <v>485051.36806444777</v>
          </cell>
          <cell r="AC117">
            <v>150277.29398714966</v>
          </cell>
          <cell r="AD117">
            <v>322019.02415600693</v>
          </cell>
        </row>
        <row r="118">
          <cell r="A118" t="str">
            <v>CGI008-qtz05-CL-fit-4-offset</v>
          </cell>
          <cell r="B118">
            <v>750</v>
          </cell>
          <cell r="C118">
            <v>6.6965312637759184E-25</v>
          </cell>
          <cell r="D118">
            <v>1450</v>
          </cell>
          <cell r="E118">
            <v>1024</v>
          </cell>
          <cell r="F118">
            <v>1.416015625</v>
          </cell>
          <cell r="H118">
            <v>95130.50358414033</v>
          </cell>
          <cell r="I118">
            <v>62812.37926085529</v>
          </cell>
          <cell r="J118">
            <v>62998.80070451169</v>
          </cell>
          <cell r="K118">
            <v>67890.708658121701</v>
          </cell>
          <cell r="L118">
            <v>37056.838036445712</v>
          </cell>
          <cell r="M118">
            <v>65788.367002298095</v>
          </cell>
          <cell r="N118">
            <v>69075.790403340361</v>
          </cell>
          <cell r="O118">
            <v>108532.11500288638</v>
          </cell>
          <cell r="P118">
            <v>141709.37571357025</v>
          </cell>
          <cell r="Q118">
            <v>139175.70020303817</v>
          </cell>
          <cell r="R118">
            <v>61994.563452932722</v>
          </cell>
          <cell r="T118">
            <v>81003.443467072706</v>
          </cell>
          <cell r="U118">
            <v>79953.317089900607</v>
          </cell>
          <cell r="V118">
            <v>67890.708658121701</v>
          </cell>
          <cell r="X118">
            <v>82691.49215613569</v>
          </cell>
          <cell r="Z118">
            <v>79612.915735018221</v>
          </cell>
          <cell r="AA118">
            <v>12061.250084437661</v>
          </cell>
          <cell r="AB118">
            <v>170701.7351108476</v>
          </cell>
          <cell r="AC118">
            <v>67551.665650580559</v>
          </cell>
          <cell r="AD118">
            <v>91088.819375829378</v>
          </cell>
        </row>
        <row r="119">
          <cell r="A119" t="str">
            <v>CGI008-qtz06-CL-fit-1-offset</v>
          </cell>
          <cell r="B119">
            <v>750</v>
          </cell>
          <cell r="C119">
            <v>6.6965312637759184E-25</v>
          </cell>
          <cell r="D119">
            <v>1900</v>
          </cell>
          <cell r="E119">
            <v>1024</v>
          </cell>
          <cell r="F119">
            <v>1.85546875</v>
          </cell>
          <cell r="H119">
            <v>2096377.6730884193</v>
          </cell>
          <cell r="I119">
            <v>3773962.5011969381</v>
          </cell>
          <cell r="J119">
            <v>6128384.9785287259</v>
          </cell>
          <cell r="K119">
            <v>6279415.9237385541</v>
          </cell>
          <cell r="L119">
            <v>3997191.6989800329</v>
          </cell>
          <cell r="M119">
            <v>5322309.7061883276</v>
          </cell>
          <cell r="N119">
            <v>5966741.1745686466</v>
          </cell>
          <cell r="O119">
            <v>2482355.5536851445</v>
          </cell>
          <cell r="P119">
            <v>5534414.0471641356</v>
          </cell>
          <cell r="Q119">
            <v>4413057.4733633408</v>
          </cell>
          <cell r="R119">
            <v>1748730.130227763</v>
          </cell>
          <cell r="T119">
            <v>4241832.9961948963</v>
          </cell>
          <cell r="U119">
            <v>4173551.3295383574</v>
          </cell>
          <cell r="V119">
            <v>4413057.4733633408</v>
          </cell>
          <cell r="X119">
            <v>3907276.3856819249</v>
          </cell>
          <cell r="Z119">
            <v>4139576.2685616566</v>
          </cell>
          <cell r="AA119">
            <v>1659429.2126954473</v>
          </cell>
          <cell r="AB119">
            <v>9254635.843626393</v>
          </cell>
          <cell r="AC119">
            <v>2480147.0558662093</v>
          </cell>
          <cell r="AD119">
            <v>5115059.5750647364</v>
          </cell>
        </row>
        <row r="120">
          <cell r="A120" t="str">
            <v>CGI008-qtz06-CL-fit-2-offset</v>
          </cell>
          <cell r="B120">
            <v>750</v>
          </cell>
          <cell r="C120">
            <v>6.6965312637759184E-25</v>
          </cell>
          <cell r="D120">
            <v>1900</v>
          </cell>
          <cell r="E120">
            <v>1024</v>
          </cell>
          <cell r="F120">
            <v>1.85546875</v>
          </cell>
          <cell r="H120">
            <v>2315334.4918930661</v>
          </cell>
          <cell r="I120">
            <v>1368328.6679874442</v>
          </cell>
          <cell r="J120">
            <v>1330911.3251834475</v>
          </cell>
          <cell r="K120">
            <v>1232351.1387815992</v>
          </cell>
          <cell r="L120">
            <v>2207977.4201925029</v>
          </cell>
          <cell r="M120">
            <v>1488214.7443679557</v>
          </cell>
          <cell r="N120">
            <v>1621644.1014137261</v>
          </cell>
          <cell r="O120">
            <v>1711040.4690041051</v>
          </cell>
          <cell r="P120">
            <v>1188297.9461199718</v>
          </cell>
          <cell r="Q120">
            <v>931839.62532580481</v>
          </cell>
          <cell r="R120">
            <v>1408196.796071464</v>
          </cell>
          <cell r="T120">
            <v>1485594.95574287</v>
          </cell>
          <cell r="U120">
            <v>1502760.0050031487</v>
          </cell>
          <cell r="V120">
            <v>1408196.796071464</v>
          </cell>
          <cell r="X120">
            <v>1443478.3570614203</v>
          </cell>
          <cell r="Z120">
            <v>1485753.7209207902</v>
          </cell>
          <cell r="AA120">
            <v>818918.6624055549</v>
          </cell>
          <cell r="AB120">
            <v>2387438.7222651071</v>
          </cell>
          <cell r="AC120">
            <v>666835.05851523532</v>
          </cell>
          <cell r="AD120">
            <v>901685.00134431687</v>
          </cell>
        </row>
        <row r="121">
          <cell r="A121" t="str">
            <v>CGI008-qtz06-CL-fit-3-offset</v>
          </cell>
          <cell r="B121">
            <v>750</v>
          </cell>
          <cell r="C121">
            <v>6.6965312637759184E-25</v>
          </cell>
          <cell r="D121">
            <v>1900</v>
          </cell>
          <cell r="E121">
            <v>1024</v>
          </cell>
          <cell r="F121">
            <v>1.85546875</v>
          </cell>
          <cell r="H121">
            <v>4234674.3542314535</v>
          </cell>
          <cell r="I121">
            <v>1082713.9041243247</v>
          </cell>
          <cell r="J121">
            <v>1585451.0661657313</v>
          </cell>
          <cell r="K121">
            <v>1851785.3470693983</v>
          </cell>
          <cell r="L121">
            <v>157425.47565626257</v>
          </cell>
          <cell r="M121">
            <v>1681299.5100089819</v>
          </cell>
          <cell r="N121">
            <v>1583492.2184902884</v>
          </cell>
          <cell r="O121">
            <v>1312774.7833340366</v>
          </cell>
          <cell r="P121">
            <v>3452270.1418339489</v>
          </cell>
          <cell r="Q121">
            <v>1794232.706050853</v>
          </cell>
          <cell r="R121">
            <v>756698.72037336626</v>
          </cell>
          <cell r="T121">
            <v>1729427.8640371698</v>
          </cell>
          <cell r="U121">
            <v>1592935.7503940696</v>
          </cell>
          <cell r="V121">
            <v>1585451.0661657313</v>
          </cell>
          <cell r="X121">
            <v>1678610.6728616194</v>
          </cell>
          <cell r="Z121">
            <v>2333307.4283058532</v>
          </cell>
          <cell r="AA121">
            <v>184819.17054433352</v>
          </cell>
          <cell r="AB121">
            <v>11920794.022041032</v>
          </cell>
          <cell r="AC121">
            <v>2148488.2577615194</v>
          </cell>
          <cell r="AD121">
            <v>9587486.5937351789</v>
          </cell>
        </row>
        <row r="122">
          <cell r="A122" t="str">
            <v>CGI008-qtz06-CL-fit-4-offset</v>
          </cell>
          <cell r="B122">
            <v>750</v>
          </cell>
          <cell r="C122">
            <v>6.6965312637759184E-25</v>
          </cell>
          <cell r="D122">
            <v>1900</v>
          </cell>
          <cell r="E122">
            <v>1024</v>
          </cell>
          <cell r="F122">
            <v>1.85546875</v>
          </cell>
          <cell r="H122">
            <v>3802.5650233726101</v>
          </cell>
          <cell r="I122">
            <v>3034.1242274474776</v>
          </cell>
          <cell r="J122">
            <v>510818.96510697174</v>
          </cell>
          <cell r="K122">
            <v>292670.656904709</v>
          </cell>
          <cell r="L122">
            <v>133293.89694401011</v>
          </cell>
          <cell r="M122">
            <v>962488.67598004336</v>
          </cell>
          <cell r="N122">
            <v>23255.119203880011</v>
          </cell>
          <cell r="O122">
            <v>542808.12289363169</v>
          </cell>
          <cell r="P122">
            <v>365652.93876685732</v>
          </cell>
          <cell r="Q122">
            <v>1430428.735509292</v>
          </cell>
          <cell r="R122">
            <v>1569134.9880487339</v>
          </cell>
          <cell r="T122">
            <v>421646.41089428688</v>
          </cell>
          <cell r="U122">
            <v>366708.86730413209</v>
          </cell>
          <cell r="V122">
            <v>365652.93876685732</v>
          </cell>
          <cell r="X122">
            <v>380750.821851574</v>
          </cell>
          <cell r="Z122">
            <v>383305.42248856515</v>
          </cell>
          <cell r="AA122">
            <v>265.37106442425846</v>
          </cell>
          <cell r="AB122">
            <v>2360620.4437766727</v>
          </cell>
          <cell r="AC122">
            <v>383040.05142414087</v>
          </cell>
          <cell r="AD122">
            <v>1977315.0212881076</v>
          </cell>
        </row>
        <row r="123">
          <cell r="A123" t="str">
            <v>CGI008-qtz07-CL-fit-1-offset</v>
          </cell>
          <cell r="B123">
            <v>750</v>
          </cell>
          <cell r="C123">
            <v>6.6965312637759184E-25</v>
          </cell>
          <cell r="D123">
            <v>1900</v>
          </cell>
          <cell r="E123">
            <v>1024</v>
          </cell>
          <cell r="F123">
            <v>1.85546875</v>
          </cell>
          <cell r="H123">
            <v>1098547.2630696704</v>
          </cell>
          <cell r="I123">
            <v>1269390.5504780977</v>
          </cell>
          <cell r="J123">
            <v>194549.64495866038</v>
          </cell>
          <cell r="K123">
            <v>521002.41198091203</v>
          </cell>
          <cell r="L123">
            <v>878391.67683383985</v>
          </cell>
          <cell r="M123">
            <v>1275817.334226897</v>
          </cell>
          <cell r="N123">
            <v>570522.9367837857</v>
          </cell>
          <cell r="O123">
            <v>175491.74416348169</v>
          </cell>
          <cell r="P123">
            <v>999166.64873995632</v>
          </cell>
          <cell r="Q123">
            <v>631382.53854030161</v>
          </cell>
          <cell r="R123">
            <v>1269838.6004574348</v>
          </cell>
          <cell r="T123">
            <v>853310.16638957174</v>
          </cell>
          <cell r="U123">
            <v>745822.9864363505</v>
          </cell>
          <cell r="V123">
            <v>878391.67683383985</v>
          </cell>
          <cell r="X123">
            <v>785940.88895006583</v>
          </cell>
          <cell r="Z123">
            <v>676905.52633670042</v>
          </cell>
          <cell r="AA123">
            <v>600.08719512286484</v>
          </cell>
          <cell r="AB123">
            <v>2468270.0861536423</v>
          </cell>
          <cell r="AC123">
            <v>676305.43914157758</v>
          </cell>
          <cell r="AD123">
            <v>1791364.5598169419</v>
          </cell>
        </row>
        <row r="124">
          <cell r="A124" t="str">
            <v>CGI008-qtz07-CL-fit-2-offset</v>
          </cell>
          <cell r="B124">
            <v>750</v>
          </cell>
          <cell r="C124">
            <v>6.6965312637759184E-25</v>
          </cell>
          <cell r="D124">
            <v>1900</v>
          </cell>
          <cell r="E124">
            <v>1024</v>
          </cell>
          <cell r="F124">
            <v>1.85546875</v>
          </cell>
          <cell r="H124">
            <v>499491.21847445326</v>
          </cell>
          <cell r="I124">
            <v>104644.29773594489</v>
          </cell>
          <cell r="J124">
            <v>56181.555321639367</v>
          </cell>
          <cell r="K124">
            <v>1320465.189673784</v>
          </cell>
          <cell r="L124">
            <v>699553.67097187752</v>
          </cell>
          <cell r="M124">
            <v>211239.05405748502</v>
          </cell>
          <cell r="N124">
            <v>152623.77953578642</v>
          </cell>
          <cell r="O124">
            <v>45932.874262508158</v>
          </cell>
          <cell r="P124">
            <v>19871.497236755928</v>
          </cell>
          <cell r="Q124">
            <v>422201.44524134079</v>
          </cell>
          <cell r="R124">
            <v>537702.03410042427</v>
          </cell>
          <cell r="T124">
            <v>391681.40989182593</v>
          </cell>
          <cell r="U124">
            <v>281998.23081577744</v>
          </cell>
          <cell r="V124">
            <v>211239.05405748502</v>
          </cell>
          <cell r="X124">
            <v>346831.96935346292</v>
          </cell>
          <cell r="Z124">
            <v>304144.90673701244</v>
          </cell>
          <cell r="AA124">
            <v>179.36717215567504</v>
          </cell>
          <cell r="AB124">
            <v>1381649.5390761623</v>
          </cell>
          <cell r="AC124">
            <v>303965.53956485674</v>
          </cell>
          <cell r="AD124">
            <v>1077504.6323391497</v>
          </cell>
        </row>
        <row r="125">
          <cell r="A125" t="str">
            <v>CGI008-qtz07-CL-fit-3-offset</v>
          </cell>
          <cell r="B125">
            <v>750</v>
          </cell>
          <cell r="C125">
            <v>6.6965312637759184E-25</v>
          </cell>
          <cell r="D125">
            <v>1900</v>
          </cell>
          <cell r="E125">
            <v>1024</v>
          </cell>
          <cell r="F125">
            <v>1.85546875</v>
          </cell>
          <cell r="H125">
            <v>2641189.1323413383</v>
          </cell>
          <cell r="I125">
            <v>1922518.9962898984</v>
          </cell>
          <cell r="J125">
            <v>7028843.9596983045</v>
          </cell>
          <cell r="K125">
            <v>4920272.6000530999</v>
          </cell>
          <cell r="L125">
            <v>3467711.4115250963</v>
          </cell>
          <cell r="M125">
            <v>1611737.8278898832</v>
          </cell>
          <cell r="N125">
            <v>4005566.7899274197</v>
          </cell>
          <cell r="O125">
            <v>5592564.6391436877</v>
          </cell>
          <cell r="P125">
            <v>928187.14999341127</v>
          </cell>
          <cell r="Q125">
            <v>4460112.3334222818</v>
          </cell>
          <cell r="R125">
            <v>2179954.9665024844</v>
          </cell>
          <cell r="T125">
            <v>3042083.3928362103</v>
          </cell>
          <cell r="U125">
            <v>3282965.4911277401</v>
          </cell>
          <cell r="V125">
            <v>3467711.4115250963</v>
          </cell>
          <cell r="X125">
            <v>2709750.7193539101</v>
          </cell>
          <cell r="Z125">
            <v>3133261.5011487002</v>
          </cell>
          <cell r="AA125">
            <v>222928.67566754817</v>
          </cell>
          <cell r="AB125">
            <v>13402105.733380597</v>
          </cell>
          <cell r="AC125">
            <v>2910332.8254811522</v>
          </cell>
          <cell r="AD125">
            <v>10268844.232231896</v>
          </cell>
        </row>
        <row r="126">
          <cell r="A126" t="str">
            <v>CGI008-qtz07-CL-fit-4-offset</v>
          </cell>
          <cell r="B126">
            <v>750</v>
          </cell>
          <cell r="C126">
            <v>6.6965312637759184E-25</v>
          </cell>
          <cell r="D126">
            <v>1900</v>
          </cell>
          <cell r="E126">
            <v>1024</v>
          </cell>
          <cell r="F126">
            <v>1.85546875</v>
          </cell>
          <cell r="H126">
            <v>1833282.9276973743</v>
          </cell>
          <cell r="I126">
            <v>4436381.0934816441</v>
          </cell>
          <cell r="J126">
            <v>1365104.2566740401</v>
          </cell>
          <cell r="K126">
            <v>1086455.4673282157</v>
          </cell>
          <cell r="L126">
            <v>1438045.5676899713</v>
          </cell>
          <cell r="M126">
            <v>0.1031952453573101</v>
          </cell>
          <cell r="N126">
            <v>3175513.5451987763</v>
          </cell>
          <cell r="O126">
            <v>841608.13512804988</v>
          </cell>
          <cell r="P126">
            <v>2410.6468418990389</v>
          </cell>
          <cell r="Q126">
            <v>2242687.2073115497</v>
          </cell>
          <cell r="R126">
            <v>3674087.4041777798</v>
          </cell>
          <cell r="T126">
            <v>1865099.1668472611</v>
          </cell>
          <cell r="U126">
            <v>1403861.6644864441</v>
          </cell>
          <cell r="V126">
            <v>1438045.5676899713</v>
          </cell>
          <cell r="X126">
            <v>1708739.229190791</v>
          </cell>
          <cell r="Z126">
            <v>1926614.5445383051</v>
          </cell>
          <cell r="AA126">
            <v>15890.578094534723</v>
          </cell>
          <cell r="AB126">
            <v>13792606.374681488</v>
          </cell>
          <cell r="AC126">
            <v>1910723.9664437703</v>
          </cell>
          <cell r="AD126">
            <v>11865991.830143183</v>
          </cell>
        </row>
        <row r="127">
          <cell r="A127" t="str">
            <v>CGI008-qtz07-CL-fit-5-offset</v>
          </cell>
          <cell r="B127">
            <v>750</v>
          </cell>
          <cell r="C127">
            <v>6.6965312637759184E-25</v>
          </cell>
          <cell r="D127">
            <v>1900</v>
          </cell>
          <cell r="E127">
            <v>1024</v>
          </cell>
          <cell r="F127">
            <v>1.85546875</v>
          </cell>
          <cell r="H127">
            <v>2251539.340997627</v>
          </cell>
          <cell r="I127">
            <v>3472358.148094771</v>
          </cell>
          <cell r="J127">
            <v>656155.92851964454</v>
          </cell>
          <cell r="K127">
            <v>1130695.9264336529</v>
          </cell>
          <cell r="L127">
            <v>2108639.3134940648</v>
          </cell>
          <cell r="M127">
            <v>824911.36951399012</v>
          </cell>
          <cell r="N127">
            <v>2373812.6861059265</v>
          </cell>
          <cell r="O127">
            <v>4223683.9284405168</v>
          </cell>
          <cell r="P127">
            <v>1156081.4913600937</v>
          </cell>
          <cell r="Q127">
            <v>0.71279515026705653</v>
          </cell>
          <cell r="R127">
            <v>2270638.8566188565</v>
          </cell>
          <cell r="T127">
            <v>1740322.9693567164</v>
          </cell>
          <cell r="U127">
            <v>1568523.2225450671</v>
          </cell>
          <cell r="V127">
            <v>2108639.3134940648</v>
          </cell>
          <cell r="X127">
            <v>1706567.1279463645</v>
          </cell>
          <cell r="Z127">
            <v>1774894.9109785708</v>
          </cell>
          <cell r="AA127">
            <v>130504.85067331903</v>
          </cell>
          <cell r="AB127">
            <v>5627864.1981766885</v>
          </cell>
          <cell r="AC127">
            <v>1644390.0603052517</v>
          </cell>
          <cell r="AD127">
            <v>3852969.2871981179</v>
          </cell>
        </row>
        <row r="128">
          <cell r="A128" t="str">
            <v>CGI008-qtz08-CL-fit-2-offset</v>
          </cell>
          <cell r="B128">
            <v>750</v>
          </cell>
          <cell r="C128">
            <v>6.6965312637759184E-25</v>
          </cell>
          <cell r="D128">
            <v>2050</v>
          </cell>
          <cell r="E128">
            <v>1024</v>
          </cell>
          <cell r="F128">
            <v>2.001953125</v>
          </cell>
          <cell r="H128">
            <v>330878.14177686383</v>
          </cell>
          <cell r="I128">
            <v>498886.83409919526</v>
          </cell>
          <cell r="J128">
            <v>249726.6176238386</v>
          </cell>
          <cell r="K128">
            <v>91592.51908064523</v>
          </cell>
          <cell r="L128">
            <v>300536.82346774027</v>
          </cell>
          <cell r="M128">
            <v>151551.4617026847</v>
          </cell>
          <cell r="N128">
            <v>105434.51522146181</v>
          </cell>
          <cell r="O128">
            <v>90964.159054925491</v>
          </cell>
          <cell r="P128">
            <v>91076.84885116329</v>
          </cell>
          <cell r="Q128">
            <v>56738.301604369066</v>
          </cell>
          <cell r="R128">
            <v>105445.10023140481</v>
          </cell>
          <cell r="T128">
            <v>173625.85595835498</v>
          </cell>
          <cell r="U128">
            <v>168281.71031281364</v>
          </cell>
          <cell r="V128">
            <v>105445.10023140481</v>
          </cell>
          <cell r="X128">
            <v>150724.88655306396</v>
          </cell>
          <cell r="Z128">
            <v>147879.64251306656</v>
          </cell>
          <cell r="AA128">
            <v>19205.421426438887</v>
          </cell>
          <cell r="AB128">
            <v>418794.52531329298</v>
          </cell>
          <cell r="AC128">
            <v>128674.22108662767</v>
          </cell>
          <cell r="AD128">
            <v>270914.88280022645</v>
          </cell>
        </row>
        <row r="129">
          <cell r="A129" t="str">
            <v>CGI008-qtz08-CL-fit-3-offset</v>
          </cell>
          <cell r="B129">
            <v>750</v>
          </cell>
          <cell r="C129">
            <v>6.6965312637759184E-25</v>
          </cell>
          <cell r="D129">
            <v>2050</v>
          </cell>
          <cell r="E129">
            <v>1024</v>
          </cell>
          <cell r="F129">
            <v>2.001953125</v>
          </cell>
          <cell r="H129">
            <v>253862.16632883702</v>
          </cell>
          <cell r="I129">
            <v>138347.66065588791</v>
          </cell>
          <cell r="J129">
            <v>192756.63064456481</v>
          </cell>
          <cell r="K129">
            <v>162360.26013322451</v>
          </cell>
          <cell r="L129">
            <v>115591.54246028478</v>
          </cell>
          <cell r="M129">
            <v>81557.205182509701</v>
          </cell>
          <cell r="N129">
            <v>167567.27248844475</v>
          </cell>
          <cell r="O129">
            <v>84603.784280901193</v>
          </cell>
          <cell r="P129">
            <v>369717.10732713365</v>
          </cell>
          <cell r="Q129">
            <v>138410.42796893499</v>
          </cell>
          <cell r="R129">
            <v>315157.45109510777</v>
          </cell>
          <cell r="T129">
            <v>181448.98133185058</v>
          </cell>
          <cell r="U129">
            <v>173739.94078980957</v>
          </cell>
          <cell r="V129">
            <v>162360.26013322451</v>
          </cell>
          <cell r="X129">
            <v>162971.56163029952</v>
          </cell>
          <cell r="Z129">
            <v>164805.66658064077</v>
          </cell>
          <cell r="AA129">
            <v>25555.456416087531</v>
          </cell>
          <cell r="AB129">
            <v>508455.44799433585</v>
          </cell>
          <cell r="AC129">
            <v>139250.21016455325</v>
          </cell>
          <cell r="AD129">
            <v>343649.78141369508</v>
          </cell>
        </row>
        <row r="130">
          <cell r="A130" t="str">
            <v>CGI008-qtz09-CL-fit-1-offset</v>
          </cell>
          <cell r="B130">
            <v>750</v>
          </cell>
          <cell r="C130">
            <v>6.6965312637759184E-25</v>
          </cell>
          <cell r="D130">
            <v>2000</v>
          </cell>
          <cell r="E130">
            <v>1024</v>
          </cell>
          <cell r="F130">
            <v>1.953125</v>
          </cell>
          <cell r="H130">
            <v>670313.06282225705</v>
          </cell>
          <cell r="I130">
            <v>502005.95934093039</v>
          </cell>
          <cell r="J130">
            <v>423698.54103840288</v>
          </cell>
          <cell r="K130">
            <v>533073.70968286425</v>
          </cell>
          <cell r="L130">
            <v>535600.89695330628</v>
          </cell>
          <cell r="M130">
            <v>478454.94809295784</v>
          </cell>
          <cell r="N130">
            <v>430809.46042009623</v>
          </cell>
          <cell r="O130">
            <v>454057.43679129676</v>
          </cell>
          <cell r="P130">
            <v>518510.93455847393</v>
          </cell>
          <cell r="Q130">
            <v>593238.56790292368</v>
          </cell>
          <cell r="R130">
            <v>423832.18224983261</v>
          </cell>
          <cell r="T130">
            <v>518264.41692017252</v>
          </cell>
          <cell r="U130">
            <v>503243.44984680618</v>
          </cell>
          <cell r="V130">
            <v>502005.95934093039</v>
          </cell>
          <cell r="X130">
            <v>496158.71294213797</v>
          </cell>
          <cell r="Z130">
            <v>503167.70963214233</v>
          </cell>
          <cell r="AA130">
            <v>256268.95183844632</v>
          </cell>
          <cell r="AB130">
            <v>841023.28622129757</v>
          </cell>
          <cell r="AC130">
            <v>246898.75779369602</v>
          </cell>
          <cell r="AD130">
            <v>337855.57658915524</v>
          </cell>
        </row>
        <row r="131">
          <cell r="A131" t="str">
            <v>CGI008-qtz09-CL-fit-2-offset</v>
          </cell>
          <cell r="B131">
            <v>750</v>
          </cell>
          <cell r="C131">
            <v>6.6965312637759184E-25</v>
          </cell>
          <cell r="D131">
            <v>2000</v>
          </cell>
          <cell r="E131">
            <v>1024</v>
          </cell>
          <cell r="F131">
            <v>1.953125</v>
          </cell>
          <cell r="H131">
            <v>622146.48716550099</v>
          </cell>
          <cell r="I131">
            <v>312682.44315164955</v>
          </cell>
          <cell r="J131">
            <v>511214.66838174808</v>
          </cell>
          <cell r="K131">
            <v>494131.12706953188</v>
          </cell>
          <cell r="L131">
            <v>408409.90747462341</v>
          </cell>
          <cell r="M131">
            <v>560233.46993147011</v>
          </cell>
          <cell r="N131">
            <v>720912.409347023</v>
          </cell>
          <cell r="O131">
            <v>471779.41186858958</v>
          </cell>
          <cell r="P131">
            <v>514748.27901026874</v>
          </cell>
          <cell r="Q131">
            <v>434905.32427346637</v>
          </cell>
          <cell r="R131">
            <v>444992.02629998676</v>
          </cell>
          <cell r="T131">
            <v>491023.66800319584</v>
          </cell>
          <cell r="U131">
            <v>494256.95211200742</v>
          </cell>
          <cell r="V131">
            <v>494131.12706953188</v>
          </cell>
          <cell r="X131">
            <v>495854.69600471365</v>
          </cell>
          <cell r="Z131">
            <v>501144.33968235389</v>
          </cell>
          <cell r="AA131">
            <v>281571.39442528476</v>
          </cell>
          <cell r="AB131">
            <v>840414.32281847578</v>
          </cell>
          <cell r="AC131">
            <v>219572.94525706914</v>
          </cell>
          <cell r="AD131">
            <v>339269.98313612188</v>
          </cell>
        </row>
        <row r="132">
          <cell r="A132" t="str">
            <v>CGI008-qtz10-CL-fit-1-offset</v>
          </cell>
          <cell r="B132">
            <v>750</v>
          </cell>
          <cell r="C132">
            <v>6.6965312637759184E-25</v>
          </cell>
          <cell r="D132">
            <v>1800</v>
          </cell>
          <cell r="E132">
            <v>1024</v>
          </cell>
          <cell r="F132">
            <v>1.7578125</v>
          </cell>
          <cell r="H132">
            <v>481971.86016815848</v>
          </cell>
          <cell r="I132">
            <v>564382.1070010541</v>
          </cell>
          <cell r="J132">
            <v>576745.267126085</v>
          </cell>
          <cell r="K132">
            <v>571556.03945221973</v>
          </cell>
          <cell r="L132">
            <v>556932.77366913552</v>
          </cell>
          <cell r="M132">
            <v>534202.03580484656</v>
          </cell>
          <cell r="N132">
            <v>564742.57152772741</v>
          </cell>
          <cell r="O132">
            <v>514755.80441855558</v>
          </cell>
          <cell r="P132">
            <v>589067.71909050469</v>
          </cell>
          <cell r="Q132">
            <v>540980.87932354526</v>
          </cell>
          <cell r="R132">
            <v>517939.20406761178</v>
          </cell>
          <cell r="T132">
            <v>549155.70652034227</v>
          </cell>
          <cell r="U132">
            <v>546225.368494694</v>
          </cell>
          <cell r="V132">
            <v>556932.77366913552</v>
          </cell>
          <cell r="X132">
            <v>548359.56425399717</v>
          </cell>
          <cell r="Z132">
            <v>552068.47223961516</v>
          </cell>
          <cell r="AA132">
            <v>398585.77297693497</v>
          </cell>
          <cell r="AB132">
            <v>720697.14145116985</v>
          </cell>
          <cell r="AC132">
            <v>153482.69926268019</v>
          </cell>
          <cell r="AD132">
            <v>168628.66921155469</v>
          </cell>
        </row>
        <row r="133">
          <cell r="A133" t="str">
            <v>CGI008-qtz10-CL-fit-2-offset</v>
          </cell>
          <cell r="B133">
            <v>750</v>
          </cell>
          <cell r="C133">
            <v>6.6965312637759184E-25</v>
          </cell>
          <cell r="D133">
            <v>1800</v>
          </cell>
          <cell r="E133">
            <v>1024</v>
          </cell>
          <cell r="F133">
            <v>1.7578125</v>
          </cell>
          <cell r="H133">
            <v>150348.96171286801</v>
          </cell>
          <cell r="I133">
            <v>250306.16028994069</v>
          </cell>
          <cell r="J133">
            <v>334691.97327457072</v>
          </cell>
          <cell r="K133">
            <v>137831.57401980524</v>
          </cell>
          <cell r="L133">
            <v>334695.12193081185</v>
          </cell>
          <cell r="M133">
            <v>336803.70764883643</v>
          </cell>
          <cell r="N133">
            <v>189040.34111405184</v>
          </cell>
          <cell r="O133">
            <v>282633.12727150391</v>
          </cell>
          <cell r="P133">
            <v>249893.51664083911</v>
          </cell>
          <cell r="Q133">
            <v>283955.15908348031</v>
          </cell>
          <cell r="R133">
            <v>315800.63208640396</v>
          </cell>
          <cell r="T133">
            <v>279939.2495193276</v>
          </cell>
          <cell r="U133">
            <v>255287.94094761147</v>
          </cell>
          <cell r="V133">
            <v>282633.12727150391</v>
          </cell>
          <cell r="X133">
            <v>254324.10397174337</v>
          </cell>
          <cell r="Z133">
            <v>259546.72763597959</v>
          </cell>
          <cell r="AA133">
            <v>112810.85964962156</v>
          </cell>
          <cell r="AB133">
            <v>459143.4141072621</v>
          </cell>
          <cell r="AC133">
            <v>146735.86798635803</v>
          </cell>
          <cell r="AD133">
            <v>199596.6864712825</v>
          </cell>
        </row>
        <row r="134">
          <cell r="A134" t="str">
            <v>CGI008-qtz10-CL-fit-3-offset</v>
          </cell>
          <cell r="B134">
            <v>750</v>
          </cell>
          <cell r="C134">
            <v>6.6965312637759184E-25</v>
          </cell>
          <cell r="D134">
            <v>1800</v>
          </cell>
          <cell r="E134">
            <v>1024</v>
          </cell>
          <cell r="F134">
            <v>1.7578125</v>
          </cell>
          <cell r="H134">
            <v>290816.26968593104</v>
          </cell>
          <cell r="I134">
            <v>302495.50336642412</v>
          </cell>
          <cell r="J134">
            <v>499311.165654307</v>
          </cell>
          <cell r="K134">
            <v>125932.62942946993</v>
          </cell>
          <cell r="L134">
            <v>78286.400944319656</v>
          </cell>
          <cell r="M134">
            <v>184457.36921730169</v>
          </cell>
          <cell r="N134">
            <v>236452.85544268365</v>
          </cell>
          <cell r="O134">
            <v>237729.71326641802</v>
          </cell>
          <cell r="P134">
            <v>292506.78656868089</v>
          </cell>
          <cell r="Q134">
            <v>67070.193855266378</v>
          </cell>
          <cell r="R134">
            <v>212268.91768814536</v>
          </cell>
          <cell r="T134">
            <v>215960.82278344</v>
          </cell>
          <cell r="U134">
            <v>214489.00718987413</v>
          </cell>
          <cell r="V134">
            <v>236452.85544268365</v>
          </cell>
          <cell r="X134">
            <v>204962.40978054231</v>
          </cell>
          <cell r="Z134">
            <v>205135.26656453536</v>
          </cell>
          <cell r="AA134">
            <v>73114.854879781356</v>
          </cell>
          <cell r="AB134">
            <v>470904.08073614008</v>
          </cell>
          <cell r="AC134">
            <v>132020.41168475401</v>
          </cell>
          <cell r="AD134">
            <v>265768.8141716047</v>
          </cell>
        </row>
        <row r="135">
          <cell r="A135" t="str">
            <v>CGI008-qtz10-CL-fit-4-offset</v>
          </cell>
          <cell r="B135">
            <v>750</v>
          </cell>
          <cell r="C135">
            <v>6.6965312637759184E-25</v>
          </cell>
          <cell r="D135">
            <v>1800</v>
          </cell>
          <cell r="E135">
            <v>1024</v>
          </cell>
          <cell r="F135">
            <v>1.7578125</v>
          </cell>
          <cell r="H135">
            <v>127494.32851961454</v>
          </cell>
          <cell r="I135">
            <v>29242.269914833028</v>
          </cell>
          <cell r="J135">
            <v>9254.4024818085345</v>
          </cell>
          <cell r="K135">
            <v>68099.883914657112</v>
          </cell>
          <cell r="L135">
            <v>28792.102694365592</v>
          </cell>
          <cell r="M135">
            <v>2531.2545007172403</v>
          </cell>
          <cell r="N135">
            <v>16358.268835643683</v>
          </cell>
          <cell r="O135">
            <v>24177.39061618119</v>
          </cell>
          <cell r="P135">
            <v>10601.436324997563</v>
          </cell>
          <cell r="Q135">
            <v>48338.134275322496</v>
          </cell>
          <cell r="R135">
            <v>10491.600115399016</v>
          </cell>
          <cell r="T135">
            <v>25272.200602350382</v>
          </cell>
          <cell r="U135">
            <v>27190.866760917474</v>
          </cell>
          <cell r="V135">
            <v>24177.39061618119</v>
          </cell>
          <cell r="X135">
            <v>26114.016808582459</v>
          </cell>
          <cell r="Z135">
            <v>32850.08915540803</v>
          </cell>
          <cell r="AA135">
            <v>9.9133696201250743</v>
          </cell>
          <cell r="AB135">
            <v>176579.63706223574</v>
          </cell>
          <cell r="AC135">
            <v>32840.175785787906</v>
          </cell>
          <cell r="AD135">
            <v>143729.54790682771</v>
          </cell>
        </row>
        <row r="136">
          <cell r="A136" t="str">
            <v>CGI008-qtz11-CL-fit-1-offset</v>
          </cell>
          <cell r="B136">
            <v>750</v>
          </cell>
          <cell r="C136">
            <v>6.6965312637759184E-25</v>
          </cell>
          <cell r="D136">
            <v>1800</v>
          </cell>
          <cell r="E136">
            <v>1024</v>
          </cell>
          <cell r="F136">
            <v>1.7578125</v>
          </cell>
          <cell r="H136">
            <v>780274.9361981604</v>
          </cell>
          <cell r="I136">
            <v>319637.95977374801</v>
          </cell>
          <cell r="J136">
            <v>298422.12779583805</v>
          </cell>
          <cell r="K136">
            <v>1035833.8676362601</v>
          </cell>
          <cell r="L136">
            <v>1363262.0651093447</v>
          </cell>
          <cell r="M136">
            <v>1919346.7806171726</v>
          </cell>
          <cell r="N136">
            <v>743377.62433802895</v>
          </cell>
          <cell r="O136">
            <v>519186.48195199529</v>
          </cell>
          <cell r="P136">
            <v>1055884.6694806328</v>
          </cell>
          <cell r="Q136">
            <v>41532.804455886951</v>
          </cell>
          <cell r="R136">
            <v>60099.687352527661</v>
          </cell>
          <cell r="T136">
            <v>656387.02775192703</v>
          </cell>
          <cell r="U136">
            <v>614795.69202389615</v>
          </cell>
          <cell r="V136">
            <v>743377.62433802895</v>
          </cell>
          <cell r="X136">
            <v>594312.88954108569</v>
          </cell>
          <cell r="Z136">
            <v>666038.0571245146</v>
          </cell>
          <cell r="AA136">
            <v>44470.04739182179</v>
          </cell>
          <cell r="AB136">
            <v>2578171.7397464458</v>
          </cell>
          <cell r="AC136">
            <v>621568.00973269285</v>
          </cell>
          <cell r="AD136">
            <v>1912133.6826219312</v>
          </cell>
        </row>
        <row r="137">
          <cell r="A137" t="str">
            <v>CGI008-qtz11-CL-fit-2-offset</v>
          </cell>
          <cell r="B137">
            <v>750</v>
          </cell>
          <cell r="C137">
            <v>6.6965312637759184E-25</v>
          </cell>
          <cell r="D137">
            <v>1800</v>
          </cell>
          <cell r="E137">
            <v>1024</v>
          </cell>
          <cell r="F137">
            <v>1.7578125</v>
          </cell>
          <cell r="H137">
            <v>205010.44345045445</v>
          </cell>
          <cell r="I137">
            <v>85302.496072193608</v>
          </cell>
          <cell r="J137">
            <v>309638.98087824654</v>
          </cell>
          <cell r="K137">
            <v>308935.1847051878</v>
          </cell>
          <cell r="L137">
            <v>304531.43748099654</v>
          </cell>
          <cell r="M137">
            <v>1008270.2231640076</v>
          </cell>
          <cell r="N137">
            <v>306663.77271233039</v>
          </cell>
          <cell r="O137">
            <v>1192102.3227032602</v>
          </cell>
          <cell r="P137">
            <v>1316768.7199780697</v>
          </cell>
          <cell r="Q137">
            <v>1877966.069594821</v>
          </cell>
          <cell r="R137">
            <v>2175044.1176345269</v>
          </cell>
          <cell r="T137">
            <v>678100.75711110502</v>
          </cell>
          <cell r="U137">
            <v>677088.51305242395</v>
          </cell>
          <cell r="V137">
            <v>309638.98087824654</v>
          </cell>
          <cell r="X137">
            <v>738593.82854528236</v>
          </cell>
          <cell r="Z137">
            <v>821161.67423960834</v>
          </cell>
          <cell r="AA137">
            <v>132050.15967911814</v>
          </cell>
          <cell r="AB137">
            <v>3141135.5258764764</v>
          </cell>
          <cell r="AC137">
            <v>689111.51456049015</v>
          </cell>
          <cell r="AD137">
            <v>2319973.851636868</v>
          </cell>
        </row>
        <row r="138">
          <cell r="A138" t="str">
            <v>CGI008-qtz11-CL-fit-3-offset</v>
          </cell>
          <cell r="B138">
            <v>750</v>
          </cell>
          <cell r="C138">
            <v>6.6965312637759184E-25</v>
          </cell>
          <cell r="D138">
            <v>1800</v>
          </cell>
          <cell r="E138">
            <v>1024</v>
          </cell>
          <cell r="F138">
            <v>1.7578125</v>
          </cell>
          <cell r="H138">
            <v>877.00939070856111</v>
          </cell>
          <cell r="I138">
            <v>13893.606521395179</v>
          </cell>
          <cell r="J138">
            <v>45951.216099877296</v>
          </cell>
          <cell r="K138">
            <v>1180.0059354311004</v>
          </cell>
          <cell r="L138">
            <v>7079.0319779342299</v>
          </cell>
          <cell r="M138">
            <v>1359.7853784369613</v>
          </cell>
          <cell r="N138">
            <v>46359.846922045879</v>
          </cell>
          <cell r="O138">
            <v>36913.971386405021</v>
          </cell>
          <cell r="P138">
            <v>13455.955428804458</v>
          </cell>
          <cell r="Q138">
            <v>35860.89395140428</v>
          </cell>
          <cell r="R138">
            <v>17548.574389878835</v>
          </cell>
          <cell r="T138">
            <v>29724.977496676158</v>
          </cell>
          <cell r="U138">
            <v>15342.09521160538</v>
          </cell>
          <cell r="V138">
            <v>13893.606521395179</v>
          </cell>
          <cell r="X138">
            <v>22458.268082324535</v>
          </cell>
          <cell r="Z138">
            <v>22009.969222328735</v>
          </cell>
          <cell r="AA138">
            <v>1252.5457081132715</v>
          </cell>
          <cell r="AB138">
            <v>119374.62619661141</v>
          </cell>
          <cell r="AC138">
            <v>20757.423514215465</v>
          </cell>
          <cell r="AD138">
            <v>97364.656974282669</v>
          </cell>
        </row>
        <row r="139">
          <cell r="A139" t="str">
            <v>CGI008-qtz11-CL-fit-4-offset</v>
          </cell>
          <cell r="B139">
            <v>750</v>
          </cell>
          <cell r="C139">
            <v>6.6965312637759184E-25</v>
          </cell>
          <cell r="D139">
            <v>1800</v>
          </cell>
          <cell r="E139">
            <v>1024</v>
          </cell>
          <cell r="F139">
            <v>1.7578125</v>
          </cell>
          <cell r="H139">
            <v>6359.0421059934006</v>
          </cell>
          <cell r="I139">
            <v>42683.829145520314</v>
          </cell>
          <cell r="J139">
            <v>1934.4818154209891</v>
          </cell>
          <cell r="K139">
            <v>49518.627963471161</v>
          </cell>
          <cell r="L139">
            <v>32090.579780354812</v>
          </cell>
          <cell r="M139">
            <v>1351.6964525673377</v>
          </cell>
          <cell r="N139">
            <v>1569.6460153854475</v>
          </cell>
          <cell r="O139">
            <v>2631.0569177331718</v>
          </cell>
          <cell r="P139">
            <v>19689.042232543186</v>
          </cell>
          <cell r="Q139">
            <v>29.118415393321559</v>
          </cell>
          <cell r="R139">
            <v>2109.892592447371</v>
          </cell>
          <cell r="T139">
            <v>4941.2711609668431</v>
          </cell>
          <cell r="U139">
            <v>9134.4698424737926</v>
          </cell>
          <cell r="V139">
            <v>2631.0569177331718</v>
          </cell>
          <cell r="X139">
            <v>5673.8927871281276</v>
          </cell>
          <cell r="Z139">
            <v>11815.059388199419</v>
          </cell>
          <cell r="AA139">
            <v>4.2650988399624863</v>
          </cell>
          <cell r="AB139">
            <v>109498.05789267302</v>
          </cell>
          <cell r="AC139">
            <v>11810.794289359457</v>
          </cell>
          <cell r="AD139">
            <v>97682.99850447361</v>
          </cell>
        </row>
        <row r="140">
          <cell r="A140" t="str">
            <v>CGI008-qtz12-CL-fit-1-offset</v>
          </cell>
          <cell r="B140">
            <v>750</v>
          </cell>
          <cell r="C140">
            <v>6.6965312637759184E-25</v>
          </cell>
          <cell r="D140">
            <v>1700</v>
          </cell>
          <cell r="E140">
            <v>1024</v>
          </cell>
          <cell r="F140">
            <v>1.66015625</v>
          </cell>
          <cell r="H140">
            <v>208566.63090211686</v>
          </cell>
          <cell r="I140">
            <v>382609.00949863694</v>
          </cell>
          <cell r="J140">
            <v>750629.6202483346</v>
          </cell>
          <cell r="K140">
            <v>1023633.8864848962</v>
          </cell>
          <cell r="L140">
            <v>172581.1814164517</v>
          </cell>
          <cell r="M140">
            <v>322109.94725545752</v>
          </cell>
          <cell r="N140">
            <v>808413.76473597495</v>
          </cell>
          <cell r="O140">
            <v>1687903.8065524839</v>
          </cell>
          <cell r="P140">
            <v>1552864.0116828158</v>
          </cell>
          <cell r="Q140">
            <v>584197.04720967275</v>
          </cell>
          <cell r="R140">
            <v>137729.31622845947</v>
          </cell>
          <cell r="T140">
            <v>587794.62892749335</v>
          </cell>
          <cell r="U140">
            <v>599393.55906675314</v>
          </cell>
          <cell r="V140">
            <v>584197.04720967275</v>
          </cell>
          <cell r="X140">
            <v>621958.61826854094</v>
          </cell>
          <cell r="Z140">
            <v>615063.40756501048</v>
          </cell>
          <cell r="AA140">
            <v>72651.017412810223</v>
          </cell>
          <cell r="AB140">
            <v>1936345.7637760427</v>
          </cell>
          <cell r="AC140">
            <v>542412.39015220024</v>
          </cell>
          <cell r="AD140">
            <v>1321282.3562110323</v>
          </cell>
        </row>
        <row r="141">
          <cell r="A141" t="str">
            <v>CGI008-qtz12-CL-fit-2-offset</v>
          </cell>
          <cell r="B141">
            <v>750</v>
          </cell>
          <cell r="C141">
            <v>6.6965312637759184E-25</v>
          </cell>
          <cell r="D141">
            <v>1700</v>
          </cell>
          <cell r="E141">
            <v>1024</v>
          </cell>
          <cell r="F141">
            <v>1.66015625</v>
          </cell>
          <cell r="H141">
            <v>42718.928925657143</v>
          </cell>
          <cell r="I141">
            <v>37694.829171049387</v>
          </cell>
          <cell r="J141">
            <v>9645.3775940077576</v>
          </cell>
          <cell r="K141">
            <v>171.56899038210395</v>
          </cell>
          <cell r="L141">
            <v>21136.975693293643</v>
          </cell>
          <cell r="M141">
            <v>2346.7827261982738</v>
          </cell>
          <cell r="N141">
            <v>32358.552348175392</v>
          </cell>
          <cell r="O141">
            <v>3404.4323048288661</v>
          </cell>
          <cell r="P141">
            <v>2050.3623812897167</v>
          </cell>
          <cell r="Q141">
            <v>25661.003899360549</v>
          </cell>
          <cell r="R141">
            <v>49677.203977956029</v>
          </cell>
          <cell r="T141">
            <v>2320.3479418259503</v>
          </cell>
          <cell r="U141">
            <v>15569.669624498685</v>
          </cell>
          <cell r="V141">
            <v>21136.975693293643</v>
          </cell>
          <cell r="X141">
            <v>2618.2786242652433</v>
          </cell>
          <cell r="Z141">
            <v>13571.868836096355</v>
          </cell>
          <cell r="AA141">
            <v>124.28869587301283</v>
          </cell>
          <cell r="AB141">
            <v>141577.01609623161</v>
          </cell>
          <cell r="AC141">
            <v>13447.580140223343</v>
          </cell>
          <cell r="AD141">
            <v>128005.14726013526</v>
          </cell>
        </row>
        <row r="142">
          <cell r="A142" t="str">
            <v>CGI008-qtz12-CL-fit-3-offset</v>
          </cell>
          <cell r="B142">
            <v>750</v>
          </cell>
          <cell r="C142">
            <v>6.6965312637759184E-25</v>
          </cell>
          <cell r="D142">
            <v>1700</v>
          </cell>
          <cell r="E142">
            <v>1024</v>
          </cell>
          <cell r="F142">
            <v>1.66015625</v>
          </cell>
          <cell r="H142">
            <v>338700.03549858305</v>
          </cell>
          <cell r="I142">
            <v>188124.86172876114</v>
          </cell>
          <cell r="J142">
            <v>315588.05941934261</v>
          </cell>
          <cell r="K142">
            <v>322162.78151982545</v>
          </cell>
          <cell r="L142">
            <v>425932.11456774903</v>
          </cell>
          <cell r="M142">
            <v>416988.81603735249</v>
          </cell>
          <cell r="N142">
            <v>388056.67270723352</v>
          </cell>
          <cell r="O142">
            <v>430028.46770810068</v>
          </cell>
          <cell r="P142">
            <v>468693.98754267715</v>
          </cell>
          <cell r="Q142">
            <v>489714.83521597175</v>
          </cell>
          <cell r="R142">
            <v>260120.52450172475</v>
          </cell>
          <cell r="T142">
            <v>381065.66847698099</v>
          </cell>
          <cell r="U142">
            <v>361812.83692008862</v>
          </cell>
          <cell r="V142">
            <v>388056.67270723352</v>
          </cell>
          <cell r="X142">
            <v>369602.02381647512</v>
          </cell>
          <cell r="Z142">
            <v>366426.84410889639</v>
          </cell>
          <cell r="AA142">
            <v>135875.03362925007</v>
          </cell>
          <cell r="AB142">
            <v>645691.60888380872</v>
          </cell>
          <cell r="AC142">
            <v>230551.81047964632</v>
          </cell>
          <cell r="AD142">
            <v>279264.76477491233</v>
          </cell>
        </row>
        <row r="143">
          <cell r="A143" t="str">
            <v>CGI009-qtz01-CL-fit-1-offset</v>
          </cell>
          <cell r="B143">
            <v>750</v>
          </cell>
          <cell r="C143">
            <v>6.6965312637759184E-25</v>
          </cell>
          <cell r="D143">
            <v>1150</v>
          </cell>
          <cell r="E143">
            <v>1024</v>
          </cell>
          <cell r="F143">
            <v>1.123046875</v>
          </cell>
          <cell r="H143">
            <v>27321612.709150683</v>
          </cell>
          <cell r="I143">
            <v>0</v>
          </cell>
          <cell r="J143">
            <v>105975.51647568746</v>
          </cell>
          <cell r="K143">
            <v>56804.985074164353</v>
          </cell>
          <cell r="L143">
            <v>123490.65870324305</v>
          </cell>
          <cell r="M143">
            <v>89587.835543324385</v>
          </cell>
          <cell r="N143">
            <v>139037.64249439171</v>
          </cell>
          <cell r="O143">
            <v>86710.582086454597</v>
          </cell>
          <cell r="P143">
            <v>51269.737908857278</v>
          </cell>
          <cell r="Q143">
            <v>80041.626323713994</v>
          </cell>
          <cell r="R143">
            <v>150292.27822376162</v>
          </cell>
          <cell r="T143">
            <v>114487.3252683335</v>
          </cell>
          <cell r="U143">
            <v>640956.12302203837</v>
          </cell>
          <cell r="V143">
            <v>97609.71817877471</v>
          </cell>
          <cell r="X143">
            <v>104292.6935121268</v>
          </cell>
          <cell r="Z143">
            <v>122016.82461495734</v>
          </cell>
          <cell r="AA143">
            <v>1731.0896392456305</v>
          </cell>
          <cell r="AB143">
            <v>421885.28276880941</v>
          </cell>
          <cell r="AC143">
            <v>120285.7349757117</v>
          </cell>
          <cell r="AD143">
            <v>299868.45815385209</v>
          </cell>
        </row>
        <row r="144">
          <cell r="A144" t="str">
            <v>CGI009-qtz01-CL-fit-2-offset</v>
          </cell>
          <cell r="B144">
            <v>750</v>
          </cell>
          <cell r="C144">
            <v>6.6965312637759184E-25</v>
          </cell>
          <cell r="D144">
            <v>1150</v>
          </cell>
          <cell r="E144">
            <v>1024</v>
          </cell>
          <cell r="F144">
            <v>1.123046875</v>
          </cell>
          <cell r="H144">
            <v>158876.16172592112</v>
          </cell>
          <cell r="I144">
            <v>216396.74825402338</v>
          </cell>
          <cell r="J144">
            <v>227834.37323747409</v>
          </cell>
          <cell r="K144">
            <v>155566.14597989811</v>
          </cell>
          <cell r="L144">
            <v>186512.2342577696</v>
          </cell>
          <cell r="M144">
            <v>227738.23688356878</v>
          </cell>
          <cell r="N144">
            <v>370857.24923837336</v>
          </cell>
          <cell r="O144">
            <v>256093.72008714033</v>
          </cell>
          <cell r="P144">
            <v>130143.27934737912</v>
          </cell>
          <cell r="Q144">
            <v>148846.63986186485</v>
          </cell>
          <cell r="R144">
            <v>198370.88768648516</v>
          </cell>
          <cell r="T144">
            <v>197831.70835674298</v>
          </cell>
          <cell r="U144">
            <v>202630.29545686801</v>
          </cell>
          <cell r="V144">
            <v>198370.88768648516</v>
          </cell>
          <cell r="X144">
            <v>193090.26440411844</v>
          </cell>
          <cell r="Z144">
            <v>193349.76031923873</v>
          </cell>
          <cell r="AA144">
            <v>90625.226127085523</v>
          </cell>
          <cell r="AB144">
            <v>340041.27226161218</v>
          </cell>
          <cell r="AC144">
            <v>102724.53419215321</v>
          </cell>
          <cell r="AD144">
            <v>146691.51194237344</v>
          </cell>
        </row>
        <row r="145">
          <cell r="A145" t="str">
            <v>CGI009-qtz01-CL-fit-3-offset</v>
          </cell>
          <cell r="B145">
            <v>750</v>
          </cell>
          <cell r="C145">
            <v>6.6965312637759184E-25</v>
          </cell>
          <cell r="D145">
            <v>1150</v>
          </cell>
          <cell r="E145">
            <v>1024</v>
          </cell>
          <cell r="F145">
            <v>1.123046875</v>
          </cell>
          <cell r="H145">
            <v>630201.95018184814</v>
          </cell>
          <cell r="I145">
            <v>394944.93401928275</v>
          </cell>
          <cell r="J145">
            <v>803624.08243263664</v>
          </cell>
          <cell r="K145">
            <v>627875.35907665465</v>
          </cell>
          <cell r="L145">
            <v>661110.05934379052</v>
          </cell>
          <cell r="M145">
            <v>938952.3743575773</v>
          </cell>
          <cell r="N145">
            <v>823514.10869451123</v>
          </cell>
          <cell r="O145">
            <v>1337869.8764647408</v>
          </cell>
          <cell r="P145">
            <v>1085877.1895045196</v>
          </cell>
          <cell r="Q145">
            <v>1374132.3093648381</v>
          </cell>
          <cell r="R145">
            <v>1031802.3848560101</v>
          </cell>
          <cell r="T145">
            <v>783024.87940529361</v>
          </cell>
          <cell r="U145">
            <v>857715.60043489677</v>
          </cell>
          <cell r="V145">
            <v>823514.10869451123</v>
          </cell>
          <cell r="X145">
            <v>847019.03700033366</v>
          </cell>
          <cell r="Z145">
            <v>1096441.8719951108</v>
          </cell>
          <cell r="AA145">
            <v>242223.75541249834</v>
          </cell>
          <cell r="AB145">
            <v>2661735.4636911289</v>
          </cell>
          <cell r="AC145">
            <v>854218.11658261239</v>
          </cell>
          <cell r="AD145">
            <v>1565293.5916960181</v>
          </cell>
        </row>
        <row r="146">
          <cell r="A146" t="str">
            <v>CGI009-qtz01-CL-fit-4-offset</v>
          </cell>
          <cell r="B146">
            <v>750</v>
          </cell>
          <cell r="C146">
            <v>6.6965312637759184E-25</v>
          </cell>
          <cell r="D146">
            <v>1150</v>
          </cell>
          <cell r="E146">
            <v>1024</v>
          </cell>
          <cell r="F146">
            <v>1.123046875</v>
          </cell>
          <cell r="H146">
            <v>165098.6115410616</v>
          </cell>
          <cell r="I146">
            <v>92020.609837569747</v>
          </cell>
          <cell r="J146">
            <v>125116.15986810155</v>
          </cell>
          <cell r="K146">
            <v>261475.02493413293</v>
          </cell>
          <cell r="L146">
            <v>244930.14095348524</v>
          </cell>
          <cell r="M146">
            <v>179465.57616409095</v>
          </cell>
          <cell r="N146">
            <v>184196.21204516478</v>
          </cell>
          <cell r="O146">
            <v>90806.732185845583</v>
          </cell>
          <cell r="P146">
            <v>129955.25163585164</v>
          </cell>
          <cell r="Q146">
            <v>138499.60381024005</v>
          </cell>
          <cell r="R146">
            <v>111021.8084856007</v>
          </cell>
          <cell r="T146">
            <v>154753.05958726289</v>
          </cell>
          <cell r="U146">
            <v>152074.78030009678</v>
          </cell>
          <cell r="V146">
            <v>138499.60381024005</v>
          </cell>
          <cell r="X146">
            <v>153705.58466945429</v>
          </cell>
          <cell r="Z146">
            <v>154815.68217305042</v>
          </cell>
          <cell r="AA146">
            <v>65833.04100468503</v>
          </cell>
          <cell r="AB146">
            <v>286374.38945819275</v>
          </cell>
          <cell r="AC146">
            <v>88982.641168365386</v>
          </cell>
          <cell r="AD146">
            <v>131558.70728514233</v>
          </cell>
        </row>
        <row r="147">
          <cell r="A147" t="str">
            <v>CGI009-qtz01-CL-fit-5-offset</v>
          </cell>
          <cell r="B147">
            <v>750</v>
          </cell>
          <cell r="C147">
            <v>6.6965312637759184E-25</v>
          </cell>
          <cell r="D147">
            <v>1150</v>
          </cell>
          <cell r="E147">
            <v>1024</v>
          </cell>
          <cell r="F147">
            <v>1.123046875</v>
          </cell>
          <cell r="H147">
            <v>537744.88012764696</v>
          </cell>
          <cell r="I147">
            <v>488183.06118427217</v>
          </cell>
          <cell r="J147">
            <v>572812.23076817847</v>
          </cell>
          <cell r="K147">
            <v>630703.8291025447</v>
          </cell>
          <cell r="L147">
            <v>520791.52794091537</v>
          </cell>
          <cell r="M147">
            <v>646588.85849415313</v>
          </cell>
          <cell r="N147">
            <v>525623.37108001171</v>
          </cell>
          <cell r="O147">
            <v>599444.99667127198</v>
          </cell>
          <cell r="P147">
            <v>710289.41297167423</v>
          </cell>
          <cell r="Q147">
            <v>562985.50136469852</v>
          </cell>
          <cell r="R147">
            <v>578144.06609441433</v>
          </cell>
          <cell r="T147">
            <v>572241.65767930564</v>
          </cell>
          <cell r="U147">
            <v>577806.71667292959</v>
          </cell>
          <cell r="V147">
            <v>572812.23076817847</v>
          </cell>
          <cell r="X147">
            <v>564524.99097602221</v>
          </cell>
          <cell r="Z147">
            <v>576147.19646137359</v>
          </cell>
          <cell r="AA147">
            <v>410248.19489479129</v>
          </cell>
          <cell r="AB147">
            <v>811345.53804000816</v>
          </cell>
          <cell r="AC147">
            <v>165899.0015665823</v>
          </cell>
          <cell r="AD147">
            <v>235198.34157863457</v>
          </cell>
        </row>
        <row r="148">
          <cell r="A148" t="str">
            <v>CGI009-qtz02-CL-fit-1-offset</v>
          </cell>
          <cell r="B148">
            <v>750</v>
          </cell>
          <cell r="C148">
            <v>6.6965312637759184E-25</v>
          </cell>
          <cell r="D148">
            <v>1750</v>
          </cell>
          <cell r="E148">
            <v>1024</v>
          </cell>
          <cell r="F148">
            <v>1.708984375</v>
          </cell>
          <cell r="H148">
            <v>5015616.4013696611</v>
          </cell>
          <cell r="I148">
            <v>7932473.0551502192</v>
          </cell>
          <cell r="J148">
            <v>6725439.1395337209</v>
          </cell>
          <cell r="K148">
            <v>12368700.347403575</v>
          </cell>
          <cell r="L148">
            <v>9131012.0922490414</v>
          </cell>
          <cell r="M148">
            <v>5677219.3286708053</v>
          </cell>
          <cell r="N148">
            <v>1594404.9577708377</v>
          </cell>
          <cell r="O148">
            <v>2285581.6166481352</v>
          </cell>
          <cell r="P148">
            <v>1520016.3517057989</v>
          </cell>
          <cell r="Q148">
            <v>2633363.5760098156</v>
          </cell>
          <cell r="R148">
            <v>1892548.0503046082</v>
          </cell>
          <cell r="T148">
            <v>4017212.525311213</v>
          </cell>
          <cell r="U148">
            <v>4593850.0855758851</v>
          </cell>
          <cell r="V148">
            <v>5015616.4013696611</v>
          </cell>
          <cell r="X148">
            <v>4216935.6052072085</v>
          </cell>
          <cell r="Z148">
            <v>4515234.2945661424</v>
          </cell>
          <cell r="AA148">
            <v>1537659.8798376424</v>
          </cell>
          <cell r="AB148">
            <v>10564663.599995699</v>
          </cell>
          <cell r="AC148">
            <v>2977574.4147284999</v>
          </cell>
          <cell r="AD148">
            <v>6049429.3054295564</v>
          </cell>
        </row>
        <row r="149">
          <cell r="A149" t="str">
            <v>CGI009-qtz02-CL-fit-2-offset</v>
          </cell>
          <cell r="B149">
            <v>750</v>
          </cell>
          <cell r="C149">
            <v>6.6965312637759184E-25</v>
          </cell>
          <cell r="D149">
            <v>1750</v>
          </cell>
          <cell r="E149">
            <v>1024</v>
          </cell>
          <cell r="F149">
            <v>1.708984375</v>
          </cell>
          <cell r="H149">
            <v>283090.0597111074</v>
          </cell>
          <cell r="I149">
            <v>619463.18858368369</v>
          </cell>
          <cell r="J149">
            <v>128440.61745462891</v>
          </cell>
          <cell r="K149">
            <v>429515.33023731085</v>
          </cell>
          <cell r="L149">
            <v>789872.01966358628</v>
          </cell>
          <cell r="M149">
            <v>590580.98127803276</v>
          </cell>
          <cell r="N149">
            <v>813828.79780690721</v>
          </cell>
          <cell r="O149">
            <v>334235.28173290635</v>
          </cell>
          <cell r="P149">
            <v>615085.74212329183</v>
          </cell>
          <cell r="Q149">
            <v>347328.47349689779</v>
          </cell>
          <cell r="R149">
            <v>437338.58155834867</v>
          </cell>
          <cell r="T149">
            <v>444680.76734574267</v>
          </cell>
          <cell r="U149">
            <v>465534.95559606474</v>
          </cell>
          <cell r="V149">
            <v>437338.58155834867</v>
          </cell>
          <cell r="X149">
            <v>426829.76842820208</v>
          </cell>
          <cell r="Z149">
            <v>456560.93796834705</v>
          </cell>
          <cell r="AA149">
            <v>136380.77192286006</v>
          </cell>
          <cell r="AB149">
            <v>1344577.1742736385</v>
          </cell>
          <cell r="AC149">
            <v>320180.16604548699</v>
          </cell>
          <cell r="AD149">
            <v>888016.23630529153</v>
          </cell>
        </row>
        <row r="150">
          <cell r="A150" t="str">
            <v>CGI009-qtz02-CL-fit-3-offset</v>
          </cell>
          <cell r="B150">
            <v>750</v>
          </cell>
          <cell r="C150">
            <v>6.6965312637759184E-25</v>
          </cell>
          <cell r="D150">
            <v>1750</v>
          </cell>
          <cell r="E150">
            <v>1024</v>
          </cell>
          <cell r="F150">
            <v>1.708984375</v>
          </cell>
          <cell r="H150">
            <v>132504.11173885537</v>
          </cell>
          <cell r="I150">
            <v>140097.93529402532</v>
          </cell>
          <cell r="J150">
            <v>57154.090047590296</v>
          </cell>
          <cell r="K150">
            <v>171454.9278961535</v>
          </cell>
          <cell r="L150">
            <v>190216.07250777804</v>
          </cell>
          <cell r="M150">
            <v>113665.18454924987</v>
          </cell>
          <cell r="N150">
            <v>173781.53990235686</v>
          </cell>
          <cell r="O150">
            <v>129535.71593078895</v>
          </cell>
          <cell r="P150">
            <v>99798.014113050667</v>
          </cell>
          <cell r="Q150">
            <v>74126.563012623505</v>
          </cell>
          <cell r="R150">
            <v>104764.19240016962</v>
          </cell>
          <cell r="T150">
            <v>125427.58650815373</v>
          </cell>
          <cell r="U150">
            <v>122713.49395100026</v>
          </cell>
          <cell r="V150">
            <v>129535.71593078895</v>
          </cell>
          <cell r="X150">
            <v>125364.75778251285</v>
          </cell>
          <cell r="Z150">
            <v>111813.16931329474</v>
          </cell>
          <cell r="AA150">
            <v>1828.8621022339037</v>
          </cell>
          <cell r="AB150">
            <v>277059.66457432025</v>
          </cell>
          <cell r="AC150">
            <v>109984.30721106083</v>
          </cell>
          <cell r="AD150">
            <v>165246.4952610255</v>
          </cell>
        </row>
        <row r="151">
          <cell r="A151" t="str">
            <v>CGI009-qtz03-CL-fit-1-offset</v>
          </cell>
          <cell r="B151">
            <v>750</v>
          </cell>
          <cell r="C151">
            <v>6.6965312637759184E-25</v>
          </cell>
          <cell r="D151">
            <v>1750</v>
          </cell>
          <cell r="E151">
            <v>1024</v>
          </cell>
          <cell r="F151">
            <v>1.708984375</v>
          </cell>
          <cell r="H151">
            <v>669612.70676778548</v>
          </cell>
          <cell r="I151">
            <v>457619.00340756058</v>
          </cell>
          <cell r="J151">
            <v>574885.96534635837</v>
          </cell>
          <cell r="K151">
            <v>443195.32216122816</v>
          </cell>
          <cell r="L151">
            <v>302175.54927567195</v>
          </cell>
          <cell r="M151">
            <v>820885.67293278978</v>
          </cell>
          <cell r="N151">
            <v>424979.69196245552</v>
          </cell>
          <cell r="O151">
            <v>497173.89024069416</v>
          </cell>
          <cell r="P151">
            <v>558568.87353767292</v>
          </cell>
          <cell r="Q151">
            <v>353536.95282624353</v>
          </cell>
          <cell r="R151">
            <v>394273.09489010659</v>
          </cell>
          <cell r="T151">
            <v>478720.52983760444</v>
          </cell>
          <cell r="U151">
            <v>490169.83740224526</v>
          </cell>
          <cell r="V151">
            <v>457619.00340756058</v>
          </cell>
          <cell r="X151">
            <v>478858.38723445387</v>
          </cell>
          <cell r="Z151">
            <v>479547.01505466079</v>
          </cell>
          <cell r="AA151">
            <v>250996.15941995228</v>
          </cell>
          <cell r="AB151">
            <v>744804.8121519126</v>
          </cell>
          <cell r="AC151">
            <v>228550.85563470851</v>
          </cell>
          <cell r="AD151">
            <v>265257.79709725181</v>
          </cell>
        </row>
        <row r="152">
          <cell r="A152" t="str">
            <v>CGI009-qtz03-CL-fit-2-offset</v>
          </cell>
          <cell r="B152">
            <v>750</v>
          </cell>
          <cell r="C152">
            <v>6.6965312637759184E-25</v>
          </cell>
          <cell r="D152">
            <v>1750</v>
          </cell>
          <cell r="E152">
            <v>1024</v>
          </cell>
          <cell r="F152">
            <v>1.708984375</v>
          </cell>
          <cell r="H152">
            <v>507138.13253807608</v>
          </cell>
          <cell r="I152">
            <v>574667.61605155596</v>
          </cell>
          <cell r="J152">
            <v>472350.01839359192</v>
          </cell>
          <cell r="K152">
            <v>261117.27088199966</v>
          </cell>
          <cell r="L152">
            <v>261641.79035587428</v>
          </cell>
          <cell r="M152">
            <v>371952.86952377128</v>
          </cell>
          <cell r="N152">
            <v>359185.97851270519</v>
          </cell>
          <cell r="O152">
            <v>389530.8710331195</v>
          </cell>
          <cell r="P152">
            <v>415492.33692016813</v>
          </cell>
          <cell r="Q152">
            <v>414342.17841444869</v>
          </cell>
          <cell r="R152">
            <v>406319.58498385595</v>
          </cell>
          <cell r="T152">
            <v>400058.28253052779</v>
          </cell>
          <cell r="U152">
            <v>397934.49921798269</v>
          </cell>
          <cell r="V152">
            <v>406319.58498385595</v>
          </cell>
          <cell r="X152">
            <v>392118.71663167502</v>
          </cell>
          <cell r="Z152">
            <v>398184.04537288449</v>
          </cell>
          <cell r="AA152">
            <v>259616.61084749451</v>
          </cell>
          <cell r="AB152">
            <v>579706.63303089852</v>
          </cell>
          <cell r="AC152">
            <v>138567.43452538998</v>
          </cell>
          <cell r="AD152">
            <v>181522.58765801403</v>
          </cell>
        </row>
        <row r="153">
          <cell r="A153" t="str">
            <v>CGI009-qtz03-CL-fit-3-offset</v>
          </cell>
          <cell r="B153">
            <v>750</v>
          </cell>
          <cell r="C153">
            <v>6.6965312637759184E-25</v>
          </cell>
          <cell r="D153">
            <v>1750</v>
          </cell>
          <cell r="E153">
            <v>1024</v>
          </cell>
          <cell r="F153">
            <v>1.708984375</v>
          </cell>
          <cell r="H153">
            <v>284026.08382073179</v>
          </cell>
          <cell r="I153">
            <v>80911.195868904499</v>
          </cell>
          <cell r="J153">
            <v>119566.73543137161</v>
          </cell>
          <cell r="K153">
            <v>178223.14373631688</v>
          </cell>
          <cell r="L153">
            <v>75162.959411266653</v>
          </cell>
          <cell r="M153">
            <v>296057.20657654159</v>
          </cell>
          <cell r="N153">
            <v>239589.26314791667</v>
          </cell>
          <cell r="O153">
            <v>209803.22258156908</v>
          </cell>
          <cell r="P153">
            <v>208258.84422637266</v>
          </cell>
          <cell r="Q153">
            <v>117128.26087531014</v>
          </cell>
          <cell r="R153">
            <v>142623.77701204448</v>
          </cell>
          <cell r="T153">
            <v>160730.55085535938</v>
          </cell>
          <cell r="U153">
            <v>169398.09172316288</v>
          </cell>
          <cell r="V153">
            <v>178223.14373631688</v>
          </cell>
          <cell r="X153">
            <v>162915.54936317782</v>
          </cell>
          <cell r="Z153">
            <v>159752.44157366024</v>
          </cell>
          <cell r="AA153">
            <v>50177.348264343767</v>
          </cell>
          <cell r="AB153">
            <v>316252.10579281929</v>
          </cell>
          <cell r="AC153">
            <v>109575.09330931646</v>
          </cell>
          <cell r="AD153">
            <v>156499.66421915905</v>
          </cell>
        </row>
        <row r="154">
          <cell r="A154" t="str">
            <v>CGI009-qtz03-CL-fit-4-offset</v>
          </cell>
          <cell r="B154">
            <v>750</v>
          </cell>
          <cell r="C154">
            <v>6.6965312637759184E-25</v>
          </cell>
          <cell r="D154">
            <v>1750</v>
          </cell>
          <cell r="E154">
            <v>1024</v>
          </cell>
          <cell r="F154">
            <v>1.708984375</v>
          </cell>
          <cell r="H154">
            <v>163797.89013146132</v>
          </cell>
          <cell r="I154">
            <v>185543.41094777014</v>
          </cell>
          <cell r="J154">
            <v>184811.07398310726</v>
          </cell>
          <cell r="K154">
            <v>268228.51371135534</v>
          </cell>
          <cell r="L154">
            <v>152880.70200160865</v>
          </cell>
          <cell r="M154">
            <v>166778.98067513443</v>
          </cell>
          <cell r="N154">
            <v>217654.33058969444</v>
          </cell>
          <cell r="O154">
            <v>220699.58010375249</v>
          </cell>
          <cell r="P154">
            <v>221462.16430506977</v>
          </cell>
          <cell r="Q154">
            <v>182502.35670040274</v>
          </cell>
          <cell r="R154">
            <v>175018.01616060743</v>
          </cell>
          <cell r="T154">
            <v>198262.38239865852</v>
          </cell>
          <cell r="U154">
            <v>193210.60837542778</v>
          </cell>
          <cell r="V154">
            <v>184811.07398310726</v>
          </cell>
          <cell r="X154">
            <v>195658.86994005513</v>
          </cell>
          <cell r="Z154">
            <v>194668.90192230049</v>
          </cell>
          <cell r="AA154">
            <v>99944.354548839183</v>
          </cell>
          <cell r="AB154">
            <v>326926.2425176641</v>
          </cell>
          <cell r="AC154">
            <v>94724.547373461304</v>
          </cell>
          <cell r="AD154">
            <v>132257.34059536361</v>
          </cell>
        </row>
        <row r="155">
          <cell r="A155" t="str">
            <v>CGI009-qtz03-CL-fit-5-offset</v>
          </cell>
          <cell r="B155">
            <v>750</v>
          </cell>
          <cell r="C155">
            <v>6.6965312637759184E-25</v>
          </cell>
          <cell r="D155">
            <v>1750</v>
          </cell>
          <cell r="E155">
            <v>1024</v>
          </cell>
          <cell r="F155">
            <v>1.708984375</v>
          </cell>
          <cell r="H155">
            <v>449152.17109352804</v>
          </cell>
          <cell r="I155">
            <v>448842.82792728872</v>
          </cell>
          <cell r="J155">
            <v>765037.17095370649</v>
          </cell>
          <cell r="K155">
            <v>226974.93380312689</v>
          </cell>
          <cell r="L155">
            <v>712212.05009713722</v>
          </cell>
          <cell r="M155">
            <v>400486.07307621144</v>
          </cell>
          <cell r="N155">
            <v>604380.29875726206</v>
          </cell>
          <cell r="O155">
            <v>977442.98354623117</v>
          </cell>
          <cell r="P155">
            <v>579572.20715938276</v>
          </cell>
          <cell r="Q155">
            <v>276293.55265380564</v>
          </cell>
          <cell r="R155">
            <v>730151.65373516025</v>
          </cell>
          <cell r="T155">
            <v>531642.3163814724</v>
          </cell>
          <cell r="U155">
            <v>538955.22017620143</v>
          </cell>
          <cell r="V155">
            <v>579572.20715938276</v>
          </cell>
          <cell r="X155">
            <v>536534.45737105259</v>
          </cell>
          <cell r="Z155">
            <v>537729.90289803001</v>
          </cell>
          <cell r="AA155">
            <v>111410.97850822448</v>
          </cell>
          <cell r="AB155">
            <v>1113032.9259599347</v>
          </cell>
          <cell r="AC155">
            <v>426318.92438980553</v>
          </cell>
          <cell r="AD155">
            <v>575303.02306190471</v>
          </cell>
        </row>
        <row r="156">
          <cell r="A156" t="str">
            <v>CGI009-qtz04-CL-fit-1-offset</v>
          </cell>
          <cell r="B156">
            <v>750</v>
          </cell>
          <cell r="C156">
            <v>6.6965312637759184E-25</v>
          </cell>
          <cell r="D156">
            <v>1400</v>
          </cell>
          <cell r="E156">
            <v>1024</v>
          </cell>
          <cell r="F156">
            <v>1.3671875</v>
          </cell>
          <cell r="H156">
            <v>309348.27071136457</v>
          </cell>
          <cell r="I156">
            <v>369762.13913970004</v>
          </cell>
          <cell r="J156">
            <v>626866.67911646306</v>
          </cell>
          <cell r="K156">
            <v>496056.97471272235</v>
          </cell>
          <cell r="L156">
            <v>254092.10941307532</v>
          </cell>
          <cell r="M156">
            <v>595210.14236738987</v>
          </cell>
          <cell r="N156">
            <v>901121.4219650788</v>
          </cell>
          <cell r="O156">
            <v>589930.04593885422</v>
          </cell>
          <cell r="P156">
            <v>737088.40626423853</v>
          </cell>
          <cell r="Q156">
            <v>1011349.2515356794</v>
          </cell>
          <cell r="R156">
            <v>571350.81410002022</v>
          </cell>
          <cell r="T156">
            <v>562712.27517714933</v>
          </cell>
          <cell r="U156">
            <v>565685.28650489869</v>
          </cell>
          <cell r="V156">
            <v>589930.04593885422</v>
          </cell>
          <cell r="X156">
            <v>554053.9575211535</v>
          </cell>
          <cell r="Z156">
            <v>554169.67349664343</v>
          </cell>
          <cell r="AA156">
            <v>202560.87860413213</v>
          </cell>
          <cell r="AB156">
            <v>1172518.7690036378</v>
          </cell>
          <cell r="AC156">
            <v>351608.79489251133</v>
          </cell>
          <cell r="AD156">
            <v>618349.0955069944</v>
          </cell>
        </row>
        <row r="157">
          <cell r="A157" t="str">
            <v>CGI009-qtz04-CL-fit-2-offset</v>
          </cell>
          <cell r="B157">
            <v>750</v>
          </cell>
          <cell r="C157">
            <v>6.6965312637759184E-25</v>
          </cell>
          <cell r="D157">
            <v>1400</v>
          </cell>
          <cell r="E157">
            <v>1024</v>
          </cell>
          <cell r="F157">
            <v>1.3671875</v>
          </cell>
          <cell r="H157">
            <v>415769.05403724348</v>
          </cell>
          <cell r="I157">
            <v>468599.54605717061</v>
          </cell>
          <cell r="J157">
            <v>234110.36951969523</v>
          </cell>
          <cell r="K157">
            <v>199317.36990410226</v>
          </cell>
          <cell r="L157">
            <v>230363.54770515347</v>
          </cell>
          <cell r="M157">
            <v>298055.61398583162</v>
          </cell>
          <cell r="N157">
            <v>346725.26518797799</v>
          </cell>
          <cell r="O157">
            <v>343574.91794044874</v>
          </cell>
          <cell r="P157">
            <v>560650.62210644817</v>
          </cell>
          <cell r="Q157">
            <v>114201.25279653285</v>
          </cell>
          <cell r="R157">
            <v>817365.72832194064</v>
          </cell>
          <cell r="T157">
            <v>351220.06972310611</v>
          </cell>
          <cell r="U157">
            <v>343963.37190303096</v>
          </cell>
          <cell r="V157">
            <v>343574.91794044874</v>
          </cell>
          <cell r="X157">
            <v>374703.15087153768</v>
          </cell>
          <cell r="Z157">
            <v>371019.45455223648</v>
          </cell>
          <cell r="AA157">
            <v>75421.911890418502</v>
          </cell>
          <cell r="AB157">
            <v>998257.22981959861</v>
          </cell>
          <cell r="AC157">
            <v>295597.54266181798</v>
          </cell>
          <cell r="AD157">
            <v>627237.77526736213</v>
          </cell>
        </row>
        <row r="158">
          <cell r="A158" t="str">
            <v>CGI009-qtz04-CL-fit-3-offset</v>
          </cell>
          <cell r="B158">
            <v>750</v>
          </cell>
          <cell r="C158">
            <v>6.6965312637759184E-25</v>
          </cell>
          <cell r="D158">
            <v>1400</v>
          </cell>
          <cell r="E158">
            <v>1024</v>
          </cell>
          <cell r="F158">
            <v>1.3671875</v>
          </cell>
          <cell r="H158">
            <v>222317.89635469424</v>
          </cell>
          <cell r="I158">
            <v>645821.63085310406</v>
          </cell>
          <cell r="J158">
            <v>243011.61595596635</v>
          </cell>
          <cell r="K158">
            <v>80342.185922198274</v>
          </cell>
          <cell r="L158">
            <v>1236.7856209353338</v>
          </cell>
          <cell r="M158">
            <v>95294.270938105154</v>
          </cell>
          <cell r="N158">
            <v>21094.813565236145</v>
          </cell>
          <cell r="O158">
            <v>604182.46795641538</v>
          </cell>
          <cell r="P158">
            <v>209354.05513719303</v>
          </cell>
          <cell r="Q158">
            <v>17374.08330548268</v>
          </cell>
          <cell r="R158">
            <v>274637.59545899613</v>
          </cell>
          <cell r="T158">
            <v>145731.75563152716</v>
          </cell>
          <cell r="U158">
            <v>162289.22699827069</v>
          </cell>
          <cell r="V158">
            <v>209354.05513719303</v>
          </cell>
          <cell r="X158">
            <v>136868.01539664803</v>
          </cell>
          <cell r="Z158">
            <v>189127.56421466518</v>
          </cell>
          <cell r="AA158">
            <v>1336.467412708779</v>
          </cell>
          <cell r="AB158">
            <v>1709933.6358291472</v>
          </cell>
          <cell r="AC158">
            <v>187791.09680195639</v>
          </cell>
          <cell r="AD158">
            <v>1520806.071614482</v>
          </cell>
        </row>
        <row r="159">
          <cell r="A159" t="str">
            <v>CGI009-qtz04-CL-fit-4-offset</v>
          </cell>
          <cell r="B159">
            <v>750</v>
          </cell>
          <cell r="C159">
            <v>6.6965312637759184E-25</v>
          </cell>
          <cell r="D159">
            <v>1400</v>
          </cell>
          <cell r="E159">
            <v>1024</v>
          </cell>
          <cell r="F159">
            <v>1.3671875</v>
          </cell>
          <cell r="H159">
            <v>115031.00379095982</v>
          </cell>
          <cell r="I159">
            <v>67939.588980726621</v>
          </cell>
          <cell r="J159">
            <v>59802.645442083885</v>
          </cell>
          <cell r="K159">
            <v>105261.93953093421</v>
          </cell>
          <cell r="L159">
            <v>47448.533729940093</v>
          </cell>
          <cell r="M159">
            <v>55308.997890487713</v>
          </cell>
          <cell r="N159">
            <v>52642.84081183849</v>
          </cell>
          <cell r="O159">
            <v>124755.8741462828</v>
          </cell>
          <cell r="P159">
            <v>48062.244404252306</v>
          </cell>
          <cell r="Q159">
            <v>98119.799059400757</v>
          </cell>
          <cell r="R159">
            <v>100003.19086513334</v>
          </cell>
          <cell r="T159">
            <v>82555.314916523712</v>
          </cell>
          <cell r="U159">
            <v>77039.533106589559</v>
          </cell>
          <cell r="V159">
            <v>67939.588980726621</v>
          </cell>
          <cell r="X159">
            <v>79320.690091133583</v>
          </cell>
          <cell r="Z159">
            <v>78624.061667248228</v>
          </cell>
          <cell r="AA159">
            <v>18988.747511616461</v>
          </cell>
          <cell r="AB159">
            <v>196503.33639845075</v>
          </cell>
          <cell r="AC159">
            <v>59635.314155631771</v>
          </cell>
          <cell r="AD159">
            <v>117879.27473120252</v>
          </cell>
        </row>
        <row r="160">
          <cell r="A160" t="str">
            <v>CGI009-qtz05-CL-fit-1-offset</v>
          </cell>
          <cell r="B160">
            <v>750</v>
          </cell>
          <cell r="C160">
            <v>6.6965312637759184E-25</v>
          </cell>
          <cell r="D160">
            <v>1500</v>
          </cell>
          <cell r="E160">
            <v>1024</v>
          </cell>
          <cell r="F160">
            <v>1.46484375</v>
          </cell>
          <cell r="H160">
            <v>672912.46519461402</v>
          </cell>
          <cell r="I160">
            <v>552084.09868874459</v>
          </cell>
          <cell r="J160">
            <v>654101.21399580152</v>
          </cell>
          <cell r="K160">
            <v>322222.01823921001</v>
          </cell>
          <cell r="L160">
            <v>610417.10180968395</v>
          </cell>
          <cell r="M160">
            <v>530251.26672999107</v>
          </cell>
          <cell r="N160">
            <v>334845.46331755049</v>
          </cell>
          <cell r="O160">
            <v>294203.03458714264</v>
          </cell>
          <cell r="P160">
            <v>818578.81248646835</v>
          </cell>
          <cell r="Q160">
            <v>297961.83982018958</v>
          </cell>
          <cell r="R160">
            <v>422772.06820104847</v>
          </cell>
          <cell r="T160">
            <v>478702.47406166833</v>
          </cell>
          <cell r="U160">
            <v>486329.67172176478</v>
          </cell>
          <cell r="V160">
            <v>530251.26672999107</v>
          </cell>
          <cell r="X160">
            <v>472326.7036486374</v>
          </cell>
          <cell r="Z160">
            <v>481590.10666376934</v>
          </cell>
          <cell r="AA160">
            <v>218888.36320866772</v>
          </cell>
          <cell r="AB160">
            <v>976041.85744464956</v>
          </cell>
          <cell r="AC160">
            <v>262701.74345510162</v>
          </cell>
          <cell r="AD160">
            <v>494451.75078088022</v>
          </cell>
        </row>
        <row r="161">
          <cell r="A161" t="str">
            <v>CGI009-qtz05-CL-fit-2-offset</v>
          </cell>
          <cell r="B161">
            <v>750</v>
          </cell>
          <cell r="C161">
            <v>6.6965312637759184E-25</v>
          </cell>
          <cell r="D161">
            <v>1500</v>
          </cell>
          <cell r="E161">
            <v>1024</v>
          </cell>
          <cell r="F161">
            <v>1.46484375</v>
          </cell>
          <cell r="H161">
            <v>426756.94832774799</v>
          </cell>
          <cell r="I161">
            <v>693218.36703600106</v>
          </cell>
          <cell r="J161">
            <v>739459.45966403815</v>
          </cell>
          <cell r="K161">
            <v>413794.92182771594</v>
          </cell>
          <cell r="L161">
            <v>566392.85885421734</v>
          </cell>
          <cell r="M161">
            <v>246548.99270449032</v>
          </cell>
          <cell r="N161">
            <v>258578.99526988412</v>
          </cell>
          <cell r="O161">
            <v>229964.21643542903</v>
          </cell>
          <cell r="P161">
            <v>334336.92685042764</v>
          </cell>
          <cell r="Q161">
            <v>476186.3313507131</v>
          </cell>
          <cell r="R161">
            <v>449337.85353595892</v>
          </cell>
          <cell r="T161">
            <v>438073.58212197747</v>
          </cell>
          <cell r="U161">
            <v>424255.54099656496</v>
          </cell>
          <cell r="V161">
            <v>426756.94832774799</v>
          </cell>
          <cell r="X161">
            <v>415685.99800613406</v>
          </cell>
          <cell r="Z161">
            <v>423665.75836126361</v>
          </cell>
          <cell r="AA161">
            <v>219628.29973827169</v>
          </cell>
          <cell r="AB161">
            <v>810946.17110353208</v>
          </cell>
          <cell r="AC161">
            <v>204037.45862299192</v>
          </cell>
          <cell r="AD161">
            <v>387280.41274226847</v>
          </cell>
        </row>
        <row r="162">
          <cell r="A162" t="str">
            <v>CGI009-qtz05-CL-fit-3-offset</v>
          </cell>
          <cell r="B162">
            <v>750</v>
          </cell>
          <cell r="C162">
            <v>6.6965312637759184E-25</v>
          </cell>
          <cell r="D162">
            <v>1500</v>
          </cell>
          <cell r="E162">
            <v>1024</v>
          </cell>
          <cell r="F162">
            <v>1.46484375</v>
          </cell>
          <cell r="H162">
            <v>0</v>
          </cell>
          <cell r="I162">
            <v>359068.05538136326</v>
          </cell>
          <cell r="J162">
            <v>377022.08860223391</v>
          </cell>
          <cell r="K162">
            <v>321488.79905192356</v>
          </cell>
          <cell r="L162">
            <v>196019.87022285481</v>
          </cell>
          <cell r="M162">
            <v>461847.15131110389</v>
          </cell>
          <cell r="N162">
            <v>405144.30051195424</v>
          </cell>
          <cell r="O162">
            <v>480354.05031482549</v>
          </cell>
          <cell r="P162">
            <v>133177.05032073191</v>
          </cell>
          <cell r="Q162">
            <v>268039.76544994465</v>
          </cell>
          <cell r="R162">
            <v>548946.42921635986</v>
          </cell>
          <cell r="T162">
            <v>396008.58227997919</v>
          </cell>
          <cell r="U162">
            <v>342896.08434571413</v>
          </cell>
          <cell r="V162">
            <v>367990.32406640903</v>
          </cell>
          <cell r="X162">
            <v>343722.42983420717</v>
          </cell>
          <cell r="Z162">
            <v>329256.24059156381</v>
          </cell>
          <cell r="AA162">
            <v>109191.20028437646</v>
          </cell>
          <cell r="AB162">
            <v>620231.70659169683</v>
          </cell>
          <cell r="AC162">
            <v>220065.04030718736</v>
          </cell>
          <cell r="AD162">
            <v>290975.46600013302</v>
          </cell>
        </row>
        <row r="163">
          <cell r="A163" t="str">
            <v>CGI009-qtz05-CL-fit-4-offset</v>
          </cell>
          <cell r="B163">
            <v>750</v>
          </cell>
          <cell r="C163">
            <v>6.6965312637759184E-25</v>
          </cell>
          <cell r="D163">
            <v>1500</v>
          </cell>
          <cell r="E163">
            <v>1024</v>
          </cell>
          <cell r="F163">
            <v>1.46484375</v>
          </cell>
          <cell r="H163">
            <v>244410.56176142392</v>
          </cell>
          <cell r="I163">
            <v>76147.196330186183</v>
          </cell>
          <cell r="J163">
            <v>121805.562154126</v>
          </cell>
          <cell r="K163">
            <v>350.63387302397319</v>
          </cell>
          <cell r="L163">
            <v>19947.444849031435</v>
          </cell>
          <cell r="M163">
            <v>30.764912211234098</v>
          </cell>
          <cell r="N163">
            <v>97197.050006976235</v>
          </cell>
          <cell r="O163">
            <v>18104.214600000658</v>
          </cell>
          <cell r="P163">
            <v>82632.603078863263</v>
          </cell>
          <cell r="Q163">
            <v>1474.4281534172699</v>
          </cell>
          <cell r="R163">
            <v>1642.484132114145</v>
          </cell>
          <cell r="T163">
            <v>76844.557438337055</v>
          </cell>
          <cell r="U163">
            <v>36360.998656743082</v>
          </cell>
          <cell r="V163">
            <v>19947.444849031435</v>
          </cell>
          <cell r="X163">
            <v>58314.146077806094</v>
          </cell>
          <cell r="Z163">
            <v>57775.517785876829</v>
          </cell>
          <cell r="AA163">
            <v>17.064814056301785</v>
          </cell>
          <cell r="AB163">
            <v>409628.98376122065</v>
          </cell>
          <cell r="AC163">
            <v>57758.45297182053</v>
          </cell>
          <cell r="AD163">
            <v>351853.46597534383</v>
          </cell>
        </row>
        <row r="164">
          <cell r="A164" t="str">
            <v>CGI009-qtz05-CL-fit-5-offset</v>
          </cell>
          <cell r="B164">
            <v>750</v>
          </cell>
          <cell r="C164">
            <v>6.6965312637759184E-25</v>
          </cell>
          <cell r="D164">
            <v>1500</v>
          </cell>
          <cell r="E164">
            <v>1024</v>
          </cell>
          <cell r="F164">
            <v>1.46484375</v>
          </cell>
          <cell r="H164">
            <v>8468.2947075818411</v>
          </cell>
          <cell r="I164">
            <v>142769.64061564917</v>
          </cell>
          <cell r="J164">
            <v>48503.706413669242</v>
          </cell>
          <cell r="K164">
            <v>223776.76502019545</v>
          </cell>
          <cell r="L164">
            <v>119914.028793323</v>
          </cell>
          <cell r="M164">
            <v>100064.8866516237</v>
          </cell>
          <cell r="N164">
            <v>173098.65460255259</v>
          </cell>
          <cell r="O164">
            <v>468444.16160977416</v>
          </cell>
          <cell r="P164">
            <v>0</v>
          </cell>
          <cell r="Q164">
            <v>3305.0536970878707</v>
          </cell>
          <cell r="R164">
            <v>105771.86055240937</v>
          </cell>
          <cell r="T164">
            <v>158731.60995962593</v>
          </cell>
          <cell r="U164">
            <v>109492.89222447263</v>
          </cell>
          <cell r="V164">
            <v>112732.06177528764</v>
          </cell>
          <cell r="X164">
            <v>114933.8723491764</v>
          </cell>
          <cell r="Z164">
            <v>112380.65142145532</v>
          </cell>
          <cell r="AA164">
            <v>2458.9540258090919</v>
          </cell>
          <cell r="AB164">
            <v>495564.55795846437</v>
          </cell>
          <cell r="AC164">
            <v>109921.69739564623</v>
          </cell>
          <cell r="AD164">
            <v>383183.90653700905</v>
          </cell>
        </row>
        <row r="165">
          <cell r="A165" t="str">
            <v>CGI009-qtz06-CL-fit-1-offset</v>
          </cell>
          <cell r="B165">
            <v>750</v>
          </cell>
          <cell r="C165">
            <v>6.6965312637759184E-25</v>
          </cell>
          <cell r="D165">
            <v>2000</v>
          </cell>
          <cell r="E165">
            <v>1024</v>
          </cell>
          <cell r="F165">
            <v>1.953125</v>
          </cell>
          <cell r="H165">
            <v>1159042.6531823331</v>
          </cell>
          <cell r="I165">
            <v>1333981.1964512102</v>
          </cell>
          <cell r="J165">
            <v>1620802.7956427126</v>
          </cell>
          <cell r="K165">
            <v>1011849.3768908908</v>
          </cell>
          <cell r="L165">
            <v>0</v>
          </cell>
          <cell r="M165">
            <v>518595.34218156681</v>
          </cell>
          <cell r="N165">
            <v>76237.585614598021</v>
          </cell>
          <cell r="O165">
            <v>0</v>
          </cell>
          <cell r="P165">
            <v>689221.76091509999</v>
          </cell>
          <cell r="Q165">
            <v>1002520.5556156813</v>
          </cell>
          <cell r="R165">
            <v>3212.5199618152674</v>
          </cell>
          <cell r="T165">
            <v>1408238.44503075</v>
          </cell>
          <cell r="U165">
            <v>675129.50545801071</v>
          </cell>
          <cell r="V165">
            <v>1002520.5556156813</v>
          </cell>
          <cell r="X165">
            <v>1068483.567033431</v>
          </cell>
          <cell r="Z165">
            <v>1661181.9552740334</v>
          </cell>
          <cell r="AA165">
            <v>10.069572621723365</v>
          </cell>
          <cell r="AB165">
            <v>15498433.294537978</v>
          </cell>
          <cell r="AC165">
            <v>1661171.8857014116</v>
          </cell>
          <cell r="AD165">
            <v>13837251.339263946</v>
          </cell>
        </row>
        <row r="166">
          <cell r="A166" t="str">
            <v>CGI009-qtz06-CL-fit-2-offset</v>
          </cell>
          <cell r="B166">
            <v>750</v>
          </cell>
          <cell r="C166">
            <v>6.6965312637759184E-25</v>
          </cell>
          <cell r="D166">
            <v>2000</v>
          </cell>
          <cell r="E166">
            <v>1024</v>
          </cell>
          <cell r="F166">
            <v>1.953125</v>
          </cell>
          <cell r="H166">
            <v>136247.97632341995</v>
          </cell>
          <cell r="I166">
            <v>150762.75840320007</v>
          </cell>
          <cell r="J166">
            <v>41888.315193573064</v>
          </cell>
          <cell r="K166">
            <v>1725190.3691856544</v>
          </cell>
          <cell r="L166">
            <v>786344.8078756904</v>
          </cell>
          <cell r="M166">
            <v>855142.03056382958</v>
          </cell>
          <cell r="N166">
            <v>567676.94905784132</v>
          </cell>
          <cell r="O166">
            <v>573554.23318445042</v>
          </cell>
          <cell r="P166">
            <v>871950.731710564</v>
          </cell>
          <cell r="Q166">
            <v>94586.789424221934</v>
          </cell>
          <cell r="R166">
            <v>298035.07113283029</v>
          </cell>
          <cell r="T166">
            <v>502685.92281591345</v>
          </cell>
          <cell r="U166">
            <v>450737.2315364948</v>
          </cell>
          <cell r="V166">
            <v>567676.94905784132</v>
          </cell>
          <cell r="X166">
            <v>498699.88051486772</v>
          </cell>
          <cell r="Z166">
            <v>475825.41895741539</v>
          </cell>
          <cell r="AA166">
            <v>65334.07644389294</v>
          </cell>
          <cell r="AB166">
            <v>1331490.0413839177</v>
          </cell>
          <cell r="AC166">
            <v>410491.34251352242</v>
          </cell>
          <cell r="AD166">
            <v>855664.62242650229</v>
          </cell>
        </row>
        <row r="167">
          <cell r="A167" t="str">
            <v>CGI009-qtz06-CL-fit-3-offset</v>
          </cell>
          <cell r="B167">
            <v>750</v>
          </cell>
          <cell r="C167">
            <v>6.6965312637759184E-25</v>
          </cell>
          <cell r="D167">
            <v>2000</v>
          </cell>
          <cell r="E167">
            <v>1024</v>
          </cell>
          <cell r="F167">
            <v>1.953125</v>
          </cell>
          <cell r="H167">
            <v>730423.90947211569</v>
          </cell>
          <cell r="I167">
            <v>429454.85470782104</v>
          </cell>
          <cell r="J167">
            <v>668742.22126401064</v>
          </cell>
          <cell r="K167">
            <v>225877.30128503518</v>
          </cell>
          <cell r="L167">
            <v>463848.92269502155</v>
          </cell>
          <cell r="M167">
            <v>295168.2753057619</v>
          </cell>
          <cell r="N167">
            <v>1219710.4905569088</v>
          </cell>
          <cell r="O167">
            <v>571844.03053121862</v>
          </cell>
          <cell r="P167">
            <v>561591.0664633133</v>
          </cell>
          <cell r="Q167">
            <v>490935.77539223142</v>
          </cell>
          <cell r="R167">
            <v>798348.41644568136</v>
          </cell>
          <cell r="T167">
            <v>562453.27466381376</v>
          </cell>
          <cell r="U167">
            <v>559985.69555199193</v>
          </cell>
          <cell r="V167">
            <v>561591.0664633133</v>
          </cell>
          <cell r="X167">
            <v>576670.6636809312</v>
          </cell>
          <cell r="Z167">
            <v>586146.63657582109</v>
          </cell>
          <cell r="AA167">
            <v>148538.9518378317</v>
          </cell>
          <cell r="AB167">
            <v>1488978.5263416918</v>
          </cell>
          <cell r="AC167">
            <v>437607.68473798939</v>
          </cell>
          <cell r="AD167">
            <v>902831.88976587076</v>
          </cell>
        </row>
        <row r="168">
          <cell r="A168" t="str">
            <v>CGI009-qtz06-CL-fit-4-offset</v>
          </cell>
          <cell r="B168">
            <v>750</v>
          </cell>
          <cell r="C168">
            <v>6.6965312637759184E-25</v>
          </cell>
          <cell r="D168">
            <v>2000</v>
          </cell>
          <cell r="E168">
            <v>1024</v>
          </cell>
          <cell r="F168">
            <v>1.953125</v>
          </cell>
          <cell r="H168">
            <v>135715.193405306</v>
          </cell>
          <cell r="I168">
            <v>61214.712677663687</v>
          </cell>
          <cell r="J168">
            <v>1343.5607085433246</v>
          </cell>
          <cell r="K168">
            <v>116227.82922911001</v>
          </cell>
          <cell r="L168">
            <v>70437.417488586711</v>
          </cell>
          <cell r="M168">
            <v>91941.492074257665</v>
          </cell>
          <cell r="N168">
            <v>4676.3202761909251</v>
          </cell>
          <cell r="O168">
            <v>98827.464061416351</v>
          </cell>
          <cell r="P168">
            <v>743054.36693886539</v>
          </cell>
          <cell r="Q168">
            <v>2748.0376122703274</v>
          </cell>
          <cell r="R168">
            <v>264530.88558453874</v>
          </cell>
          <cell r="T168">
            <v>87487.458208295575</v>
          </cell>
          <cell r="U168">
            <v>94054.438536641595</v>
          </cell>
          <cell r="V168">
            <v>91941.492074257665</v>
          </cell>
          <cell r="X168">
            <v>63444.260738869736</v>
          </cell>
          <cell r="Z168">
            <v>93227.219323644589</v>
          </cell>
          <cell r="AA168">
            <v>20.40921164699202</v>
          </cell>
          <cell r="AB168">
            <v>1249490.0747519839</v>
          </cell>
          <cell r="AC168">
            <v>93206.810111997591</v>
          </cell>
          <cell r="AD168">
            <v>1156262.8554283392</v>
          </cell>
        </row>
        <row r="169">
          <cell r="A169" t="str">
            <v>CGI009-qtz06-CL-fit-5-offset</v>
          </cell>
          <cell r="B169">
            <v>750</v>
          </cell>
          <cell r="C169">
            <v>6.6965312637759184E-25</v>
          </cell>
          <cell r="D169">
            <v>2000</v>
          </cell>
          <cell r="E169">
            <v>1024</v>
          </cell>
          <cell r="F169">
            <v>1.953125</v>
          </cell>
          <cell r="H169">
            <v>169226.32139481819</v>
          </cell>
          <cell r="I169">
            <v>376090.72203237639</v>
          </cell>
          <cell r="J169">
            <v>178280.01569208509</v>
          </cell>
          <cell r="K169">
            <v>333685.98217575788</v>
          </cell>
          <cell r="L169">
            <v>140712.31148812556</v>
          </cell>
          <cell r="M169">
            <v>265194.12899809697</v>
          </cell>
          <cell r="N169">
            <v>209738.57111259809</v>
          </cell>
          <cell r="O169">
            <v>375918.39253363543</v>
          </cell>
          <cell r="P169">
            <v>158671.89034035307</v>
          </cell>
          <cell r="Q169">
            <v>296332.79065788334</v>
          </cell>
          <cell r="R169">
            <v>196038.17419908231</v>
          </cell>
          <cell r="T169">
            <v>249014.27919370314</v>
          </cell>
          <cell r="U169">
            <v>238424.89303097027</v>
          </cell>
          <cell r="V169">
            <v>209738.57111259809</v>
          </cell>
          <cell r="X169">
            <v>228477.82015757711</v>
          </cell>
          <cell r="Z169">
            <v>230347.15676576394</v>
          </cell>
          <cell r="AA169">
            <v>69837.755239468461</v>
          </cell>
          <cell r="AB169">
            <v>490478.71869215957</v>
          </cell>
          <cell r="AC169">
            <v>160509.40152629546</v>
          </cell>
          <cell r="AD169">
            <v>260131.56192639563</v>
          </cell>
        </row>
        <row r="170">
          <cell r="A170" t="str">
            <v>CGI009-qtz07-CL-fit-1-offset</v>
          </cell>
          <cell r="B170">
            <v>750</v>
          </cell>
          <cell r="C170">
            <v>6.6965312637759184E-25</v>
          </cell>
          <cell r="D170">
            <v>1200</v>
          </cell>
          <cell r="E170">
            <v>1024</v>
          </cell>
          <cell r="F170">
            <v>1.171875</v>
          </cell>
          <cell r="H170">
            <v>325903.08601045911</v>
          </cell>
          <cell r="I170">
            <v>127988.93333459638</v>
          </cell>
          <cell r="J170">
            <v>225361.95032392605</v>
          </cell>
          <cell r="K170">
            <v>145365.60441200982</v>
          </cell>
          <cell r="L170">
            <v>177041.63870172703</v>
          </cell>
          <cell r="M170">
            <v>113465.04428965317</v>
          </cell>
          <cell r="N170">
            <v>216428.92976971349</v>
          </cell>
          <cell r="O170">
            <v>297809.27747965255</v>
          </cell>
          <cell r="P170">
            <v>186684.31880752812</v>
          </cell>
          <cell r="Q170">
            <v>272803.27854054549</v>
          </cell>
          <cell r="R170">
            <v>335942.23094216269</v>
          </cell>
          <cell r="T170">
            <v>218895.19819786507</v>
          </cell>
          <cell r="U170">
            <v>213877.15667439546</v>
          </cell>
          <cell r="V170">
            <v>216428.92976971349</v>
          </cell>
          <cell r="X170">
            <v>211119.48947670677</v>
          </cell>
          <cell r="Z170">
            <v>222878.31297760777</v>
          </cell>
          <cell r="AA170">
            <v>66357.297938129079</v>
          </cell>
          <cell r="AB170">
            <v>539331.26009483205</v>
          </cell>
          <cell r="AC170">
            <v>156521.01503947869</v>
          </cell>
          <cell r="AD170">
            <v>316452.94711722428</v>
          </cell>
        </row>
        <row r="171">
          <cell r="A171" t="str">
            <v>CGI009-qtz07-CL-fit-2-offset</v>
          </cell>
          <cell r="B171">
            <v>750</v>
          </cell>
          <cell r="C171">
            <v>6.6965312637759184E-25</v>
          </cell>
          <cell r="D171">
            <v>1200</v>
          </cell>
          <cell r="E171">
            <v>1024</v>
          </cell>
          <cell r="F171">
            <v>1.171875</v>
          </cell>
          <cell r="H171">
            <v>30607.41268228336</v>
          </cell>
          <cell r="I171">
            <v>24407.944301686515</v>
          </cell>
          <cell r="J171">
            <v>10933.441619048503</v>
          </cell>
          <cell r="K171">
            <v>673.31713887432534</v>
          </cell>
          <cell r="L171">
            <v>10963.340299310077</v>
          </cell>
          <cell r="M171">
            <v>53655.370462174134</v>
          </cell>
          <cell r="N171">
            <v>2.1410324560150631</v>
          </cell>
          <cell r="O171">
            <v>210468.45577577123</v>
          </cell>
          <cell r="P171">
            <v>53609.541497300823</v>
          </cell>
          <cell r="Q171">
            <v>112186.31416415803</v>
          </cell>
          <cell r="R171">
            <v>7049.2510878239054</v>
          </cell>
          <cell r="T171">
            <v>43744.889300376941</v>
          </cell>
          <cell r="U171">
            <v>30108.715058875623</v>
          </cell>
          <cell r="V171">
            <v>24407.944301686515</v>
          </cell>
          <cell r="X171">
            <v>45825.246626189037</v>
          </cell>
          <cell r="Z171">
            <v>47137.41243832685</v>
          </cell>
          <cell r="AA171">
            <v>94.649590656263968</v>
          </cell>
          <cell r="AB171">
            <v>333325.70578740805</v>
          </cell>
          <cell r="AC171">
            <v>47042.762847670587</v>
          </cell>
          <cell r="AD171">
            <v>286188.29334908118</v>
          </cell>
        </row>
        <row r="172">
          <cell r="A172" t="str">
            <v>CGI009-qtz07-CL-fit-3-offset</v>
          </cell>
          <cell r="B172">
            <v>750</v>
          </cell>
          <cell r="C172">
            <v>6.6965312637759184E-25</v>
          </cell>
          <cell r="D172">
            <v>1200</v>
          </cell>
          <cell r="E172">
            <v>1024</v>
          </cell>
          <cell r="F172">
            <v>1.171875</v>
          </cell>
          <cell r="H172">
            <v>94808.045578759091</v>
          </cell>
          <cell r="I172">
            <v>80696.38518215029</v>
          </cell>
          <cell r="J172">
            <v>34059.293153155617</v>
          </cell>
          <cell r="K172">
            <v>87467.470718670578</v>
          </cell>
          <cell r="L172">
            <v>183022.37404068201</v>
          </cell>
          <cell r="M172">
            <v>68115.835203471579</v>
          </cell>
          <cell r="N172">
            <v>81111.028723187017</v>
          </cell>
          <cell r="O172">
            <v>39996.180521958617</v>
          </cell>
          <cell r="P172">
            <v>62553.248178131529</v>
          </cell>
          <cell r="Q172">
            <v>71201.042731367648</v>
          </cell>
          <cell r="R172">
            <v>107765.13480399927</v>
          </cell>
          <cell r="T172">
            <v>75445.702535607837</v>
          </cell>
          <cell r="U172">
            <v>78965.610291852281</v>
          </cell>
          <cell r="V172">
            <v>80696.38518215029</v>
          </cell>
          <cell r="X172">
            <v>77613.254315939892</v>
          </cell>
          <cell r="Z172">
            <v>77962.7855424398</v>
          </cell>
          <cell r="AA172">
            <v>13635.101363934195</v>
          </cell>
          <cell r="AB172">
            <v>228937.84114283154</v>
          </cell>
          <cell r="AC172">
            <v>64327.684178505602</v>
          </cell>
          <cell r="AD172">
            <v>150975.05560039176</v>
          </cell>
        </row>
        <row r="173">
          <cell r="A173" t="str">
            <v>CGI009-qtz07-CL-fit-4-offset</v>
          </cell>
          <cell r="B173">
            <v>750</v>
          </cell>
          <cell r="C173">
            <v>6.6965312637759184E-25</v>
          </cell>
          <cell r="D173">
            <v>1200</v>
          </cell>
          <cell r="E173">
            <v>1024</v>
          </cell>
          <cell r="F173">
            <v>1.171875</v>
          </cell>
          <cell r="H173">
            <v>3573.6919708789064</v>
          </cell>
          <cell r="I173">
            <v>95973.816594717369</v>
          </cell>
          <cell r="J173">
            <v>111430.63778616591</v>
          </cell>
          <cell r="K173">
            <v>19873.796711507519</v>
          </cell>
          <cell r="L173">
            <v>63630.213672902115</v>
          </cell>
          <cell r="M173">
            <v>34616.346448286349</v>
          </cell>
          <cell r="N173">
            <v>64382.611381407522</v>
          </cell>
          <cell r="O173">
            <v>115632.75301872498</v>
          </cell>
          <cell r="P173">
            <v>100725.51515408764</v>
          </cell>
          <cell r="Q173">
            <v>18.25271201414817</v>
          </cell>
          <cell r="R173">
            <v>15997.489847033536</v>
          </cell>
          <cell r="T173">
            <v>48031.502298556035</v>
          </cell>
          <cell r="U173">
            <v>44658.458600432401</v>
          </cell>
          <cell r="V173">
            <v>63630.213672902115</v>
          </cell>
          <cell r="X173">
            <v>35777.779152013354</v>
          </cell>
          <cell r="Z173">
            <v>43397.891681848843</v>
          </cell>
          <cell r="AA173">
            <v>2.0675139628822238E-8</v>
          </cell>
          <cell r="AB173">
            <v>354393.7521353669</v>
          </cell>
          <cell r="AC173">
            <v>43397.891681828165</v>
          </cell>
          <cell r="AD173">
            <v>310995.86045351805</v>
          </cell>
        </row>
        <row r="174">
          <cell r="A174" t="str">
            <v>CGI009-qtz08-CL-fit-1-offset</v>
          </cell>
          <cell r="B174">
            <v>750</v>
          </cell>
          <cell r="C174">
            <v>6.6965312637759184E-25</v>
          </cell>
          <cell r="D174">
            <v>2300</v>
          </cell>
          <cell r="E174">
            <v>1024</v>
          </cell>
          <cell r="F174">
            <v>2.24609375</v>
          </cell>
          <cell r="H174">
            <v>291079.98662041937</v>
          </cell>
          <cell r="I174">
            <v>1869675.0415280492</v>
          </cell>
          <cell r="J174">
            <v>563979.94975196011</v>
          </cell>
          <cell r="K174">
            <v>655670.23930264299</v>
          </cell>
          <cell r="L174">
            <v>2333810.9108582735</v>
          </cell>
          <cell r="M174">
            <v>1318921.1279319108</v>
          </cell>
          <cell r="N174">
            <v>746401.59356462676</v>
          </cell>
          <cell r="O174">
            <v>512467.82945424737</v>
          </cell>
          <cell r="P174">
            <v>713411.47421440296</v>
          </cell>
          <cell r="Q174">
            <v>793687.82363569154</v>
          </cell>
          <cell r="R174">
            <v>633896.30011834588</v>
          </cell>
          <cell r="T174">
            <v>921155.87270558474</v>
          </cell>
          <cell r="U174">
            <v>869173.54281609447</v>
          </cell>
          <cell r="V174">
            <v>713411.47421440296</v>
          </cell>
          <cell r="X174">
            <v>797053.01009434822</v>
          </cell>
          <cell r="Z174">
            <v>789246.5935624605</v>
          </cell>
          <cell r="AA174">
            <v>28198.767227818633</v>
          </cell>
          <cell r="AB174">
            <v>2354557.9632159988</v>
          </cell>
          <cell r="AC174">
            <v>761047.8263346419</v>
          </cell>
          <cell r="AD174">
            <v>1565311.3696535383</v>
          </cell>
        </row>
        <row r="175">
          <cell r="A175" t="str">
            <v>CGI009-qtz08-CL-fit-2-offset</v>
          </cell>
          <cell r="B175">
            <v>750</v>
          </cell>
          <cell r="C175">
            <v>6.6965312637759184E-25</v>
          </cell>
          <cell r="D175">
            <v>2300</v>
          </cell>
          <cell r="E175">
            <v>1024</v>
          </cell>
          <cell r="F175">
            <v>2.24609375</v>
          </cell>
          <cell r="H175">
            <v>1576839.3522748977</v>
          </cell>
          <cell r="I175">
            <v>1246844.313193718</v>
          </cell>
          <cell r="J175">
            <v>1875088.5007959271</v>
          </cell>
          <cell r="K175">
            <v>1676181.8133226447</v>
          </cell>
          <cell r="L175">
            <v>1909446.7881505485</v>
          </cell>
          <cell r="M175">
            <v>1258910.4216457128</v>
          </cell>
          <cell r="N175">
            <v>2695102.7430545134</v>
          </cell>
          <cell r="O175">
            <v>1530273.7388784837</v>
          </cell>
          <cell r="P175">
            <v>2299679.0317019019</v>
          </cell>
          <cell r="Q175">
            <v>1773189.5111155559</v>
          </cell>
          <cell r="R175">
            <v>1998627.297377581</v>
          </cell>
          <cell r="T175">
            <v>1791429.4607195265</v>
          </cell>
          <cell r="U175">
            <v>1781187.4634316177</v>
          </cell>
          <cell r="V175">
            <v>1773189.5111155559</v>
          </cell>
          <cell r="X175">
            <v>1785199.7279685682</v>
          </cell>
          <cell r="Z175">
            <v>1820254.8269884211</v>
          </cell>
          <cell r="AA175">
            <v>1079188.2261061633</v>
          </cell>
          <cell r="AB175">
            <v>2895746.449967538</v>
          </cell>
          <cell r="AC175">
            <v>741066.6008822578</v>
          </cell>
          <cell r="AD175">
            <v>1075491.6229791169</v>
          </cell>
        </row>
        <row r="176">
          <cell r="A176" t="str">
            <v>CGI009-qtz08-CL-fit-3-offset</v>
          </cell>
          <cell r="B176">
            <v>750</v>
          </cell>
          <cell r="C176">
            <v>6.6965312637759184E-25</v>
          </cell>
          <cell r="D176">
            <v>2300</v>
          </cell>
          <cell r="E176">
            <v>1024</v>
          </cell>
          <cell r="F176">
            <v>2.24609375</v>
          </cell>
          <cell r="H176">
            <v>1309937.5097227651</v>
          </cell>
          <cell r="I176">
            <v>1434008.2494595721</v>
          </cell>
          <cell r="J176">
            <v>2410326.3804288395</v>
          </cell>
          <cell r="K176">
            <v>1154864.1899430624</v>
          </cell>
          <cell r="L176">
            <v>894234.36167470168</v>
          </cell>
          <cell r="M176">
            <v>841192.50301527535</v>
          </cell>
          <cell r="N176">
            <v>1764734.0515123482</v>
          </cell>
          <cell r="O176">
            <v>614174.90316374728</v>
          </cell>
          <cell r="P176">
            <v>1810340.2470149724</v>
          </cell>
          <cell r="Q176">
            <v>1191727.6019831456</v>
          </cell>
          <cell r="R176">
            <v>2159695.150737117</v>
          </cell>
          <cell r="T176">
            <v>1365547.5126798358</v>
          </cell>
          <cell r="U176">
            <v>1364833.0080881417</v>
          </cell>
          <cell r="V176">
            <v>1309937.5097227651</v>
          </cell>
          <cell r="X176">
            <v>1359593.2492477112</v>
          </cell>
          <cell r="Z176">
            <v>1412779.3422204726</v>
          </cell>
          <cell r="AA176">
            <v>437430.18819635099</v>
          </cell>
          <cell r="AB176">
            <v>3291529.3714533057</v>
          </cell>
          <cell r="AC176">
            <v>975349.15402412158</v>
          </cell>
          <cell r="AD176">
            <v>1878750.0292328331</v>
          </cell>
        </row>
        <row r="177">
          <cell r="A177" t="str">
            <v>CGI009-qtz08-CL-fit-4-offset</v>
          </cell>
          <cell r="B177">
            <v>750</v>
          </cell>
          <cell r="C177">
            <v>6.6965312637759184E-25</v>
          </cell>
          <cell r="D177">
            <v>2300</v>
          </cell>
          <cell r="E177">
            <v>1024</v>
          </cell>
          <cell r="F177">
            <v>2.24609375</v>
          </cell>
          <cell r="H177">
            <v>0</v>
          </cell>
          <cell r="I177">
            <v>1077047.6519644321</v>
          </cell>
          <cell r="J177">
            <v>1919931.4622578013</v>
          </cell>
          <cell r="K177">
            <v>1535431.6826362519</v>
          </cell>
          <cell r="L177">
            <v>1567574.0540553706</v>
          </cell>
          <cell r="M177">
            <v>504051.04669443611</v>
          </cell>
          <cell r="N177">
            <v>266896.51953271887</v>
          </cell>
          <cell r="O177">
            <v>1551126.0652821322</v>
          </cell>
          <cell r="P177">
            <v>50312.158833525486</v>
          </cell>
          <cell r="Q177">
            <v>1850088.3967622346</v>
          </cell>
          <cell r="R177">
            <v>187.08887690033762</v>
          </cell>
          <cell r="T177">
            <v>1264547.8773136204</v>
          </cell>
          <cell r="U177">
            <v>807260.4812173557</v>
          </cell>
          <cell r="V177">
            <v>1296107.6034668242</v>
          </cell>
          <cell r="X177">
            <v>131822.84521722034</v>
          </cell>
          <cell r="Z177">
            <v>409351.85186701483</v>
          </cell>
          <cell r="AA177">
            <v>4.7988993101924615</v>
          </cell>
          <cell r="AB177">
            <v>5607687.6560519701</v>
          </cell>
          <cell r="AC177">
            <v>409347.05296770466</v>
          </cell>
          <cell r="AD177">
            <v>5198335.8041849555</v>
          </cell>
        </row>
        <row r="178">
          <cell r="A178" t="str">
            <v>CGI009-qtz08-CL-fit-5-offset</v>
          </cell>
          <cell r="B178">
            <v>750</v>
          </cell>
          <cell r="C178">
            <v>6.6965312637759184E-25</v>
          </cell>
          <cell r="D178">
            <v>2300</v>
          </cell>
          <cell r="E178">
            <v>1024</v>
          </cell>
          <cell r="F178">
            <v>2.24609375</v>
          </cell>
          <cell r="H178">
            <v>264260.03087184072</v>
          </cell>
          <cell r="I178">
            <v>201453.55078601051</v>
          </cell>
          <cell r="J178">
            <v>308384.93207380059</v>
          </cell>
          <cell r="K178">
            <v>294325.92055296694</v>
          </cell>
          <cell r="L178">
            <v>550255.62509014842</v>
          </cell>
          <cell r="M178">
            <v>126216.17073858241</v>
          </cell>
          <cell r="N178">
            <v>318844.603233225</v>
          </cell>
          <cell r="O178">
            <v>315269.19351754978</v>
          </cell>
          <cell r="P178">
            <v>480475.36443996127</v>
          </cell>
          <cell r="Q178">
            <v>419007.05206693435</v>
          </cell>
          <cell r="R178">
            <v>358937.31503834395</v>
          </cell>
          <cell r="T178">
            <v>320750.12252356659</v>
          </cell>
          <cell r="U178">
            <v>320102.68111633975</v>
          </cell>
          <cell r="V178">
            <v>315269.19351754978</v>
          </cell>
          <cell r="X178">
            <v>293163.17533292394</v>
          </cell>
          <cell r="Z178">
            <v>308815.11305299413</v>
          </cell>
          <cell r="AA178">
            <v>90813.074486845027</v>
          </cell>
          <cell r="AB178">
            <v>768204.81741456024</v>
          </cell>
          <cell r="AC178">
            <v>218002.0385661491</v>
          </cell>
          <cell r="AD178">
            <v>459389.70436156611</v>
          </cell>
        </row>
        <row r="179">
          <cell r="A179" t="str">
            <v>CGI009-qtz09-CL-fit-1-offset</v>
          </cell>
          <cell r="B179">
            <v>750</v>
          </cell>
          <cell r="C179">
            <v>6.6965312637759184E-25</v>
          </cell>
          <cell r="D179">
            <v>2100</v>
          </cell>
          <cell r="E179">
            <v>1024</v>
          </cell>
          <cell r="F179">
            <v>2.05078125</v>
          </cell>
          <cell r="H179">
            <v>1360968.4393850737</v>
          </cell>
          <cell r="I179">
            <v>829598.08432450204</v>
          </cell>
          <cell r="J179">
            <v>973167.89428317815</v>
          </cell>
          <cell r="K179">
            <v>1125329.599003691</v>
          </cell>
          <cell r="L179">
            <v>938045.08372016181</v>
          </cell>
          <cell r="M179">
            <v>925594.54500887636</v>
          </cell>
          <cell r="N179">
            <v>963676.034425308</v>
          </cell>
          <cell r="O179">
            <v>1516163.0784049577</v>
          </cell>
          <cell r="P179">
            <v>1439941.5920337359</v>
          </cell>
          <cell r="Q179">
            <v>1005813.6235630109</v>
          </cell>
          <cell r="R179">
            <v>866810.41339252959</v>
          </cell>
          <cell r="T179">
            <v>1084200.108656513</v>
          </cell>
          <cell r="U179">
            <v>1074472.2030836686</v>
          </cell>
          <cell r="V179">
            <v>973167.89428317815</v>
          </cell>
          <cell r="X179">
            <v>1092440.5740977258</v>
          </cell>
          <cell r="Z179">
            <v>1156259.5256860838</v>
          </cell>
          <cell r="AA179">
            <v>662860.72003228334</v>
          </cell>
          <cell r="AB179">
            <v>2138183.973220468</v>
          </cell>
          <cell r="AC179">
            <v>493398.80565380049</v>
          </cell>
          <cell r="AD179">
            <v>981924.44753438421</v>
          </cell>
        </row>
        <row r="180">
          <cell r="A180" t="str">
            <v>CGI009-qtz09-CL-fit-2-offset</v>
          </cell>
          <cell r="B180">
            <v>750</v>
          </cell>
          <cell r="C180">
            <v>6.6965312637759184E-25</v>
          </cell>
          <cell r="D180">
            <v>2100</v>
          </cell>
          <cell r="E180">
            <v>1024</v>
          </cell>
          <cell r="F180">
            <v>2.05078125</v>
          </cell>
          <cell r="H180">
            <v>820860.37879115995</v>
          </cell>
          <cell r="I180">
            <v>1421034.250034306</v>
          </cell>
          <cell r="J180">
            <v>1056388.0634990735</v>
          </cell>
          <cell r="K180">
            <v>3138197.6723440662</v>
          </cell>
          <cell r="L180">
            <v>1149368.3333399466</v>
          </cell>
          <cell r="M180">
            <v>1510475.390866382</v>
          </cell>
          <cell r="N180">
            <v>1223747.0187537798</v>
          </cell>
          <cell r="O180">
            <v>1128255.2209257057</v>
          </cell>
          <cell r="P180">
            <v>1737640.1047374331</v>
          </cell>
          <cell r="Q180">
            <v>1258632.6591296359</v>
          </cell>
          <cell r="R180">
            <v>952508.25061633484</v>
          </cell>
          <cell r="T180">
            <v>1300814.0881225832</v>
          </cell>
          <cell r="U180">
            <v>1350447.2021373934</v>
          </cell>
          <cell r="V180">
            <v>1223747.0187537798</v>
          </cell>
          <cell r="X180">
            <v>1327498.347192121</v>
          </cell>
          <cell r="Z180">
            <v>1299845.4513783285</v>
          </cell>
          <cell r="AA180">
            <v>650600.49926674273</v>
          </cell>
          <cell r="AB180">
            <v>2334344.8688446442</v>
          </cell>
          <cell r="AC180">
            <v>649244.95211158576</v>
          </cell>
          <cell r="AD180">
            <v>1034499.4174663157</v>
          </cell>
        </row>
        <row r="181">
          <cell r="A181" t="str">
            <v>CGI009-qtz09-CL-fit-3-offset</v>
          </cell>
          <cell r="B181">
            <v>750</v>
          </cell>
          <cell r="C181">
            <v>6.6965312637759184E-25</v>
          </cell>
          <cell r="D181">
            <v>2100</v>
          </cell>
          <cell r="E181">
            <v>1024</v>
          </cell>
          <cell r="F181">
            <v>2.05078125</v>
          </cell>
          <cell r="H181">
            <v>501614.33910883812</v>
          </cell>
          <cell r="I181">
            <v>252229.90675505562</v>
          </cell>
          <cell r="J181">
            <v>351567.99346794497</v>
          </cell>
          <cell r="K181">
            <v>229086.13954117484</v>
          </cell>
          <cell r="L181">
            <v>473093.90552172239</v>
          </cell>
          <cell r="M181">
            <v>398161.02153804869</v>
          </cell>
          <cell r="N181">
            <v>289603.0112229333</v>
          </cell>
          <cell r="O181">
            <v>319670.04298694071</v>
          </cell>
          <cell r="P181">
            <v>301963.83500922768</v>
          </cell>
          <cell r="Q181">
            <v>306536.1424010073</v>
          </cell>
          <cell r="R181">
            <v>468316.5470777853</v>
          </cell>
          <cell r="T181">
            <v>348703.37498007959</v>
          </cell>
          <cell r="U181">
            <v>348303.75808844162</v>
          </cell>
          <cell r="V181">
            <v>319670.04298694071</v>
          </cell>
          <cell r="X181">
            <v>347516.12741844624</v>
          </cell>
          <cell r="Z181">
            <v>345281.49182885111</v>
          </cell>
          <cell r="AA181">
            <v>174252.09436247969</v>
          </cell>
          <cell r="AB181">
            <v>598790.70611146861</v>
          </cell>
          <cell r="AC181">
            <v>171029.39746637142</v>
          </cell>
          <cell r="AD181">
            <v>253509.2142826175</v>
          </cell>
        </row>
        <row r="182">
          <cell r="A182" t="str">
            <v>CGI009-qtz09-CL-fit-4-offset</v>
          </cell>
          <cell r="B182">
            <v>750</v>
          </cell>
          <cell r="C182">
            <v>6.6965312637759184E-25</v>
          </cell>
          <cell r="D182">
            <v>2100</v>
          </cell>
          <cell r="E182">
            <v>1024</v>
          </cell>
          <cell r="F182">
            <v>2.05078125</v>
          </cell>
          <cell r="H182">
            <v>113586.25569493581</v>
          </cell>
          <cell r="I182">
            <v>96461.087266869494</v>
          </cell>
          <cell r="J182">
            <v>86981.963320456591</v>
          </cell>
          <cell r="K182">
            <v>87638.233403159102</v>
          </cell>
          <cell r="L182">
            <v>191145.17148547844</v>
          </cell>
          <cell r="M182">
            <v>129839.90440053961</v>
          </cell>
          <cell r="N182">
            <v>82539.907205042822</v>
          </cell>
          <cell r="O182">
            <v>39203.625089665657</v>
          </cell>
          <cell r="P182">
            <v>56131.447735153495</v>
          </cell>
          <cell r="Q182">
            <v>74685.16964885917</v>
          </cell>
          <cell r="R182">
            <v>32550.488320034317</v>
          </cell>
          <cell r="T182">
            <v>99542.523002349015</v>
          </cell>
          <cell r="U182">
            <v>85265.4572392759</v>
          </cell>
          <cell r="V182">
            <v>86981.963320456591</v>
          </cell>
          <cell r="X182">
            <v>75985.735601445325</v>
          </cell>
          <cell r="Z182">
            <v>69859.44104895393</v>
          </cell>
          <cell r="AA182">
            <v>5851.6901759168768</v>
          </cell>
          <cell r="AB182">
            <v>219929.56047291643</v>
          </cell>
          <cell r="AC182">
            <v>64007.750873037054</v>
          </cell>
          <cell r="AD182">
            <v>150070.11942396249</v>
          </cell>
        </row>
        <row r="183">
          <cell r="A183" t="str">
            <v>CGI009-qtz10-CL-fit-1-offset</v>
          </cell>
          <cell r="B183">
            <v>750</v>
          </cell>
          <cell r="C183">
            <v>6.6965312637759184E-25</v>
          </cell>
          <cell r="D183">
            <v>1900</v>
          </cell>
          <cell r="E183">
            <v>1024</v>
          </cell>
          <cell r="F183">
            <v>1.85546875</v>
          </cell>
          <cell r="H183">
            <v>1422006.1353563294</v>
          </cell>
          <cell r="I183">
            <v>985249.25428033934</v>
          </cell>
          <cell r="J183">
            <v>1192558.7452204626</v>
          </cell>
          <cell r="K183">
            <v>1189416.8762463036</v>
          </cell>
          <cell r="L183">
            <v>1270280.8041163525</v>
          </cell>
          <cell r="M183">
            <v>1329394.9062589984</v>
          </cell>
          <cell r="N183">
            <v>1242761.491041132</v>
          </cell>
          <cell r="O183">
            <v>1276310.2464958576</v>
          </cell>
          <cell r="P183">
            <v>1154630.0223246971</v>
          </cell>
          <cell r="Q183">
            <v>1297636.0183857235</v>
          </cell>
          <cell r="R183">
            <v>1174848.6550974248</v>
          </cell>
          <cell r="T183">
            <v>1234317.468459253</v>
          </cell>
          <cell r="U183">
            <v>1228045.9141741877</v>
          </cell>
          <cell r="V183">
            <v>1242761.491041132</v>
          </cell>
          <cell r="X183">
            <v>1224663.2986232941</v>
          </cell>
          <cell r="Z183">
            <v>1226326.6387354231</v>
          </cell>
          <cell r="AA183">
            <v>836208.46149364824</v>
          </cell>
          <cell r="AB183">
            <v>1689297.435639184</v>
          </cell>
          <cell r="AC183">
            <v>390118.17724177486</v>
          </cell>
          <cell r="AD183">
            <v>462970.79690376087</v>
          </cell>
        </row>
        <row r="184">
          <cell r="A184" t="str">
            <v>CGI009-qtz10-CL-fit-2-offset</v>
          </cell>
          <cell r="B184">
            <v>750</v>
          </cell>
          <cell r="C184">
            <v>6.6965312637759184E-25</v>
          </cell>
          <cell r="D184">
            <v>1900</v>
          </cell>
          <cell r="E184">
            <v>1024</v>
          </cell>
          <cell r="F184">
            <v>1.85546875</v>
          </cell>
          <cell r="H184">
            <v>272944.16189049964</v>
          </cell>
          <cell r="I184">
            <v>670052.70212011924</v>
          </cell>
          <cell r="J184">
            <v>510068.65539212193</v>
          </cell>
          <cell r="K184">
            <v>664461.22682833555</v>
          </cell>
          <cell r="L184">
            <v>588715.26678936265</v>
          </cell>
          <cell r="M184">
            <v>430807.96431527892</v>
          </cell>
          <cell r="N184">
            <v>172350.24632029285</v>
          </cell>
          <cell r="O184">
            <v>560190.57197748369</v>
          </cell>
          <cell r="P184">
            <v>507990.27809930965</v>
          </cell>
          <cell r="Q184">
            <v>464058.76618629991</v>
          </cell>
          <cell r="R184">
            <v>553127.2794650282</v>
          </cell>
          <cell r="T184">
            <v>483471.6601555568</v>
          </cell>
          <cell r="U184">
            <v>476761.27824217424</v>
          </cell>
          <cell r="V184">
            <v>510068.65539212193</v>
          </cell>
          <cell r="X184">
            <v>466942.13662186125</v>
          </cell>
          <cell r="Z184">
            <v>455449.03545964567</v>
          </cell>
          <cell r="AA184">
            <v>200061.77456970207</v>
          </cell>
          <cell r="AB184">
            <v>843696.82040842623</v>
          </cell>
          <cell r="AC184">
            <v>255387.2608899436</v>
          </cell>
          <cell r="AD184">
            <v>388247.78494878055</v>
          </cell>
        </row>
        <row r="185">
          <cell r="A185" t="str">
            <v>CGI009-qtz10-CL-fit-3-offset</v>
          </cell>
          <cell r="B185">
            <v>750</v>
          </cell>
          <cell r="C185">
            <v>6.6965312637759184E-25</v>
          </cell>
          <cell r="D185">
            <v>1900</v>
          </cell>
          <cell r="E185">
            <v>1024</v>
          </cell>
          <cell r="F185">
            <v>1.85546875</v>
          </cell>
          <cell r="H185">
            <v>412052.38551912457</v>
          </cell>
          <cell r="I185">
            <v>332343.46343209082</v>
          </cell>
          <cell r="J185">
            <v>346272.74905633641</v>
          </cell>
          <cell r="K185">
            <v>318646.42312824458</v>
          </cell>
          <cell r="L185">
            <v>302454.77838456532</v>
          </cell>
          <cell r="M185">
            <v>393699.42948249803</v>
          </cell>
          <cell r="N185">
            <v>403220.27778372011</v>
          </cell>
          <cell r="O185">
            <v>381357.9852066561</v>
          </cell>
          <cell r="P185">
            <v>475443.73349898093</v>
          </cell>
          <cell r="Q185">
            <v>348821.03994049982</v>
          </cell>
          <cell r="R185">
            <v>224068.09995122557</v>
          </cell>
          <cell r="T185">
            <v>361034.6931171582</v>
          </cell>
          <cell r="U185">
            <v>355084.6496459936</v>
          </cell>
          <cell r="V185">
            <v>348821.03994049982</v>
          </cell>
          <cell r="X185">
            <v>357048.27951879374</v>
          </cell>
          <cell r="Z185">
            <v>356893.6799579584</v>
          </cell>
          <cell r="AA185">
            <v>229098.62897350089</v>
          </cell>
          <cell r="AB185">
            <v>487485.21264704206</v>
          </cell>
          <cell r="AC185">
            <v>127795.05098445751</v>
          </cell>
          <cell r="AD185">
            <v>130591.53268908366</v>
          </cell>
        </row>
        <row r="186">
          <cell r="A186" t="str">
            <v>CGI009-qtz10-CL-fit-4-offset</v>
          </cell>
          <cell r="B186">
            <v>750</v>
          </cell>
          <cell r="C186">
            <v>6.6965312637759184E-25</v>
          </cell>
          <cell r="D186">
            <v>1900</v>
          </cell>
          <cell r="E186">
            <v>1024</v>
          </cell>
          <cell r="F186">
            <v>1.85546875</v>
          </cell>
          <cell r="H186">
            <v>129788.54395592549</v>
          </cell>
          <cell r="I186">
            <v>166891.28031050984</v>
          </cell>
          <cell r="J186">
            <v>211793.88925368252</v>
          </cell>
          <cell r="K186">
            <v>171771.13207449912</v>
          </cell>
          <cell r="L186">
            <v>254012.69632816417</v>
          </cell>
          <cell r="M186">
            <v>108802.74578977356</v>
          </cell>
          <cell r="N186">
            <v>166488.97169763673</v>
          </cell>
          <cell r="O186">
            <v>233496.60625282823</v>
          </cell>
          <cell r="P186">
            <v>116028.71204450307</v>
          </cell>
          <cell r="Q186">
            <v>122952.93345557628</v>
          </cell>
          <cell r="R186">
            <v>132975.99004500237</v>
          </cell>
          <cell r="T186">
            <v>164750.86255400904</v>
          </cell>
          <cell r="U186">
            <v>161785.20175345623</v>
          </cell>
          <cell r="V186">
            <v>166488.97169763673</v>
          </cell>
          <cell r="X186">
            <v>155381.46101875135</v>
          </cell>
          <cell r="Z186">
            <v>159072.34761545301</v>
          </cell>
          <cell r="AA186">
            <v>78656.090933164873</v>
          </cell>
          <cell r="AB186">
            <v>292987.65768158901</v>
          </cell>
          <cell r="AC186">
            <v>80416.256682288134</v>
          </cell>
          <cell r="AD186">
            <v>133915.31006613601</v>
          </cell>
        </row>
        <row r="187">
          <cell r="A187" t="str">
            <v>CGI009-qtz10-CL-fit-5-offset</v>
          </cell>
          <cell r="B187">
            <v>750</v>
          </cell>
          <cell r="C187">
            <v>6.6965312637759184E-25</v>
          </cell>
          <cell r="D187">
            <v>1900</v>
          </cell>
          <cell r="E187">
            <v>1024</v>
          </cell>
          <cell r="F187">
            <v>1.85546875</v>
          </cell>
          <cell r="H187">
            <v>28757.295942870252</v>
          </cell>
          <cell r="I187">
            <v>0.54464307409882484</v>
          </cell>
          <cell r="J187">
            <v>13782.104881931169</v>
          </cell>
          <cell r="K187">
            <v>83146.385541456359</v>
          </cell>
          <cell r="L187">
            <v>1585.6906793112398</v>
          </cell>
          <cell r="M187">
            <v>2015.5051379515489</v>
          </cell>
          <cell r="N187">
            <v>35755.045709791775</v>
          </cell>
          <cell r="O187">
            <v>2944.5091740176358</v>
          </cell>
          <cell r="P187">
            <v>1068.5595942043569</v>
          </cell>
          <cell r="Q187">
            <v>1353.7214378765816</v>
          </cell>
          <cell r="R187">
            <v>1371.0996852550174</v>
          </cell>
          <cell r="T187">
            <v>21145.02930642078</v>
          </cell>
          <cell r="U187">
            <v>8441.3456449821279</v>
          </cell>
          <cell r="V187">
            <v>2015.5051379515489</v>
          </cell>
          <cell r="X187">
            <v>7431.2218270430567</v>
          </cell>
          <cell r="Z187">
            <v>12071.846342698003</v>
          </cell>
          <cell r="AA187">
            <v>98.360865205262215</v>
          </cell>
          <cell r="AB187">
            <v>80982.123808484292</v>
          </cell>
          <cell r="AC187">
            <v>11973.485477492741</v>
          </cell>
          <cell r="AD187">
            <v>68910.27746578629</v>
          </cell>
        </row>
        <row r="188">
          <cell r="A188" t="str">
            <v>CGI009-qtz11-CL-fit-1-offset</v>
          </cell>
          <cell r="B188">
            <v>750</v>
          </cell>
          <cell r="C188">
            <v>6.6965312637759184E-25</v>
          </cell>
          <cell r="D188">
            <v>1700</v>
          </cell>
          <cell r="E188">
            <v>1024</v>
          </cell>
          <cell r="F188">
            <v>1.66015625</v>
          </cell>
          <cell r="H188">
            <v>600686.39919513767</v>
          </cell>
          <cell r="I188">
            <v>2905.2874592587345</v>
          </cell>
          <cell r="J188">
            <v>40719.745357582156</v>
          </cell>
          <cell r="K188">
            <v>4481.5233589065738</v>
          </cell>
          <cell r="L188">
            <v>47817.989539504095</v>
          </cell>
          <cell r="M188">
            <v>143227.24718272319</v>
          </cell>
          <cell r="N188">
            <v>569847.7939930557</v>
          </cell>
          <cell r="O188">
            <v>53525.225652866546</v>
          </cell>
          <cell r="P188">
            <v>2354.3952052386767</v>
          </cell>
          <cell r="Q188">
            <v>2387.0162162228125</v>
          </cell>
          <cell r="R188">
            <v>31898.795857618941</v>
          </cell>
          <cell r="T188">
            <v>84473.269739305921</v>
          </cell>
          <cell r="U188">
            <v>72264.301818483742</v>
          </cell>
          <cell r="V188">
            <v>40719.745357582156</v>
          </cell>
          <cell r="X188">
            <v>72840.619429790182</v>
          </cell>
          <cell r="Z188">
            <v>191688.94652146366</v>
          </cell>
          <cell r="AA188">
            <v>0.70589937136691694</v>
          </cell>
          <cell r="AB188">
            <v>7711830.7559547657</v>
          </cell>
          <cell r="AC188">
            <v>191688.2406220923</v>
          </cell>
          <cell r="AD188">
            <v>7520141.8094333019</v>
          </cell>
        </row>
        <row r="189">
          <cell r="A189" t="str">
            <v>CGI009-qtz11-CL-fit-2-offset</v>
          </cell>
          <cell r="B189">
            <v>750</v>
          </cell>
          <cell r="C189">
            <v>6.6965312637759184E-25</v>
          </cell>
          <cell r="D189">
            <v>1700</v>
          </cell>
          <cell r="E189">
            <v>1024</v>
          </cell>
          <cell r="F189">
            <v>1.66015625</v>
          </cell>
          <cell r="H189">
            <v>210067.29519507173</v>
          </cell>
          <cell r="I189">
            <v>129872.07368914399</v>
          </cell>
          <cell r="J189">
            <v>182221.41883402001</v>
          </cell>
          <cell r="K189">
            <v>300675.52540445764</v>
          </cell>
          <cell r="L189">
            <v>176330.73584401092</v>
          </cell>
          <cell r="M189">
            <v>164189.10420384217</v>
          </cell>
          <cell r="N189">
            <v>561999.01702725654</v>
          </cell>
          <cell r="O189">
            <v>311435.8958788212</v>
          </cell>
          <cell r="P189">
            <v>212629.5849702702</v>
          </cell>
          <cell r="Q189">
            <v>68035.365554043674</v>
          </cell>
          <cell r="R189">
            <v>110404.05034991511</v>
          </cell>
          <cell r="T189">
            <v>197467.29107060417</v>
          </cell>
          <cell r="U189">
            <v>205044.0339481032</v>
          </cell>
          <cell r="V189">
            <v>182221.41883402001</v>
          </cell>
          <cell r="X189">
            <v>201726.98189825335</v>
          </cell>
          <cell r="Z189">
            <v>196727.87390608934</v>
          </cell>
          <cell r="AA189">
            <v>4137.8874801501424</v>
          </cell>
          <cell r="AB189">
            <v>533388.05151225964</v>
          </cell>
          <cell r="AC189">
            <v>192589.98642593919</v>
          </cell>
          <cell r="AD189">
            <v>336660.1776061703</v>
          </cell>
        </row>
        <row r="190">
          <cell r="A190" t="str">
            <v>CGI009-qtz11-CL-fit-3-offset</v>
          </cell>
          <cell r="B190">
            <v>750</v>
          </cell>
          <cell r="C190">
            <v>6.6965312637759184E-25</v>
          </cell>
          <cell r="D190">
            <v>1700</v>
          </cell>
          <cell r="E190">
            <v>1024</v>
          </cell>
          <cell r="F190">
            <v>1.66015625</v>
          </cell>
          <cell r="H190">
            <v>432641.72703875601</v>
          </cell>
          <cell r="I190">
            <v>409385.2999191889</v>
          </cell>
          <cell r="J190">
            <v>425627.41492665606</v>
          </cell>
          <cell r="K190">
            <v>504486.08137574431</v>
          </cell>
          <cell r="L190">
            <v>523771.2514984415</v>
          </cell>
          <cell r="M190">
            <v>378790.10695300961</v>
          </cell>
          <cell r="N190">
            <v>629664.73305615364</v>
          </cell>
          <cell r="O190">
            <v>454459.3709839505</v>
          </cell>
          <cell r="P190">
            <v>444888.06909219513</v>
          </cell>
          <cell r="Q190">
            <v>343125.10899020964</v>
          </cell>
          <cell r="R190">
            <v>407335.37316648243</v>
          </cell>
          <cell r="T190">
            <v>462041.39997284656</v>
          </cell>
          <cell r="U190">
            <v>447449.91846055002</v>
          </cell>
          <cell r="V190">
            <v>432641.72703875601</v>
          </cell>
          <cell r="X190">
            <v>447945.69193391496</v>
          </cell>
          <cell r="Z190">
            <v>451020.10264493513</v>
          </cell>
          <cell r="AA190">
            <v>247675.96638902067</v>
          </cell>
          <cell r="AB190">
            <v>680948.43286270776</v>
          </cell>
          <cell r="AC190">
            <v>203344.13625591446</v>
          </cell>
          <cell r="AD190">
            <v>229928.33021777263</v>
          </cell>
        </row>
        <row r="191">
          <cell r="A191" t="str">
            <v>CGI009-qtz11-CL-fit-4-offset</v>
          </cell>
          <cell r="B191">
            <v>750</v>
          </cell>
          <cell r="C191">
            <v>6.6965312637759184E-25</v>
          </cell>
          <cell r="D191">
            <v>1700</v>
          </cell>
          <cell r="E191">
            <v>1024</v>
          </cell>
          <cell r="F191">
            <v>1.66015625</v>
          </cell>
          <cell r="H191">
            <v>131107.42155837972</v>
          </cell>
          <cell r="I191">
            <v>908253.6707293354</v>
          </cell>
          <cell r="J191">
            <v>680098.35322344967</v>
          </cell>
          <cell r="K191">
            <v>115266.19576707527</v>
          </cell>
          <cell r="L191">
            <v>246504.93009970686</v>
          </cell>
          <cell r="M191">
            <v>53502.760460220954</v>
          </cell>
          <cell r="N191">
            <v>66105.403535066915</v>
          </cell>
          <cell r="O191">
            <v>61.673782790643031</v>
          </cell>
          <cell r="P191">
            <v>128334.14155947836</v>
          </cell>
          <cell r="Q191">
            <v>3226.6223808466907</v>
          </cell>
          <cell r="R191">
            <v>265876.37589737569</v>
          </cell>
          <cell r="T191">
            <v>88977.854838382234</v>
          </cell>
          <cell r="U191">
            <v>160199.02281966474</v>
          </cell>
          <cell r="V191">
            <v>128334.14155947836</v>
          </cell>
          <cell r="X191">
            <v>96572.905919413432</v>
          </cell>
          <cell r="Z191">
            <v>208362.18338599167</v>
          </cell>
          <cell r="AA191">
            <v>3690.2160203777298</v>
          </cell>
          <cell r="AB191">
            <v>2110063.2899693414</v>
          </cell>
          <cell r="AC191">
            <v>204671.96736561393</v>
          </cell>
          <cell r="AD191">
            <v>1901701.1065833496</v>
          </cell>
        </row>
        <row r="192">
          <cell r="A192" t="str">
            <v>CGI009-qtz11-CL-fit-5-offset</v>
          </cell>
          <cell r="B192">
            <v>750</v>
          </cell>
          <cell r="C192">
            <v>6.6965312637759184E-25</v>
          </cell>
          <cell r="D192">
            <v>1700</v>
          </cell>
          <cell r="E192">
            <v>1024</v>
          </cell>
          <cell r="F192">
            <v>1.66015625</v>
          </cell>
          <cell r="H192">
            <v>71025.206915706411</v>
          </cell>
          <cell r="I192">
            <v>121613.30390616258</v>
          </cell>
          <cell r="J192">
            <v>50316.179110860488</v>
          </cell>
          <cell r="K192">
            <v>102909.16090391255</v>
          </cell>
          <cell r="L192">
            <v>150691.37148840565</v>
          </cell>
          <cell r="M192">
            <v>42303.78105027914</v>
          </cell>
          <cell r="N192">
            <v>82265.326146213716</v>
          </cell>
          <cell r="O192">
            <v>63044.68049816518</v>
          </cell>
          <cell r="P192">
            <v>36352.282051240727</v>
          </cell>
          <cell r="Q192">
            <v>41380.272846054097</v>
          </cell>
          <cell r="R192">
            <v>78891.96545336589</v>
          </cell>
          <cell r="T192">
            <v>69631.690018931185</v>
          </cell>
          <cell r="U192">
            <v>72756.7306031958</v>
          </cell>
          <cell r="V192">
            <v>71025.206915706411</v>
          </cell>
          <cell r="X192">
            <v>65693.310311284193</v>
          </cell>
          <cell r="Z192">
            <v>66155.53451350359</v>
          </cell>
          <cell r="AA192">
            <v>2600.6160030509586</v>
          </cell>
          <cell r="AB192">
            <v>141283.54439376155</v>
          </cell>
          <cell r="AC192">
            <v>63554.918510452633</v>
          </cell>
          <cell r="AD192">
            <v>75128.00988025796</v>
          </cell>
        </row>
        <row r="193">
          <cell r="A193" t="str">
            <v>CGI009-qtz12-CL-fit-1-offset</v>
          </cell>
          <cell r="B193">
            <v>750</v>
          </cell>
          <cell r="C193">
            <v>6.6965312637759184E-25</v>
          </cell>
          <cell r="D193">
            <v>2000</v>
          </cell>
          <cell r="E193">
            <v>1024</v>
          </cell>
          <cell r="F193">
            <v>1.953125</v>
          </cell>
          <cell r="H193">
            <v>2174357.8378808121</v>
          </cell>
          <cell r="I193">
            <v>781679.14808955044</v>
          </cell>
          <cell r="J193">
            <v>1088426.875197161</v>
          </cell>
          <cell r="K193">
            <v>1373468.3665596549</v>
          </cell>
          <cell r="L193">
            <v>1717451.8109658407</v>
          </cell>
          <cell r="M193">
            <v>2249768.7088525514</v>
          </cell>
          <cell r="N193">
            <v>1249659.6167819074</v>
          </cell>
          <cell r="O193">
            <v>1459711.2987203596</v>
          </cell>
          <cell r="P193">
            <v>1589493.5906389034</v>
          </cell>
          <cell r="Q193">
            <v>2171265.3475848045</v>
          </cell>
          <cell r="R193">
            <v>2172562.7050703932</v>
          </cell>
          <cell r="T193">
            <v>1604820.6059104824</v>
          </cell>
          <cell r="U193">
            <v>1601067.847298041</v>
          </cell>
          <cell r="V193">
            <v>1589493.5906389034</v>
          </cell>
          <cell r="X193">
            <v>1624755.4610509691</v>
          </cell>
          <cell r="Z193">
            <v>1620338.9266679559</v>
          </cell>
          <cell r="AA193">
            <v>934412.72536312882</v>
          </cell>
          <cell r="AB193">
            <v>2743281.2372295666</v>
          </cell>
          <cell r="AC193">
            <v>685926.20130482712</v>
          </cell>
          <cell r="AD193">
            <v>1122942.3105616106</v>
          </cell>
        </row>
        <row r="194">
          <cell r="A194" t="str">
            <v>CGI009-qtz12-CL-fit-2-offset</v>
          </cell>
          <cell r="B194">
            <v>750</v>
          </cell>
          <cell r="C194">
            <v>6.6965312637759184E-25</v>
          </cell>
          <cell r="D194">
            <v>2000</v>
          </cell>
          <cell r="E194">
            <v>1024</v>
          </cell>
          <cell r="F194">
            <v>1.953125</v>
          </cell>
          <cell r="H194">
            <v>593131.6703314553</v>
          </cell>
          <cell r="I194">
            <v>294147.71095514356</v>
          </cell>
          <cell r="J194">
            <v>144800.42595016179</v>
          </cell>
          <cell r="K194">
            <v>197095.81652544974</v>
          </cell>
          <cell r="L194">
            <v>353299.69241768966</v>
          </cell>
          <cell r="M194">
            <v>182629.5359766988</v>
          </cell>
          <cell r="N194">
            <v>226623.63520154511</v>
          </cell>
          <cell r="O194">
            <v>101119.21601014548</v>
          </cell>
          <cell r="P194">
            <v>716950.63574672153</v>
          </cell>
          <cell r="Q194">
            <v>479236.51700870035</v>
          </cell>
          <cell r="R194">
            <v>1038133.7583730274</v>
          </cell>
          <cell r="T194">
            <v>341897.81267280842</v>
          </cell>
          <cell r="U194">
            <v>350319.45739616972</v>
          </cell>
          <cell r="V194">
            <v>294147.71095514356</v>
          </cell>
          <cell r="X194">
            <v>349922.40971768118</v>
          </cell>
          <cell r="Z194">
            <v>330014.40289940266</v>
          </cell>
          <cell r="AA194">
            <v>85158.232665091316</v>
          </cell>
          <cell r="AB194">
            <v>646076.45947588084</v>
          </cell>
          <cell r="AC194">
            <v>244856.17023431134</v>
          </cell>
          <cell r="AD194">
            <v>316062.05657647818</v>
          </cell>
        </row>
        <row r="195">
          <cell r="A195" t="str">
            <v>CGI009-qtz12-CL-fit-3-offset</v>
          </cell>
          <cell r="B195">
            <v>750</v>
          </cell>
          <cell r="C195">
            <v>6.6965312637759184E-25</v>
          </cell>
          <cell r="D195">
            <v>2000</v>
          </cell>
          <cell r="E195">
            <v>1024</v>
          </cell>
          <cell r="F195">
            <v>1.953125</v>
          </cell>
          <cell r="H195">
            <v>97942.651805725895</v>
          </cell>
          <cell r="I195">
            <v>46066.532700053365</v>
          </cell>
          <cell r="J195">
            <v>202539.03482653532</v>
          </cell>
          <cell r="K195">
            <v>224842.25346747888</v>
          </cell>
          <cell r="L195">
            <v>337692.67166259076</v>
          </cell>
          <cell r="M195">
            <v>415298.90197695419</v>
          </cell>
          <cell r="N195">
            <v>451.4743778130516</v>
          </cell>
          <cell r="O195">
            <v>63543.809855389423</v>
          </cell>
          <cell r="P195">
            <v>242956.25005862382</v>
          </cell>
          <cell r="Q195">
            <v>8294.1733234731473</v>
          </cell>
          <cell r="R195">
            <v>56984.699769831517</v>
          </cell>
          <cell r="T195">
            <v>171660.11313591283</v>
          </cell>
          <cell r="U195">
            <v>117672.56371045884</v>
          </cell>
          <cell r="V195">
            <v>97942.651805725895</v>
          </cell>
          <cell r="X195">
            <v>129755.54233508841</v>
          </cell>
          <cell r="Z195">
            <v>168468.346145241</v>
          </cell>
          <cell r="AA195">
            <v>937.35449042428979</v>
          </cell>
          <cell r="AB195">
            <v>1568859.3897987129</v>
          </cell>
          <cell r="AC195">
            <v>167530.99165481669</v>
          </cell>
          <cell r="AD195">
            <v>1400391.0436534719</v>
          </cell>
        </row>
        <row r="196">
          <cell r="A196" t="str">
            <v>CGI009-qtz12-CL-fit-4-offset</v>
          </cell>
          <cell r="B196">
            <v>750</v>
          </cell>
          <cell r="C196">
            <v>6.6965312637759184E-25</v>
          </cell>
          <cell r="D196">
            <v>2000</v>
          </cell>
          <cell r="E196">
            <v>1024</v>
          </cell>
          <cell r="F196">
            <v>1.953125</v>
          </cell>
          <cell r="H196">
            <v>338277.91444958065</v>
          </cell>
          <cell r="I196">
            <v>163479.55591376184</v>
          </cell>
          <cell r="J196">
            <v>112027.79652580417</v>
          </cell>
          <cell r="K196">
            <v>260979.3123798437</v>
          </cell>
          <cell r="L196">
            <v>146225.9109137452</v>
          </cell>
          <cell r="M196">
            <v>150712.16993278734</v>
          </cell>
          <cell r="N196">
            <v>143955.7162217116</v>
          </cell>
          <cell r="O196">
            <v>96254.70225855535</v>
          </cell>
          <cell r="P196">
            <v>30345.121068110697</v>
          </cell>
          <cell r="Q196">
            <v>266446.23305699549</v>
          </cell>
          <cell r="R196">
            <v>1004844.9452094185</v>
          </cell>
          <cell r="T196">
            <v>145073.55991012932</v>
          </cell>
          <cell r="U196">
            <v>205339.80885788641</v>
          </cell>
          <cell r="V196">
            <v>150712.16993278734</v>
          </cell>
          <cell r="X196">
            <v>113418.01655756087</v>
          </cell>
          <cell r="Z196">
            <v>127378.82581056778</v>
          </cell>
          <cell r="AA196">
            <v>2.691908736219828</v>
          </cell>
          <cell r="AB196">
            <v>693659.42182104324</v>
          </cell>
          <cell r="AC196">
            <v>127376.13390183156</v>
          </cell>
          <cell r="AD196">
            <v>566280.59601047542</v>
          </cell>
        </row>
        <row r="197">
          <cell r="A197" t="str">
            <v>CGI011-qtz01-CL-fit-1-offset</v>
          </cell>
          <cell r="B197">
            <v>750</v>
          </cell>
          <cell r="C197">
            <v>6.6965312637759184E-25</v>
          </cell>
          <cell r="D197">
            <v>2000</v>
          </cell>
          <cell r="E197">
            <v>1024</v>
          </cell>
          <cell r="F197">
            <v>1.953125</v>
          </cell>
          <cell r="H197">
            <v>1001163.0975486074</v>
          </cell>
          <cell r="I197">
            <v>967414.06273750518</v>
          </cell>
          <cell r="J197">
            <v>647257.79041465942</v>
          </cell>
          <cell r="K197">
            <v>1542232.0402198981</v>
          </cell>
          <cell r="L197">
            <v>834082.53933243651</v>
          </cell>
          <cell r="M197">
            <v>817031.11566250469</v>
          </cell>
          <cell r="N197">
            <v>1068207.6961798347</v>
          </cell>
          <cell r="O197">
            <v>1808937.2651484141</v>
          </cell>
          <cell r="P197">
            <v>1106654.2694343184</v>
          </cell>
          <cell r="Q197">
            <v>608231.33868079179</v>
          </cell>
          <cell r="R197">
            <v>1184156.9577139905</v>
          </cell>
          <cell r="T197">
            <v>1007863.0613649042</v>
          </cell>
          <cell r="U197">
            <v>1026774.8284941094</v>
          </cell>
          <cell r="V197">
            <v>1001163.0975486074</v>
          </cell>
          <cell r="X197">
            <v>981149.24940136622</v>
          </cell>
          <cell r="Z197">
            <v>1002967.5822453501</v>
          </cell>
          <cell r="AA197">
            <v>465698.28567251255</v>
          </cell>
          <cell r="AB197">
            <v>1982467.5937086949</v>
          </cell>
          <cell r="AC197">
            <v>537269.29657283751</v>
          </cell>
          <cell r="AD197">
            <v>979500.0114633448</v>
          </cell>
        </row>
        <row r="198">
          <cell r="A198" t="str">
            <v>CGI011-qtz01-CL-fit-2-offset</v>
          </cell>
          <cell r="B198">
            <v>750</v>
          </cell>
          <cell r="C198">
            <v>6.6965312637759184E-25</v>
          </cell>
          <cell r="D198">
            <v>2000</v>
          </cell>
          <cell r="E198">
            <v>1024</v>
          </cell>
          <cell r="F198">
            <v>1.953125</v>
          </cell>
          <cell r="H198">
            <v>87708.493080075132</v>
          </cell>
          <cell r="I198">
            <v>1325162.6010764199</v>
          </cell>
          <cell r="J198">
            <v>1054371.5423157187</v>
          </cell>
          <cell r="K198">
            <v>318442.68541132077</v>
          </cell>
          <cell r="L198">
            <v>874691.0591150492</v>
          </cell>
          <cell r="M198">
            <v>233190.02323344391</v>
          </cell>
          <cell r="N198">
            <v>372968.47625029628</v>
          </cell>
          <cell r="O198">
            <v>1047983.4711753811</v>
          </cell>
          <cell r="P198">
            <v>135289.72298214707</v>
          </cell>
          <cell r="Q198">
            <v>367978.4783210475</v>
          </cell>
          <cell r="R198">
            <v>186828.02655028403</v>
          </cell>
          <cell r="T198">
            <v>436792.31774717348</v>
          </cell>
          <cell r="U198">
            <v>464588.62117660354</v>
          </cell>
          <cell r="V198">
            <v>367978.4783210475</v>
          </cell>
          <cell r="X198">
            <v>456519.84414798795</v>
          </cell>
          <cell r="Z198">
            <v>489743.00047623517</v>
          </cell>
          <cell r="AA198">
            <v>58959.82960501768</v>
          </cell>
          <cell r="AB198">
            <v>1669450.1487076827</v>
          </cell>
          <cell r="AC198">
            <v>430783.1708712175</v>
          </cell>
          <cell r="AD198">
            <v>1179707.1482314477</v>
          </cell>
        </row>
        <row r="199">
          <cell r="A199" t="str">
            <v>CGI011-qtz01-CL-fit-3-offset</v>
          </cell>
          <cell r="B199">
            <v>750</v>
          </cell>
          <cell r="C199">
            <v>6.6965312637759184E-25</v>
          </cell>
          <cell r="D199">
            <v>2000</v>
          </cell>
          <cell r="E199">
            <v>1024</v>
          </cell>
          <cell r="F199">
            <v>1.953125</v>
          </cell>
          <cell r="H199">
            <v>231300.61251662122</v>
          </cell>
          <cell r="I199">
            <v>236480.12907551019</v>
          </cell>
          <cell r="J199">
            <v>376371.30207212555</v>
          </cell>
          <cell r="K199">
            <v>420331.76172015915</v>
          </cell>
          <cell r="L199">
            <v>237198.90298175983</v>
          </cell>
          <cell r="M199">
            <v>277177.78864488949</v>
          </cell>
          <cell r="N199">
            <v>397698.10684655944</v>
          </cell>
          <cell r="O199">
            <v>401855.80849045457</v>
          </cell>
          <cell r="P199">
            <v>199839.8683456424</v>
          </cell>
          <cell r="Q199">
            <v>200214.87840826795</v>
          </cell>
          <cell r="R199">
            <v>602424.93935608235</v>
          </cell>
          <cell r="T199">
            <v>303651.28144197364</v>
          </cell>
          <cell r="U199">
            <v>315410.97289082478</v>
          </cell>
          <cell r="V199">
            <v>277177.78864488949</v>
          </cell>
          <cell r="X199">
            <v>280325.70247259521</v>
          </cell>
          <cell r="Z199">
            <v>300608.96216790879</v>
          </cell>
          <cell r="AA199">
            <v>119391.19851155208</v>
          </cell>
          <cell r="AB199">
            <v>655305.55813313671</v>
          </cell>
          <cell r="AC199">
            <v>181217.76365635672</v>
          </cell>
          <cell r="AD199">
            <v>354696.59596522793</v>
          </cell>
        </row>
        <row r="200">
          <cell r="A200" t="str">
            <v>CGI011-qtz01-CL-fit-4-offset</v>
          </cell>
          <cell r="B200">
            <v>750</v>
          </cell>
          <cell r="C200">
            <v>6.6965312637759184E-25</v>
          </cell>
          <cell r="D200">
            <v>2000</v>
          </cell>
          <cell r="E200">
            <v>1024</v>
          </cell>
          <cell r="F200">
            <v>1.953125</v>
          </cell>
          <cell r="H200">
            <v>1200343.4501165508</v>
          </cell>
          <cell r="I200">
            <v>2583273.3089173012</v>
          </cell>
          <cell r="J200">
            <v>74070.23495820236</v>
          </cell>
          <cell r="K200">
            <v>4279192.5181757621</v>
          </cell>
          <cell r="L200">
            <v>1509736.6263339098</v>
          </cell>
          <cell r="M200">
            <v>2180039.3401336409</v>
          </cell>
          <cell r="N200">
            <v>529943.05380314833</v>
          </cell>
          <cell r="O200">
            <v>2427504.5445871968</v>
          </cell>
          <cell r="P200">
            <v>98413.228641504713</v>
          </cell>
          <cell r="Q200">
            <v>3437318.1476743529</v>
          </cell>
          <cell r="R200">
            <v>2129482.9572640858</v>
          </cell>
          <cell r="T200">
            <v>1863407.3653172627</v>
          </cell>
          <cell r="U200">
            <v>1542529.6623476471</v>
          </cell>
          <cell r="V200">
            <v>2129482.9572640858</v>
          </cell>
          <cell r="X200">
            <v>1813054.3576749004</v>
          </cell>
          <cell r="Z200">
            <v>1699531.6380581888</v>
          </cell>
          <cell r="AA200">
            <v>72047.111040651827</v>
          </cell>
          <cell r="AB200">
            <v>5491224.3938381784</v>
          </cell>
          <cell r="AC200">
            <v>1627484.527017537</v>
          </cell>
          <cell r="AD200">
            <v>3791692.7557799895</v>
          </cell>
        </row>
        <row r="201">
          <cell r="A201" t="str">
            <v>CGI011-qtz01-CL-fit-5-offset</v>
          </cell>
          <cell r="B201">
            <v>750</v>
          </cell>
          <cell r="C201">
            <v>6.6965312637759184E-25</v>
          </cell>
          <cell r="D201">
            <v>2000</v>
          </cell>
          <cell r="E201">
            <v>1024</v>
          </cell>
          <cell r="F201">
            <v>1.953125</v>
          </cell>
          <cell r="H201">
            <v>9225.2094531974471</v>
          </cell>
          <cell r="I201">
            <v>114359.35802087314</v>
          </cell>
          <cell r="J201">
            <v>123427.10737692924</v>
          </cell>
          <cell r="K201">
            <v>51173.096765804294</v>
          </cell>
          <cell r="L201">
            <v>103268.54153471178</v>
          </cell>
          <cell r="M201">
            <v>145640.21082565849</v>
          </cell>
          <cell r="N201">
            <v>107299.70502429422</v>
          </cell>
          <cell r="O201">
            <v>52.364993782728007</v>
          </cell>
          <cell r="P201">
            <v>147777.22392097174</v>
          </cell>
          <cell r="Q201">
            <v>87131.873986585662</v>
          </cell>
          <cell r="R201">
            <v>251286.93972917166</v>
          </cell>
          <cell r="T201">
            <v>129400.25416141051</v>
          </cell>
          <cell r="U201">
            <v>86245.001543703343</v>
          </cell>
          <cell r="V201">
            <v>107299.70502429422</v>
          </cell>
          <cell r="X201">
            <v>107613.84321303734</v>
          </cell>
          <cell r="Z201">
            <v>110929.55730884202</v>
          </cell>
          <cell r="AA201">
            <v>2825.9902567558825</v>
          </cell>
          <cell r="AB201">
            <v>382158.69478825398</v>
          </cell>
          <cell r="AC201">
            <v>108103.56705208613</v>
          </cell>
          <cell r="AD201">
            <v>271229.13747941196</v>
          </cell>
        </row>
        <row r="202">
          <cell r="A202" t="str">
            <v>CGI011-qtz02-CL-fit-1-offset</v>
          </cell>
          <cell r="B202">
            <v>750</v>
          </cell>
          <cell r="C202">
            <v>6.6965312637759184E-25</v>
          </cell>
          <cell r="D202">
            <v>1600</v>
          </cell>
          <cell r="E202">
            <v>1024</v>
          </cell>
          <cell r="F202">
            <v>1.5625</v>
          </cell>
          <cell r="H202">
            <v>1400710.9570360128</v>
          </cell>
          <cell r="I202">
            <v>937044.80366757256</v>
          </cell>
          <cell r="J202">
            <v>462326.43626688921</v>
          </cell>
          <cell r="K202">
            <v>3191902.4154306334</v>
          </cell>
          <cell r="L202">
            <v>1003398.372371649</v>
          </cell>
          <cell r="M202">
            <v>78466.490138034846</v>
          </cell>
          <cell r="N202">
            <v>1481242.3122940632</v>
          </cell>
          <cell r="O202">
            <v>1615784.7134995502</v>
          </cell>
          <cell r="P202">
            <v>2244379.8093438987</v>
          </cell>
          <cell r="Q202">
            <v>444122.516204104</v>
          </cell>
          <cell r="R202">
            <v>570693.22434405028</v>
          </cell>
          <cell r="T202">
            <v>1056076.6114813639</v>
          </cell>
          <cell r="U202">
            <v>1056797.1334762711</v>
          </cell>
          <cell r="V202">
            <v>1003398.372371649</v>
          </cell>
          <cell r="X202">
            <v>815238.91245435318</v>
          </cell>
          <cell r="Z202">
            <v>1268514.7304871925</v>
          </cell>
          <cell r="AA202">
            <v>196089.71718201062</v>
          </cell>
          <cell r="AB202">
            <v>8333653.1749369586</v>
          </cell>
          <cell r="AC202">
            <v>1072425.0133051819</v>
          </cell>
          <cell r="AD202">
            <v>7065138.4444497656</v>
          </cell>
        </row>
        <row r="203">
          <cell r="A203" t="str">
            <v>CGI011-qtz02-CL-fit-2-offset</v>
          </cell>
          <cell r="B203">
            <v>750</v>
          </cell>
          <cell r="C203">
            <v>6.6965312637759184E-25</v>
          </cell>
          <cell r="D203">
            <v>1600</v>
          </cell>
          <cell r="E203">
            <v>1024</v>
          </cell>
          <cell r="F203">
            <v>1.5625</v>
          </cell>
          <cell r="H203">
            <v>1745790.3930630472</v>
          </cell>
          <cell r="I203">
            <v>2096227.3532085032</v>
          </cell>
          <cell r="J203">
            <v>1304582.4262589167</v>
          </cell>
          <cell r="K203">
            <v>1682889.9198048955</v>
          </cell>
          <cell r="L203">
            <v>2324091.519233102</v>
          </cell>
          <cell r="M203">
            <v>1569334.6798160998</v>
          </cell>
          <cell r="N203">
            <v>941156.78497574676</v>
          </cell>
          <cell r="O203">
            <v>792987.83324335353</v>
          </cell>
          <cell r="P203">
            <v>599965.5804373828</v>
          </cell>
          <cell r="Q203">
            <v>360991.08960666734</v>
          </cell>
          <cell r="R203">
            <v>552502.60951619653</v>
          </cell>
          <cell r="T203">
            <v>1185464.0672107043</v>
          </cell>
          <cell r="U203">
            <v>1183176.069024896</v>
          </cell>
          <cell r="V203">
            <v>1304582.4262589167</v>
          </cell>
          <cell r="X203">
            <v>1106168.9797722595</v>
          </cell>
          <cell r="Z203">
            <v>1104572.6310863723</v>
          </cell>
          <cell r="AA203">
            <v>400660.47789452731</v>
          </cell>
          <cell r="AB203">
            <v>2416599.4272319418</v>
          </cell>
          <cell r="AC203">
            <v>703912.15319184493</v>
          </cell>
          <cell r="AD203">
            <v>1312026.7961455695</v>
          </cell>
        </row>
        <row r="204">
          <cell r="A204" t="str">
            <v>CGI011-qtz02-CL-fit-3-offset</v>
          </cell>
          <cell r="B204">
            <v>750</v>
          </cell>
          <cell r="C204">
            <v>6.6965312637759184E-25</v>
          </cell>
          <cell r="D204">
            <v>1600</v>
          </cell>
          <cell r="E204">
            <v>1024</v>
          </cell>
          <cell r="F204">
            <v>1.5625</v>
          </cell>
          <cell r="H204">
            <v>330479.73615727498</v>
          </cell>
          <cell r="I204">
            <v>174646.77458147399</v>
          </cell>
          <cell r="J204">
            <v>223703.66790390515</v>
          </cell>
          <cell r="K204">
            <v>240774.63525084048</v>
          </cell>
          <cell r="L204">
            <v>364787.37667089107</v>
          </cell>
          <cell r="M204">
            <v>312427.55135450169</v>
          </cell>
          <cell r="N204">
            <v>209159.60814114424</v>
          </cell>
          <cell r="O204">
            <v>395279.28432261467</v>
          </cell>
          <cell r="P204">
            <v>52481.868627524309</v>
          </cell>
          <cell r="Q204">
            <v>161642.43174748277</v>
          </cell>
          <cell r="R204">
            <v>174240.31163821617</v>
          </cell>
          <cell r="T204">
            <v>221766.59864804757</v>
          </cell>
          <cell r="U204">
            <v>228134.85182010441</v>
          </cell>
          <cell r="V204">
            <v>223703.66790390515</v>
          </cell>
          <cell r="X204">
            <v>218943.78962808955</v>
          </cell>
          <cell r="Z204">
            <v>221131.0740802807</v>
          </cell>
          <cell r="AA204">
            <v>89570.902666418799</v>
          </cell>
          <cell r="AB204">
            <v>416467.66662084853</v>
          </cell>
          <cell r="AC204">
            <v>131560.17141386191</v>
          </cell>
          <cell r="AD204">
            <v>195336.59254056783</v>
          </cell>
        </row>
        <row r="205">
          <cell r="A205" t="str">
            <v>CGI011-qtz02-CL-fit-4-offset</v>
          </cell>
          <cell r="B205">
            <v>750</v>
          </cell>
          <cell r="C205">
            <v>6.6965312637759184E-25</v>
          </cell>
          <cell r="D205">
            <v>1600</v>
          </cell>
          <cell r="E205">
            <v>1024</v>
          </cell>
          <cell r="F205">
            <v>1.5625</v>
          </cell>
          <cell r="H205">
            <v>229842.74530339707</v>
          </cell>
          <cell r="I205">
            <v>335896.06143616297</v>
          </cell>
          <cell r="J205">
            <v>218183.47136255517</v>
          </cell>
          <cell r="K205">
            <v>234945.84367178509</v>
          </cell>
          <cell r="L205">
            <v>338034.31495529297</v>
          </cell>
          <cell r="M205">
            <v>153538.44286437304</v>
          </cell>
          <cell r="N205">
            <v>496306.87056415662</v>
          </cell>
          <cell r="O205">
            <v>101716.00275808176</v>
          </cell>
          <cell r="P205">
            <v>311942.22629017063</v>
          </cell>
          <cell r="Q205">
            <v>92355.816450904123</v>
          </cell>
          <cell r="R205">
            <v>254012.37145144824</v>
          </cell>
          <cell r="T205">
            <v>252981.03692888614</v>
          </cell>
          <cell r="U205">
            <v>238666.01058166489</v>
          </cell>
          <cell r="V205">
            <v>234945.84367178509</v>
          </cell>
          <cell r="X205">
            <v>242622.78252860392</v>
          </cell>
          <cell r="Z205">
            <v>237725.1758457128</v>
          </cell>
          <cell r="AA205">
            <v>70700.786080133199</v>
          </cell>
          <cell r="AB205">
            <v>531603.90355766285</v>
          </cell>
          <cell r="AC205">
            <v>167024.3897655796</v>
          </cell>
          <cell r="AD205">
            <v>293878.72771195008</v>
          </cell>
        </row>
        <row r="206">
          <cell r="A206" t="str">
            <v>CGI011-qtz02-CL-fit-5-offset</v>
          </cell>
          <cell r="B206">
            <v>750</v>
          </cell>
          <cell r="C206">
            <v>6.6965312637759184E-25</v>
          </cell>
          <cell r="D206">
            <v>1600</v>
          </cell>
          <cell r="E206">
            <v>1024</v>
          </cell>
          <cell r="F206">
            <v>1.5625</v>
          </cell>
          <cell r="H206">
            <v>21164.463843888014</v>
          </cell>
          <cell r="I206">
            <v>41624.413326583439</v>
          </cell>
          <cell r="J206">
            <v>38978.451675052202</v>
          </cell>
          <cell r="K206">
            <v>31893.085742929085</v>
          </cell>
          <cell r="L206">
            <v>67921.577832792333</v>
          </cell>
          <cell r="M206">
            <v>24961.644774311713</v>
          </cell>
          <cell r="N206">
            <v>139400.40078836057</v>
          </cell>
          <cell r="O206">
            <v>79902.049852585696</v>
          </cell>
          <cell r="P206">
            <v>117654.23649613858</v>
          </cell>
          <cell r="Q206">
            <v>30552.851932856931</v>
          </cell>
          <cell r="R206">
            <v>275.44113091930467</v>
          </cell>
          <cell r="T206">
            <v>63190.008530850428</v>
          </cell>
          <cell r="U206">
            <v>45042.648066337686</v>
          </cell>
          <cell r="V206">
            <v>38978.451675052202</v>
          </cell>
          <cell r="X206">
            <v>56024.642540527857</v>
          </cell>
          <cell r="Z206">
            <v>57853.389078996006</v>
          </cell>
          <cell r="AA206">
            <v>1945.3691792778263</v>
          </cell>
          <cell r="AB206">
            <v>214682.61583727045</v>
          </cell>
          <cell r="AC206">
            <v>55908.01989971818</v>
          </cell>
          <cell r="AD206">
            <v>156829.22675827445</v>
          </cell>
        </row>
        <row r="207">
          <cell r="A207" t="str">
            <v>CGI011-qtz03-CL-fit-1-offset</v>
          </cell>
          <cell r="B207">
            <v>750</v>
          </cell>
          <cell r="C207">
            <v>6.6965312637759184E-25</v>
          </cell>
          <cell r="D207">
            <v>1550</v>
          </cell>
          <cell r="E207">
            <v>1024</v>
          </cell>
          <cell r="F207">
            <v>1.513671875</v>
          </cell>
          <cell r="H207">
            <v>3417300.085527454</v>
          </cell>
          <cell r="I207">
            <v>1637756.9454375077</v>
          </cell>
          <cell r="J207">
            <v>3159788.2955363714</v>
          </cell>
          <cell r="K207">
            <v>1221458.8651460153</v>
          </cell>
          <cell r="L207">
            <v>1449633.4334241971</v>
          </cell>
          <cell r="M207">
            <v>1436383.0792132728</v>
          </cell>
          <cell r="N207">
            <v>1179004.9543224727</v>
          </cell>
          <cell r="O207">
            <v>957651.21952004137</v>
          </cell>
          <cell r="P207">
            <v>1050072.2370545599</v>
          </cell>
          <cell r="Q207">
            <v>1166465.7781911371</v>
          </cell>
          <cell r="R207">
            <v>1536113.2481626819</v>
          </cell>
          <cell r="T207">
            <v>1507315.3792917072</v>
          </cell>
          <cell r="U207">
            <v>1578951.1170894196</v>
          </cell>
          <cell r="V207">
            <v>1436383.0792132728</v>
          </cell>
          <cell r="X207">
            <v>1485602.0539324242</v>
          </cell>
          <cell r="Z207">
            <v>1509750.9069757881</v>
          </cell>
          <cell r="AA207">
            <v>898973.45522692252</v>
          </cell>
          <cell r="AB207">
            <v>2438604.8382359953</v>
          </cell>
          <cell r="AC207">
            <v>610777.45174886554</v>
          </cell>
          <cell r="AD207">
            <v>928853.9312602072</v>
          </cell>
        </row>
        <row r="208">
          <cell r="A208" t="str">
            <v>CGI011-qtz03-CL-fit-2-offset</v>
          </cell>
          <cell r="B208">
            <v>750</v>
          </cell>
          <cell r="C208">
            <v>6.6965312637759184E-25</v>
          </cell>
          <cell r="D208">
            <v>1550</v>
          </cell>
          <cell r="E208">
            <v>1024</v>
          </cell>
          <cell r="F208">
            <v>1.513671875</v>
          </cell>
          <cell r="H208">
            <v>551524.02451846737</v>
          </cell>
          <cell r="I208">
            <v>1152996.4153958112</v>
          </cell>
          <cell r="J208">
            <v>1035497.2050811339</v>
          </cell>
          <cell r="K208">
            <v>701530.6017247861</v>
          </cell>
          <cell r="L208">
            <v>857468.99333716242</v>
          </cell>
          <cell r="M208">
            <v>1339989.3983632331</v>
          </cell>
          <cell r="N208">
            <v>897782.35064414202</v>
          </cell>
          <cell r="O208">
            <v>814314.87784501002</v>
          </cell>
          <cell r="P208">
            <v>89660.045448881094</v>
          </cell>
          <cell r="Q208">
            <v>1346382.3688625558</v>
          </cell>
          <cell r="R208">
            <v>860980.03553225717</v>
          </cell>
          <cell r="T208">
            <v>896093.76093731821</v>
          </cell>
          <cell r="U208">
            <v>825245.82987767179</v>
          </cell>
          <cell r="V208">
            <v>860980.03553225717</v>
          </cell>
          <cell r="X208">
            <v>843998.39922421391</v>
          </cell>
          <cell r="Z208">
            <v>865326.04165468598</v>
          </cell>
          <cell r="AA208">
            <v>484864.17212692258</v>
          </cell>
          <cell r="AB208">
            <v>1508602.7088570951</v>
          </cell>
          <cell r="AC208">
            <v>380461.8695277634</v>
          </cell>
          <cell r="AD208">
            <v>643276.66720240912</v>
          </cell>
        </row>
        <row r="209">
          <cell r="A209" t="str">
            <v>CGI011-qtz03-CL-fit-3-offset</v>
          </cell>
          <cell r="B209">
            <v>750</v>
          </cell>
          <cell r="C209">
            <v>6.6965312637759184E-25</v>
          </cell>
          <cell r="D209">
            <v>1550</v>
          </cell>
          <cell r="E209">
            <v>1024</v>
          </cell>
          <cell r="F209">
            <v>1.513671875</v>
          </cell>
          <cell r="H209">
            <v>269890.65575158788</v>
          </cell>
          <cell r="I209">
            <v>162785.60055842361</v>
          </cell>
          <cell r="J209">
            <v>166655.26206953052</v>
          </cell>
          <cell r="K209">
            <v>183006.52436428741</v>
          </cell>
          <cell r="L209">
            <v>341842.12604277919</v>
          </cell>
          <cell r="M209">
            <v>345056.73049152631</v>
          </cell>
          <cell r="N209">
            <v>278782.81566683506</v>
          </cell>
          <cell r="O209">
            <v>300686.53789876058</v>
          </cell>
          <cell r="P209">
            <v>213275.08242766149</v>
          </cell>
          <cell r="Q209">
            <v>295811.70207365236</v>
          </cell>
          <cell r="R209">
            <v>243094.2266992298</v>
          </cell>
          <cell r="T209">
            <v>250457.78783384789</v>
          </cell>
          <cell r="U209">
            <v>250562.90333646917</v>
          </cell>
          <cell r="V209">
            <v>269890.65575158788</v>
          </cell>
          <cell r="X209">
            <v>238799.16683317543</v>
          </cell>
          <cell r="Z209">
            <v>239752.50073259984</v>
          </cell>
          <cell r="AA209">
            <v>138389.3949048284</v>
          </cell>
          <cell r="AB209">
            <v>399800.02236847242</v>
          </cell>
          <cell r="AC209">
            <v>101363.10582777145</v>
          </cell>
          <cell r="AD209">
            <v>160047.52163587257</v>
          </cell>
        </row>
        <row r="210">
          <cell r="A210" t="str">
            <v>CGI011-qtz04-CL-fit-1-offset</v>
          </cell>
          <cell r="B210">
            <v>750</v>
          </cell>
          <cell r="C210">
            <v>6.6965312637759184E-25</v>
          </cell>
          <cell r="D210">
            <v>1800</v>
          </cell>
          <cell r="E210">
            <v>1024</v>
          </cell>
          <cell r="F210">
            <v>1.7578125</v>
          </cell>
          <cell r="H210">
            <v>615494.86660356261</v>
          </cell>
          <cell r="I210">
            <v>143593.73178365719</v>
          </cell>
          <cell r="J210">
            <v>212097.83429913202</v>
          </cell>
          <cell r="K210">
            <v>500017.40531367663</v>
          </cell>
          <cell r="L210">
            <v>887137.86898725084</v>
          </cell>
          <cell r="M210">
            <v>307117.15580860851</v>
          </cell>
          <cell r="N210">
            <v>1036632.9397162137</v>
          </cell>
          <cell r="O210">
            <v>307956.49184809078</v>
          </cell>
          <cell r="P210">
            <v>318847.96731026622</v>
          </cell>
          <cell r="Q210">
            <v>415164.34614908992</v>
          </cell>
          <cell r="R210">
            <v>886905.61648443306</v>
          </cell>
          <cell r="T210">
            <v>415911.73750170361</v>
          </cell>
          <cell r="U210">
            <v>471224.73790099582</v>
          </cell>
          <cell r="V210">
            <v>415164.34614908992</v>
          </cell>
          <cell r="X210">
            <v>379803.854419343</v>
          </cell>
          <cell r="Z210">
            <v>425382.45236315049</v>
          </cell>
          <cell r="AA210">
            <v>139550.86208834633</v>
          </cell>
          <cell r="AB210">
            <v>1269742.0392175685</v>
          </cell>
          <cell r="AC210">
            <v>285831.59027480416</v>
          </cell>
          <cell r="AD210">
            <v>844359.58685441804</v>
          </cell>
        </row>
        <row r="211">
          <cell r="A211" t="str">
            <v>CGI011-qtz04-CL-fit-2-offset</v>
          </cell>
          <cell r="B211">
            <v>750</v>
          </cell>
          <cell r="C211">
            <v>6.6965312637759184E-25</v>
          </cell>
          <cell r="D211">
            <v>1800</v>
          </cell>
          <cell r="E211">
            <v>1024</v>
          </cell>
          <cell r="F211">
            <v>1.7578125</v>
          </cell>
          <cell r="H211">
            <v>228629.5188144976</v>
          </cell>
          <cell r="I211">
            <v>323283.20804158482</v>
          </cell>
          <cell r="J211">
            <v>93622.80940155017</v>
          </cell>
          <cell r="K211">
            <v>372484.61075747863</v>
          </cell>
          <cell r="L211">
            <v>233191.96148518022</v>
          </cell>
          <cell r="M211">
            <v>73056.296356326959</v>
          </cell>
          <cell r="N211">
            <v>203399.04229342489</v>
          </cell>
          <cell r="O211">
            <v>353279.86865560163</v>
          </cell>
          <cell r="P211">
            <v>757767.95606523252</v>
          </cell>
          <cell r="Q211">
            <v>92805.551888092305</v>
          </cell>
          <cell r="R211">
            <v>251895.03540452974</v>
          </cell>
          <cell r="T211">
            <v>230483.56591732166</v>
          </cell>
          <cell r="U211">
            <v>244450.78923660633</v>
          </cell>
          <cell r="V211">
            <v>233191.96148518022</v>
          </cell>
          <cell r="X211">
            <v>218418.15637636409</v>
          </cell>
          <cell r="Z211">
            <v>214564.12910632894</v>
          </cell>
          <cell r="AA211">
            <v>5433.6797518101539</v>
          </cell>
          <cell r="AB211">
            <v>608404.92915232433</v>
          </cell>
          <cell r="AC211">
            <v>209130.44935451879</v>
          </cell>
          <cell r="AD211">
            <v>393840.80004599539</v>
          </cell>
        </row>
        <row r="212">
          <cell r="A212" t="str">
            <v>CGI011-qtz04-CL-fit-3-offset</v>
          </cell>
          <cell r="B212">
            <v>750</v>
          </cell>
          <cell r="C212">
            <v>6.6965312637759184E-25</v>
          </cell>
          <cell r="D212">
            <v>1800</v>
          </cell>
          <cell r="E212">
            <v>1024</v>
          </cell>
          <cell r="F212">
            <v>1.7578125</v>
          </cell>
          <cell r="H212">
            <v>272037.19500900572</v>
          </cell>
          <cell r="I212">
            <v>488651.10583123227</v>
          </cell>
          <cell r="J212">
            <v>531744.39057063684</v>
          </cell>
          <cell r="K212">
            <v>442037.44391115231</v>
          </cell>
          <cell r="L212">
            <v>390457.40123866702</v>
          </cell>
          <cell r="M212">
            <v>612780.04442122951</v>
          </cell>
          <cell r="N212">
            <v>391867.90603900427</v>
          </cell>
          <cell r="O212">
            <v>467704.14590100909</v>
          </cell>
          <cell r="P212">
            <v>277717.36310589279</v>
          </cell>
          <cell r="Q212">
            <v>287838.47118863737</v>
          </cell>
          <cell r="R212">
            <v>400637.10496235907</v>
          </cell>
          <cell r="T212">
            <v>421325.28323379502</v>
          </cell>
          <cell r="U212">
            <v>408283.77517167322</v>
          </cell>
          <cell r="V212">
            <v>400637.10496235907</v>
          </cell>
          <cell r="X212">
            <v>419803.40600755491</v>
          </cell>
          <cell r="Z212">
            <v>420069.31676929828</v>
          </cell>
          <cell r="AA212">
            <v>226072.61167041774</v>
          </cell>
          <cell r="AB212">
            <v>717489.43023925775</v>
          </cell>
          <cell r="AC212">
            <v>193996.70509888054</v>
          </cell>
          <cell r="AD212">
            <v>297420.11346995947</v>
          </cell>
        </row>
        <row r="213">
          <cell r="A213" t="str">
            <v>CGI011-qtz04-CL-fit-4-offset</v>
          </cell>
          <cell r="B213">
            <v>750</v>
          </cell>
          <cell r="C213">
            <v>6.6965312637759184E-25</v>
          </cell>
          <cell r="D213">
            <v>1800</v>
          </cell>
          <cell r="E213">
            <v>1024</v>
          </cell>
          <cell r="F213">
            <v>1.7578125</v>
          </cell>
          <cell r="H213">
            <v>162763.44785400713</v>
          </cell>
          <cell r="I213">
            <v>218744.72552875319</v>
          </cell>
          <cell r="J213">
            <v>181761.51814937839</v>
          </cell>
          <cell r="K213">
            <v>113279.85802022017</v>
          </cell>
          <cell r="L213">
            <v>173082.68925211375</v>
          </cell>
          <cell r="M213">
            <v>166958.56095413593</v>
          </cell>
          <cell r="N213">
            <v>263307.74016287515</v>
          </cell>
          <cell r="O213">
            <v>227746.76298611492</v>
          </cell>
          <cell r="P213">
            <v>0</v>
          </cell>
          <cell r="Q213">
            <v>586419.53659448086</v>
          </cell>
          <cell r="R213">
            <v>584934.576296182</v>
          </cell>
          <cell r="T213">
            <v>267071.68076768663</v>
          </cell>
          <cell r="U213">
            <v>247967.98563523908</v>
          </cell>
          <cell r="V213">
            <v>199825.32395006806</v>
          </cell>
          <cell r="X213">
            <v>257206.96898294843</v>
          </cell>
          <cell r="Z213">
            <v>263190.17940977745</v>
          </cell>
          <cell r="AA213">
            <v>68058.349868044839</v>
          </cell>
          <cell r="AB213">
            <v>602309.2911028245</v>
          </cell>
          <cell r="AC213">
            <v>195131.82954173262</v>
          </cell>
          <cell r="AD213">
            <v>339119.11169304705</v>
          </cell>
        </row>
        <row r="214">
          <cell r="A214" t="str">
            <v>CGI011-qtz04-CL-fit-5-offset</v>
          </cell>
          <cell r="B214">
            <v>750</v>
          </cell>
          <cell r="C214">
            <v>6.6965312637759184E-25</v>
          </cell>
          <cell r="D214">
            <v>1800</v>
          </cell>
          <cell r="E214">
            <v>1024</v>
          </cell>
          <cell r="F214">
            <v>1.7578125</v>
          </cell>
          <cell r="H214">
            <v>17236.073536009611</v>
          </cell>
          <cell r="I214">
            <v>65651.397846865089</v>
          </cell>
          <cell r="J214">
            <v>2562.9155496881549</v>
          </cell>
          <cell r="K214">
            <v>41446.809326663344</v>
          </cell>
          <cell r="L214">
            <v>15656.457332601622</v>
          </cell>
          <cell r="M214">
            <v>37168.471051822962</v>
          </cell>
          <cell r="N214">
            <v>86719.223105363635</v>
          </cell>
          <cell r="O214">
            <v>56464.045352137146</v>
          </cell>
          <cell r="P214">
            <v>22500.778206663177</v>
          </cell>
          <cell r="Q214">
            <v>55543.164214766795</v>
          </cell>
          <cell r="R214">
            <v>50586.858832123289</v>
          </cell>
          <cell r="T214">
            <v>36902.423965928414</v>
          </cell>
          <cell r="U214">
            <v>36527.389492299917</v>
          </cell>
          <cell r="V214">
            <v>41446.809326663344</v>
          </cell>
          <cell r="X214">
            <v>34009.109862722253</v>
          </cell>
          <cell r="Z214">
            <v>34157.063081536733</v>
          </cell>
          <cell r="AA214">
            <v>1096.2675218355071</v>
          </cell>
          <cell r="AB214">
            <v>129264.44638117526</v>
          </cell>
          <cell r="AC214">
            <v>33060.795559701226</v>
          </cell>
          <cell r="AD214">
            <v>95107.383299638532</v>
          </cell>
        </row>
        <row r="215">
          <cell r="A215" t="str">
            <v>CGI011-qtz05-CL-fit-1-offset</v>
          </cell>
          <cell r="B215">
            <v>750</v>
          </cell>
          <cell r="C215">
            <v>6.6965312637759184E-25</v>
          </cell>
          <cell r="D215">
            <v>2200</v>
          </cell>
          <cell r="E215">
            <v>1024</v>
          </cell>
          <cell r="F215">
            <v>2.1484375</v>
          </cell>
          <cell r="H215">
            <v>974101.62004818837</v>
          </cell>
          <cell r="I215">
            <v>1569977.9508136425</v>
          </cell>
          <cell r="J215">
            <v>741472.89885719144</v>
          </cell>
          <cell r="K215">
            <v>1660539.0311514393</v>
          </cell>
          <cell r="L215">
            <v>406930.92694749549</v>
          </cell>
          <cell r="M215">
            <v>1971823.4705075491</v>
          </cell>
          <cell r="N215">
            <v>1206962.9494350674</v>
          </cell>
          <cell r="O215">
            <v>1570196.4815291842</v>
          </cell>
          <cell r="P215">
            <v>1161074.5237647872</v>
          </cell>
          <cell r="Q215">
            <v>1485995.0411252566</v>
          </cell>
          <cell r="R215">
            <v>1483457.5402294593</v>
          </cell>
          <cell r="T215">
            <v>1217687.1228525594</v>
          </cell>
          <cell r="U215">
            <v>1249924.0501890206</v>
          </cell>
          <cell r="V215">
            <v>1483457.5402294593</v>
          </cell>
          <cell r="X215">
            <v>1105240.427071024</v>
          </cell>
          <cell r="Z215">
            <v>1037580.5444758923</v>
          </cell>
          <cell r="AA215">
            <v>5315.2851537317501</v>
          </cell>
          <cell r="AB215">
            <v>2358856.6911176555</v>
          </cell>
          <cell r="AC215">
            <v>1032265.2593221606</v>
          </cell>
          <cell r="AD215">
            <v>1321276.1466417632</v>
          </cell>
        </row>
        <row r="216">
          <cell r="A216" t="str">
            <v>CGI011-qtz05-CL-fit-2-offset</v>
          </cell>
          <cell r="B216">
            <v>750</v>
          </cell>
          <cell r="C216">
            <v>6.6965312637759184E-25</v>
          </cell>
          <cell r="D216">
            <v>2200</v>
          </cell>
          <cell r="E216">
            <v>1024</v>
          </cell>
          <cell r="F216">
            <v>2.1484375</v>
          </cell>
          <cell r="H216">
            <v>3502081.2492090943</v>
          </cell>
          <cell r="I216">
            <v>1901534.1195183885</v>
          </cell>
          <cell r="J216">
            <v>1532996.4822800197</v>
          </cell>
          <cell r="K216">
            <v>1893845.1511344484</v>
          </cell>
          <cell r="L216">
            <v>2893735.3660240127</v>
          </cell>
          <cell r="M216">
            <v>1671412.1415654838</v>
          </cell>
          <cell r="N216">
            <v>2062671.1792909941</v>
          </cell>
          <cell r="O216">
            <v>1674111.988628896</v>
          </cell>
          <cell r="P216">
            <v>1848550.7123769596</v>
          </cell>
          <cell r="Q216">
            <v>1589832.4621137893</v>
          </cell>
          <cell r="R216">
            <v>1474702.6544057506</v>
          </cell>
          <cell r="T216">
            <v>1903935.811133509</v>
          </cell>
          <cell r="U216">
            <v>1965995.6688728959</v>
          </cell>
          <cell r="V216">
            <v>1848550.7123769596</v>
          </cell>
          <cell r="X216">
            <v>1913994.357805568</v>
          </cell>
          <cell r="Z216">
            <v>2001197.0449050574</v>
          </cell>
          <cell r="AA216">
            <v>1344768.0026864535</v>
          </cell>
          <cell r="AB216">
            <v>3972481.8191680196</v>
          </cell>
          <cell r="AC216">
            <v>656429.04221860389</v>
          </cell>
          <cell r="AD216">
            <v>1971284.7742629622</v>
          </cell>
        </row>
        <row r="217">
          <cell r="A217" t="str">
            <v>CGI011-qtz05-CL-fit-3-offset</v>
          </cell>
          <cell r="B217">
            <v>750</v>
          </cell>
          <cell r="C217">
            <v>6.6965312637759184E-25</v>
          </cell>
          <cell r="D217">
            <v>2200</v>
          </cell>
          <cell r="E217">
            <v>1024</v>
          </cell>
          <cell r="F217">
            <v>2.1484375</v>
          </cell>
          <cell r="H217">
            <v>1399487.9655591536</v>
          </cell>
          <cell r="I217">
            <v>825349.52738849819</v>
          </cell>
          <cell r="J217">
            <v>718309.87414706056</v>
          </cell>
          <cell r="K217">
            <v>794827.86385117495</v>
          </cell>
          <cell r="L217">
            <v>1016532.606608926</v>
          </cell>
          <cell r="M217">
            <v>370019.12324402115</v>
          </cell>
          <cell r="N217">
            <v>869448.52730436064</v>
          </cell>
          <cell r="O217">
            <v>1275381.2976256504</v>
          </cell>
          <cell r="P217">
            <v>1111192.6732789667</v>
          </cell>
          <cell r="Q217">
            <v>1130651.7619094499</v>
          </cell>
          <cell r="R217">
            <v>1697281.4542958168</v>
          </cell>
          <cell r="T217">
            <v>992577.0350509017</v>
          </cell>
          <cell r="U217">
            <v>987149.5886885298</v>
          </cell>
          <cell r="V217">
            <v>1016532.606608926</v>
          </cell>
          <cell r="X217">
            <v>971802.39334993053</v>
          </cell>
          <cell r="Z217">
            <v>975533.25319274119</v>
          </cell>
          <cell r="AA217">
            <v>400177.00192431803</v>
          </cell>
          <cell r="AB217">
            <v>1866951.7089871764</v>
          </cell>
          <cell r="AC217">
            <v>575356.25126842316</v>
          </cell>
          <cell r="AD217">
            <v>891418.45579443523</v>
          </cell>
        </row>
        <row r="218">
          <cell r="A218" t="str">
            <v>CGI011-qtz05-CL-fit-4-offset</v>
          </cell>
          <cell r="B218">
            <v>750</v>
          </cell>
          <cell r="C218">
            <v>6.6965312637759184E-25</v>
          </cell>
          <cell r="D218">
            <v>2200</v>
          </cell>
          <cell r="E218">
            <v>1024</v>
          </cell>
          <cell r="F218">
            <v>2.1484375</v>
          </cell>
          <cell r="H218">
            <v>477546.30551074294</v>
          </cell>
          <cell r="I218">
            <v>465284.98213581333</v>
          </cell>
          <cell r="J218">
            <v>240485.53161489376</v>
          </cell>
          <cell r="K218">
            <v>88751.705494798167</v>
          </cell>
          <cell r="L218">
            <v>556992.90235213446</v>
          </cell>
          <cell r="M218">
            <v>261101.82562768299</v>
          </cell>
          <cell r="N218">
            <v>345257.26111286337</v>
          </cell>
          <cell r="O218">
            <v>255361.97141028638</v>
          </cell>
          <cell r="P218">
            <v>118838.87425044402</v>
          </cell>
          <cell r="Q218">
            <v>104469.04266204886</v>
          </cell>
          <cell r="R218">
            <v>384410.05582114274</v>
          </cell>
          <cell r="T218">
            <v>315934.01888577995</v>
          </cell>
          <cell r="U218">
            <v>277982.59410470451</v>
          </cell>
          <cell r="V218">
            <v>261101.82562768299</v>
          </cell>
          <cell r="X218">
            <v>298735.841335551</v>
          </cell>
          <cell r="Z218">
            <v>302668.31959354528</v>
          </cell>
          <cell r="AA218">
            <v>53654.669182161058</v>
          </cell>
          <cell r="AB218">
            <v>798325.94714074139</v>
          </cell>
          <cell r="AC218">
            <v>249013.65041138424</v>
          </cell>
          <cell r="AD218">
            <v>495657.62754719611</v>
          </cell>
        </row>
        <row r="219">
          <cell r="A219" t="str">
            <v>CGI011-qtz05-CL-fit-5-offset</v>
          </cell>
          <cell r="B219">
            <v>750</v>
          </cell>
          <cell r="C219">
            <v>6.6965312637759184E-25</v>
          </cell>
          <cell r="D219">
            <v>2200</v>
          </cell>
          <cell r="E219">
            <v>1024</v>
          </cell>
          <cell r="F219">
            <v>2.1484375</v>
          </cell>
          <cell r="H219">
            <v>283343.23950249195</v>
          </cell>
          <cell r="I219">
            <v>314160.47104543564</v>
          </cell>
          <cell r="J219">
            <v>219758.68093198011</v>
          </cell>
          <cell r="K219">
            <v>246878.86787494205</v>
          </cell>
          <cell r="L219">
            <v>422160.42556023994</v>
          </cell>
          <cell r="M219">
            <v>358065.03996565397</v>
          </cell>
          <cell r="N219">
            <v>219992.14874503811</v>
          </cell>
          <cell r="O219">
            <v>323289.24180908315</v>
          </cell>
          <cell r="P219">
            <v>152348.12114436788</v>
          </cell>
          <cell r="Q219">
            <v>346361.37299443682</v>
          </cell>
          <cell r="R219">
            <v>404978.15490579145</v>
          </cell>
          <cell r="T219">
            <v>301483.57894848636</v>
          </cell>
          <cell r="U219">
            <v>293509.58438313886</v>
          </cell>
          <cell r="V219">
            <v>314160.47104543564</v>
          </cell>
          <cell r="X219">
            <v>296611.31245000829</v>
          </cell>
          <cell r="Z219">
            <v>290007.38869800465</v>
          </cell>
          <cell r="AA219">
            <v>90573.527427122128</v>
          </cell>
          <cell r="AB219">
            <v>566645.44308251294</v>
          </cell>
          <cell r="AC219">
            <v>199433.86127088254</v>
          </cell>
          <cell r="AD219">
            <v>276638.05438450829</v>
          </cell>
        </row>
        <row r="220">
          <cell r="A220" t="str">
            <v>CGI011-qtz06-CL-fit-1-offset</v>
          </cell>
          <cell r="B220">
            <v>750</v>
          </cell>
          <cell r="C220">
            <v>6.6965312637759184E-25</v>
          </cell>
          <cell r="D220">
            <v>1650</v>
          </cell>
          <cell r="E220">
            <v>1024</v>
          </cell>
          <cell r="F220">
            <v>1.611328125</v>
          </cell>
          <cell r="H220">
            <v>3477088.7374828542</v>
          </cell>
          <cell r="I220">
            <v>4026307.27795988</v>
          </cell>
          <cell r="J220">
            <v>3065687.4143670821</v>
          </cell>
          <cell r="K220">
            <v>4577153.6113514872</v>
          </cell>
          <cell r="L220">
            <v>4730033.5564911095</v>
          </cell>
          <cell r="M220">
            <v>4988552.5306031154</v>
          </cell>
          <cell r="N220">
            <v>4074172.2266553799</v>
          </cell>
          <cell r="O220">
            <v>3385961.3579341904</v>
          </cell>
          <cell r="P220">
            <v>4860466.8476305865</v>
          </cell>
          <cell r="Q220">
            <v>4214083.6459895968</v>
          </cell>
          <cell r="R220">
            <v>3473240.7598005901</v>
          </cell>
          <cell r="T220">
            <v>4079054.2078322307</v>
          </cell>
          <cell r="U220">
            <v>4054607.0411906592</v>
          </cell>
          <cell r="V220">
            <v>4074172.2266553799</v>
          </cell>
          <cell r="X220">
            <v>4057680.0495147724</v>
          </cell>
          <cell r="Z220">
            <v>4113638.6490359013</v>
          </cell>
          <cell r="AA220">
            <v>2657959.1975910626</v>
          </cell>
          <cell r="AB220">
            <v>6242161.1902409466</v>
          </cell>
          <cell r="AC220">
            <v>1455679.4514448387</v>
          </cell>
          <cell r="AD220">
            <v>2128522.5412050453</v>
          </cell>
        </row>
        <row r="221">
          <cell r="A221" t="str">
            <v>CGI011-qtz06-CL-fit-2-offset</v>
          </cell>
          <cell r="B221">
            <v>750</v>
          </cell>
          <cell r="C221">
            <v>6.6965312637759184E-25</v>
          </cell>
          <cell r="D221">
            <v>1650</v>
          </cell>
          <cell r="E221">
            <v>1024</v>
          </cell>
          <cell r="F221">
            <v>1.611328125</v>
          </cell>
          <cell r="H221">
            <v>1180857.3120357771</v>
          </cell>
          <cell r="I221">
            <v>1184049.7220361077</v>
          </cell>
          <cell r="J221">
            <v>1036094.5264834894</v>
          </cell>
          <cell r="K221">
            <v>1383177.0768215919</v>
          </cell>
          <cell r="L221">
            <v>1238330.6094384368</v>
          </cell>
          <cell r="M221">
            <v>1511244.6240326795</v>
          </cell>
          <cell r="N221">
            <v>1355947.0731849109</v>
          </cell>
          <cell r="O221">
            <v>1599351.6667365963</v>
          </cell>
          <cell r="P221">
            <v>1136277.7553016203</v>
          </cell>
          <cell r="Q221">
            <v>1310973.4092300681</v>
          </cell>
          <cell r="R221">
            <v>1226889.5264171013</v>
          </cell>
          <cell r="T221">
            <v>1299199.3786474101</v>
          </cell>
          <cell r="U221">
            <v>1282785.4741452378</v>
          </cell>
          <cell r="V221">
            <v>1238330.6094384368</v>
          </cell>
          <cell r="X221">
            <v>1273804.3138458999</v>
          </cell>
          <cell r="Z221">
            <v>1297490.7545583423</v>
          </cell>
          <cell r="AA221">
            <v>824582.07164990273</v>
          </cell>
          <cell r="AB221">
            <v>1986160.4860228263</v>
          </cell>
          <cell r="AC221">
            <v>472908.68290843954</v>
          </cell>
          <cell r="AD221">
            <v>688669.73146448401</v>
          </cell>
        </row>
        <row r="222">
          <cell r="A222" t="str">
            <v>CGI011-qtz06-CL-fit-3-offset</v>
          </cell>
          <cell r="B222">
            <v>750</v>
          </cell>
          <cell r="C222">
            <v>6.6965312637759184E-25</v>
          </cell>
          <cell r="D222">
            <v>1650</v>
          </cell>
          <cell r="E222">
            <v>1024</v>
          </cell>
          <cell r="F222">
            <v>1.611328125</v>
          </cell>
          <cell r="H222">
            <v>390070.60995951848</v>
          </cell>
          <cell r="I222">
            <v>304756.97268818971</v>
          </cell>
          <cell r="J222">
            <v>211759.2321883195</v>
          </cell>
          <cell r="K222">
            <v>348591.01543550973</v>
          </cell>
          <cell r="L222">
            <v>585331.02182946284</v>
          </cell>
          <cell r="M222">
            <v>331480.59137735621</v>
          </cell>
          <cell r="N222">
            <v>591040.55123473844</v>
          </cell>
          <cell r="O222">
            <v>391075.73418741854</v>
          </cell>
          <cell r="P222">
            <v>413709.33242419071</v>
          </cell>
          <cell r="Q222">
            <v>353648.60746006295</v>
          </cell>
          <cell r="R222">
            <v>574057.82216146623</v>
          </cell>
          <cell r="T222">
            <v>396353.75072841451</v>
          </cell>
          <cell r="U222">
            <v>400080.43365808664</v>
          </cell>
          <cell r="V222">
            <v>390070.60995951848</v>
          </cell>
          <cell r="X222">
            <v>385543.7881339225</v>
          </cell>
          <cell r="Z222">
            <v>386468.68562660058</v>
          </cell>
          <cell r="AA222">
            <v>187460.05925433192</v>
          </cell>
          <cell r="AB222">
            <v>637699.16393657378</v>
          </cell>
          <cell r="AC222">
            <v>199008.62637226866</v>
          </cell>
          <cell r="AD222">
            <v>251230.4783099732</v>
          </cell>
        </row>
        <row r="223">
          <cell r="A223" t="str">
            <v>CGI011-qtz06-CL-fit-4-offset</v>
          </cell>
          <cell r="B223">
            <v>750</v>
          </cell>
          <cell r="C223">
            <v>6.6965312637759184E-25</v>
          </cell>
          <cell r="D223">
            <v>1650</v>
          </cell>
          <cell r="E223">
            <v>1024</v>
          </cell>
          <cell r="F223">
            <v>1.611328125</v>
          </cell>
          <cell r="H223">
            <v>227222.91416700225</v>
          </cell>
          <cell r="I223">
            <v>154457.7925558103</v>
          </cell>
          <cell r="J223">
            <v>270947.36400815164</v>
          </cell>
          <cell r="K223">
            <v>311738.44555090094</v>
          </cell>
          <cell r="L223">
            <v>456413.45187968638</v>
          </cell>
          <cell r="M223">
            <v>105546.77003861681</v>
          </cell>
          <cell r="N223">
            <v>341145.21466420061</v>
          </cell>
          <cell r="O223">
            <v>199357.13349357893</v>
          </cell>
          <cell r="P223">
            <v>338362.57534726924</v>
          </cell>
          <cell r="Q223">
            <v>195451.29221071154</v>
          </cell>
          <cell r="R223">
            <v>460458.7226114198</v>
          </cell>
          <cell r="T223">
            <v>282163.31529048574</v>
          </cell>
          <cell r="U223">
            <v>266814.04120030382</v>
          </cell>
          <cell r="V223">
            <v>270947.36400815164</v>
          </cell>
          <cell r="X223">
            <v>265015.01835223072</v>
          </cell>
          <cell r="Z223">
            <v>266235.61696088652</v>
          </cell>
          <cell r="AA223">
            <v>93081.770204209926</v>
          </cell>
          <cell r="AB223">
            <v>566507.49163633829</v>
          </cell>
          <cell r="AC223">
            <v>173153.84675667659</v>
          </cell>
          <cell r="AD223">
            <v>300271.87467545178</v>
          </cell>
        </row>
        <row r="224">
          <cell r="A224" t="str">
            <v>CGI011-qtz07-CL-fit-1-offset</v>
          </cell>
          <cell r="B224">
            <v>750</v>
          </cell>
          <cell r="C224">
            <v>6.6965312637759184E-25</v>
          </cell>
          <cell r="D224">
            <v>1250</v>
          </cell>
          <cell r="E224">
            <v>1024</v>
          </cell>
          <cell r="F224">
            <v>1.220703125</v>
          </cell>
          <cell r="H224">
            <v>549422.93499978143</v>
          </cell>
          <cell r="I224">
            <v>503599.20279314194</v>
          </cell>
          <cell r="J224">
            <v>682500.84207259223</v>
          </cell>
          <cell r="K224">
            <v>476332.92186508438</v>
          </cell>
          <cell r="L224">
            <v>667765.29309434572</v>
          </cell>
          <cell r="M224">
            <v>309876.30471078429</v>
          </cell>
          <cell r="N224">
            <v>442400.00314710458</v>
          </cell>
          <cell r="O224">
            <v>553279.3013579509</v>
          </cell>
          <cell r="P224">
            <v>394838.79344879778</v>
          </cell>
          <cell r="Q224">
            <v>432246.96611484187</v>
          </cell>
          <cell r="R224">
            <v>365473.54196624091</v>
          </cell>
          <cell r="T224">
            <v>471106.51506183064</v>
          </cell>
          <cell r="U224">
            <v>482435.97389955842</v>
          </cell>
          <cell r="V224">
            <v>476332.92186508438</v>
          </cell>
          <cell r="X224">
            <v>459905.52710140683</v>
          </cell>
          <cell r="Z224">
            <v>469163.62749363401</v>
          </cell>
          <cell r="AA224">
            <v>278621.8788703091</v>
          </cell>
          <cell r="AB224">
            <v>804264.2870866009</v>
          </cell>
          <cell r="AC224">
            <v>190541.74862332491</v>
          </cell>
          <cell r="AD224">
            <v>335100.6595929669</v>
          </cell>
        </row>
        <row r="225">
          <cell r="A225" t="str">
            <v>CGI011-qtz07-CL-fit-2-offset</v>
          </cell>
          <cell r="B225">
            <v>750</v>
          </cell>
          <cell r="C225">
            <v>6.6965312637759184E-25</v>
          </cell>
          <cell r="D225">
            <v>1250</v>
          </cell>
          <cell r="E225">
            <v>1024</v>
          </cell>
          <cell r="F225">
            <v>1.220703125</v>
          </cell>
          <cell r="H225">
            <v>195426.55599705112</v>
          </cell>
          <cell r="I225">
            <v>334812.47442227259</v>
          </cell>
          <cell r="J225">
            <v>220549.41776581656</v>
          </cell>
          <cell r="K225">
            <v>206102.83575655741</v>
          </cell>
          <cell r="L225">
            <v>356281.09780322376</v>
          </cell>
          <cell r="M225">
            <v>283890.69517886237</v>
          </cell>
          <cell r="N225">
            <v>246017.27600545672</v>
          </cell>
          <cell r="O225">
            <v>143884.22938920479</v>
          </cell>
          <cell r="P225">
            <v>124374.86753867666</v>
          </cell>
          <cell r="Q225">
            <v>209557.18532459991</v>
          </cell>
          <cell r="R225">
            <v>200457.25499757787</v>
          </cell>
          <cell r="T225">
            <v>220014.77978127086</v>
          </cell>
          <cell r="U225">
            <v>224116.91858732395</v>
          </cell>
          <cell r="V225">
            <v>209557.18532459991</v>
          </cell>
          <cell r="X225">
            <v>216572.00210934153</v>
          </cell>
          <cell r="Z225">
            <v>216936.76303108808</v>
          </cell>
          <cell r="AA225">
            <v>109767.79907820659</v>
          </cell>
          <cell r="AB225">
            <v>392330.8735474284</v>
          </cell>
          <cell r="AC225">
            <v>107168.96395288149</v>
          </cell>
          <cell r="AD225">
            <v>175394.11051634033</v>
          </cell>
        </row>
        <row r="226">
          <cell r="A226" t="str">
            <v>CGI011-qtz07-CL-fit-3-offset</v>
          </cell>
          <cell r="B226">
            <v>750</v>
          </cell>
          <cell r="C226">
            <v>6.6965312637759184E-25</v>
          </cell>
          <cell r="D226">
            <v>1250</v>
          </cell>
          <cell r="E226">
            <v>1024</v>
          </cell>
          <cell r="F226">
            <v>1.220703125</v>
          </cell>
          <cell r="H226">
            <v>311917.33317074692</v>
          </cell>
          <cell r="I226">
            <v>238225.02014390234</v>
          </cell>
          <cell r="J226">
            <v>180337.71154606409</v>
          </cell>
          <cell r="K226">
            <v>186900.18734124891</v>
          </cell>
          <cell r="L226">
            <v>84358.072110079564</v>
          </cell>
          <cell r="M226">
            <v>299792.61018642696</v>
          </cell>
          <cell r="N226">
            <v>198548.99676106841</v>
          </cell>
          <cell r="O226">
            <v>131578.14647949737</v>
          </cell>
          <cell r="P226">
            <v>219723.83264712119</v>
          </cell>
          <cell r="Q226">
            <v>182013.60840828661</v>
          </cell>
          <cell r="R226">
            <v>206734.6041695684</v>
          </cell>
          <cell r="T226">
            <v>194416.80552186383</v>
          </cell>
          <cell r="U226">
            <v>198423.40422934602</v>
          </cell>
          <cell r="V226">
            <v>198548.99676106841</v>
          </cell>
          <cell r="X226">
            <v>190551.90362980246</v>
          </cell>
          <cell r="Z226">
            <v>190035.53687437475</v>
          </cell>
          <cell r="AA226">
            <v>86673.221635682348</v>
          </cell>
          <cell r="AB226">
            <v>310172.84384095832</v>
          </cell>
          <cell r="AC226">
            <v>103362.3152386924</v>
          </cell>
          <cell r="AD226">
            <v>120137.30696658356</v>
          </cell>
        </row>
        <row r="227">
          <cell r="A227" t="str">
            <v>CGI011-qtz08-CL-fit-1-offset</v>
          </cell>
          <cell r="B227">
            <v>750</v>
          </cell>
          <cell r="C227">
            <v>6.6965312637759184E-25</v>
          </cell>
          <cell r="D227">
            <v>1300</v>
          </cell>
          <cell r="E227">
            <v>1024</v>
          </cell>
          <cell r="F227">
            <v>1.26953125</v>
          </cell>
          <cell r="H227">
            <v>0</v>
          </cell>
          <cell r="I227">
            <v>478226.72580485226</v>
          </cell>
          <cell r="J227">
            <v>901247.75309030362</v>
          </cell>
          <cell r="K227">
            <v>843772.6266484916</v>
          </cell>
          <cell r="L227">
            <v>857938.54447127529</v>
          </cell>
          <cell r="M227">
            <v>297785.5515463315</v>
          </cell>
          <cell r="N227">
            <v>673178.5446922594</v>
          </cell>
          <cell r="O227">
            <v>216818.24292716311</v>
          </cell>
          <cell r="P227">
            <v>346330.56005081581</v>
          </cell>
          <cell r="Q227">
            <v>349341.02189484314</v>
          </cell>
          <cell r="R227">
            <v>0</v>
          </cell>
          <cell r="T227">
            <v>479974.27502343786</v>
          </cell>
          <cell r="U227">
            <v>521133.10744512378</v>
          </cell>
          <cell r="V227">
            <v>478226.72580485226</v>
          </cell>
          <cell r="X227">
            <v>470036.28649729077</v>
          </cell>
          <cell r="Z227">
            <v>691443.49845991633</v>
          </cell>
          <cell r="AA227">
            <v>90335.307566991018</v>
          </cell>
          <cell r="AB227">
            <v>4497552.0861275876</v>
          </cell>
          <cell r="AC227">
            <v>601108.19089292525</v>
          </cell>
          <cell r="AD227">
            <v>3806108.587667671</v>
          </cell>
        </row>
        <row r="228">
          <cell r="A228" t="str">
            <v>CGI011-qtz08-CL-fit-2-offset</v>
          </cell>
          <cell r="B228">
            <v>750</v>
          </cell>
          <cell r="C228">
            <v>6.6965312637759184E-25</v>
          </cell>
          <cell r="D228">
            <v>1300</v>
          </cell>
          <cell r="E228">
            <v>1024</v>
          </cell>
          <cell r="F228">
            <v>1.26953125</v>
          </cell>
          <cell r="H228">
            <v>3804860.3225700194</v>
          </cell>
          <cell r="I228">
            <v>3456696.8832871262</v>
          </cell>
          <cell r="J228">
            <v>4274324.3184956703</v>
          </cell>
          <cell r="K228">
            <v>5438969.0051530516</v>
          </cell>
          <cell r="L228">
            <v>3841614.3860378442</v>
          </cell>
          <cell r="M228">
            <v>3182081.4163545645</v>
          </cell>
          <cell r="N228">
            <v>5238811.0515909763</v>
          </cell>
          <cell r="O228">
            <v>3410183.9296791246</v>
          </cell>
          <cell r="P228">
            <v>2699910.3941320498</v>
          </cell>
          <cell r="Q228">
            <v>3519300.7033584611</v>
          </cell>
          <cell r="R228">
            <v>2522900.5938092996</v>
          </cell>
          <cell r="T228">
            <v>3672552.8194812383</v>
          </cell>
          <cell r="U228">
            <v>3713072.7206937894</v>
          </cell>
          <cell r="V228">
            <v>3519300.7033584611</v>
          </cell>
          <cell r="X228">
            <v>3621024.0672458257</v>
          </cell>
          <cell r="Z228">
            <v>3697732.4874892328</v>
          </cell>
          <cell r="AA228">
            <v>2488070.8090425348</v>
          </cell>
          <cell r="AB228">
            <v>5337397.6819651499</v>
          </cell>
          <cell r="AC228">
            <v>1209661.678446698</v>
          </cell>
          <cell r="AD228">
            <v>1639665.1944759171</v>
          </cell>
        </row>
        <row r="229">
          <cell r="A229" t="str">
            <v>CGI011-qtz08-CL-fit-3-offset</v>
          </cell>
          <cell r="B229">
            <v>750</v>
          </cell>
          <cell r="C229">
            <v>6.6965312637759184E-25</v>
          </cell>
          <cell r="D229">
            <v>1300</v>
          </cell>
          <cell r="E229">
            <v>1024</v>
          </cell>
          <cell r="F229">
            <v>1.26953125</v>
          </cell>
          <cell r="H229">
            <v>382908.15663569805</v>
          </cell>
          <cell r="I229">
            <v>395904.59239945118</v>
          </cell>
          <cell r="J229">
            <v>294591.72582272015</v>
          </cell>
          <cell r="K229">
            <v>602848.02108845674</v>
          </cell>
          <cell r="L229">
            <v>608560.54433827987</v>
          </cell>
          <cell r="M229">
            <v>415018.72963019117</v>
          </cell>
          <cell r="N229">
            <v>738504.9660757113</v>
          </cell>
          <cell r="O229">
            <v>543135.94651220064</v>
          </cell>
          <cell r="P229">
            <v>720019.11232043779</v>
          </cell>
          <cell r="Q229">
            <v>810107.44190161966</v>
          </cell>
          <cell r="R229">
            <v>549704.16734321683</v>
          </cell>
          <cell r="T229">
            <v>543019.00674749434</v>
          </cell>
          <cell r="U229">
            <v>539274.42064105754</v>
          </cell>
          <cell r="V229">
            <v>549704.16734321683</v>
          </cell>
          <cell r="X229">
            <v>555380.71378732333</v>
          </cell>
          <cell r="Z229">
            <v>542255.41733160464</v>
          </cell>
          <cell r="AA229">
            <v>325369.22747386666</v>
          </cell>
          <cell r="AB229">
            <v>816429.22060839075</v>
          </cell>
          <cell r="AC229">
            <v>216886.18985773798</v>
          </cell>
          <cell r="AD229">
            <v>274173.80327678612</v>
          </cell>
        </row>
        <row r="230">
          <cell r="A230" t="str">
            <v>CGI011-qtz08-CL-fit-4-offset</v>
          </cell>
          <cell r="B230">
            <v>750</v>
          </cell>
          <cell r="C230">
            <v>6.6965312637759184E-25</v>
          </cell>
          <cell r="D230">
            <v>1300</v>
          </cell>
          <cell r="E230">
            <v>1024</v>
          </cell>
          <cell r="F230">
            <v>1.26953125</v>
          </cell>
          <cell r="H230">
            <v>125081.88630074059</v>
          </cell>
          <cell r="I230">
            <v>108150.00945065817</v>
          </cell>
          <cell r="J230">
            <v>91201.01073674504</v>
          </cell>
          <cell r="K230">
            <v>136090.33524725764</v>
          </cell>
          <cell r="L230">
            <v>96327.495152425021</v>
          </cell>
          <cell r="M230">
            <v>55350.87012631556</v>
          </cell>
          <cell r="N230">
            <v>58257.963557405499</v>
          </cell>
          <cell r="O230">
            <v>84385.249784538813</v>
          </cell>
          <cell r="P230">
            <v>41635.553067161527</v>
          </cell>
          <cell r="Q230">
            <v>57349.516852733461</v>
          </cell>
          <cell r="R230">
            <v>82317.021757687238</v>
          </cell>
          <cell r="T230">
            <v>83698.717010166059</v>
          </cell>
          <cell r="U230">
            <v>82596.550573625093</v>
          </cell>
          <cell r="V230">
            <v>84385.249784538813</v>
          </cell>
          <cell r="X230">
            <v>79008.105635110158</v>
          </cell>
          <cell r="Z230">
            <v>78934.678086791842</v>
          </cell>
          <cell r="AA230">
            <v>14884.414795040888</v>
          </cell>
          <cell r="AB230">
            <v>176682.72323482396</v>
          </cell>
          <cell r="AC230">
            <v>64050.263291750955</v>
          </cell>
          <cell r="AD230">
            <v>97748.045148032121</v>
          </cell>
        </row>
        <row r="231">
          <cell r="A231" t="str">
            <v>CGI011-qtz08-CL-fit-5-offset</v>
          </cell>
          <cell r="B231">
            <v>750</v>
          </cell>
          <cell r="C231">
            <v>6.6965312637759184E-25</v>
          </cell>
          <cell r="D231">
            <v>1300</v>
          </cell>
          <cell r="E231">
            <v>1024</v>
          </cell>
          <cell r="F231">
            <v>1.26953125</v>
          </cell>
          <cell r="H231">
            <v>251185.12847303515</v>
          </cell>
          <cell r="I231">
            <v>298711.52187233302</v>
          </cell>
          <cell r="J231">
            <v>404245.80076519685</v>
          </cell>
          <cell r="K231">
            <v>475597.89525299193</v>
          </cell>
          <cell r="L231">
            <v>549518.85048982594</v>
          </cell>
          <cell r="M231">
            <v>484492.97385859804</v>
          </cell>
          <cell r="N231">
            <v>287648.68648734223</v>
          </cell>
          <cell r="O231">
            <v>420520.77086587582</v>
          </cell>
          <cell r="P231">
            <v>432995.97010629287</v>
          </cell>
          <cell r="Q231">
            <v>275934.65402978187</v>
          </cell>
          <cell r="R231">
            <v>403927.3192259405</v>
          </cell>
          <cell r="T231">
            <v>370222.08166320017</v>
          </cell>
          <cell r="U231">
            <v>383745.93393587391</v>
          </cell>
          <cell r="V231">
            <v>404245.80076519685</v>
          </cell>
          <cell r="X231">
            <v>355028.92103585717</v>
          </cell>
          <cell r="Z231">
            <v>366688.59413809585</v>
          </cell>
          <cell r="AA231">
            <v>197519.11716018201</v>
          </cell>
          <cell r="AB231">
            <v>631437.13888019335</v>
          </cell>
          <cell r="AC231">
            <v>169169.47697791384</v>
          </cell>
          <cell r="AD231">
            <v>264748.5447420975</v>
          </cell>
        </row>
        <row r="232">
          <cell r="A232" t="str">
            <v>CGI011-qtz09-CL-fit-1-offset</v>
          </cell>
          <cell r="B232">
            <v>750</v>
          </cell>
          <cell r="C232">
            <v>6.6965312637759184E-25</v>
          </cell>
          <cell r="D232">
            <v>1100</v>
          </cell>
          <cell r="E232">
            <v>1024</v>
          </cell>
          <cell r="F232">
            <v>1.07421875</v>
          </cell>
          <cell r="H232">
            <v>175032.0689223735</v>
          </cell>
          <cell r="I232">
            <v>201607.04684502093</v>
          </cell>
          <cell r="J232">
            <v>149742.74944545253</v>
          </cell>
          <cell r="K232">
            <v>0</v>
          </cell>
          <cell r="L232">
            <v>389674.97356635897</v>
          </cell>
          <cell r="M232">
            <v>377731.63651303336</v>
          </cell>
          <cell r="N232">
            <v>9652.6374375451869</v>
          </cell>
          <cell r="O232">
            <v>38030.189972509266</v>
          </cell>
          <cell r="P232">
            <v>562359.88862723834</v>
          </cell>
          <cell r="Q232">
            <v>492641.49457164027</v>
          </cell>
          <cell r="R232">
            <v>291063.18633587565</v>
          </cell>
          <cell r="T232">
            <v>231965.44628737262</v>
          </cell>
          <cell r="U232">
            <v>228267.43440301652</v>
          </cell>
          <cell r="V232">
            <v>244287.73564243366</v>
          </cell>
          <cell r="X232">
            <v>214203.31444473131</v>
          </cell>
          <cell r="Z232">
            <v>239355.59708265844</v>
          </cell>
          <cell r="AA232">
            <v>1664.4259283086903</v>
          </cell>
          <cell r="AB232">
            <v>1136370.3133430763</v>
          </cell>
          <cell r="AC232">
            <v>237691.17115434975</v>
          </cell>
          <cell r="AD232">
            <v>897014.71626041783</v>
          </cell>
        </row>
        <row r="233">
          <cell r="A233" t="str">
            <v>CGI011-qtz09-CL-fit-2-offset</v>
          </cell>
          <cell r="B233">
            <v>750</v>
          </cell>
          <cell r="C233">
            <v>6.6965312637759184E-25</v>
          </cell>
          <cell r="D233">
            <v>1100</v>
          </cell>
          <cell r="E233">
            <v>1024</v>
          </cell>
          <cell r="F233">
            <v>1.07421875</v>
          </cell>
          <cell r="H233">
            <v>998629.36247399764</v>
          </cell>
          <cell r="I233">
            <v>605567.77625415928</v>
          </cell>
          <cell r="J233">
            <v>918217.86453228968</v>
          </cell>
          <cell r="K233">
            <v>331439.01464212645</v>
          </cell>
          <cell r="L233">
            <v>628763.28215805418</v>
          </cell>
          <cell r="M233">
            <v>300195.6035894443</v>
          </cell>
          <cell r="N233">
            <v>428830.9817593231</v>
          </cell>
          <cell r="O233">
            <v>584697.40499059006</v>
          </cell>
          <cell r="P233">
            <v>521809.09843120852</v>
          </cell>
          <cell r="Q233">
            <v>175969.3846152109</v>
          </cell>
          <cell r="R233">
            <v>0</v>
          </cell>
          <cell r="T233">
            <v>507300.41937509092</v>
          </cell>
          <cell r="U233">
            <v>520366.8375052695</v>
          </cell>
          <cell r="V233">
            <v>552806.10814604582</v>
          </cell>
          <cell r="X233">
            <v>471163.42890028021</v>
          </cell>
          <cell r="Z233">
            <v>527888.97578470467</v>
          </cell>
          <cell r="AA233">
            <v>181315.47915550639</v>
          </cell>
          <cell r="AB233">
            <v>1440138.7155831654</v>
          </cell>
          <cell r="AC233">
            <v>346573.49662919831</v>
          </cell>
          <cell r="AD233">
            <v>912249.73979846074</v>
          </cell>
        </row>
        <row r="234">
          <cell r="A234" t="str">
            <v>CGI011-qtz09-CL-fit-3-offset</v>
          </cell>
          <cell r="B234">
            <v>750</v>
          </cell>
          <cell r="C234">
            <v>6.6965312637759184E-25</v>
          </cell>
          <cell r="D234">
            <v>1100</v>
          </cell>
          <cell r="E234">
            <v>1024</v>
          </cell>
          <cell r="F234">
            <v>1.07421875</v>
          </cell>
          <cell r="H234">
            <v>360403.90210313932</v>
          </cell>
          <cell r="I234">
            <v>603653.86258456379</v>
          </cell>
          <cell r="J234">
            <v>177869.93781906442</v>
          </cell>
          <cell r="K234">
            <v>260719.92202769819</v>
          </cell>
          <cell r="L234">
            <v>228415.14320029877</v>
          </cell>
          <cell r="M234">
            <v>158879.21552369284</v>
          </cell>
          <cell r="N234">
            <v>400224.38960450777</v>
          </cell>
          <cell r="O234">
            <v>224555.53952832794</v>
          </cell>
          <cell r="P234">
            <v>188839.12888774314</v>
          </cell>
          <cell r="Q234">
            <v>193046.14157302777</v>
          </cell>
          <cell r="R234">
            <v>227999.98999163538</v>
          </cell>
          <cell r="T234">
            <v>258342.87576771982</v>
          </cell>
          <cell r="U234">
            <v>263270.86700351449</v>
          </cell>
          <cell r="V234">
            <v>227999.98999163538</v>
          </cell>
          <cell r="X234">
            <v>253807.29842592301</v>
          </cell>
          <cell r="Z234">
            <v>259438.9969637116</v>
          </cell>
          <cell r="AA234">
            <v>120884.3668017305</v>
          </cell>
          <cell r="AB234">
            <v>537439.01932822168</v>
          </cell>
          <cell r="AC234">
            <v>138554.6301619811</v>
          </cell>
          <cell r="AD234">
            <v>278000.02236451011</v>
          </cell>
        </row>
        <row r="235">
          <cell r="A235" t="str">
            <v>CGI011-qtz09-CL-fit-4-offset</v>
          </cell>
          <cell r="B235">
            <v>750</v>
          </cell>
          <cell r="C235">
            <v>6.6965312637759184E-25</v>
          </cell>
          <cell r="D235">
            <v>1100</v>
          </cell>
          <cell r="E235">
            <v>1024</v>
          </cell>
          <cell r="F235">
            <v>1.07421875</v>
          </cell>
          <cell r="H235">
            <v>270979.0970585738</v>
          </cell>
          <cell r="I235">
            <v>102768.24509664597</v>
          </cell>
          <cell r="J235">
            <v>37851.529688174851</v>
          </cell>
          <cell r="K235">
            <v>122413.63475171159</v>
          </cell>
          <cell r="L235">
            <v>44289.803636929835</v>
          </cell>
          <cell r="M235">
            <v>174920.67479552963</v>
          </cell>
          <cell r="N235">
            <v>114259.20336572218</v>
          </cell>
          <cell r="O235">
            <v>268026.01354251272</v>
          </cell>
          <cell r="P235">
            <v>409005.88675960794</v>
          </cell>
          <cell r="Q235">
            <v>87830.359673601997</v>
          </cell>
          <cell r="R235">
            <v>96015.732269780841</v>
          </cell>
          <cell r="T235">
            <v>138171.68256441492</v>
          </cell>
          <cell r="U235">
            <v>139994.73229745205</v>
          </cell>
          <cell r="V235">
            <v>114259.20336572218</v>
          </cell>
          <cell r="X235">
            <v>136718.99113262576</v>
          </cell>
          <cell r="Z235">
            <v>133714.21564922822</v>
          </cell>
          <cell r="AA235">
            <v>19406.914290855799</v>
          </cell>
          <cell r="AB235">
            <v>311017.84295691847</v>
          </cell>
          <cell r="AC235">
            <v>114307.30135837242</v>
          </cell>
          <cell r="AD235">
            <v>177303.62730769024</v>
          </cell>
        </row>
        <row r="236">
          <cell r="A236" t="str">
            <v>CGI011-qtz11-CL-fit-1-offset</v>
          </cell>
          <cell r="B236">
            <v>750</v>
          </cell>
          <cell r="C236">
            <v>6.6965312637759184E-25</v>
          </cell>
          <cell r="D236">
            <v>1600</v>
          </cell>
          <cell r="E236">
            <v>1024</v>
          </cell>
          <cell r="F236">
            <v>1.5625</v>
          </cell>
          <cell r="H236">
            <v>728851.37566482311</v>
          </cell>
          <cell r="I236">
            <v>940196.88618713967</v>
          </cell>
          <cell r="J236">
            <v>1052800.0061288988</v>
          </cell>
          <cell r="K236">
            <v>1659632.1744765593</v>
          </cell>
          <cell r="L236">
            <v>1795267.1161846062</v>
          </cell>
          <cell r="M236">
            <v>1677750.872661365</v>
          </cell>
          <cell r="N236">
            <v>2318378.0259430045</v>
          </cell>
          <cell r="O236">
            <v>2243089.5815203097</v>
          </cell>
          <cell r="P236">
            <v>2309427.5449679592</v>
          </cell>
          <cell r="Q236">
            <v>2644098.1233091974</v>
          </cell>
          <cell r="R236">
            <v>1775891.9758982335</v>
          </cell>
          <cell r="T236">
            <v>1604925.5166521741</v>
          </cell>
          <cell r="U236">
            <v>1683279.8301071986</v>
          </cell>
          <cell r="V236">
            <v>1775891.9758982335</v>
          </cell>
          <cell r="X236">
            <v>1586209.9787932022</v>
          </cell>
          <cell r="Z236">
            <v>1596707.7873559471</v>
          </cell>
          <cell r="AA236">
            <v>1006421.5701413525</v>
          </cell>
          <cell r="AB236">
            <v>2333626.6249035159</v>
          </cell>
          <cell r="AC236">
            <v>590286.2172145946</v>
          </cell>
          <cell r="AD236">
            <v>736918.83754756884</v>
          </cell>
        </row>
        <row r="237">
          <cell r="A237" t="str">
            <v>CGI011-qtz11-CL-fit-2-offset</v>
          </cell>
          <cell r="B237">
            <v>750</v>
          </cell>
          <cell r="C237">
            <v>6.6965312637759184E-25</v>
          </cell>
          <cell r="D237">
            <v>1600</v>
          </cell>
          <cell r="E237">
            <v>1024</v>
          </cell>
          <cell r="F237">
            <v>1.5625</v>
          </cell>
          <cell r="H237">
            <v>1303015.0406524995</v>
          </cell>
          <cell r="I237">
            <v>716609.8462749006</v>
          </cell>
          <cell r="J237">
            <v>831650.16475902952</v>
          </cell>
          <cell r="K237">
            <v>969602.29740966263</v>
          </cell>
          <cell r="L237">
            <v>964195.22829199</v>
          </cell>
          <cell r="M237">
            <v>817024.04498957633</v>
          </cell>
          <cell r="N237">
            <v>835909.44116691407</v>
          </cell>
          <cell r="O237">
            <v>627802.42156164418</v>
          </cell>
          <cell r="P237">
            <v>867003.89738981077</v>
          </cell>
          <cell r="Q237">
            <v>779454.0928251975</v>
          </cell>
          <cell r="R237">
            <v>915687.18704659236</v>
          </cell>
          <cell r="T237">
            <v>867628.89801624417</v>
          </cell>
          <cell r="U237">
            <v>867949.55993384274</v>
          </cell>
          <cell r="V237">
            <v>835909.44116691407</v>
          </cell>
          <cell r="X237">
            <v>883776.44465113245</v>
          </cell>
          <cell r="Z237">
            <v>878631.8599284176</v>
          </cell>
          <cell r="AA237">
            <v>620768.90973796591</v>
          </cell>
          <cell r="AB237">
            <v>1191843.397436389</v>
          </cell>
          <cell r="AC237">
            <v>257862.95019045169</v>
          </cell>
          <cell r="AD237">
            <v>313211.5375079714</v>
          </cell>
        </row>
        <row r="238">
          <cell r="A238" t="str">
            <v>CGI011-qtz11-CL-fit-3-offset</v>
          </cell>
          <cell r="B238">
            <v>750</v>
          </cell>
          <cell r="C238">
            <v>6.6965312637759184E-25</v>
          </cell>
          <cell r="D238">
            <v>1600</v>
          </cell>
          <cell r="E238">
            <v>1024</v>
          </cell>
          <cell r="F238">
            <v>1.5625</v>
          </cell>
          <cell r="H238">
            <v>706114.61270150496</v>
          </cell>
          <cell r="I238">
            <v>464890.33475448465</v>
          </cell>
          <cell r="J238">
            <v>571740.88522323943</v>
          </cell>
          <cell r="K238">
            <v>433138.35076433851</v>
          </cell>
          <cell r="L238">
            <v>508160.3582821181</v>
          </cell>
          <cell r="M238">
            <v>546941.17436174268</v>
          </cell>
          <cell r="N238">
            <v>601891.48850419023</v>
          </cell>
          <cell r="O238">
            <v>582391.49914993579</v>
          </cell>
          <cell r="P238">
            <v>306769.20901003102</v>
          </cell>
          <cell r="Q238">
            <v>466307.2400457153</v>
          </cell>
          <cell r="R238">
            <v>400909.80958730873</v>
          </cell>
          <cell r="T238">
            <v>520385.4451403885</v>
          </cell>
          <cell r="U238">
            <v>502511.183449862</v>
          </cell>
          <cell r="V238">
            <v>508160.3582821181</v>
          </cell>
          <cell r="X238">
            <v>527414.92610700708</v>
          </cell>
          <cell r="Z238">
            <v>522302.80341364292</v>
          </cell>
          <cell r="AA238">
            <v>278449.63835532463</v>
          </cell>
          <cell r="AB238">
            <v>851507.07232026616</v>
          </cell>
          <cell r="AC238">
            <v>243853.16505831829</v>
          </cell>
          <cell r="AD238">
            <v>329204.26890662324</v>
          </cell>
        </row>
        <row r="239">
          <cell r="A239" t="str">
            <v>CGI011-qtz11-CL-fit-4-offset</v>
          </cell>
          <cell r="B239">
            <v>750</v>
          </cell>
          <cell r="C239">
            <v>6.6965312637759184E-25</v>
          </cell>
          <cell r="D239">
            <v>1600</v>
          </cell>
          <cell r="E239">
            <v>1024</v>
          </cell>
          <cell r="F239">
            <v>1.5625</v>
          </cell>
          <cell r="H239">
            <v>249352.2726759775</v>
          </cell>
          <cell r="I239">
            <v>206663.28333321458</v>
          </cell>
          <cell r="J239">
            <v>183964.10904422824</v>
          </cell>
          <cell r="K239">
            <v>199545.87222314245</v>
          </cell>
          <cell r="L239">
            <v>27304.525241044681</v>
          </cell>
          <cell r="M239">
            <v>10904.634397916918</v>
          </cell>
          <cell r="N239">
            <v>49236.965193753153</v>
          </cell>
          <cell r="O239">
            <v>99180.889781216058</v>
          </cell>
          <cell r="P239">
            <v>166945.59271170586</v>
          </cell>
          <cell r="Q239">
            <v>141455.40209227413</v>
          </cell>
          <cell r="R239">
            <v>140151.13514905653</v>
          </cell>
          <cell r="T239">
            <v>124996.47001755536</v>
          </cell>
          <cell r="U239">
            <v>119032.72834849042</v>
          </cell>
          <cell r="V239">
            <v>141455.40209227413</v>
          </cell>
          <cell r="X239">
            <v>107012.19667591907</v>
          </cell>
          <cell r="Z239">
            <v>100347.0301353953</v>
          </cell>
          <cell r="AA239">
            <v>11339.079246076257</v>
          </cell>
          <cell r="AB239">
            <v>250221.57671855402</v>
          </cell>
          <cell r="AC239">
            <v>89007.950889319036</v>
          </cell>
          <cell r="AD239">
            <v>149874.54658315872</v>
          </cell>
        </row>
        <row r="240">
          <cell r="A240" t="str">
            <v>CGI011-qtz12-CL-fit-1-offset</v>
          </cell>
          <cell r="B240">
            <v>750</v>
          </cell>
          <cell r="C240">
            <v>6.6965312637759184E-25</v>
          </cell>
          <cell r="D240">
            <v>1550</v>
          </cell>
          <cell r="E240">
            <v>1024</v>
          </cell>
          <cell r="F240">
            <v>1.513671875</v>
          </cell>
          <cell r="H240">
            <v>940554.40242733655</v>
          </cell>
          <cell r="I240">
            <v>479098.57242800511</v>
          </cell>
          <cell r="J240">
            <v>535115.09528630553</v>
          </cell>
          <cell r="K240">
            <v>456580.44741836563</v>
          </cell>
          <cell r="L240">
            <v>545413.59157814656</v>
          </cell>
          <cell r="M240">
            <v>432391.9712340408</v>
          </cell>
          <cell r="N240">
            <v>631915.77851417591</v>
          </cell>
          <cell r="O240">
            <v>467464.61445002019</v>
          </cell>
          <cell r="P240">
            <v>1695947.2870131261</v>
          </cell>
          <cell r="Q240">
            <v>1104936.6708517955</v>
          </cell>
          <cell r="R240">
            <v>929085.31965369603</v>
          </cell>
          <cell r="T240">
            <v>676306.26429553959</v>
          </cell>
          <cell r="U240">
            <v>708854.03099570842</v>
          </cell>
          <cell r="V240">
            <v>545413.59157814656</v>
          </cell>
          <cell r="X240">
            <v>651463.99531582755</v>
          </cell>
          <cell r="Z240">
            <v>692912.35422569385</v>
          </cell>
          <cell r="AA240">
            <v>252771.68896066095</v>
          </cell>
          <cell r="AB240">
            <v>1314868.5572520483</v>
          </cell>
          <cell r="AC240">
            <v>440140.66526503291</v>
          </cell>
          <cell r="AD240">
            <v>621956.20302635443</v>
          </cell>
        </row>
        <row r="241">
          <cell r="A241" t="str">
            <v>CGI011-qtz12-CL-fit-2-offset</v>
          </cell>
          <cell r="B241">
            <v>750</v>
          </cell>
          <cell r="C241">
            <v>6.6965312637759184E-25</v>
          </cell>
          <cell r="D241">
            <v>1550</v>
          </cell>
          <cell r="E241">
            <v>1024</v>
          </cell>
          <cell r="F241">
            <v>1.513671875</v>
          </cell>
          <cell r="H241">
            <v>950244.78847074904</v>
          </cell>
          <cell r="I241">
            <v>706935.89278269408</v>
          </cell>
          <cell r="J241">
            <v>1189977.5317487845</v>
          </cell>
          <cell r="K241">
            <v>639194.00774179527</v>
          </cell>
          <cell r="L241">
            <v>1037862.392843589</v>
          </cell>
          <cell r="M241">
            <v>928386.07126967655</v>
          </cell>
          <cell r="N241">
            <v>965167.46226461756</v>
          </cell>
          <cell r="O241">
            <v>1262907.2344068792</v>
          </cell>
          <cell r="P241">
            <v>602271.18228049425</v>
          </cell>
          <cell r="Q241">
            <v>969556.21635675326</v>
          </cell>
          <cell r="R241">
            <v>564211.89862296265</v>
          </cell>
          <cell r="T241">
            <v>858329.45518797857</v>
          </cell>
          <cell r="U241">
            <v>877853.67748899746</v>
          </cell>
          <cell r="V241">
            <v>950244.78847074904</v>
          </cell>
          <cell r="X241">
            <v>842430.24625886895</v>
          </cell>
          <cell r="Z241">
            <v>848071.03748246841</v>
          </cell>
          <cell r="AA241">
            <v>535970.28354929341</v>
          </cell>
          <cell r="AB241">
            <v>1423306.0712229614</v>
          </cell>
          <cell r="AC241">
            <v>312100.753933175</v>
          </cell>
          <cell r="AD241">
            <v>575235.033740493</v>
          </cell>
        </row>
        <row r="242">
          <cell r="A242" t="str">
            <v>CGI011-qtz12-CL-fit-3-offset</v>
          </cell>
          <cell r="B242">
            <v>750</v>
          </cell>
          <cell r="C242">
            <v>6.6965312637759184E-25</v>
          </cell>
          <cell r="D242">
            <v>1550</v>
          </cell>
          <cell r="E242">
            <v>1024</v>
          </cell>
          <cell r="F242">
            <v>1.513671875</v>
          </cell>
          <cell r="H242">
            <v>0</v>
          </cell>
          <cell r="I242">
            <v>757625.35717805091</v>
          </cell>
          <cell r="J242">
            <v>948556.30408100958</v>
          </cell>
          <cell r="K242">
            <v>353716.9518340588</v>
          </cell>
          <cell r="L242">
            <v>521021.16416345659</v>
          </cell>
          <cell r="M242">
            <v>565460.74173123471</v>
          </cell>
          <cell r="N242">
            <v>434501.36451938492</v>
          </cell>
          <cell r="O242">
            <v>679153.70634949638</v>
          </cell>
          <cell r="P242">
            <v>522798.99522926391</v>
          </cell>
          <cell r="Q242">
            <v>938522.3910498292</v>
          </cell>
          <cell r="R242">
            <v>572366.76515086333</v>
          </cell>
          <cell r="T242">
            <v>654242.84324484423</v>
          </cell>
          <cell r="U242">
            <v>615366.80804638739</v>
          </cell>
          <cell r="V242">
            <v>568908.5138948051</v>
          </cell>
          <cell r="X242">
            <v>624815.79919422313</v>
          </cell>
          <cell r="Z242">
            <v>615985.5513507477</v>
          </cell>
          <cell r="AA242">
            <v>278650.70197283849</v>
          </cell>
          <cell r="AB242">
            <v>1152955.6582171374</v>
          </cell>
          <cell r="AC242">
            <v>337334.84937790921</v>
          </cell>
          <cell r="AD242">
            <v>536970.10686638975</v>
          </cell>
        </row>
        <row r="243">
          <cell r="A243" t="str">
            <v>CGI011-qtz12-CL-fit-4-offset</v>
          </cell>
          <cell r="B243">
            <v>750</v>
          </cell>
          <cell r="C243">
            <v>6.6965312637759184E-25</v>
          </cell>
          <cell r="D243">
            <v>1550</v>
          </cell>
          <cell r="E243">
            <v>1024</v>
          </cell>
          <cell r="F243">
            <v>1.513671875</v>
          </cell>
          <cell r="H243">
            <v>237966.16981608406</v>
          </cell>
          <cell r="I243">
            <v>274131.96180809248</v>
          </cell>
          <cell r="J243">
            <v>535634.6431663984</v>
          </cell>
          <cell r="K243">
            <v>404540.92043280706</v>
          </cell>
          <cell r="L243">
            <v>352982.92032577761</v>
          </cell>
          <cell r="M243">
            <v>316412.14693607145</v>
          </cell>
          <cell r="N243">
            <v>263192.78865352366</v>
          </cell>
          <cell r="O243">
            <v>370590.65283448331</v>
          </cell>
          <cell r="P243">
            <v>572844.97902926861</v>
          </cell>
          <cell r="Q243">
            <v>449503.79611867643</v>
          </cell>
          <cell r="R243">
            <v>327294.34420493589</v>
          </cell>
          <cell r="T243">
            <v>353945.54662761191</v>
          </cell>
          <cell r="U243">
            <v>366258.85661313846</v>
          </cell>
          <cell r="V243">
            <v>352982.92032577761</v>
          </cell>
          <cell r="X243">
            <v>356512.85535699577</v>
          </cell>
          <cell r="Z243">
            <v>369364.76067514915</v>
          </cell>
          <cell r="AA243">
            <v>197008.32156030714</v>
          </cell>
          <cell r="AB243">
            <v>635144.20845437376</v>
          </cell>
          <cell r="AC243">
            <v>172356.43911484201</v>
          </cell>
          <cell r="AD243">
            <v>265779.4477792246</v>
          </cell>
        </row>
        <row r="244">
          <cell r="A244" t="str">
            <v>CGI014-qtz01-CL-fit-1-offset</v>
          </cell>
          <cell r="B244">
            <v>750</v>
          </cell>
          <cell r="C244">
            <v>6.6965312637759184E-25</v>
          </cell>
          <cell r="D244">
            <v>1600</v>
          </cell>
          <cell r="E244">
            <v>1024</v>
          </cell>
          <cell r="F244">
            <v>1.5625</v>
          </cell>
          <cell r="H244">
            <v>110.6252726835199</v>
          </cell>
          <cell r="I244">
            <v>801938.04371876013</v>
          </cell>
          <cell r="J244">
            <v>1026182.5311539712</v>
          </cell>
          <cell r="K244">
            <v>52843.615191939665</v>
          </cell>
          <cell r="L244">
            <v>201289.2648122182</v>
          </cell>
          <cell r="M244">
            <v>50718.216571737692</v>
          </cell>
          <cell r="N244">
            <v>384635.38702506945</v>
          </cell>
          <cell r="O244">
            <v>0.2943293655655474</v>
          </cell>
          <cell r="P244">
            <v>214409.02661148831</v>
          </cell>
          <cell r="Q244">
            <v>167.10178057915431</v>
          </cell>
          <cell r="R244">
            <v>301068.80631101143</v>
          </cell>
          <cell r="T244">
            <v>181663.87579402231</v>
          </cell>
          <cell r="U244">
            <v>164996.32305911175</v>
          </cell>
          <cell r="V244">
            <v>201289.2648122182</v>
          </cell>
          <cell r="X244">
            <v>150580.19599013435</v>
          </cell>
          <cell r="Z244">
            <v>248469.82421671852</v>
          </cell>
          <cell r="AA244">
            <v>3.6807617315310455</v>
          </cell>
          <cell r="AB244">
            <v>3854004.5981831267</v>
          </cell>
          <cell r="AC244">
            <v>248466.143454987</v>
          </cell>
          <cell r="AD244">
            <v>3605534.7739664083</v>
          </cell>
        </row>
        <row r="245">
          <cell r="A245" t="str">
            <v>CGI014-qtz01-CL-fit-2-offset</v>
          </cell>
          <cell r="B245">
            <v>750</v>
          </cell>
          <cell r="C245">
            <v>6.6965312637759184E-25</v>
          </cell>
          <cell r="D245">
            <v>1600</v>
          </cell>
          <cell r="E245">
            <v>1024</v>
          </cell>
          <cell r="F245">
            <v>1.5625</v>
          </cell>
          <cell r="H245">
            <v>1542.0405731607698</v>
          </cell>
          <cell r="I245">
            <v>1684.5293020661143</v>
          </cell>
          <cell r="J245">
            <v>49912.276539593397</v>
          </cell>
          <cell r="K245">
            <v>336.10739251857837</v>
          </cell>
          <cell r="L245">
            <v>1678.8258306276812</v>
          </cell>
          <cell r="M245">
            <v>44977.152117566802</v>
          </cell>
          <cell r="N245">
            <v>33533.426420755597</v>
          </cell>
          <cell r="O245">
            <v>1471.9290921332217</v>
          </cell>
          <cell r="P245">
            <v>43841.015234817023</v>
          </cell>
          <cell r="Q245">
            <v>1225.0121654807306</v>
          </cell>
          <cell r="R245">
            <v>193022.44432662701</v>
          </cell>
          <cell r="T245">
            <v>1917.6965331614847</v>
          </cell>
          <cell r="U245">
            <v>18110.312816784022</v>
          </cell>
          <cell r="V245">
            <v>1684.5293020661143</v>
          </cell>
          <cell r="X245">
            <v>8116.8127759212484</v>
          </cell>
          <cell r="Z245">
            <v>24722.907780814272</v>
          </cell>
          <cell r="AA245">
            <v>1.220097776800591E-8</v>
          </cell>
          <cell r="AB245">
            <v>455985.61116206716</v>
          </cell>
          <cell r="AC245">
            <v>24722.90778080207</v>
          </cell>
          <cell r="AD245">
            <v>431262.70338125288</v>
          </cell>
        </row>
        <row r="246">
          <cell r="A246" t="str">
            <v>CGI014-qtz02-CL-fit-1-offset</v>
          </cell>
          <cell r="B246">
            <v>750</v>
          </cell>
          <cell r="C246">
            <v>6.6965312637759184E-25</v>
          </cell>
          <cell r="D246">
            <v>2000</v>
          </cell>
          <cell r="E246">
            <v>1024</v>
          </cell>
          <cell r="F246">
            <v>1.953125</v>
          </cell>
          <cell r="H246">
            <v>636282.85111785412</v>
          </cell>
          <cell r="I246">
            <v>853675.33449271647</v>
          </cell>
          <cell r="J246">
            <v>807365.07405128318</v>
          </cell>
          <cell r="K246">
            <v>497739.50060378696</v>
          </cell>
          <cell r="L246">
            <v>965286.35250283277</v>
          </cell>
          <cell r="M246">
            <v>879608.77316845139</v>
          </cell>
          <cell r="N246">
            <v>787812.98638133518</v>
          </cell>
          <cell r="O246">
            <v>967759.54622243287</v>
          </cell>
          <cell r="P246">
            <v>716537.28634931985</v>
          </cell>
          <cell r="Q246">
            <v>352271.85766609706</v>
          </cell>
          <cell r="R246">
            <v>633304.48398277559</v>
          </cell>
          <cell r="T246">
            <v>702282.58019048651</v>
          </cell>
          <cell r="U246">
            <v>722990.82980542234</v>
          </cell>
          <cell r="V246">
            <v>787812.98638133518</v>
          </cell>
          <cell r="X246">
            <v>703636.04682631826</v>
          </cell>
          <cell r="Z246">
            <v>720181.76168118941</v>
          </cell>
          <cell r="AA246">
            <v>387056.06734656153</v>
          </cell>
          <cell r="AB246">
            <v>1166348.9358387871</v>
          </cell>
          <cell r="AC246">
            <v>333125.69433462789</v>
          </cell>
          <cell r="AD246">
            <v>446167.17415759771</v>
          </cell>
        </row>
        <row r="247">
          <cell r="A247" t="str">
            <v>CGI014-qtz02-CL-fit-2-offset</v>
          </cell>
          <cell r="B247">
            <v>750</v>
          </cell>
          <cell r="C247">
            <v>6.6965312637759184E-25</v>
          </cell>
          <cell r="D247">
            <v>2000</v>
          </cell>
          <cell r="E247">
            <v>1024</v>
          </cell>
          <cell r="F247">
            <v>1.953125</v>
          </cell>
          <cell r="H247">
            <v>412522.53667790978</v>
          </cell>
          <cell r="I247">
            <v>81000.664573807808</v>
          </cell>
          <cell r="J247">
            <v>228035.35102742736</v>
          </cell>
          <cell r="K247">
            <v>516777.41342031443</v>
          </cell>
          <cell r="L247">
            <v>80714.36966690491</v>
          </cell>
          <cell r="M247">
            <v>177000.79471478096</v>
          </cell>
          <cell r="N247">
            <v>32742.267669642286</v>
          </cell>
          <cell r="O247">
            <v>123056.35916675502</v>
          </cell>
          <cell r="P247">
            <v>277374.68250183907</v>
          </cell>
          <cell r="Q247">
            <v>138173.74119766176</v>
          </cell>
          <cell r="R247">
            <v>73005.813790655608</v>
          </cell>
          <cell r="T247">
            <v>137381.62669140281</v>
          </cell>
          <cell r="U247">
            <v>169476.27048829527</v>
          </cell>
          <cell r="V247">
            <v>138173.74119766176</v>
          </cell>
          <cell r="X247">
            <v>142666.41777916328</v>
          </cell>
          <cell r="Z247">
            <v>159641.9793452532</v>
          </cell>
          <cell r="AA247">
            <v>19486.533622614377</v>
          </cell>
          <cell r="AB247">
            <v>707737.72502949077</v>
          </cell>
          <cell r="AC247">
            <v>140155.44572263883</v>
          </cell>
          <cell r="AD247">
            <v>548095.74568423757</v>
          </cell>
        </row>
        <row r="248">
          <cell r="A248" t="str">
            <v>CGI014-qtz02-CL-fit-3-offset</v>
          </cell>
          <cell r="B248">
            <v>750</v>
          </cell>
          <cell r="C248">
            <v>6.6965312637759184E-25</v>
          </cell>
          <cell r="D248">
            <v>2000</v>
          </cell>
          <cell r="E248">
            <v>1024</v>
          </cell>
          <cell r="F248">
            <v>1.953125</v>
          </cell>
          <cell r="H248">
            <v>182041.06065255182</v>
          </cell>
          <cell r="I248">
            <v>82127.025595709172</v>
          </cell>
          <cell r="J248">
            <v>154646.37232445006</v>
          </cell>
          <cell r="K248">
            <v>23630.090793600564</v>
          </cell>
          <cell r="L248">
            <v>240768.73421439715</v>
          </cell>
          <cell r="M248">
            <v>17267.11838740325</v>
          </cell>
          <cell r="N248">
            <v>36832.623164610886</v>
          </cell>
          <cell r="O248">
            <v>171.19630040185606</v>
          </cell>
          <cell r="P248">
            <v>952.63071469998624</v>
          </cell>
          <cell r="Q248">
            <v>35380.74446198497</v>
          </cell>
          <cell r="R248">
            <v>25373.7820753091</v>
          </cell>
          <cell r="T248">
            <v>39414.145866503641</v>
          </cell>
          <cell r="U248">
            <v>50239.366672066397</v>
          </cell>
          <cell r="V248">
            <v>35380.74446198497</v>
          </cell>
          <cell r="X248">
            <v>35704.646133945098</v>
          </cell>
          <cell r="Z248">
            <v>59965.746000608699</v>
          </cell>
          <cell r="AA248">
            <v>1615.0847493024021</v>
          </cell>
          <cell r="AB248">
            <v>535050.95439832588</v>
          </cell>
          <cell r="AC248">
            <v>58350.661251306294</v>
          </cell>
          <cell r="AD248">
            <v>475085.20839771716</v>
          </cell>
        </row>
        <row r="249">
          <cell r="A249" t="str">
            <v>CGI014-qtz02-CL-fit-4-offset</v>
          </cell>
          <cell r="B249">
            <v>750</v>
          </cell>
          <cell r="C249">
            <v>6.6965312637759184E-25</v>
          </cell>
          <cell r="D249">
            <v>2000</v>
          </cell>
          <cell r="E249">
            <v>1024</v>
          </cell>
          <cell r="F249">
            <v>1.953125</v>
          </cell>
          <cell r="H249">
            <v>1076.2791488874839</v>
          </cell>
          <cell r="I249">
            <v>39827.828308198485</v>
          </cell>
          <cell r="J249">
            <v>282.94284613450401</v>
          </cell>
          <cell r="K249">
            <v>946.71034806627324</v>
          </cell>
          <cell r="L249">
            <v>133.26511309396454</v>
          </cell>
          <cell r="M249">
            <v>1123.788023892685</v>
          </cell>
          <cell r="N249">
            <v>2717.4287907126272</v>
          </cell>
          <cell r="O249">
            <v>35854.242076043651</v>
          </cell>
          <cell r="P249">
            <v>11496.530085926626</v>
          </cell>
          <cell r="Q249">
            <v>7171.5445233078181</v>
          </cell>
          <cell r="R249">
            <v>14761.281892365963</v>
          </cell>
          <cell r="T249">
            <v>12982.085092597938</v>
          </cell>
          <cell r="U249">
            <v>6398.7833470167243</v>
          </cell>
          <cell r="V249">
            <v>2717.4287907126272</v>
          </cell>
          <cell r="X249">
            <v>3120.3589286178453</v>
          </cell>
          <cell r="Z249">
            <v>7435.5354803403743</v>
          </cell>
          <cell r="AA249">
            <v>8.8319294103008872</v>
          </cell>
          <cell r="AB249">
            <v>51252.689332554903</v>
          </cell>
          <cell r="AC249">
            <v>7426.7035509300731</v>
          </cell>
          <cell r="AD249">
            <v>43817.153852214527</v>
          </cell>
        </row>
        <row r="250">
          <cell r="A250" t="str">
            <v>CGI014-qtz03-CL-fit-1-offset</v>
          </cell>
          <cell r="B250">
            <v>750</v>
          </cell>
          <cell r="C250">
            <v>6.6965312637759184E-25</v>
          </cell>
          <cell r="D250">
            <v>1800</v>
          </cell>
          <cell r="E250">
            <v>1024</v>
          </cell>
          <cell r="F250">
            <v>1.7578125</v>
          </cell>
          <cell r="H250">
            <v>2861237.0770830605</v>
          </cell>
          <cell r="I250">
            <v>827512.08626006579</v>
          </cell>
          <cell r="J250">
            <v>2743704.6935940543</v>
          </cell>
          <cell r="K250">
            <v>1947281.6999674579</v>
          </cell>
          <cell r="L250">
            <v>4215177.6096331719</v>
          </cell>
          <cell r="M250">
            <v>3092740.8896818105</v>
          </cell>
          <cell r="N250">
            <v>1880382.7182747223</v>
          </cell>
          <cell r="O250">
            <v>1700859.6074509183</v>
          </cell>
          <cell r="P250">
            <v>2038473.6844062777</v>
          </cell>
          <cell r="Q250">
            <v>3756220.034339156</v>
          </cell>
          <cell r="R250">
            <v>6016273.2551522739</v>
          </cell>
          <cell r="T250">
            <v>2453800.3554235883</v>
          </cell>
          <cell r="U250">
            <v>2665461.8777396167</v>
          </cell>
          <cell r="V250">
            <v>2743704.6935940543</v>
          </cell>
          <cell r="X250">
            <v>2399618.0148005341</v>
          </cell>
          <cell r="Z250">
            <v>2378059.7891995939</v>
          </cell>
          <cell r="AA250">
            <v>868704.29225892946</v>
          </cell>
          <cell r="AB250">
            <v>4848750.5579450792</v>
          </cell>
          <cell r="AC250">
            <v>1509355.4969406645</v>
          </cell>
          <cell r="AD250">
            <v>2470690.7687454852</v>
          </cell>
        </row>
        <row r="251">
          <cell r="A251" t="str">
            <v>CGI014-qtz03-CL-fit-2-offset</v>
          </cell>
          <cell r="B251">
            <v>750</v>
          </cell>
          <cell r="C251">
            <v>6.6965312637759184E-25</v>
          </cell>
          <cell r="D251">
            <v>1800</v>
          </cell>
          <cell r="E251">
            <v>1024</v>
          </cell>
          <cell r="F251">
            <v>1.7578125</v>
          </cell>
          <cell r="H251">
            <v>1618872.7029164014</v>
          </cell>
          <cell r="I251">
            <v>1305342.7469815016</v>
          </cell>
          <cell r="J251">
            <v>755010.17647601233</v>
          </cell>
          <cell r="K251">
            <v>1081127.2387844168</v>
          </cell>
          <cell r="L251">
            <v>1383856.9497908491</v>
          </cell>
          <cell r="M251">
            <v>107804.98769662007</v>
          </cell>
          <cell r="N251">
            <v>882106.49340274476</v>
          </cell>
          <cell r="O251">
            <v>709109.91359309584</v>
          </cell>
          <cell r="P251">
            <v>640676.17602126766</v>
          </cell>
          <cell r="Q251">
            <v>425091.84946717334</v>
          </cell>
          <cell r="R251">
            <v>385548.37737803027</v>
          </cell>
          <cell r="T251">
            <v>805497.72031911137</v>
          </cell>
          <cell r="U251">
            <v>774862.9236341106</v>
          </cell>
          <cell r="V251">
            <v>755010.17647601233</v>
          </cell>
          <cell r="X251">
            <v>692409.73878818413</v>
          </cell>
          <cell r="Z251">
            <v>708932.99509444623</v>
          </cell>
          <cell r="AA251">
            <v>52965.189444139069</v>
          </cell>
          <cell r="AB251">
            <v>2425361.7737293355</v>
          </cell>
          <cell r="AC251">
            <v>655967.80565030721</v>
          </cell>
          <cell r="AD251">
            <v>1716428.7786348893</v>
          </cell>
        </row>
        <row r="252">
          <cell r="A252" t="str">
            <v>CGI014-qtz03-CL-fit-3-offset</v>
          </cell>
          <cell r="B252">
            <v>750</v>
          </cell>
          <cell r="C252">
            <v>6.6965312637759184E-25</v>
          </cell>
          <cell r="D252">
            <v>1800</v>
          </cell>
          <cell r="E252">
            <v>1024</v>
          </cell>
          <cell r="F252">
            <v>1.7578125</v>
          </cell>
          <cell r="H252">
            <v>54040.150155836804</v>
          </cell>
          <cell r="I252">
            <v>84843.220069992749</v>
          </cell>
          <cell r="J252">
            <v>203989.53685963902</v>
          </cell>
          <cell r="K252">
            <v>18839.658377707234</v>
          </cell>
          <cell r="L252">
            <v>2015.9001739682351</v>
          </cell>
          <cell r="M252">
            <v>301043.53241148597</v>
          </cell>
          <cell r="N252">
            <v>184794.79497723686</v>
          </cell>
          <cell r="O252">
            <v>10926.73019635839</v>
          </cell>
          <cell r="P252">
            <v>80892.096636975417</v>
          </cell>
          <cell r="Q252">
            <v>24322.746442241667</v>
          </cell>
          <cell r="R252">
            <v>246291.19140105922</v>
          </cell>
          <cell r="T252">
            <v>58332.606800136484</v>
          </cell>
          <cell r="U252">
            <v>83430.939869849419</v>
          </cell>
          <cell r="V252">
            <v>80892.096636975417</v>
          </cell>
          <cell r="X252">
            <v>46353.629536993125</v>
          </cell>
          <cell r="Z252">
            <v>54847.264721262058</v>
          </cell>
          <cell r="AA252">
            <v>1.895429156491026E-8</v>
          </cell>
          <cell r="AB252">
            <v>353331.3413682892</v>
          </cell>
          <cell r="AC252">
            <v>54847.264721243104</v>
          </cell>
          <cell r="AD252">
            <v>298484.07664702716</v>
          </cell>
        </row>
        <row r="253">
          <cell r="A253" t="str">
            <v>CGI014-qtz03-CL-fit-4-offset</v>
          </cell>
          <cell r="B253">
            <v>750</v>
          </cell>
          <cell r="C253">
            <v>6.6965312637759184E-25</v>
          </cell>
          <cell r="D253">
            <v>1800</v>
          </cell>
          <cell r="E253">
            <v>1024</v>
          </cell>
          <cell r="F253">
            <v>1.7578125</v>
          </cell>
          <cell r="H253">
            <v>378052.06094029715</v>
          </cell>
          <cell r="I253">
            <v>14793.356791076285</v>
          </cell>
          <cell r="J253">
            <v>61.471984265389935</v>
          </cell>
          <cell r="K253">
            <v>13679.633874797106</v>
          </cell>
          <cell r="L253">
            <v>109.10202464951422</v>
          </cell>
          <cell r="M253">
            <v>431445.48824222555</v>
          </cell>
          <cell r="N253">
            <v>40167.419498355091</v>
          </cell>
          <cell r="O253">
            <v>70816.450219269653</v>
          </cell>
          <cell r="P253">
            <v>97718.51032895864</v>
          </cell>
          <cell r="Q253">
            <v>2235.5061431548515</v>
          </cell>
          <cell r="R253">
            <v>168558.66594297672</v>
          </cell>
          <cell r="T253">
            <v>27980.712484416523</v>
          </cell>
          <cell r="U253">
            <v>63208.789961368391</v>
          </cell>
          <cell r="V253">
            <v>40167.419498355091</v>
          </cell>
          <cell r="X253">
            <v>5889.2370151733612</v>
          </cell>
          <cell r="Z253">
            <v>35765.750912048708</v>
          </cell>
          <cell r="AA253">
            <v>1.8589618509147357E-10</v>
          </cell>
          <cell r="AB253">
            <v>584716.99778675544</v>
          </cell>
          <cell r="AC253">
            <v>35765.750912048519</v>
          </cell>
          <cell r="AD253">
            <v>548951.2468747067</v>
          </cell>
        </row>
        <row r="254">
          <cell r="A254" t="str">
            <v>CGI014-qtz03-CL-fit-5-offset</v>
          </cell>
          <cell r="B254">
            <v>750</v>
          </cell>
          <cell r="C254">
            <v>6.6965312637759184E-25</v>
          </cell>
          <cell r="D254">
            <v>1800</v>
          </cell>
          <cell r="E254">
            <v>1024</v>
          </cell>
          <cell r="F254">
            <v>1.7578125</v>
          </cell>
          <cell r="H254">
            <v>204221.98081145866</v>
          </cell>
          <cell r="I254">
            <v>293356.73357188667</v>
          </cell>
          <cell r="J254">
            <v>4457.3523197085688</v>
          </cell>
          <cell r="K254">
            <v>189605.91710377194</v>
          </cell>
          <cell r="L254">
            <v>1261.41768608743</v>
          </cell>
          <cell r="M254">
            <v>2045.9535063861808</v>
          </cell>
          <cell r="N254">
            <v>42452.897531804127</v>
          </cell>
          <cell r="O254">
            <v>1533.7642242899967</v>
          </cell>
          <cell r="P254">
            <v>5243.6946278470123</v>
          </cell>
          <cell r="Q254">
            <v>21459.594981359649</v>
          </cell>
          <cell r="R254">
            <v>1013.1256305189053</v>
          </cell>
          <cell r="T254">
            <v>49632.844166531402</v>
          </cell>
          <cell r="U254">
            <v>35495.291306727479</v>
          </cell>
          <cell r="V254">
            <v>5243.6946278470123</v>
          </cell>
          <cell r="X254">
            <v>4593.9547063114651</v>
          </cell>
          <cell r="Z254">
            <v>30504.408589093007</v>
          </cell>
          <cell r="AA254">
            <v>11.276489283688916</v>
          </cell>
          <cell r="AB254">
            <v>803991.37743005226</v>
          </cell>
          <cell r="AC254">
            <v>30493.132099809318</v>
          </cell>
          <cell r="AD254">
            <v>773486.96884095925</v>
          </cell>
        </row>
        <row r="255">
          <cell r="A255" t="str">
            <v>CGI014-qtz04-CL-fit-1-offset</v>
          </cell>
          <cell r="B255">
            <v>750</v>
          </cell>
          <cell r="C255">
            <v>6.6965312637759184E-25</v>
          </cell>
          <cell r="D255">
            <v>1600</v>
          </cell>
          <cell r="E255">
            <v>1024</v>
          </cell>
          <cell r="F255">
            <v>1.5625</v>
          </cell>
          <cell r="H255">
            <v>0</v>
          </cell>
          <cell r="I255">
            <v>0</v>
          </cell>
          <cell r="J255">
            <v>2529045.2750962647</v>
          </cell>
          <cell r="K255">
            <v>2088693.6383074217</v>
          </cell>
          <cell r="L255">
            <v>1106661.4859757998</v>
          </cell>
          <cell r="M255">
            <v>903100.40043758391</v>
          </cell>
          <cell r="N255">
            <v>1857572.3546924994</v>
          </cell>
          <cell r="O255">
            <v>1199079.9349580887</v>
          </cell>
          <cell r="P255">
            <v>1755781.8113388852</v>
          </cell>
          <cell r="Q255">
            <v>1354385.9590020995</v>
          </cell>
          <cell r="R255">
            <v>1493614.996877105</v>
          </cell>
          <cell r="T255">
            <v>1604937.9586630033</v>
          </cell>
          <cell r="U255">
            <v>1550509.9644833861</v>
          </cell>
          <cell r="V255">
            <v>1493614.996877105</v>
          </cell>
          <cell r="X255">
            <v>1643013.1921692556</v>
          </cell>
          <cell r="Z255">
            <v>1616093.8620569902</v>
          </cell>
          <cell r="AA255">
            <v>653243.05397655861</v>
          </cell>
          <cell r="AB255">
            <v>2932568.0853141313</v>
          </cell>
          <cell r="AC255">
            <v>962850.80808043154</v>
          </cell>
          <cell r="AD255">
            <v>1316474.2232571412</v>
          </cell>
        </row>
        <row r="256">
          <cell r="A256" t="str">
            <v>CGI014-qtz04-CL-fit-2-offset</v>
          </cell>
          <cell r="B256">
            <v>750</v>
          </cell>
          <cell r="C256">
            <v>6.6965312637759184E-25</v>
          </cell>
          <cell r="D256">
            <v>1600</v>
          </cell>
          <cell r="E256">
            <v>1024</v>
          </cell>
          <cell r="F256">
            <v>1.5625</v>
          </cell>
          <cell r="H256">
            <v>447933.51475275127</v>
          </cell>
          <cell r="I256">
            <v>627665.31781488052</v>
          </cell>
          <cell r="J256">
            <v>1284.4881044891893</v>
          </cell>
          <cell r="K256">
            <v>671037.09908421338</v>
          </cell>
          <cell r="L256">
            <v>701428.15187581501</v>
          </cell>
          <cell r="M256">
            <v>258825.98761021328</v>
          </cell>
          <cell r="N256">
            <v>43842.860940196493</v>
          </cell>
          <cell r="O256">
            <v>125169.12679962063</v>
          </cell>
          <cell r="P256">
            <v>174586.20802757656</v>
          </cell>
          <cell r="Q256">
            <v>375334.03454910719</v>
          </cell>
          <cell r="R256">
            <v>219059.32383061494</v>
          </cell>
          <cell r="T256">
            <v>290752.42964647542</v>
          </cell>
          <cell r="U256">
            <v>270825.60617014236</v>
          </cell>
          <cell r="V256">
            <v>258825.98761021328</v>
          </cell>
          <cell r="X256">
            <v>210320.630237087</v>
          </cell>
          <cell r="Z256">
            <v>565118.87295160582</v>
          </cell>
          <cell r="AA256">
            <v>273.73367384956379</v>
          </cell>
          <cell r="AB256">
            <v>43125769.38991531</v>
          </cell>
          <cell r="AC256">
            <v>564845.13927775621</v>
          </cell>
          <cell r="AD256">
            <v>42560650.516963705</v>
          </cell>
        </row>
        <row r="257">
          <cell r="A257" t="str">
            <v>CGI014-qtz04-CL-fit-3-offset</v>
          </cell>
          <cell r="B257">
            <v>750</v>
          </cell>
          <cell r="C257">
            <v>6.6965312637759184E-25</v>
          </cell>
          <cell r="D257">
            <v>1600</v>
          </cell>
          <cell r="E257">
            <v>1024</v>
          </cell>
          <cell r="F257">
            <v>1.5625</v>
          </cell>
          <cell r="H257">
            <v>30446.263228716456</v>
          </cell>
          <cell r="I257">
            <v>4372.6055659184503</v>
          </cell>
          <cell r="J257">
            <v>2.60416934985796E-13</v>
          </cell>
          <cell r="K257">
            <v>30456.844847542659</v>
          </cell>
          <cell r="L257">
            <v>324.8879747440937</v>
          </cell>
          <cell r="M257">
            <v>52462.990298174365</v>
          </cell>
          <cell r="N257">
            <v>309241.41589746095</v>
          </cell>
          <cell r="O257">
            <v>24484.264888024234</v>
          </cell>
          <cell r="P257">
            <v>12373.07619585718</v>
          </cell>
          <cell r="Q257">
            <v>3051.3561118663201</v>
          </cell>
          <cell r="R257">
            <v>3385.7006165718835</v>
          </cell>
          <cell r="T257">
            <v>30432.130417741773</v>
          </cell>
          <cell r="U257">
            <v>21142.092468815612</v>
          </cell>
          <cell r="V257">
            <v>12373.07619585718</v>
          </cell>
          <cell r="X257">
            <v>5508.6979648203296</v>
          </cell>
          <cell r="Z257">
            <v>18178.05855834395</v>
          </cell>
          <cell r="AA257">
            <v>305.51609249314964</v>
          </cell>
          <cell r="AB257">
            <v>159885.25106425671</v>
          </cell>
          <cell r="AC257">
            <v>17872.542465850802</v>
          </cell>
          <cell r="AD257">
            <v>141707.19250591277</v>
          </cell>
        </row>
        <row r="258">
          <cell r="A258" t="str">
            <v>CGI014-qtz05-CL-fit-1-offset</v>
          </cell>
          <cell r="B258">
            <v>750</v>
          </cell>
          <cell r="C258">
            <v>6.6965312637759184E-25</v>
          </cell>
          <cell r="D258">
            <v>1900</v>
          </cell>
          <cell r="E258">
            <v>1024</v>
          </cell>
          <cell r="F258">
            <v>1.85546875</v>
          </cell>
          <cell r="H258">
            <v>6435810.4093014915</v>
          </cell>
          <cell r="I258">
            <v>8971425.1222327054</v>
          </cell>
          <cell r="J258">
            <v>5257787.7949244035</v>
          </cell>
          <cell r="K258">
            <v>5874966.5890623983</v>
          </cell>
          <cell r="L258">
            <v>4244495.3191086575</v>
          </cell>
          <cell r="M258">
            <v>5626795.1774824429</v>
          </cell>
          <cell r="N258">
            <v>5343556.6383310696</v>
          </cell>
          <cell r="O258">
            <v>2833790.4771280931</v>
          </cell>
          <cell r="P258">
            <v>4035301.2809986384</v>
          </cell>
          <cell r="Q258">
            <v>5879966.5537424982</v>
          </cell>
          <cell r="R258">
            <v>4477919.443305905</v>
          </cell>
          <cell r="T258">
            <v>5245255.8519950435</v>
          </cell>
          <cell r="U258">
            <v>5259111.0660842638</v>
          </cell>
          <cell r="V258">
            <v>5343556.6383310696</v>
          </cell>
          <cell r="X258">
            <v>5154897.9724734109</v>
          </cell>
          <cell r="Z258">
            <v>5137961.1517404374</v>
          </cell>
          <cell r="AA258">
            <v>3212747.9794341638</v>
          </cell>
          <cell r="AB258">
            <v>7383613.6322451737</v>
          </cell>
          <cell r="AC258">
            <v>1925213.1723062736</v>
          </cell>
          <cell r="AD258">
            <v>2245652.4805047363</v>
          </cell>
        </row>
        <row r="259">
          <cell r="A259" t="str">
            <v>CGI014-qtz05-CL-fit-2-offset</v>
          </cell>
          <cell r="B259">
            <v>750</v>
          </cell>
          <cell r="C259">
            <v>6.6965312637759184E-25</v>
          </cell>
          <cell r="D259">
            <v>1900</v>
          </cell>
          <cell r="E259">
            <v>1024</v>
          </cell>
          <cell r="F259">
            <v>1.85546875</v>
          </cell>
          <cell r="H259">
            <v>1632993.1317582815</v>
          </cell>
          <cell r="I259">
            <v>1269267.6242496807</v>
          </cell>
          <cell r="J259">
            <v>1369139.474835387</v>
          </cell>
          <cell r="K259">
            <v>1017492.4346913978</v>
          </cell>
          <cell r="L259">
            <v>931623.38335183135</v>
          </cell>
          <cell r="M259">
            <v>905851.24178284674</v>
          </cell>
          <cell r="N259">
            <v>778847.59165480384</v>
          </cell>
          <cell r="O259">
            <v>613279.58050962992</v>
          </cell>
          <cell r="P259">
            <v>601331.54673214233</v>
          </cell>
          <cell r="Q259">
            <v>904420.9820275862</v>
          </cell>
          <cell r="R259">
            <v>833222.91570140503</v>
          </cell>
          <cell r="T259">
            <v>968877.30100636464</v>
          </cell>
          <cell r="U259">
            <v>964896.31480547076</v>
          </cell>
          <cell r="V259">
            <v>905851.24178284674</v>
          </cell>
          <cell r="X259">
            <v>958835.70133063255</v>
          </cell>
          <cell r="Z259">
            <v>962015.85614378762</v>
          </cell>
          <cell r="AA259">
            <v>598440.84054381645</v>
          </cell>
          <cell r="AB259">
            <v>1398581.2284708156</v>
          </cell>
          <cell r="AC259">
            <v>363575.01559997117</v>
          </cell>
          <cell r="AD259">
            <v>436565.37232702796</v>
          </cell>
        </row>
        <row r="260">
          <cell r="A260" t="str">
            <v>CGI014-qtz05-CL-fit-3-offset</v>
          </cell>
          <cell r="B260">
            <v>750</v>
          </cell>
          <cell r="C260">
            <v>6.6965312637759184E-25</v>
          </cell>
          <cell r="D260">
            <v>1900</v>
          </cell>
          <cell r="E260">
            <v>1024</v>
          </cell>
          <cell r="F260">
            <v>1.85546875</v>
          </cell>
          <cell r="H260">
            <v>443526.12089763442</v>
          </cell>
          <cell r="I260">
            <v>347363.69273945887</v>
          </cell>
          <cell r="J260">
            <v>436320.50969005161</v>
          </cell>
          <cell r="K260">
            <v>743024.5388510417</v>
          </cell>
          <cell r="L260">
            <v>657792.28109008586</v>
          </cell>
          <cell r="M260">
            <v>455920.5685282484</v>
          </cell>
          <cell r="N260">
            <v>976415.10050015105</v>
          </cell>
          <cell r="O260">
            <v>606619.56362943945</v>
          </cell>
          <cell r="P260">
            <v>679476.17031272687</v>
          </cell>
          <cell r="Q260">
            <v>972053.52529367467</v>
          </cell>
          <cell r="R260">
            <v>611561.17672006064</v>
          </cell>
          <cell r="T260">
            <v>580815.85278141464</v>
          </cell>
          <cell r="U260">
            <v>614570.53754918091</v>
          </cell>
          <cell r="V260">
            <v>611561.17672006064</v>
          </cell>
          <cell r="X260">
            <v>557245.61796048121</v>
          </cell>
          <cell r="Z260">
            <v>559614.23724843597</v>
          </cell>
          <cell r="AA260">
            <v>278415.34605977597</v>
          </cell>
          <cell r="AB260">
            <v>1011921.120747001</v>
          </cell>
          <cell r="AC260">
            <v>281198.89118866</v>
          </cell>
          <cell r="AD260">
            <v>452306.88349856506</v>
          </cell>
        </row>
        <row r="261">
          <cell r="A261" t="str">
            <v>CGI014-qtz05-CL-fit-4-offset</v>
          </cell>
          <cell r="B261">
            <v>750</v>
          </cell>
          <cell r="C261">
            <v>6.6965312637759184E-25</v>
          </cell>
          <cell r="D261">
            <v>1900</v>
          </cell>
          <cell r="E261">
            <v>1024</v>
          </cell>
          <cell r="F261">
            <v>1.85546875</v>
          </cell>
          <cell r="H261">
            <v>9722487.7190739475</v>
          </cell>
          <cell r="I261">
            <v>9878576.9772792421</v>
          </cell>
          <cell r="J261">
            <v>5567338.1242580339</v>
          </cell>
          <cell r="K261">
            <v>7391172.0240805624</v>
          </cell>
          <cell r="L261">
            <v>6280343.7539755655</v>
          </cell>
          <cell r="M261">
            <v>3899496.5836595739</v>
          </cell>
          <cell r="N261">
            <v>6898492.0192644158</v>
          </cell>
          <cell r="O261">
            <v>5738701.5946357381</v>
          </cell>
          <cell r="P261">
            <v>6464636.0861396547</v>
          </cell>
          <cell r="Q261">
            <v>14168752.397136826</v>
          </cell>
          <cell r="R261">
            <v>5573190.7389718583</v>
          </cell>
          <cell r="T261">
            <v>7154599.6768377181</v>
          </cell>
          <cell r="U261">
            <v>7196830.9032021146</v>
          </cell>
          <cell r="V261">
            <v>6464636.0861396547</v>
          </cell>
          <cell r="X261">
            <v>7190525.8088408606</v>
          </cell>
          <cell r="Z261">
            <v>7114995.8061329694</v>
          </cell>
          <cell r="AA261">
            <v>4258708.5384279164</v>
          </cell>
          <cell r="AB261">
            <v>12235011.485314514</v>
          </cell>
          <cell r="AC261">
            <v>2856287.2677050531</v>
          </cell>
          <cell r="AD261">
            <v>5120015.679181545</v>
          </cell>
        </row>
        <row r="262">
          <cell r="A262" t="str">
            <v>CGI014-qtz05-CL-fit-5-offset</v>
          </cell>
          <cell r="B262">
            <v>750</v>
          </cell>
          <cell r="C262">
            <v>6.6965312637759184E-25</v>
          </cell>
          <cell r="D262">
            <v>1900</v>
          </cell>
          <cell r="E262">
            <v>1024</v>
          </cell>
          <cell r="F262">
            <v>1.85546875</v>
          </cell>
          <cell r="H262">
            <v>209055.19429285638</v>
          </cell>
          <cell r="I262">
            <v>161245.15458794986</v>
          </cell>
          <cell r="J262">
            <v>162444.84788685161</v>
          </cell>
          <cell r="K262">
            <v>422299.0034466667</v>
          </cell>
          <cell r="L262">
            <v>273680.06649484899</v>
          </cell>
          <cell r="M262">
            <v>162486.93876975539</v>
          </cell>
          <cell r="N262">
            <v>185688.44695512435</v>
          </cell>
          <cell r="O262">
            <v>209833.05128087656</v>
          </cell>
          <cell r="P262">
            <v>155823.01059430177</v>
          </cell>
          <cell r="Q262">
            <v>87952.964573713951</v>
          </cell>
          <cell r="R262">
            <v>198121.99167839385</v>
          </cell>
          <cell r="T262">
            <v>202614.13853189212</v>
          </cell>
          <cell r="U262">
            <v>195470.33162365714</v>
          </cell>
          <cell r="V262">
            <v>185688.44695512435</v>
          </cell>
          <cell r="X262">
            <v>205581.66378902498</v>
          </cell>
          <cell r="Z262">
            <v>200006.29295924702</v>
          </cell>
          <cell r="AA262">
            <v>65709.118854173343</v>
          </cell>
          <cell r="AB262">
            <v>397451.62565921817</v>
          </cell>
          <cell r="AC262">
            <v>134297.17410507367</v>
          </cell>
          <cell r="AD262">
            <v>197445.33269997116</v>
          </cell>
        </row>
        <row r="263">
          <cell r="A263" t="str">
            <v>CGI014-qtz05-CL-fit-6-offset</v>
          </cell>
          <cell r="B263">
            <v>750</v>
          </cell>
          <cell r="C263">
            <v>6.6965312637759184E-25</v>
          </cell>
          <cell r="D263">
            <v>1900</v>
          </cell>
          <cell r="E263">
            <v>1024</v>
          </cell>
          <cell r="F263">
            <v>1.85546875</v>
          </cell>
          <cell r="H263">
            <v>2623.7798784335014</v>
          </cell>
          <cell r="I263">
            <v>42861.989059279847</v>
          </cell>
          <cell r="J263">
            <v>12048.06134802515</v>
          </cell>
          <cell r="K263">
            <v>46471.715134659651</v>
          </cell>
          <cell r="L263">
            <v>65936.792933721343</v>
          </cell>
          <cell r="M263">
            <v>10576.488969134785</v>
          </cell>
          <cell r="N263">
            <v>46993.268990602512</v>
          </cell>
          <cell r="O263">
            <v>1991.0791241038053</v>
          </cell>
          <cell r="P263">
            <v>14968.491747770307</v>
          </cell>
          <cell r="Q263">
            <v>48983.257171983234</v>
          </cell>
          <cell r="R263">
            <v>40584.457923581154</v>
          </cell>
          <cell r="T263">
            <v>46180.068239602806</v>
          </cell>
          <cell r="U263">
            <v>25302.356844425776</v>
          </cell>
          <cell r="V263">
            <v>40584.457923581154</v>
          </cell>
          <cell r="X263">
            <v>26709.138250536085</v>
          </cell>
          <cell r="Z263">
            <v>25642.128965091655</v>
          </cell>
          <cell r="AA263">
            <v>1802.5490265160806</v>
          </cell>
          <cell r="AB263">
            <v>124730.08951229847</v>
          </cell>
          <cell r="AC263">
            <v>23839.579938575574</v>
          </cell>
          <cell r="AD263">
            <v>99087.960547206807</v>
          </cell>
        </row>
        <row r="264">
          <cell r="A264" t="str">
            <v>CGI014-qtz07-CL-fit-1-offset</v>
          </cell>
          <cell r="B264">
            <v>750</v>
          </cell>
          <cell r="C264">
            <v>6.6965312637759184E-25</v>
          </cell>
          <cell r="D264">
            <v>1500</v>
          </cell>
          <cell r="E264">
            <v>1024</v>
          </cell>
          <cell r="F264">
            <v>1.46484375</v>
          </cell>
          <cell r="H264">
            <v>224413.55799299403</v>
          </cell>
          <cell r="I264">
            <v>194066.37204154691</v>
          </cell>
          <cell r="J264">
            <v>215264.24898431639</v>
          </cell>
          <cell r="K264">
            <v>177755.90682177307</v>
          </cell>
          <cell r="L264">
            <v>131695.7146159212</v>
          </cell>
          <cell r="M264">
            <v>178515.35118536715</v>
          </cell>
          <cell r="N264">
            <v>323168.2568936859</v>
          </cell>
          <cell r="O264">
            <v>151461.87121172811</v>
          </cell>
          <cell r="P264">
            <v>220912.4606589597</v>
          </cell>
          <cell r="Q264">
            <v>193348.86091214931</v>
          </cell>
          <cell r="R264">
            <v>284849.51482938748</v>
          </cell>
          <cell r="T264">
            <v>211561.16155866234</v>
          </cell>
          <cell r="U264">
            <v>205484.19216793464</v>
          </cell>
          <cell r="V264">
            <v>194066.37204154691</v>
          </cell>
          <cell r="X264">
            <v>208530.8474758041</v>
          </cell>
          <cell r="Z264">
            <v>210675.10229490753</v>
          </cell>
          <cell r="AA264">
            <v>97371.856142559249</v>
          </cell>
          <cell r="AB264">
            <v>353962.21616710414</v>
          </cell>
          <cell r="AC264">
            <v>113303.24615234828</v>
          </cell>
          <cell r="AD264">
            <v>143287.11387219661</v>
          </cell>
        </row>
        <row r="265">
          <cell r="A265" t="str">
            <v>CGI014-qtz07-CL-fit-2-offset</v>
          </cell>
          <cell r="B265">
            <v>750</v>
          </cell>
          <cell r="C265">
            <v>6.6965312637759184E-25</v>
          </cell>
          <cell r="D265">
            <v>1500</v>
          </cell>
          <cell r="E265">
            <v>1024</v>
          </cell>
          <cell r="F265">
            <v>1.46484375</v>
          </cell>
          <cell r="H265">
            <v>74468.566233190111</v>
          </cell>
          <cell r="I265">
            <v>88815.44046092809</v>
          </cell>
          <cell r="J265">
            <v>132548.40522074042</v>
          </cell>
          <cell r="K265">
            <v>138153.14853234257</v>
          </cell>
          <cell r="L265">
            <v>125565.93407641941</v>
          </cell>
          <cell r="M265">
            <v>25660.868613011615</v>
          </cell>
          <cell r="N265">
            <v>72189.760900416091</v>
          </cell>
          <cell r="O265">
            <v>1609.6765866490202</v>
          </cell>
          <cell r="P265">
            <v>1534.450356347684</v>
          </cell>
          <cell r="Q265">
            <v>31212.407233464954</v>
          </cell>
          <cell r="R265">
            <v>60205.859429100754</v>
          </cell>
          <cell r="T265">
            <v>54986.132372801396</v>
          </cell>
          <cell r="U265">
            <v>55491.362167478306</v>
          </cell>
          <cell r="V265">
            <v>72189.760900416091</v>
          </cell>
          <cell r="X265">
            <v>55197.051538948501</v>
          </cell>
          <cell r="Z265">
            <v>111169.855971518</v>
          </cell>
          <cell r="AA265">
            <v>1443.5407488712626</v>
          </cell>
          <cell r="AB265">
            <v>2627056.6066297493</v>
          </cell>
          <cell r="AC265">
            <v>109726.31522264674</v>
          </cell>
          <cell r="AD265">
            <v>2515886.7506582313</v>
          </cell>
        </row>
        <row r="266">
          <cell r="A266" t="str">
            <v>CGI014-qtz07-CL-fit-3-offset</v>
          </cell>
          <cell r="B266">
            <v>750</v>
          </cell>
          <cell r="C266">
            <v>6.6965312637759184E-25</v>
          </cell>
          <cell r="D266">
            <v>1500</v>
          </cell>
          <cell r="E266">
            <v>1024</v>
          </cell>
          <cell r="F266">
            <v>1.46484375</v>
          </cell>
          <cell r="H266">
            <v>166109.38520726532</v>
          </cell>
          <cell r="I266">
            <v>214612.247421787</v>
          </cell>
          <cell r="J266">
            <v>223900.62956097562</v>
          </cell>
          <cell r="K266">
            <v>207392.42952241862</v>
          </cell>
          <cell r="L266">
            <v>247382.01601499715</v>
          </cell>
          <cell r="M266">
            <v>82081.357146734779</v>
          </cell>
          <cell r="N266">
            <v>195947.40124949912</v>
          </cell>
          <cell r="O266">
            <v>125055.08286672665</v>
          </cell>
          <cell r="P266">
            <v>264192.02728477371</v>
          </cell>
          <cell r="Q266">
            <v>224944.45451096038</v>
          </cell>
          <cell r="R266">
            <v>134035.64615976124</v>
          </cell>
          <cell r="T266">
            <v>189906.89330485489</v>
          </cell>
          <cell r="U266">
            <v>185210.13010632325</v>
          </cell>
          <cell r="V266">
            <v>207392.42952241862</v>
          </cell>
          <cell r="X266">
            <v>194352.92513825439</v>
          </cell>
          <cell r="Z266">
            <v>191189.50293408887</v>
          </cell>
          <cell r="AA266">
            <v>39788.576143181999</v>
          </cell>
          <cell r="AB266">
            <v>425593.06425925036</v>
          </cell>
          <cell r="AC266">
            <v>151400.92679090687</v>
          </cell>
          <cell r="AD266">
            <v>234403.56132516149</v>
          </cell>
        </row>
        <row r="267">
          <cell r="A267" t="str">
            <v>CGI014-qtz07-CL-fit-4-offset</v>
          </cell>
          <cell r="B267">
            <v>750</v>
          </cell>
          <cell r="C267">
            <v>6.6965312637759184E-25</v>
          </cell>
          <cell r="D267">
            <v>1500</v>
          </cell>
          <cell r="E267">
            <v>1024</v>
          </cell>
          <cell r="F267">
            <v>1.46484375</v>
          </cell>
          <cell r="H267">
            <v>43905.339272744939</v>
          </cell>
          <cell r="I267">
            <v>168165.56018376871</v>
          </cell>
          <cell r="J267">
            <v>102602.32183630321</v>
          </cell>
          <cell r="K267">
            <v>191988.08501542121</v>
          </cell>
          <cell r="L267">
            <v>65640.177616695539</v>
          </cell>
          <cell r="M267">
            <v>34097.602164224169</v>
          </cell>
          <cell r="N267">
            <v>13523.394366371189</v>
          </cell>
          <cell r="O267">
            <v>173670.53593145972</v>
          </cell>
          <cell r="P267">
            <v>123922.59444469793</v>
          </cell>
          <cell r="Q267">
            <v>75198.348976959867</v>
          </cell>
          <cell r="R267">
            <v>127492.93521119637</v>
          </cell>
          <cell r="T267">
            <v>84672.215994029437</v>
          </cell>
          <cell r="U267">
            <v>91935.440819085648</v>
          </cell>
          <cell r="V267">
            <v>102602.32183630321</v>
          </cell>
          <cell r="X267">
            <v>83920.402872667604</v>
          </cell>
          <cell r="Z267">
            <v>71423.543402690324</v>
          </cell>
          <cell r="AA267">
            <v>1097.5129024272226</v>
          </cell>
          <cell r="AB267">
            <v>258986.31750426927</v>
          </cell>
          <cell r="AC267">
            <v>70326.030500263107</v>
          </cell>
          <cell r="AD267">
            <v>187562.77410157895</v>
          </cell>
        </row>
        <row r="268">
          <cell r="A268" t="str">
            <v>CGI014-qtz08-CL-fit-1-offset</v>
          </cell>
          <cell r="B268">
            <v>750</v>
          </cell>
          <cell r="C268">
            <v>6.6965312637759184E-25</v>
          </cell>
          <cell r="D268">
            <v>1550</v>
          </cell>
          <cell r="E268">
            <v>1024</v>
          </cell>
          <cell r="F268">
            <v>1.513671875</v>
          </cell>
          <cell r="H268">
            <v>7458915.9027591748</v>
          </cell>
          <cell r="I268">
            <v>6576919.8890071372</v>
          </cell>
          <cell r="J268">
            <v>6185513.5054156063</v>
          </cell>
          <cell r="K268">
            <v>6857933.3515213439</v>
          </cell>
          <cell r="L268">
            <v>5366174.275056472</v>
          </cell>
          <cell r="M268">
            <v>5602043.3440607861</v>
          </cell>
          <cell r="N268">
            <v>6575883.7626516297</v>
          </cell>
          <cell r="O268">
            <v>6721398.176301254</v>
          </cell>
          <cell r="P268">
            <v>6498337.0347809009</v>
          </cell>
          <cell r="Q268">
            <v>5222085.9913042383</v>
          </cell>
          <cell r="R268">
            <v>4636979.3065962726</v>
          </cell>
          <cell r="T268">
            <v>6153186.1475043008</v>
          </cell>
          <cell r="U268">
            <v>6127651.214227261</v>
          </cell>
          <cell r="V268">
            <v>6498337.0347809009</v>
          </cell>
          <cell r="X268">
            <v>5999186.8402955038</v>
          </cell>
          <cell r="Z268">
            <v>6069136.1791608064</v>
          </cell>
          <cell r="AA268">
            <v>4651690.6047483431</v>
          </cell>
          <cell r="AB268">
            <v>7795734.3057087427</v>
          </cell>
          <cell r="AC268">
            <v>1417445.5744124632</v>
          </cell>
          <cell r="AD268">
            <v>1726598.1265479364</v>
          </cell>
        </row>
        <row r="269">
          <cell r="A269" t="str">
            <v>CGI014-qtz08-CL-fit-2-offset</v>
          </cell>
          <cell r="B269">
            <v>750</v>
          </cell>
          <cell r="C269">
            <v>6.6965312637759184E-25</v>
          </cell>
          <cell r="D269">
            <v>1550</v>
          </cell>
          <cell r="E269">
            <v>1024</v>
          </cell>
          <cell r="F269">
            <v>1.513671875</v>
          </cell>
          <cell r="H269">
            <v>1380216.7748387218</v>
          </cell>
          <cell r="I269">
            <v>1026138.8948609189</v>
          </cell>
          <cell r="J269">
            <v>1018889.5770957746</v>
          </cell>
          <cell r="K269">
            <v>901531.28985783842</v>
          </cell>
          <cell r="L269">
            <v>1186222.2885294999</v>
          </cell>
          <cell r="M269">
            <v>718113.05892685975</v>
          </cell>
          <cell r="N269">
            <v>786025.89925457584</v>
          </cell>
          <cell r="O269">
            <v>950398.48093201034</v>
          </cell>
          <cell r="P269">
            <v>895941.14896215044</v>
          </cell>
          <cell r="Q269">
            <v>961859.54356417235</v>
          </cell>
          <cell r="R269">
            <v>1607359.7267097945</v>
          </cell>
          <cell r="T269">
            <v>1048352.2374777134</v>
          </cell>
          <cell r="U269">
            <v>1025584.0657906501</v>
          </cell>
          <cell r="V269">
            <v>961859.54356417235</v>
          </cell>
          <cell r="X269">
            <v>1037940.9489026377</v>
          </cell>
          <cell r="Z269">
            <v>1031804.3099667624</v>
          </cell>
          <cell r="AA269">
            <v>683212.805020286</v>
          </cell>
          <cell r="AB269">
            <v>1462416.098137046</v>
          </cell>
          <cell r="AC269">
            <v>348591.50494647643</v>
          </cell>
          <cell r="AD269">
            <v>430611.78817028354</v>
          </cell>
        </row>
        <row r="270">
          <cell r="A270" t="str">
            <v>CGI014-qtz08-CL-fit-3-offset</v>
          </cell>
          <cell r="B270">
            <v>750</v>
          </cell>
          <cell r="C270">
            <v>6.6965312637759184E-25</v>
          </cell>
          <cell r="D270">
            <v>1550</v>
          </cell>
          <cell r="E270">
            <v>1024</v>
          </cell>
          <cell r="F270">
            <v>1.513671875</v>
          </cell>
          <cell r="H270">
            <v>1345317.0975006092</v>
          </cell>
          <cell r="I270">
            <v>1230776.1163493751</v>
          </cell>
          <cell r="J270">
            <v>2485020.2884487007</v>
          </cell>
          <cell r="K270">
            <v>2211525.7286537928</v>
          </cell>
          <cell r="L270">
            <v>1372369.094366746</v>
          </cell>
          <cell r="M270">
            <v>920513.57672414766</v>
          </cell>
          <cell r="N270">
            <v>1107745.3904054177</v>
          </cell>
          <cell r="O270">
            <v>375125.25328658137</v>
          </cell>
          <cell r="P270">
            <v>867122.37809890904</v>
          </cell>
          <cell r="Q270">
            <v>956126.91384085582</v>
          </cell>
          <cell r="R270">
            <v>764408.20743071137</v>
          </cell>
          <cell r="T270">
            <v>1079921.8238963834</v>
          </cell>
          <cell r="U270">
            <v>1172691.5494668321</v>
          </cell>
          <cell r="V270">
            <v>1107745.3904054177</v>
          </cell>
          <cell r="X270">
            <v>1067562.1097170718</v>
          </cell>
          <cell r="Z270">
            <v>1154930.25307966</v>
          </cell>
          <cell r="AA270">
            <v>394448.31244651746</v>
          </cell>
          <cell r="AB270">
            <v>3198255.2521964242</v>
          </cell>
          <cell r="AC270">
            <v>760481.9406331426</v>
          </cell>
          <cell r="AD270">
            <v>2043324.9991167642</v>
          </cell>
        </row>
        <row r="271">
          <cell r="A271" t="str">
            <v>CGI014-qtz08-CL-fit-4-offset</v>
          </cell>
          <cell r="B271">
            <v>750</v>
          </cell>
          <cell r="C271">
            <v>6.6965312637759184E-25</v>
          </cell>
          <cell r="D271">
            <v>1550</v>
          </cell>
          <cell r="E271">
            <v>1024</v>
          </cell>
          <cell r="F271">
            <v>1.513671875</v>
          </cell>
          <cell r="H271">
            <v>893460.35516106652</v>
          </cell>
          <cell r="I271">
            <v>848765.41086761269</v>
          </cell>
          <cell r="J271">
            <v>689202.89803031366</v>
          </cell>
          <cell r="K271">
            <v>625140.46278600779</v>
          </cell>
          <cell r="L271">
            <v>1042866.9425945131</v>
          </cell>
          <cell r="M271">
            <v>632450.90403251292</v>
          </cell>
          <cell r="N271">
            <v>486020.57434577483</v>
          </cell>
          <cell r="O271">
            <v>645789.06559006695</v>
          </cell>
          <cell r="P271">
            <v>1045600.3832207238</v>
          </cell>
          <cell r="Q271">
            <v>942456.27198010078</v>
          </cell>
          <cell r="R271">
            <v>689105.5932598128</v>
          </cell>
          <cell r="T271">
            <v>779007.95293105789</v>
          </cell>
          <cell r="U271">
            <v>766112.78306286223</v>
          </cell>
          <cell r="V271">
            <v>689202.89803031366</v>
          </cell>
          <cell r="X271">
            <v>790005.80546733108</v>
          </cell>
          <cell r="Z271">
            <v>797484.31338895496</v>
          </cell>
          <cell r="AA271">
            <v>497322.21746469464</v>
          </cell>
          <cell r="AB271">
            <v>1252413.7187717201</v>
          </cell>
          <cell r="AC271">
            <v>300162.09592426033</v>
          </cell>
          <cell r="AD271">
            <v>454929.40538276511</v>
          </cell>
        </row>
        <row r="272">
          <cell r="A272" t="str">
            <v>CGI014-qtz09-CL-fit-1-offset</v>
          </cell>
          <cell r="B272">
            <v>750</v>
          </cell>
          <cell r="C272">
            <v>6.6965312637759184E-25</v>
          </cell>
          <cell r="D272">
            <v>1550</v>
          </cell>
          <cell r="E272">
            <v>1024</v>
          </cell>
          <cell r="F272">
            <v>1.513671875</v>
          </cell>
          <cell r="H272">
            <v>1637.4770647473415</v>
          </cell>
          <cell r="I272">
            <v>19075.562492979276</v>
          </cell>
          <cell r="J272">
            <v>240545.32376118985</v>
          </cell>
          <cell r="K272">
            <v>5759860.9739561807</v>
          </cell>
          <cell r="L272">
            <v>2621.0652733984753</v>
          </cell>
          <cell r="M272">
            <v>199490.04907132863</v>
          </cell>
          <cell r="N272">
            <v>86.992418010445093</v>
          </cell>
          <cell r="O272">
            <v>0.93188666172366819</v>
          </cell>
          <cell r="P272">
            <v>569695.41639097268</v>
          </cell>
          <cell r="Q272">
            <v>105865.18263391791</v>
          </cell>
          <cell r="R272">
            <v>1222.4568501524554</v>
          </cell>
          <cell r="T272">
            <v>162472.92805693313</v>
          </cell>
          <cell r="U272">
            <v>181960.54537473814</v>
          </cell>
          <cell r="V272">
            <v>19075.562492979276</v>
          </cell>
          <cell r="X272">
            <v>96613.222768903244</v>
          </cell>
          <cell r="Z272">
            <v>300414.58091417263</v>
          </cell>
          <cell r="AA272">
            <v>0.18646730104112549</v>
          </cell>
          <cell r="AB272">
            <v>31137889.495746542</v>
          </cell>
          <cell r="AC272">
            <v>300414.39444687159</v>
          </cell>
          <cell r="AD272">
            <v>30837474.914832368</v>
          </cell>
        </row>
        <row r="273">
          <cell r="A273" t="str">
            <v>CGI014-qtz09-CL-fit-2-offset</v>
          </cell>
          <cell r="B273">
            <v>750</v>
          </cell>
          <cell r="C273">
            <v>6.6965312637759184E-25</v>
          </cell>
          <cell r="D273">
            <v>1550</v>
          </cell>
          <cell r="E273">
            <v>1024</v>
          </cell>
          <cell r="F273">
            <v>1.513671875</v>
          </cell>
          <cell r="H273">
            <v>43684.505941973148</v>
          </cell>
          <cell r="I273">
            <v>248009.10061796184</v>
          </cell>
          <cell r="J273">
            <v>2074.7758420908135</v>
          </cell>
          <cell r="K273">
            <v>132565.9087922232</v>
          </cell>
          <cell r="L273">
            <v>69.606197980943648</v>
          </cell>
          <cell r="M273">
            <v>1453.0059396360073</v>
          </cell>
          <cell r="N273">
            <v>1385.8711508263841</v>
          </cell>
          <cell r="O273">
            <v>256.7267767843673</v>
          </cell>
          <cell r="P273">
            <v>16532.158786754124</v>
          </cell>
          <cell r="Q273">
            <v>0</v>
          </cell>
          <cell r="R273">
            <v>18914.563652721994</v>
          </cell>
          <cell r="T273">
            <v>73918.656148154259</v>
          </cell>
          <cell r="U273">
            <v>21977.417217040482</v>
          </cell>
          <cell r="V273">
            <v>7580.0661036885322</v>
          </cell>
          <cell r="X273">
            <v>72168.551778771391</v>
          </cell>
          <cell r="Z273">
            <v>137447.30470387114</v>
          </cell>
          <cell r="AA273">
            <v>93.710870399006026</v>
          </cell>
          <cell r="AB273">
            <v>2370580.0697127376</v>
          </cell>
          <cell r="AC273">
            <v>137353.59383347214</v>
          </cell>
          <cell r="AD273">
            <v>2233132.7650088663</v>
          </cell>
        </row>
        <row r="274">
          <cell r="A274" t="str">
            <v>CGI014-qtz09-CL-fit-3-offset</v>
          </cell>
          <cell r="B274">
            <v>750</v>
          </cell>
          <cell r="C274">
            <v>6.6965312637759184E-25</v>
          </cell>
          <cell r="D274">
            <v>1550</v>
          </cell>
          <cell r="E274">
            <v>1024</v>
          </cell>
          <cell r="F274">
            <v>1.513671875</v>
          </cell>
          <cell r="H274">
            <v>6.7252171182690077</v>
          </cell>
          <cell r="I274">
            <v>836.82286378598371</v>
          </cell>
          <cell r="J274">
            <v>63.767784074173733</v>
          </cell>
          <cell r="K274">
            <v>1284.9338131528784</v>
          </cell>
          <cell r="L274">
            <v>2275.4437665329074</v>
          </cell>
          <cell r="M274">
            <v>453.65383795180998</v>
          </cell>
          <cell r="N274">
            <v>38.169303868793037</v>
          </cell>
          <cell r="O274">
            <v>1404.8927704131675</v>
          </cell>
          <cell r="P274">
            <v>28322.431710669596</v>
          </cell>
          <cell r="Q274">
            <v>913.32469134756673</v>
          </cell>
          <cell r="R274">
            <v>108.60597038214493</v>
          </cell>
          <cell r="T274">
            <v>1371.0878677905578</v>
          </cell>
          <cell r="U274">
            <v>1302.2178375141468</v>
          </cell>
          <cell r="V274">
            <v>836.82286378598371</v>
          </cell>
          <cell r="X274">
            <v>1245.1841373898515</v>
          </cell>
          <cell r="Z274">
            <v>17525.408197104738</v>
          </cell>
          <cell r="AA274">
            <v>5.5500993929269718E-8</v>
          </cell>
          <cell r="AB274">
            <v>796561.24285287375</v>
          </cell>
          <cell r="AC274">
            <v>17525.408197049237</v>
          </cell>
          <cell r="AD274">
            <v>779035.83465576905</v>
          </cell>
        </row>
        <row r="275">
          <cell r="A275" t="str">
            <v>CGI014-qtz09-CL-fit-4-offset</v>
          </cell>
          <cell r="B275">
            <v>750</v>
          </cell>
          <cell r="C275">
            <v>6.6965312637759184E-25</v>
          </cell>
          <cell r="D275">
            <v>1550</v>
          </cell>
          <cell r="E275">
            <v>1024</v>
          </cell>
          <cell r="F275">
            <v>1.513671875</v>
          </cell>
          <cell r="H275">
            <v>49643.277837033107</v>
          </cell>
          <cell r="I275">
            <v>256.28798322206484</v>
          </cell>
          <cell r="J275">
            <v>218235.87149045779</v>
          </cell>
          <cell r="K275">
            <v>729.30165785011957</v>
          </cell>
          <cell r="L275">
            <v>344185.07257470372</v>
          </cell>
          <cell r="M275">
            <v>388972.50566423393</v>
          </cell>
          <cell r="N275">
            <v>263881.39711524348</v>
          </cell>
          <cell r="O275">
            <v>2.7835343362029161</v>
          </cell>
          <cell r="P275">
            <v>384.90051687563277</v>
          </cell>
          <cell r="Q275">
            <v>148.66694514830638</v>
          </cell>
          <cell r="R275">
            <v>213589.64365398171</v>
          </cell>
          <cell r="T275">
            <v>305910.60082157049</v>
          </cell>
          <cell r="U275">
            <v>71888.5232425391</v>
          </cell>
          <cell r="V275">
            <v>49643.277837033107</v>
          </cell>
          <cell r="X275">
            <v>148463.71323852596</v>
          </cell>
          <cell r="Z275">
            <v>264352.97437286976</v>
          </cell>
          <cell r="AA275">
            <v>6.4503546816334554</v>
          </cell>
          <cell r="AB275">
            <v>3248048.6926794904</v>
          </cell>
          <cell r="AC275">
            <v>264346.52401818812</v>
          </cell>
          <cell r="AD275">
            <v>2983695.7183066206</v>
          </cell>
        </row>
        <row r="276">
          <cell r="A276" t="str">
            <v>CGI014-qtz09-CL-fit-5-offset</v>
          </cell>
          <cell r="B276">
            <v>750</v>
          </cell>
          <cell r="C276">
            <v>6.6965312637759184E-25</v>
          </cell>
          <cell r="D276">
            <v>1550</v>
          </cell>
          <cell r="E276">
            <v>1024</v>
          </cell>
          <cell r="F276">
            <v>1.513671875</v>
          </cell>
          <cell r="H276">
            <v>186636.66965554433</v>
          </cell>
          <cell r="I276">
            <v>28224.368132182957</v>
          </cell>
          <cell r="J276">
            <v>44354.545418478505</v>
          </cell>
          <cell r="K276">
            <v>21166.688681423573</v>
          </cell>
          <cell r="L276">
            <v>145499.22471228341</v>
          </cell>
          <cell r="M276">
            <v>69741.368363374611</v>
          </cell>
          <cell r="N276">
            <v>60703.44349280082</v>
          </cell>
          <cell r="O276">
            <v>100978.7306197451</v>
          </cell>
          <cell r="P276">
            <v>90482.992232222663</v>
          </cell>
          <cell r="Q276">
            <v>65515.888828093011</v>
          </cell>
          <cell r="R276">
            <v>108257.83639462481</v>
          </cell>
          <cell r="T276">
            <v>84700.189581147861</v>
          </cell>
          <cell r="U276">
            <v>76959.870834931309</v>
          </cell>
          <cell r="V276">
            <v>69741.368363374611</v>
          </cell>
          <cell r="X276">
            <v>77931.462310437986</v>
          </cell>
          <cell r="Z276">
            <v>88784.596366009704</v>
          </cell>
          <cell r="AA276">
            <v>21808.322849290442</v>
          </cell>
          <cell r="AB276">
            <v>291784.22201766714</v>
          </cell>
          <cell r="AC276">
            <v>66976.273516719259</v>
          </cell>
          <cell r="AD276">
            <v>202999.62565165744</v>
          </cell>
        </row>
        <row r="277">
          <cell r="A277" t="str">
            <v>CGI014-qtz10-CL-fit-1-offset</v>
          </cell>
          <cell r="B277">
            <v>750</v>
          </cell>
          <cell r="C277">
            <v>6.6965312637759184E-25</v>
          </cell>
          <cell r="D277">
            <v>1550</v>
          </cell>
          <cell r="E277">
            <v>1024</v>
          </cell>
          <cell r="F277">
            <v>1.513671875</v>
          </cell>
          <cell r="H277">
            <v>389814.86051339295</v>
          </cell>
          <cell r="I277">
            <v>331928.97273672116</v>
          </cell>
          <cell r="J277">
            <v>356560.10130674799</v>
          </cell>
          <cell r="K277">
            <v>356576.79007760383</v>
          </cell>
          <cell r="L277">
            <v>641226.36554397002</v>
          </cell>
          <cell r="M277">
            <v>292891.21983397967</v>
          </cell>
          <cell r="N277">
            <v>285247.7078513726</v>
          </cell>
          <cell r="O277">
            <v>252301.12143039494</v>
          </cell>
          <cell r="P277">
            <v>431256.54372605064</v>
          </cell>
          <cell r="Q277">
            <v>158234.04483301152</v>
          </cell>
          <cell r="R277">
            <v>163355.657582329</v>
          </cell>
          <cell r="T277">
            <v>321727.39312769077</v>
          </cell>
          <cell r="U277">
            <v>320948.40718100313</v>
          </cell>
          <cell r="V277">
            <v>331928.97273672116</v>
          </cell>
          <cell r="X277">
            <v>322903.64628619782</v>
          </cell>
          <cell r="Z277">
            <v>324496.90533543815</v>
          </cell>
          <cell r="AA277">
            <v>124855.68553122388</v>
          </cell>
          <cell r="AB277">
            <v>663388.84433297324</v>
          </cell>
          <cell r="AC277">
            <v>199641.21980421426</v>
          </cell>
          <cell r="AD277">
            <v>338891.93899753509</v>
          </cell>
        </row>
        <row r="278">
          <cell r="A278" t="str">
            <v>CGI014-qtz10-CL-fit-2-offset</v>
          </cell>
          <cell r="B278">
            <v>750</v>
          </cell>
          <cell r="C278">
            <v>6.6965312637759184E-25</v>
          </cell>
          <cell r="D278">
            <v>1550</v>
          </cell>
          <cell r="E278">
            <v>1024</v>
          </cell>
          <cell r="F278">
            <v>1.513671875</v>
          </cell>
          <cell r="H278">
            <v>861173.5163996208</v>
          </cell>
          <cell r="I278">
            <v>1292623.014943368</v>
          </cell>
          <cell r="J278">
            <v>1133727.2205687007</v>
          </cell>
          <cell r="K278">
            <v>1043477.666025447</v>
          </cell>
          <cell r="L278">
            <v>1713491.4734706455</v>
          </cell>
          <cell r="M278">
            <v>1309966.7458641357</v>
          </cell>
          <cell r="N278">
            <v>2694643.9794061161</v>
          </cell>
          <cell r="O278">
            <v>1511039.4697269867</v>
          </cell>
          <cell r="P278">
            <v>1007372.0435556081</v>
          </cell>
          <cell r="Q278">
            <v>329076.22858613037</v>
          </cell>
          <cell r="R278">
            <v>1213952.9194772425</v>
          </cell>
          <cell r="T278">
            <v>1280108.3952131076</v>
          </cell>
          <cell r="U278">
            <v>1220955.1899707823</v>
          </cell>
          <cell r="V278">
            <v>1213952.9194772425</v>
          </cell>
          <cell r="X278">
            <v>1337008.3431111423</v>
          </cell>
          <cell r="Z278">
            <v>1360517.8322206482</v>
          </cell>
          <cell r="AA278">
            <v>328432.21657766594</v>
          </cell>
          <cell r="AB278">
            <v>3420468.2720185812</v>
          </cell>
          <cell r="AC278">
            <v>1032085.6156429823</v>
          </cell>
          <cell r="AD278">
            <v>2059950.439797933</v>
          </cell>
        </row>
        <row r="279">
          <cell r="A279" t="str">
            <v>CGI014-qtz10-CL-fit-3-offset</v>
          </cell>
          <cell r="B279">
            <v>750</v>
          </cell>
          <cell r="C279">
            <v>6.6965312637759184E-25</v>
          </cell>
          <cell r="D279">
            <v>1550</v>
          </cell>
          <cell r="E279">
            <v>1024</v>
          </cell>
          <cell r="F279">
            <v>1.513671875</v>
          </cell>
          <cell r="H279">
            <v>78410.915763225246</v>
          </cell>
          <cell r="I279">
            <v>92532.370139137784</v>
          </cell>
          <cell r="J279">
            <v>16349.699891878774</v>
          </cell>
          <cell r="K279">
            <v>114385.28628234119</v>
          </cell>
          <cell r="L279">
            <v>159957.75583461838</v>
          </cell>
          <cell r="M279">
            <v>132153.3027426503</v>
          </cell>
          <cell r="N279">
            <v>69995.441940377117</v>
          </cell>
          <cell r="O279">
            <v>197827.7054499927</v>
          </cell>
          <cell r="P279">
            <v>24906.638823354522</v>
          </cell>
          <cell r="Q279">
            <v>36998.168382153563</v>
          </cell>
          <cell r="R279">
            <v>151333.98038736891</v>
          </cell>
          <cell r="T279">
            <v>73351.466155905204</v>
          </cell>
          <cell r="U279">
            <v>87954.885452745672</v>
          </cell>
          <cell r="V279">
            <v>92532.370139137784</v>
          </cell>
          <cell r="X279">
            <v>62154.071287280167</v>
          </cell>
          <cell r="Z279">
            <v>64794.278468505021</v>
          </cell>
          <cell r="AA279">
            <v>58.670902680732084</v>
          </cell>
          <cell r="AB279">
            <v>322763.84868429764</v>
          </cell>
          <cell r="AC279">
            <v>64735.607565824292</v>
          </cell>
          <cell r="AD279">
            <v>257969.57021579263</v>
          </cell>
        </row>
        <row r="280">
          <cell r="A280" t="str">
            <v>CGI014-qtz10-CL-fit-4-offset</v>
          </cell>
          <cell r="B280">
            <v>750</v>
          </cell>
          <cell r="C280">
            <v>6.6965312637759184E-25</v>
          </cell>
          <cell r="D280">
            <v>1550</v>
          </cell>
          <cell r="E280">
            <v>1024</v>
          </cell>
          <cell r="F280">
            <v>1.513671875</v>
          </cell>
          <cell r="H280">
            <v>15604.264390264258</v>
          </cell>
          <cell r="I280">
            <v>105306.92061396511</v>
          </cell>
          <cell r="J280">
            <v>85452.434299790431</v>
          </cell>
          <cell r="K280">
            <v>177074.4841770982</v>
          </cell>
          <cell r="L280">
            <v>96633.249138114435</v>
          </cell>
          <cell r="M280">
            <v>22327.250867798171</v>
          </cell>
          <cell r="N280">
            <v>75847.521859894652</v>
          </cell>
          <cell r="O280">
            <v>62861.624781773215</v>
          </cell>
          <cell r="P280">
            <v>117787.97628508897</v>
          </cell>
          <cell r="Q280">
            <v>120960.97965836622</v>
          </cell>
          <cell r="R280">
            <v>204594.24588924283</v>
          </cell>
          <cell r="T280">
            <v>98022.024127584751</v>
          </cell>
          <cell r="U280">
            <v>89579.312451805745</v>
          </cell>
          <cell r="V280">
            <v>96633.249138114435</v>
          </cell>
          <cell r="X280">
            <v>87284.611143526752</v>
          </cell>
          <cell r="Z280">
            <v>94394.570828045384</v>
          </cell>
          <cell r="AA280">
            <v>15761.933993098402</v>
          </cell>
          <cell r="AB280">
            <v>285335.53111334005</v>
          </cell>
          <cell r="AC280">
            <v>78632.636834946985</v>
          </cell>
          <cell r="AD280">
            <v>190940.96028529468</v>
          </cell>
        </row>
        <row r="281">
          <cell r="A281" t="str">
            <v>CGI014-qtz11-CL-fit-1-offset</v>
          </cell>
          <cell r="B281">
            <v>750</v>
          </cell>
          <cell r="C281">
            <v>6.6965312637759184E-25</v>
          </cell>
          <cell r="D281">
            <v>1500</v>
          </cell>
          <cell r="E281">
            <v>1024</v>
          </cell>
          <cell r="F281">
            <v>1.46484375</v>
          </cell>
          <cell r="H281">
            <v>1169479.9325327701</v>
          </cell>
          <cell r="I281">
            <v>1056490.8474895887</v>
          </cell>
          <cell r="J281">
            <v>879648.01880457916</v>
          </cell>
          <cell r="K281">
            <v>1646916.0143238406</v>
          </cell>
          <cell r="L281">
            <v>929245.40858471359</v>
          </cell>
          <cell r="M281">
            <v>675543.90633925097</v>
          </cell>
          <cell r="N281">
            <v>472026.39865234838</v>
          </cell>
          <cell r="O281">
            <v>662789.82197086979</v>
          </cell>
          <cell r="P281">
            <v>759662.33285789867</v>
          </cell>
          <cell r="Q281">
            <v>706273.37925136345</v>
          </cell>
          <cell r="R281">
            <v>986388.95568032202</v>
          </cell>
          <cell r="T281">
            <v>852366.65759567078</v>
          </cell>
          <cell r="U281">
            <v>880647.02458806289</v>
          </cell>
          <cell r="V281">
            <v>879648.01880457916</v>
          </cell>
          <cell r="X281">
            <v>834859.72143462114</v>
          </cell>
          <cell r="Z281">
            <v>861888.8347760787</v>
          </cell>
          <cell r="AA281">
            <v>415041.59519149445</v>
          </cell>
          <cell r="AB281">
            <v>1829695.6814133378</v>
          </cell>
          <cell r="AC281">
            <v>446847.23958458425</v>
          </cell>
          <cell r="AD281">
            <v>967806.84663725912</v>
          </cell>
        </row>
        <row r="282">
          <cell r="A282" t="str">
            <v>CGI014-qtz11-CL-fit-2-offset</v>
          </cell>
          <cell r="B282">
            <v>750</v>
          </cell>
          <cell r="C282">
            <v>6.6965312637759184E-25</v>
          </cell>
          <cell r="D282">
            <v>1500</v>
          </cell>
          <cell r="E282">
            <v>1024</v>
          </cell>
          <cell r="F282">
            <v>1.46484375</v>
          </cell>
          <cell r="H282">
            <v>3054917.5062921606</v>
          </cell>
          <cell r="I282">
            <v>3888815.7677063169</v>
          </cell>
          <cell r="J282">
            <v>2283291.9730464728</v>
          </cell>
          <cell r="K282">
            <v>2729492.9805350946</v>
          </cell>
          <cell r="L282">
            <v>3023878.5946071129</v>
          </cell>
          <cell r="M282">
            <v>3109328.536573879</v>
          </cell>
          <cell r="N282">
            <v>2883082.9520013737</v>
          </cell>
          <cell r="O282">
            <v>3223038.8365344163</v>
          </cell>
          <cell r="P282">
            <v>1992658.0966603262</v>
          </cell>
          <cell r="Q282">
            <v>2709219.7514339704</v>
          </cell>
          <cell r="R282">
            <v>3436899.2771010827</v>
          </cell>
          <cell r="T282">
            <v>2946917.1849186402</v>
          </cell>
          <cell r="U282">
            <v>2917883.3365695314</v>
          </cell>
          <cell r="V282">
            <v>3023878.5946071129</v>
          </cell>
          <cell r="X282">
            <v>2901854.4337668456</v>
          </cell>
          <cell r="Z282">
            <v>2910314.3313849689</v>
          </cell>
          <cell r="AA282">
            <v>2059249.5172221623</v>
          </cell>
          <cell r="AB282">
            <v>4121282.8177602566</v>
          </cell>
          <cell r="AC282">
            <v>851064.81416280661</v>
          </cell>
          <cell r="AD282">
            <v>1210968.4863752876</v>
          </cell>
        </row>
        <row r="283">
          <cell r="A283" t="str">
            <v>CGI014-qtz11-CL-fit-3-offset</v>
          </cell>
          <cell r="B283">
            <v>750</v>
          </cell>
          <cell r="C283">
            <v>6.6965312637759184E-25</v>
          </cell>
          <cell r="D283">
            <v>1500</v>
          </cell>
          <cell r="E283">
            <v>1024</v>
          </cell>
          <cell r="F283">
            <v>1.46484375</v>
          </cell>
          <cell r="H283">
            <v>225898.47360577944</v>
          </cell>
          <cell r="I283">
            <v>576767.59852519317</v>
          </cell>
          <cell r="J283">
            <v>598151.34281381767</v>
          </cell>
          <cell r="K283">
            <v>285530.05157006299</v>
          </cell>
          <cell r="L283">
            <v>585808.37515356345</v>
          </cell>
          <cell r="M283">
            <v>378318.53062627633</v>
          </cell>
          <cell r="N283">
            <v>498380.01137620129</v>
          </cell>
          <cell r="O283">
            <v>378429.22986701253</v>
          </cell>
          <cell r="P283">
            <v>504208.63520589733</v>
          </cell>
          <cell r="Q283">
            <v>552560.8605860956</v>
          </cell>
          <cell r="R283">
            <v>531418.31087237876</v>
          </cell>
          <cell r="T283">
            <v>464985.00390599092</v>
          </cell>
          <cell r="U283">
            <v>455806.82958905125</v>
          </cell>
          <cell r="V283">
            <v>504208.63520589733</v>
          </cell>
          <cell r="X283">
            <v>474170.54235905083</v>
          </cell>
          <cell r="Z283">
            <v>468686.25335051981</v>
          </cell>
          <cell r="AA283">
            <v>268045.74192885298</v>
          </cell>
          <cell r="AB283">
            <v>750890.51725281484</v>
          </cell>
          <cell r="AC283">
            <v>200640.51142166683</v>
          </cell>
          <cell r="AD283">
            <v>282204.26390229503</v>
          </cell>
        </row>
        <row r="284">
          <cell r="A284" t="str">
            <v>CGI014-qtz11-CL-fit-4-offset</v>
          </cell>
          <cell r="B284">
            <v>750</v>
          </cell>
          <cell r="C284">
            <v>6.6965312637759184E-25</v>
          </cell>
          <cell r="D284">
            <v>1500</v>
          </cell>
          <cell r="E284">
            <v>1024</v>
          </cell>
          <cell r="F284">
            <v>1.46484375</v>
          </cell>
          <cell r="H284">
            <v>125696.74252246009</v>
          </cell>
          <cell r="I284">
            <v>198923.85093215248</v>
          </cell>
          <cell r="J284">
            <v>152409.78484243041</v>
          </cell>
          <cell r="K284">
            <v>113207.04569970147</v>
          </cell>
          <cell r="L284">
            <v>115753.32913536039</v>
          </cell>
          <cell r="M284">
            <v>105662.72967471449</v>
          </cell>
          <cell r="N284">
            <v>102805.36536288157</v>
          </cell>
          <cell r="O284">
            <v>73562.458741204915</v>
          </cell>
          <cell r="P284">
            <v>115447.75433976806</v>
          </cell>
          <cell r="Q284">
            <v>98900.737735069284</v>
          </cell>
          <cell r="R284">
            <v>19978.154998293496</v>
          </cell>
          <cell r="T284">
            <v>105204.56342317506</v>
          </cell>
          <cell r="U284">
            <v>105929.59022646649</v>
          </cell>
          <cell r="V284">
            <v>113207.04569970147</v>
          </cell>
          <cell r="X284">
            <v>100627.18611149993</v>
          </cell>
          <cell r="Z284">
            <v>88820.037448351053</v>
          </cell>
          <cell r="AA284">
            <v>2879.489157145048</v>
          </cell>
          <cell r="AB284">
            <v>268123.66664851713</v>
          </cell>
          <cell r="AC284">
            <v>85940.548291206011</v>
          </cell>
          <cell r="AD284">
            <v>179303.62920016609</v>
          </cell>
        </row>
        <row r="285">
          <cell r="A285" t="str">
            <v>CGI014-qtz11-CL-fit-5-offset</v>
          </cell>
          <cell r="B285">
            <v>750</v>
          </cell>
          <cell r="C285">
            <v>6.6965312637759184E-25</v>
          </cell>
          <cell r="D285">
            <v>1500</v>
          </cell>
          <cell r="E285">
            <v>1024</v>
          </cell>
          <cell r="F285">
            <v>1.46484375</v>
          </cell>
          <cell r="H285">
            <v>32274.34256135119</v>
          </cell>
          <cell r="I285">
            <v>93470.589346859531</v>
          </cell>
          <cell r="J285">
            <v>76123.388674225338</v>
          </cell>
          <cell r="K285">
            <v>37105.702207612201</v>
          </cell>
          <cell r="L285">
            <v>43239.359572165456</v>
          </cell>
          <cell r="M285">
            <v>57049.788517305773</v>
          </cell>
          <cell r="N285">
            <v>1260.0047047415737</v>
          </cell>
          <cell r="O285">
            <v>18595.036784102002</v>
          </cell>
          <cell r="P285">
            <v>38238.779529411608</v>
          </cell>
          <cell r="Q285">
            <v>32974.261307028442</v>
          </cell>
          <cell r="R285">
            <v>17367.25554180946</v>
          </cell>
          <cell r="T285">
            <v>46331.760368876559</v>
          </cell>
          <cell r="U285">
            <v>35806.466130890898</v>
          </cell>
          <cell r="V285">
            <v>37105.702207612201</v>
          </cell>
          <cell r="X285">
            <v>37754.206149811173</v>
          </cell>
          <cell r="Z285">
            <v>34270.17289862215</v>
          </cell>
          <cell r="AA285">
            <v>1326.7042862831031</v>
          </cell>
          <cell r="AB285">
            <v>118778.94621837944</v>
          </cell>
          <cell r="AC285">
            <v>32943.468612339049</v>
          </cell>
          <cell r="AD285">
            <v>84508.773319757282</v>
          </cell>
        </row>
        <row r="286">
          <cell r="A286" t="str">
            <v>CGI014-qtz12-CL-fit-1-offset</v>
          </cell>
          <cell r="B286">
            <v>750</v>
          </cell>
          <cell r="C286">
            <v>6.6965312637759184E-25</v>
          </cell>
          <cell r="D286">
            <v>1650</v>
          </cell>
          <cell r="E286">
            <v>1024</v>
          </cell>
          <cell r="F286">
            <v>1.611328125</v>
          </cell>
          <cell r="H286">
            <v>5216274.1049223663</v>
          </cell>
          <cell r="I286">
            <v>6407975.7024390344</v>
          </cell>
          <cell r="J286">
            <v>5121205.5821882626</v>
          </cell>
          <cell r="K286">
            <v>9613081.2571805082</v>
          </cell>
          <cell r="L286">
            <v>8817624.2949399147</v>
          </cell>
          <cell r="M286">
            <v>6320753.698276354</v>
          </cell>
          <cell r="N286">
            <v>5927842.4031273434</v>
          </cell>
          <cell r="O286">
            <v>6497094.796263149</v>
          </cell>
          <cell r="P286">
            <v>4845297.9731409978</v>
          </cell>
          <cell r="Q286">
            <v>6592332.4912575586</v>
          </cell>
          <cell r="R286">
            <v>7877502.3096305123</v>
          </cell>
          <cell r="T286">
            <v>6536121.1191544244</v>
          </cell>
          <cell r="U286">
            <v>6582247.9478317387</v>
          </cell>
          <cell r="V286">
            <v>6407975.7024390344</v>
          </cell>
          <cell r="X286">
            <v>6531727.0731847994</v>
          </cell>
          <cell r="Z286">
            <v>6573353.1721970029</v>
          </cell>
          <cell r="AA286">
            <v>4348377.6232561693</v>
          </cell>
          <cell r="AB286">
            <v>10114221.826547612</v>
          </cell>
          <cell r="AC286">
            <v>2224975.5489408337</v>
          </cell>
          <cell r="AD286">
            <v>3540868.6543506086</v>
          </cell>
        </row>
        <row r="287">
          <cell r="A287" t="str">
            <v>CGI014-qtz12-CL-fit-2-offset</v>
          </cell>
          <cell r="B287">
            <v>750</v>
          </cell>
          <cell r="C287">
            <v>6.6965312637759184E-25</v>
          </cell>
          <cell r="D287">
            <v>1650</v>
          </cell>
          <cell r="E287">
            <v>1024</v>
          </cell>
          <cell r="F287">
            <v>1.611328125</v>
          </cell>
          <cell r="H287">
            <v>1378088.740755032</v>
          </cell>
          <cell r="I287">
            <v>2131427.0648204964</v>
          </cell>
          <cell r="J287">
            <v>1481741.8953301266</v>
          </cell>
          <cell r="K287">
            <v>0</v>
          </cell>
          <cell r="L287">
            <v>1783718.617484306</v>
          </cell>
          <cell r="M287">
            <v>1208959.3725281963</v>
          </cell>
          <cell r="N287">
            <v>2191864.953842436</v>
          </cell>
          <cell r="O287">
            <v>0</v>
          </cell>
          <cell r="P287">
            <v>555961.19474609918</v>
          </cell>
          <cell r="Q287">
            <v>0</v>
          </cell>
          <cell r="R287">
            <v>805528.55881265085</v>
          </cell>
          <cell r="T287">
            <v>1432712.2231994469</v>
          </cell>
          <cell r="U287">
            <v>1383520.1655787819</v>
          </cell>
          <cell r="V287">
            <v>1429445.5565149195</v>
          </cell>
          <cell r="X287">
            <v>1348804.8728296161</v>
          </cell>
          <cell r="Z287">
            <v>1392227.126594838</v>
          </cell>
          <cell r="AA287">
            <v>430047.92154327675</v>
          </cell>
          <cell r="AB287">
            <v>3179801.3065885175</v>
          </cell>
          <cell r="AC287">
            <v>962179.20505156124</v>
          </cell>
          <cell r="AD287">
            <v>1787574.1799936795</v>
          </cell>
        </row>
        <row r="288">
          <cell r="A288" t="str">
            <v>CGI014-qtz12-CL-fit-3-offset</v>
          </cell>
          <cell r="B288">
            <v>750</v>
          </cell>
          <cell r="C288">
            <v>6.6965312637759184E-25</v>
          </cell>
          <cell r="D288">
            <v>1650</v>
          </cell>
          <cell r="E288">
            <v>1024</v>
          </cell>
          <cell r="F288">
            <v>1.611328125</v>
          </cell>
          <cell r="H288">
            <v>165447.50598165148</v>
          </cell>
          <cell r="I288">
            <v>373569.27078141912</v>
          </cell>
          <cell r="J288">
            <v>402469.58651138417</v>
          </cell>
          <cell r="K288">
            <v>406575.23139437306</v>
          </cell>
          <cell r="L288">
            <v>507001.35690952215</v>
          </cell>
          <cell r="M288">
            <v>447976.37371970568</v>
          </cell>
          <cell r="N288">
            <v>270153.01756429451</v>
          </cell>
          <cell r="O288">
            <v>775491.95927276113</v>
          </cell>
          <cell r="P288">
            <v>894795.548037178</v>
          </cell>
          <cell r="Q288">
            <v>954551.86264051194</v>
          </cell>
          <cell r="R288">
            <v>843964.8212758397</v>
          </cell>
          <cell r="T288">
            <v>505583.89108493627</v>
          </cell>
          <cell r="U288">
            <v>517529.80564209417</v>
          </cell>
          <cell r="V288">
            <v>447976.37371970568</v>
          </cell>
          <cell r="X288">
            <v>523237.89317844977</v>
          </cell>
          <cell r="Z288">
            <v>529398.01932814484</v>
          </cell>
          <cell r="AA288">
            <v>245461.80650080476</v>
          </cell>
          <cell r="AB288">
            <v>967094.99922947027</v>
          </cell>
          <cell r="AC288">
            <v>283936.21282734012</v>
          </cell>
          <cell r="AD288">
            <v>437696.97990132542</v>
          </cell>
        </row>
        <row r="289">
          <cell r="A289" t="str">
            <v>CGI015-qtz01-CL-fit-1-offset</v>
          </cell>
          <cell r="B289">
            <v>750</v>
          </cell>
          <cell r="C289">
            <v>6.6965312637759184E-25</v>
          </cell>
          <cell r="D289">
            <v>1800</v>
          </cell>
          <cell r="E289">
            <v>1024</v>
          </cell>
          <cell r="F289">
            <v>1.7578125</v>
          </cell>
          <cell r="H289">
            <v>223851.56495006112</v>
          </cell>
          <cell r="I289">
            <v>1358561.097589714</v>
          </cell>
          <cell r="J289">
            <v>381901.11534102808</v>
          </cell>
          <cell r="K289">
            <v>1100061.2536587843</v>
          </cell>
          <cell r="L289">
            <v>2076858.46010536</v>
          </cell>
          <cell r="M289">
            <v>128585.38637583274</v>
          </cell>
          <cell r="N289">
            <v>479455.8655110707</v>
          </cell>
          <cell r="O289">
            <v>383499.03822430421</v>
          </cell>
          <cell r="P289">
            <v>270085.72962856671</v>
          </cell>
          <cell r="Q289">
            <v>456049.15294406156</v>
          </cell>
          <cell r="R289">
            <v>19352.074852730002</v>
          </cell>
          <cell r="T289">
            <v>506246.92959901312</v>
          </cell>
          <cell r="U289">
            <v>496520.79229177197</v>
          </cell>
          <cell r="V289">
            <v>383499.03822430421</v>
          </cell>
          <cell r="X289">
            <v>482848.11459082452</v>
          </cell>
          <cell r="Z289">
            <v>500078.52130680205</v>
          </cell>
          <cell r="AA289">
            <v>25896.117744714815</v>
          </cell>
          <cell r="AB289">
            <v>1906651.7359159493</v>
          </cell>
          <cell r="AC289">
            <v>474182.40356208722</v>
          </cell>
          <cell r="AD289">
            <v>1406573.2146091473</v>
          </cell>
        </row>
        <row r="290">
          <cell r="A290" t="str">
            <v>CGI015-qtz01-CL-fit-2-offset</v>
          </cell>
          <cell r="B290">
            <v>750</v>
          </cell>
          <cell r="C290">
            <v>6.6965312637759184E-25</v>
          </cell>
          <cell r="D290">
            <v>1800</v>
          </cell>
          <cell r="E290">
            <v>1024</v>
          </cell>
          <cell r="F290">
            <v>1.7578125</v>
          </cell>
          <cell r="H290">
            <v>454750.3393097996</v>
          </cell>
          <cell r="I290">
            <v>329786.38375719194</v>
          </cell>
          <cell r="J290">
            <v>376838.83063170238</v>
          </cell>
          <cell r="K290">
            <v>341053.9450069248</v>
          </cell>
          <cell r="L290">
            <v>330973.0424386388</v>
          </cell>
          <cell r="M290">
            <v>409756.82157967251</v>
          </cell>
          <cell r="N290">
            <v>412012.03340830776</v>
          </cell>
          <cell r="O290">
            <v>328130.57437035203</v>
          </cell>
          <cell r="P290">
            <v>367962.28746476019</v>
          </cell>
          <cell r="Q290">
            <v>609881.05919497821</v>
          </cell>
          <cell r="R290">
            <v>592238.02977803862</v>
          </cell>
          <cell r="T290">
            <v>407471.06179619511</v>
          </cell>
          <cell r="U290">
            <v>408872.31422257476</v>
          </cell>
          <cell r="V290">
            <v>376838.83063170238</v>
          </cell>
          <cell r="X290">
            <v>402372.20016783429</v>
          </cell>
          <cell r="Z290">
            <v>401109.76927824307</v>
          </cell>
          <cell r="AA290">
            <v>121150.97313602078</v>
          </cell>
          <cell r="AB290">
            <v>805285.72902724706</v>
          </cell>
          <cell r="AC290">
            <v>279958.7961422223</v>
          </cell>
          <cell r="AD290">
            <v>404175.95974900399</v>
          </cell>
        </row>
        <row r="291">
          <cell r="A291" t="str">
            <v>CGI015-qtz01-CL-fit-3-offset</v>
          </cell>
          <cell r="B291">
            <v>750</v>
          </cell>
          <cell r="C291">
            <v>6.6965312637759184E-25</v>
          </cell>
          <cell r="D291">
            <v>1800</v>
          </cell>
          <cell r="E291">
            <v>1024</v>
          </cell>
          <cell r="F291">
            <v>1.7578125</v>
          </cell>
          <cell r="H291">
            <v>536628.72261755855</v>
          </cell>
          <cell r="I291">
            <v>497346.85056822642</v>
          </cell>
          <cell r="J291">
            <v>570787.16859238571</v>
          </cell>
          <cell r="K291">
            <v>294520.08007423725</v>
          </cell>
          <cell r="L291">
            <v>560543.10143220657</v>
          </cell>
          <cell r="M291">
            <v>732249.06277265737</v>
          </cell>
          <cell r="N291">
            <v>781606.60723804228</v>
          </cell>
          <cell r="O291">
            <v>905244.61739205127</v>
          </cell>
          <cell r="P291">
            <v>587809.2440020279</v>
          </cell>
          <cell r="Q291">
            <v>476808.75212809263</v>
          </cell>
          <cell r="R291">
            <v>661310.10988454078</v>
          </cell>
          <cell r="T291">
            <v>579751.03198810935</v>
          </cell>
          <cell r="U291">
            <v>589590.56072694459</v>
          </cell>
          <cell r="V291">
            <v>570787.16859238571</v>
          </cell>
          <cell r="X291">
            <v>576538.31491352001</v>
          </cell>
          <cell r="Z291">
            <v>580036.20788867085</v>
          </cell>
          <cell r="AA291">
            <v>305045.31212255952</v>
          </cell>
          <cell r="AB291">
            <v>975941.97597350378</v>
          </cell>
          <cell r="AC291">
            <v>274990.89576611132</v>
          </cell>
          <cell r="AD291">
            <v>395905.76808483293</v>
          </cell>
        </row>
        <row r="292">
          <cell r="A292" t="str">
            <v>CGI015-qtz01-CL-fit-4-offset</v>
          </cell>
          <cell r="B292">
            <v>750</v>
          </cell>
          <cell r="C292">
            <v>6.6965312637759184E-25</v>
          </cell>
          <cell r="D292">
            <v>1800</v>
          </cell>
          <cell r="E292">
            <v>1024</v>
          </cell>
          <cell r="F292">
            <v>1.7578125</v>
          </cell>
          <cell r="H292">
            <v>327303.68046950124</v>
          </cell>
          <cell r="I292">
            <v>272499.63632231695</v>
          </cell>
          <cell r="J292">
            <v>348120.91813354631</v>
          </cell>
          <cell r="K292">
            <v>153623.77413596565</v>
          </cell>
          <cell r="L292">
            <v>195070.14139978186</v>
          </cell>
          <cell r="M292">
            <v>292991.98660445563</v>
          </cell>
          <cell r="N292">
            <v>220934.62118425209</v>
          </cell>
          <cell r="O292">
            <v>319259.59351859969</v>
          </cell>
          <cell r="P292">
            <v>261247.49316047376</v>
          </cell>
          <cell r="Q292">
            <v>184681.40559566382</v>
          </cell>
          <cell r="R292">
            <v>115233.51608905722</v>
          </cell>
          <cell r="T292">
            <v>237102.19825833273</v>
          </cell>
          <cell r="U292">
            <v>238715.60109519897</v>
          </cell>
          <cell r="V292">
            <v>261247.49316047376</v>
          </cell>
          <cell r="X292">
            <v>244198.52723318964</v>
          </cell>
          <cell r="Z292">
            <v>242979.81512529645</v>
          </cell>
          <cell r="AA292">
            <v>120255.22361039123</v>
          </cell>
          <cell r="AB292">
            <v>424342.1670650529</v>
          </cell>
          <cell r="AC292">
            <v>122724.59151490522</v>
          </cell>
          <cell r="AD292">
            <v>181362.35193975645</v>
          </cell>
        </row>
        <row r="293">
          <cell r="A293" t="str">
            <v>CGI015-qtz01-CL-fit-5-offset</v>
          </cell>
          <cell r="B293">
            <v>750</v>
          </cell>
          <cell r="C293">
            <v>6.6965312637759184E-25</v>
          </cell>
          <cell r="D293">
            <v>1800</v>
          </cell>
          <cell r="E293">
            <v>1024</v>
          </cell>
          <cell r="F293">
            <v>1.7578125</v>
          </cell>
          <cell r="H293">
            <v>113484.00242520671</v>
          </cell>
          <cell r="I293">
            <v>93342.2231586415</v>
          </cell>
          <cell r="J293">
            <v>254610.15207713956</v>
          </cell>
          <cell r="K293">
            <v>270665.82799958537</v>
          </cell>
          <cell r="L293">
            <v>273420.60337147443</v>
          </cell>
          <cell r="M293">
            <v>109151.06344182536</v>
          </cell>
          <cell r="N293">
            <v>157089.82350473141</v>
          </cell>
          <cell r="O293">
            <v>170103.73764189266</v>
          </cell>
          <cell r="P293">
            <v>580595.91359320888</v>
          </cell>
          <cell r="Q293">
            <v>123992.65963303023</v>
          </cell>
          <cell r="R293">
            <v>336951.43634485774</v>
          </cell>
          <cell r="T293">
            <v>185505.36652488212</v>
          </cell>
          <cell r="U293">
            <v>208588.68326972981</v>
          </cell>
          <cell r="V293">
            <v>170103.73764189266</v>
          </cell>
          <cell r="X293">
            <v>167759.9378121495</v>
          </cell>
          <cell r="Z293">
            <v>183573.83386946455</v>
          </cell>
          <cell r="AA293">
            <v>63597.878164425958</v>
          </cell>
          <cell r="AB293">
            <v>396678.9249476479</v>
          </cell>
          <cell r="AC293">
            <v>119975.95570503859</v>
          </cell>
          <cell r="AD293">
            <v>213105.09107818335</v>
          </cell>
        </row>
        <row r="294">
          <cell r="A294" t="str">
            <v>CGI015-qtz01-CL-fit-6-offset</v>
          </cell>
          <cell r="B294">
            <v>750</v>
          </cell>
          <cell r="C294">
            <v>6.6965312637759184E-25</v>
          </cell>
          <cell r="D294">
            <v>1800</v>
          </cell>
          <cell r="E294">
            <v>1024</v>
          </cell>
          <cell r="F294">
            <v>1.7578125</v>
          </cell>
          <cell r="H294">
            <v>28688.818020206614</v>
          </cell>
          <cell r="I294">
            <v>23106.154167668221</v>
          </cell>
          <cell r="J294">
            <v>20190.426560112148</v>
          </cell>
          <cell r="K294">
            <v>28160.592438310487</v>
          </cell>
          <cell r="L294">
            <v>12216.120114620768</v>
          </cell>
          <cell r="M294">
            <v>2761.8857568509266</v>
          </cell>
          <cell r="N294">
            <v>32777.732666200456</v>
          </cell>
          <cell r="O294">
            <v>2951.8795647300076</v>
          </cell>
          <cell r="P294">
            <v>43290.210978669267</v>
          </cell>
          <cell r="Q294">
            <v>3094.2441988291212</v>
          </cell>
          <cell r="R294">
            <v>63113.404640881185</v>
          </cell>
          <cell r="T294">
            <v>28536.413051294912</v>
          </cell>
          <cell r="U294">
            <v>19718.78212798497</v>
          </cell>
          <cell r="V294">
            <v>23106.154167668221</v>
          </cell>
          <cell r="X294">
            <v>22458.739039900462</v>
          </cell>
          <cell r="Z294">
            <v>25084.293753407146</v>
          </cell>
          <cell r="AA294">
            <v>301.83533615417309</v>
          </cell>
          <cell r="AB294">
            <v>135049.20801107021</v>
          </cell>
          <cell r="AC294">
            <v>24782.458417252972</v>
          </cell>
          <cell r="AD294">
            <v>109964.91425766307</v>
          </cell>
        </row>
        <row r="295">
          <cell r="A295" t="str">
            <v>CGI015-qtz02-CL-fit-1-offset</v>
          </cell>
          <cell r="B295">
            <v>750</v>
          </cell>
          <cell r="C295">
            <v>6.6965312637759184E-25</v>
          </cell>
          <cell r="D295">
            <v>1550</v>
          </cell>
          <cell r="E295">
            <v>1024</v>
          </cell>
          <cell r="F295">
            <v>1.513671875</v>
          </cell>
          <cell r="H295">
            <v>5731354.4402988721</v>
          </cell>
          <cell r="I295">
            <v>5823947.6593056275</v>
          </cell>
          <cell r="J295">
            <v>6087618.5087528946</v>
          </cell>
          <cell r="K295">
            <v>5499890.4992322419</v>
          </cell>
          <cell r="L295">
            <v>5907232.4020874044</v>
          </cell>
          <cell r="M295">
            <v>5136486.9986666087</v>
          </cell>
          <cell r="N295">
            <v>4303704.2843820285</v>
          </cell>
          <cell r="O295">
            <v>6138140.9237020798</v>
          </cell>
          <cell r="P295">
            <v>7448103.0488881925</v>
          </cell>
          <cell r="Q295">
            <v>7608382.2660444584</v>
          </cell>
          <cell r="R295">
            <v>5401877.2045638245</v>
          </cell>
          <cell r="T295">
            <v>5845472.054087406</v>
          </cell>
          <cell r="U295">
            <v>5882995.4730433868</v>
          </cell>
          <cell r="V295">
            <v>5823947.6593056275</v>
          </cell>
          <cell r="X295">
            <v>5897148.7139243037</v>
          </cell>
          <cell r="Z295">
            <v>5872781.635509002</v>
          </cell>
          <cell r="AA295">
            <v>4029985.049283918</v>
          </cell>
          <cell r="AB295">
            <v>8174288.9492159449</v>
          </cell>
          <cell r="AC295">
            <v>1842796.586225084</v>
          </cell>
          <cell r="AD295">
            <v>2301507.3137069428</v>
          </cell>
        </row>
        <row r="296">
          <cell r="A296" t="str">
            <v>CGI015-qtz02-CL-fit-2-offset</v>
          </cell>
          <cell r="B296">
            <v>750</v>
          </cell>
          <cell r="C296">
            <v>6.6965312637759184E-25</v>
          </cell>
          <cell r="D296">
            <v>1550</v>
          </cell>
          <cell r="E296">
            <v>1024</v>
          </cell>
          <cell r="F296">
            <v>1.513671875</v>
          </cell>
          <cell r="H296">
            <v>167270.38412257883</v>
          </cell>
          <cell r="I296">
            <v>231074.79379177516</v>
          </cell>
          <cell r="J296">
            <v>203987.26503210736</v>
          </cell>
          <cell r="K296">
            <v>93523.452464334579</v>
          </cell>
          <cell r="L296">
            <v>232398.94891052475</v>
          </cell>
          <cell r="M296">
            <v>326592.38661941583</v>
          </cell>
          <cell r="N296">
            <v>266109.1641584594</v>
          </cell>
          <cell r="O296">
            <v>405654.0758677572</v>
          </cell>
          <cell r="P296">
            <v>359324.31683300738</v>
          </cell>
          <cell r="Q296">
            <v>324853.62731335225</v>
          </cell>
          <cell r="R296">
            <v>192544.08532134586</v>
          </cell>
          <cell r="T296">
            <v>261570.77686294873</v>
          </cell>
          <cell r="U296">
            <v>246528.25069908166</v>
          </cell>
          <cell r="V296">
            <v>232398.94891052475</v>
          </cell>
          <cell r="X296">
            <v>244501.28437228739</v>
          </cell>
          <cell r="Z296">
            <v>242671.40100883957</v>
          </cell>
          <cell r="AA296">
            <v>101773.56966299943</v>
          </cell>
          <cell r="AB296">
            <v>393513.70297705242</v>
          </cell>
          <cell r="AC296">
            <v>140897.83134584012</v>
          </cell>
          <cell r="AD296">
            <v>150842.30196821285</v>
          </cell>
        </row>
        <row r="297">
          <cell r="A297" t="str">
            <v>CGI015-qtz02-CL-fit-3-offset</v>
          </cell>
          <cell r="B297">
            <v>750</v>
          </cell>
          <cell r="C297">
            <v>6.6965312637759184E-25</v>
          </cell>
          <cell r="D297">
            <v>1550</v>
          </cell>
          <cell r="E297">
            <v>1024</v>
          </cell>
          <cell r="F297">
            <v>1.513671875</v>
          </cell>
          <cell r="H297">
            <v>194402.47422395632</v>
          </cell>
          <cell r="I297">
            <v>146108.9586539749</v>
          </cell>
          <cell r="J297">
            <v>114294.97980034919</v>
          </cell>
          <cell r="K297">
            <v>211923.25932805584</v>
          </cell>
          <cell r="L297">
            <v>193107.64926314625</v>
          </cell>
          <cell r="M297">
            <v>151237.30172768165</v>
          </cell>
          <cell r="N297">
            <v>131751.82778056985</v>
          </cell>
          <cell r="O297">
            <v>113732.4563459083</v>
          </cell>
          <cell r="P297">
            <v>128496.04725050427</v>
          </cell>
          <cell r="Q297">
            <v>271014.14065041934</v>
          </cell>
          <cell r="R297">
            <v>84843.692844716803</v>
          </cell>
          <cell r="T297">
            <v>153051.25973351681</v>
          </cell>
          <cell r="U297">
            <v>154267.84401808135</v>
          </cell>
          <cell r="V297">
            <v>146108.9586539749</v>
          </cell>
          <cell r="X297">
            <v>156270.5217402525</v>
          </cell>
          <cell r="Z297">
            <v>156114.00287816572</v>
          </cell>
          <cell r="AA297">
            <v>52044.03524611771</v>
          </cell>
          <cell r="AB297">
            <v>305880.89059890725</v>
          </cell>
          <cell r="AC297">
            <v>104069.96763204801</v>
          </cell>
          <cell r="AD297">
            <v>149766.88772074154</v>
          </cell>
        </row>
        <row r="298">
          <cell r="A298" t="str">
            <v>CGI015-qtz02-CL-fit-4-offset</v>
          </cell>
          <cell r="B298">
            <v>750</v>
          </cell>
          <cell r="C298">
            <v>6.6965312637759184E-25</v>
          </cell>
          <cell r="D298">
            <v>1550</v>
          </cell>
          <cell r="E298">
            <v>1024</v>
          </cell>
          <cell r="F298">
            <v>1.513671875</v>
          </cell>
          <cell r="H298">
            <v>21400.087896669571</v>
          </cell>
          <cell r="I298">
            <v>15916.800660568966</v>
          </cell>
          <cell r="J298">
            <v>11594.150875023814</v>
          </cell>
          <cell r="K298">
            <v>15319.784056047298</v>
          </cell>
          <cell r="L298">
            <v>19004.194345681481</v>
          </cell>
          <cell r="M298">
            <v>22339.403656508795</v>
          </cell>
          <cell r="N298">
            <v>19647.253347455513</v>
          </cell>
          <cell r="O298">
            <v>30838.719006189844</v>
          </cell>
          <cell r="P298">
            <v>24627.406870168743</v>
          </cell>
          <cell r="Q298">
            <v>28330.017145420257</v>
          </cell>
          <cell r="R298">
            <v>18195.182009083237</v>
          </cell>
          <cell r="T298">
            <v>22225.382833921562</v>
          </cell>
          <cell r="U298">
            <v>20296.725859563892</v>
          </cell>
          <cell r="V298">
            <v>19647.253347455513</v>
          </cell>
          <cell r="X298">
            <v>20949.317685385653</v>
          </cell>
          <cell r="Z298">
            <v>18039.821101376634</v>
          </cell>
          <cell r="AA298">
            <v>133.71891369769753</v>
          </cell>
          <cell r="AB298">
            <v>56663.764182145904</v>
          </cell>
          <cell r="AC298">
            <v>17906.102187678938</v>
          </cell>
          <cell r="AD298">
            <v>38623.94308076927</v>
          </cell>
        </row>
        <row r="299">
          <cell r="A299" t="str">
            <v>CGI015-qtz03-CL-fit-1-offset</v>
          </cell>
          <cell r="B299">
            <v>750</v>
          </cell>
          <cell r="C299">
            <v>6.6965312637759184E-25</v>
          </cell>
          <cell r="D299">
            <v>1750</v>
          </cell>
          <cell r="E299">
            <v>1024</v>
          </cell>
          <cell r="F299">
            <v>1.708984375</v>
          </cell>
          <cell r="H299">
            <v>1677798.0378084874</v>
          </cell>
          <cell r="I299">
            <v>1864012.4591113285</v>
          </cell>
          <cell r="J299">
            <v>1799449.584272088</v>
          </cell>
          <cell r="K299">
            <v>1562811.9475069053</v>
          </cell>
          <cell r="L299">
            <v>1542819.5344160933</v>
          </cell>
          <cell r="M299">
            <v>2144260.7896895208</v>
          </cell>
          <cell r="N299">
            <v>898216.77391551109</v>
          </cell>
          <cell r="O299">
            <v>1024048.7933073052</v>
          </cell>
          <cell r="P299">
            <v>859036.72616881039</v>
          </cell>
          <cell r="Q299">
            <v>896227.21095644031</v>
          </cell>
          <cell r="R299">
            <v>1395699.816323725</v>
          </cell>
          <cell r="T299">
            <v>1430099.2847256407</v>
          </cell>
          <cell r="U299">
            <v>1390943.2033955592</v>
          </cell>
          <cell r="V299">
            <v>1542819.5344160933</v>
          </cell>
          <cell r="X299">
            <v>1356999.5081377255</v>
          </cell>
          <cell r="Z299">
            <v>1395793.2901195725</v>
          </cell>
          <cell r="AA299">
            <v>555976.27591305098</v>
          </cell>
          <cell r="AB299">
            <v>2839918.7097118078</v>
          </cell>
          <cell r="AC299">
            <v>839817.01420652156</v>
          </cell>
          <cell r="AD299">
            <v>1444125.4195922352</v>
          </cell>
        </row>
        <row r="300">
          <cell r="A300" t="str">
            <v>CGI015-qtz03-CL-fit-2-offset</v>
          </cell>
          <cell r="B300">
            <v>750</v>
          </cell>
          <cell r="C300">
            <v>6.6965312637759184E-25</v>
          </cell>
          <cell r="D300">
            <v>1750</v>
          </cell>
          <cell r="E300">
            <v>1024</v>
          </cell>
          <cell r="F300">
            <v>1.708984375</v>
          </cell>
          <cell r="H300">
            <v>837440.54024638794</v>
          </cell>
          <cell r="I300">
            <v>1610145.1474033999</v>
          </cell>
          <cell r="J300">
            <v>1810562.955005585</v>
          </cell>
          <cell r="K300">
            <v>1228957.8194165833</v>
          </cell>
          <cell r="L300">
            <v>1358837.7512265339</v>
          </cell>
          <cell r="M300">
            <v>1865794.6041981627</v>
          </cell>
          <cell r="N300">
            <v>1644683.765374498</v>
          </cell>
          <cell r="O300">
            <v>1712975.1080039651</v>
          </cell>
          <cell r="P300">
            <v>2022384.0770748656</v>
          </cell>
          <cell r="Q300">
            <v>1991241.67374282</v>
          </cell>
          <cell r="R300">
            <v>1457748.9608047516</v>
          </cell>
          <cell r="T300">
            <v>1602836.4230603336</v>
          </cell>
          <cell r="U300">
            <v>1574265.6572575585</v>
          </cell>
          <cell r="V300">
            <v>1644683.765374498</v>
          </cell>
          <cell r="X300">
            <v>1539164.4788562534</v>
          </cell>
          <cell r="Z300">
            <v>1551236.0118696569</v>
          </cell>
          <cell r="AA300">
            <v>841327.74676969717</v>
          </cell>
          <cell r="AB300">
            <v>2605160.2503250479</v>
          </cell>
          <cell r="AC300">
            <v>709908.26509995968</v>
          </cell>
          <cell r="AD300">
            <v>1053924.238455391</v>
          </cell>
        </row>
        <row r="301">
          <cell r="A301" t="str">
            <v>CGI015-qtz03-CL-fit-3-offset</v>
          </cell>
          <cell r="B301">
            <v>750</v>
          </cell>
          <cell r="C301">
            <v>6.6965312637759184E-25</v>
          </cell>
          <cell r="D301">
            <v>1750</v>
          </cell>
          <cell r="E301">
            <v>1024</v>
          </cell>
          <cell r="F301">
            <v>1.708984375</v>
          </cell>
          <cell r="H301">
            <v>452932.58730862394</v>
          </cell>
          <cell r="I301">
            <v>489160.80728638684</v>
          </cell>
          <cell r="J301">
            <v>597460.46572746697</v>
          </cell>
          <cell r="K301">
            <v>324199.72402697225</v>
          </cell>
          <cell r="L301">
            <v>242931.14499451048</v>
          </cell>
          <cell r="M301">
            <v>338790.97329787136</v>
          </cell>
          <cell r="N301">
            <v>331462.17383836373</v>
          </cell>
          <cell r="O301">
            <v>467877.92281073605</v>
          </cell>
          <cell r="P301">
            <v>539071.77524676127</v>
          </cell>
          <cell r="Q301">
            <v>355438.07918258215</v>
          </cell>
          <cell r="R301">
            <v>328655.31373389886</v>
          </cell>
          <cell r="T301">
            <v>394212.61466995033</v>
          </cell>
          <cell r="U301">
            <v>399551.74347079906</v>
          </cell>
          <cell r="V301">
            <v>355438.07918258215</v>
          </cell>
          <cell r="X301">
            <v>383971.77659051429</v>
          </cell>
          <cell r="Z301">
            <v>385573.49873236072</v>
          </cell>
          <cell r="AA301">
            <v>187521.9332874821</v>
          </cell>
          <cell r="AB301">
            <v>611543.22018244769</v>
          </cell>
          <cell r="AC301">
            <v>198051.56544487862</v>
          </cell>
          <cell r="AD301">
            <v>225969.72145008697</v>
          </cell>
        </row>
        <row r="302">
          <cell r="A302" t="str">
            <v>CGI015-qtz03-CL-fit-4-offset</v>
          </cell>
          <cell r="B302">
            <v>750</v>
          </cell>
          <cell r="C302">
            <v>6.6965312637759184E-25</v>
          </cell>
          <cell r="D302">
            <v>1750</v>
          </cell>
          <cell r="E302">
            <v>1024</v>
          </cell>
          <cell r="F302">
            <v>1.708984375</v>
          </cell>
          <cell r="H302">
            <v>725024.96434639569</v>
          </cell>
          <cell r="I302">
            <v>875966.13168683043</v>
          </cell>
          <cell r="J302">
            <v>778629.78832965263</v>
          </cell>
          <cell r="K302">
            <v>653780.78569234873</v>
          </cell>
          <cell r="L302">
            <v>425019.75157159322</v>
          </cell>
          <cell r="M302">
            <v>533504.48528055719</v>
          </cell>
          <cell r="N302">
            <v>487070.98014349153</v>
          </cell>
          <cell r="O302">
            <v>888885.56710695871</v>
          </cell>
          <cell r="P302">
            <v>182582.26262424927</v>
          </cell>
          <cell r="Q302">
            <v>200262.80874773668</v>
          </cell>
          <cell r="R302">
            <v>457713.43470634799</v>
          </cell>
          <cell r="T302">
            <v>506474.89151904482</v>
          </cell>
          <cell r="U302">
            <v>535929.41736955161</v>
          </cell>
          <cell r="V302">
            <v>533504.48528055719</v>
          </cell>
          <cell r="X302">
            <v>449907.17159112147</v>
          </cell>
          <cell r="Z302">
            <v>477045.80248589697</v>
          </cell>
          <cell r="AA302">
            <v>227566.75803429665</v>
          </cell>
          <cell r="AB302">
            <v>964889.16862314357</v>
          </cell>
          <cell r="AC302">
            <v>249479.04445160032</v>
          </cell>
          <cell r="AD302">
            <v>487843.3661372466</v>
          </cell>
        </row>
        <row r="303">
          <cell r="A303" t="str">
            <v>CGI015-qtz03-CL-fit-5-offset</v>
          </cell>
          <cell r="B303">
            <v>750</v>
          </cell>
          <cell r="C303">
            <v>6.6965312637759184E-25</v>
          </cell>
          <cell r="D303">
            <v>1750</v>
          </cell>
          <cell r="E303">
            <v>1024</v>
          </cell>
          <cell r="F303">
            <v>1.708984375</v>
          </cell>
          <cell r="H303">
            <v>320677.11791506439</v>
          </cell>
          <cell r="I303">
            <v>107194.42491988801</v>
          </cell>
          <cell r="J303">
            <v>216205.61216967157</v>
          </cell>
          <cell r="K303">
            <v>101233.1929189738</v>
          </cell>
          <cell r="L303">
            <v>152389.68967023783</v>
          </cell>
          <cell r="M303">
            <v>163629.26938375735</v>
          </cell>
          <cell r="N303">
            <v>177733.81939555949</v>
          </cell>
          <cell r="O303">
            <v>161309.28950106926</v>
          </cell>
          <cell r="P303">
            <v>194690.19331907755</v>
          </cell>
          <cell r="Q303">
            <v>254115.5183115438</v>
          </cell>
          <cell r="R303">
            <v>334327.2775728844</v>
          </cell>
          <cell r="T303">
            <v>197476.74698044188</v>
          </cell>
          <cell r="U303">
            <v>191882.76682577134</v>
          </cell>
          <cell r="V303">
            <v>177733.81939555949</v>
          </cell>
          <cell r="X303">
            <v>188850.25531272191</v>
          </cell>
          <cell r="Z303">
            <v>190283.29037469259</v>
          </cell>
          <cell r="AA303">
            <v>50736.048068284734</v>
          </cell>
          <cell r="AB303">
            <v>422614.73657610122</v>
          </cell>
          <cell r="AC303">
            <v>139547.24230640786</v>
          </cell>
          <cell r="AD303">
            <v>232331.44620140863</v>
          </cell>
        </row>
        <row r="304">
          <cell r="A304" t="str">
            <v>CGI015-qtz04-CL-fit-1-offset</v>
          </cell>
          <cell r="B304">
            <v>750</v>
          </cell>
          <cell r="C304">
            <v>6.6965312637759184E-25</v>
          </cell>
          <cell r="D304">
            <v>2000</v>
          </cell>
          <cell r="E304">
            <v>1024</v>
          </cell>
          <cell r="F304">
            <v>1.953125</v>
          </cell>
          <cell r="H304">
            <v>824568.46324054338</v>
          </cell>
          <cell r="I304">
            <v>965020.69926001143</v>
          </cell>
          <cell r="J304">
            <v>1122377.4479321514</v>
          </cell>
          <cell r="K304">
            <v>969741.66529030493</v>
          </cell>
          <cell r="L304">
            <v>891169.82634704199</v>
          </cell>
          <cell r="M304">
            <v>971722.11717448966</v>
          </cell>
          <cell r="N304">
            <v>966122.7320249906</v>
          </cell>
          <cell r="O304">
            <v>876346.13103433058</v>
          </cell>
          <cell r="P304">
            <v>938319.62091577076</v>
          </cell>
          <cell r="Q304">
            <v>957471.3495535712</v>
          </cell>
          <cell r="R304">
            <v>1255801.8051437829</v>
          </cell>
          <cell r="T304">
            <v>987524.4331409341</v>
          </cell>
          <cell r="U304">
            <v>973131.28826555377</v>
          </cell>
          <cell r="V304">
            <v>965020.69926001143</v>
          </cell>
          <cell r="X304">
            <v>963032.76791686239</v>
          </cell>
          <cell r="Z304">
            <v>976572.88313617394</v>
          </cell>
          <cell r="AA304">
            <v>643765.58026905381</v>
          </cell>
          <cell r="AB304">
            <v>1334246.0202976067</v>
          </cell>
          <cell r="AC304">
            <v>332807.30286712013</v>
          </cell>
          <cell r="AD304">
            <v>357673.13716143277</v>
          </cell>
        </row>
        <row r="305">
          <cell r="A305" t="str">
            <v>CGI015-qtz04-CL-fit-2-offset</v>
          </cell>
          <cell r="B305">
            <v>750</v>
          </cell>
          <cell r="C305">
            <v>6.6965312637759184E-25</v>
          </cell>
          <cell r="D305">
            <v>2000</v>
          </cell>
          <cell r="E305">
            <v>1024</v>
          </cell>
          <cell r="F305">
            <v>1.953125</v>
          </cell>
          <cell r="H305">
            <v>585998.07634001528</v>
          </cell>
          <cell r="I305">
            <v>673912.2369348997</v>
          </cell>
          <cell r="J305">
            <v>579942.20842352253</v>
          </cell>
          <cell r="K305">
            <v>671409.62996614911</v>
          </cell>
          <cell r="L305">
            <v>419505.06042315764</v>
          </cell>
          <cell r="M305">
            <v>620121.54781818669</v>
          </cell>
          <cell r="N305">
            <v>487855.46892257239</v>
          </cell>
          <cell r="O305">
            <v>802817.47105952178</v>
          </cell>
          <cell r="P305">
            <v>604531.48835557012</v>
          </cell>
          <cell r="Q305">
            <v>629679.01513913448</v>
          </cell>
          <cell r="R305">
            <v>324162.29656398779</v>
          </cell>
          <cell r="T305">
            <v>603326.30849352875</v>
          </cell>
          <cell r="U305">
            <v>574480.10954584333</v>
          </cell>
          <cell r="V305">
            <v>604531.48835557012</v>
          </cell>
          <cell r="X305">
            <v>594851.37235440139</v>
          </cell>
          <cell r="Z305">
            <v>605236.00315118826</v>
          </cell>
          <cell r="AA305">
            <v>276877.80396464473</v>
          </cell>
          <cell r="AB305">
            <v>1066438.0930564166</v>
          </cell>
          <cell r="AC305">
            <v>328358.19918654353</v>
          </cell>
          <cell r="AD305">
            <v>461202.08990522835</v>
          </cell>
        </row>
        <row r="306">
          <cell r="A306" t="str">
            <v>CGI015-qtz04-CL-fit-3-offset</v>
          </cell>
          <cell r="B306">
            <v>750</v>
          </cell>
          <cell r="C306">
            <v>6.6965312637759184E-25</v>
          </cell>
          <cell r="D306">
            <v>2000</v>
          </cell>
          <cell r="E306">
            <v>1024</v>
          </cell>
          <cell r="F306">
            <v>1.953125</v>
          </cell>
          <cell r="H306">
            <v>178909.6454201575</v>
          </cell>
          <cell r="I306">
            <v>89568.286255894971</v>
          </cell>
          <cell r="J306">
            <v>101290.1778088344</v>
          </cell>
          <cell r="K306">
            <v>81352.751921535324</v>
          </cell>
          <cell r="L306">
            <v>61351.991385343055</v>
          </cell>
          <cell r="M306">
            <v>174119.25194303834</v>
          </cell>
          <cell r="N306">
            <v>292235.8851914439</v>
          </cell>
          <cell r="O306">
            <v>138784.47102122556</v>
          </cell>
          <cell r="P306">
            <v>249559.93147328644</v>
          </cell>
          <cell r="Q306">
            <v>50533.158455504767</v>
          </cell>
          <cell r="R306">
            <v>96430.904610856043</v>
          </cell>
          <cell r="T306">
            <v>134822.61793888672</v>
          </cell>
          <cell r="U306">
            <v>128211.28859752364</v>
          </cell>
          <cell r="V306">
            <v>101290.1778088344</v>
          </cell>
          <cell r="X306">
            <v>125358.44619357614</v>
          </cell>
          <cell r="Z306">
            <v>120475.48339634745</v>
          </cell>
          <cell r="AA306">
            <v>3109.7863555940248</v>
          </cell>
          <cell r="AB306">
            <v>312231.40065654204</v>
          </cell>
          <cell r="AC306">
            <v>117365.69704075342</v>
          </cell>
          <cell r="AD306">
            <v>191755.9172601946</v>
          </cell>
        </row>
        <row r="307">
          <cell r="A307" t="str">
            <v>CGI015-qtz04-CL-fit-4-offset</v>
          </cell>
          <cell r="B307">
            <v>750</v>
          </cell>
          <cell r="C307">
            <v>6.6965312637759184E-25</v>
          </cell>
          <cell r="D307">
            <v>2000</v>
          </cell>
          <cell r="E307">
            <v>1024</v>
          </cell>
          <cell r="F307">
            <v>1.953125</v>
          </cell>
          <cell r="H307">
            <v>122253.4823056092</v>
          </cell>
          <cell r="I307">
            <v>2999.9084334818981</v>
          </cell>
          <cell r="J307">
            <v>80470.34488759443</v>
          </cell>
          <cell r="K307">
            <v>63454.946843104648</v>
          </cell>
          <cell r="L307">
            <v>64771.338447153103</v>
          </cell>
          <cell r="M307">
            <v>107829.18540103824</v>
          </cell>
          <cell r="N307">
            <v>76260.482367112709</v>
          </cell>
          <cell r="O307">
            <v>1021.2902360859612</v>
          </cell>
          <cell r="P307">
            <v>40498.08192206794</v>
          </cell>
          <cell r="Q307">
            <v>72378.402054053062</v>
          </cell>
          <cell r="R307">
            <v>46490.240601720601</v>
          </cell>
          <cell r="T307">
            <v>74333.820068534231</v>
          </cell>
          <cell r="U307">
            <v>52352.379319134998</v>
          </cell>
          <cell r="V307">
            <v>64771.338447153103</v>
          </cell>
          <cell r="X307">
            <v>69567.012838891635</v>
          </cell>
          <cell r="Z307">
            <v>73148.666745812516</v>
          </cell>
          <cell r="AA307">
            <v>1554.1573723165093</v>
          </cell>
          <cell r="AB307">
            <v>623376.97058493295</v>
          </cell>
          <cell r="AC307">
            <v>71594.50937349601</v>
          </cell>
          <cell r="AD307">
            <v>550228.30383912043</v>
          </cell>
        </row>
        <row r="308">
          <cell r="A308" t="str">
            <v>CGI015-qtz05-CL-fit-1-offset</v>
          </cell>
          <cell r="B308">
            <v>750</v>
          </cell>
          <cell r="C308">
            <v>6.6965312637759184E-25</v>
          </cell>
          <cell r="D308">
            <v>1900</v>
          </cell>
          <cell r="E308">
            <v>1024</v>
          </cell>
          <cell r="F308">
            <v>1.85546875</v>
          </cell>
          <cell r="H308">
            <v>2739941.6074303742</v>
          </cell>
          <cell r="I308">
            <v>2277454.8685379606</v>
          </cell>
          <cell r="J308">
            <v>3613010.5183737762</v>
          </cell>
          <cell r="K308">
            <v>2607057.7467851997</v>
          </cell>
          <cell r="L308">
            <v>2804715.1768571418</v>
          </cell>
          <cell r="M308">
            <v>2139710.3790884581</v>
          </cell>
          <cell r="N308">
            <v>4189969.8646280468</v>
          </cell>
          <cell r="O308">
            <v>2546744.7749330061</v>
          </cell>
          <cell r="P308">
            <v>1382595.6103997629</v>
          </cell>
          <cell r="Q308">
            <v>1042508.7368044421</v>
          </cell>
          <cell r="R308">
            <v>2116053.0043165847</v>
          </cell>
          <cell r="T308">
            <v>2309376.4023926631</v>
          </cell>
          <cell r="U308">
            <v>2419910.0371731063</v>
          </cell>
          <cell r="V308">
            <v>2546744.7749330061</v>
          </cell>
          <cell r="X308">
            <v>2276388.5865993951</v>
          </cell>
          <cell r="Z308">
            <v>2288880.2921554497</v>
          </cell>
          <cell r="AA308">
            <v>1465122.0225638784</v>
          </cell>
          <cell r="AB308">
            <v>3444637.3379313448</v>
          </cell>
          <cell r="AC308">
            <v>823758.2695915713</v>
          </cell>
          <cell r="AD308">
            <v>1155757.045775895</v>
          </cell>
        </row>
        <row r="309">
          <cell r="A309" t="str">
            <v>CGI015-qtz05-CL-fit-2-offset</v>
          </cell>
          <cell r="B309">
            <v>750</v>
          </cell>
          <cell r="C309">
            <v>6.6965312637759184E-25</v>
          </cell>
          <cell r="D309">
            <v>1900</v>
          </cell>
          <cell r="E309">
            <v>1024</v>
          </cell>
          <cell r="F309">
            <v>1.85546875</v>
          </cell>
          <cell r="H309">
            <v>362046.85326850461</v>
          </cell>
          <cell r="I309">
            <v>337615.86755722261</v>
          </cell>
          <cell r="J309">
            <v>338061.02462476492</v>
          </cell>
          <cell r="K309">
            <v>354935.25779374252</v>
          </cell>
          <cell r="L309">
            <v>369149.68146880867</v>
          </cell>
          <cell r="M309">
            <v>438336.64013492793</v>
          </cell>
          <cell r="N309">
            <v>561747.56751359673</v>
          </cell>
          <cell r="O309">
            <v>434450.58386844065</v>
          </cell>
          <cell r="P309">
            <v>521080.60965603753</v>
          </cell>
          <cell r="Q309">
            <v>251230.49281947894</v>
          </cell>
          <cell r="R309">
            <v>347665.97474912711</v>
          </cell>
          <cell r="T309">
            <v>384953.56162593199</v>
          </cell>
          <cell r="U309">
            <v>387895.58055217552</v>
          </cell>
          <cell r="V309">
            <v>362046.85326850461</v>
          </cell>
          <cell r="X309">
            <v>370751.59059683367</v>
          </cell>
          <cell r="Z309">
            <v>370207.06190409639</v>
          </cell>
          <cell r="AA309">
            <v>226520.32561831342</v>
          </cell>
          <cell r="AB309">
            <v>580624.99768626573</v>
          </cell>
          <cell r="AC309">
            <v>143686.73628578297</v>
          </cell>
          <cell r="AD309">
            <v>210417.93578216934</v>
          </cell>
        </row>
        <row r="310">
          <cell r="A310" t="str">
            <v>CGI015-qtz05-CL-fit-3-offset</v>
          </cell>
          <cell r="B310">
            <v>750</v>
          </cell>
          <cell r="C310">
            <v>6.6965312637759184E-25</v>
          </cell>
          <cell r="D310">
            <v>1900</v>
          </cell>
          <cell r="E310">
            <v>1024</v>
          </cell>
          <cell r="F310">
            <v>1.85546875</v>
          </cell>
          <cell r="H310">
            <v>295958.28934321826</v>
          </cell>
          <cell r="I310">
            <v>260642.36015058946</v>
          </cell>
          <cell r="J310">
            <v>201170.34198694635</v>
          </cell>
          <cell r="K310">
            <v>101343.89337216654</v>
          </cell>
          <cell r="L310">
            <v>48880.703886568983</v>
          </cell>
          <cell r="M310">
            <v>58062.406287296872</v>
          </cell>
          <cell r="N310">
            <v>196091.2416950842</v>
          </cell>
          <cell r="O310">
            <v>170782.69707360765</v>
          </cell>
          <cell r="P310">
            <v>53345.367571912102</v>
          </cell>
          <cell r="Q310">
            <v>91573.150212376931</v>
          </cell>
          <cell r="R310">
            <v>46361.039383709933</v>
          </cell>
          <cell r="T310">
            <v>131846.93618169116</v>
          </cell>
          <cell r="U310">
            <v>124958.54073940018</v>
          </cell>
          <cell r="V310">
            <v>101343.89337216654</v>
          </cell>
          <cell r="X310">
            <v>127275.2698735404</v>
          </cell>
          <cell r="Z310">
            <v>121448.51278131982</v>
          </cell>
          <cell r="AA310">
            <v>3156.2386963976805</v>
          </cell>
          <cell r="AB310">
            <v>278617.64971215109</v>
          </cell>
          <cell r="AC310">
            <v>118292.27408492214</v>
          </cell>
          <cell r="AD310">
            <v>157169.13693083127</v>
          </cell>
        </row>
        <row r="311">
          <cell r="A311" t="str">
            <v>CGI015-qtz05-CL-fit-4-offset</v>
          </cell>
          <cell r="B311">
            <v>750</v>
          </cell>
          <cell r="C311">
            <v>6.6965312637759184E-25</v>
          </cell>
          <cell r="D311">
            <v>1900</v>
          </cell>
          <cell r="E311">
            <v>1024</v>
          </cell>
          <cell r="F311">
            <v>1.85546875</v>
          </cell>
          <cell r="H311">
            <v>200923.61554589085</v>
          </cell>
          <cell r="I311">
            <v>249385.85832836767</v>
          </cell>
          <cell r="J311">
            <v>280656.86065977148</v>
          </cell>
          <cell r="K311">
            <v>256109.30159098635</v>
          </cell>
          <cell r="L311">
            <v>125646.59097949549</v>
          </cell>
          <cell r="M311">
            <v>191274.31703929009</v>
          </cell>
          <cell r="N311">
            <v>80144.001625648234</v>
          </cell>
          <cell r="O311">
            <v>28714.01051183906</v>
          </cell>
          <cell r="P311">
            <v>245859.08912151979</v>
          </cell>
          <cell r="Q311">
            <v>147340.37063353066</v>
          </cell>
          <cell r="R311">
            <v>43809.450087360419</v>
          </cell>
          <cell r="T311">
            <v>152471.39855367513</v>
          </cell>
          <cell r="U311">
            <v>154008.93048901219</v>
          </cell>
          <cell r="V311">
            <v>191274.31703929009</v>
          </cell>
          <cell r="X311">
            <v>144290.90452498925</v>
          </cell>
          <cell r="Z311">
            <v>136252.8088182965</v>
          </cell>
          <cell r="AA311">
            <v>2193.5690361785814</v>
          </cell>
          <cell r="AB311">
            <v>404385.94858801918</v>
          </cell>
          <cell r="AC311">
            <v>134059.23978211792</v>
          </cell>
          <cell r="AD311">
            <v>268133.13976972271</v>
          </cell>
        </row>
        <row r="312">
          <cell r="A312" t="str">
            <v>CGI015-qtz06-CL-fit-1-offset</v>
          </cell>
          <cell r="B312">
            <v>750</v>
          </cell>
          <cell r="C312">
            <v>6.6965312637759184E-25</v>
          </cell>
          <cell r="D312">
            <v>1700</v>
          </cell>
          <cell r="E312">
            <v>1024</v>
          </cell>
          <cell r="F312">
            <v>1.66015625</v>
          </cell>
          <cell r="H312">
            <v>957235.45645064639</v>
          </cell>
          <cell r="I312">
            <v>1042874.266212841</v>
          </cell>
          <cell r="J312">
            <v>810426.2697583097</v>
          </cell>
          <cell r="K312">
            <v>1288831.989901114</v>
          </cell>
          <cell r="L312">
            <v>1519577.055083456</v>
          </cell>
          <cell r="M312">
            <v>1166652.1496661899</v>
          </cell>
          <cell r="N312">
            <v>1134246.066921602</v>
          </cell>
          <cell r="O312">
            <v>901409.54695548152</v>
          </cell>
          <cell r="P312">
            <v>762259.47420775215</v>
          </cell>
          <cell r="Q312">
            <v>1535793.8596837006</v>
          </cell>
          <cell r="R312">
            <v>1677153.3079135735</v>
          </cell>
          <cell r="T312">
            <v>1117010.4854243218</v>
          </cell>
          <cell r="U312">
            <v>1144853.3023752277</v>
          </cell>
          <cell r="V312">
            <v>1134246.066921602</v>
          </cell>
          <cell r="X312">
            <v>1102626.1167605107</v>
          </cell>
          <cell r="Z312">
            <v>1126167.3044812765</v>
          </cell>
          <cell r="AA312">
            <v>629119.01053795696</v>
          </cell>
          <cell r="AB312">
            <v>1855182.0225857743</v>
          </cell>
          <cell r="AC312">
            <v>497048.29394331959</v>
          </cell>
          <cell r="AD312">
            <v>729014.71810449776</v>
          </cell>
        </row>
        <row r="313">
          <cell r="A313" t="str">
            <v>CGI015-qtz06-CL-fit-2-offset</v>
          </cell>
          <cell r="B313">
            <v>750</v>
          </cell>
          <cell r="C313">
            <v>6.6965312637759184E-25</v>
          </cell>
          <cell r="D313">
            <v>1700</v>
          </cell>
          <cell r="E313">
            <v>1024</v>
          </cell>
          <cell r="F313">
            <v>1.66015625</v>
          </cell>
          <cell r="H313">
            <v>925048.38865918689</v>
          </cell>
          <cell r="I313">
            <v>476741.36346174596</v>
          </cell>
          <cell r="J313">
            <v>666027.9831692673</v>
          </cell>
          <cell r="K313">
            <v>623029.66692081536</v>
          </cell>
          <cell r="L313">
            <v>667807.80059615755</v>
          </cell>
          <cell r="M313">
            <v>822857.64430860383</v>
          </cell>
          <cell r="N313">
            <v>391812.17195852957</v>
          </cell>
          <cell r="O313">
            <v>453628.46414807608</v>
          </cell>
          <cell r="P313">
            <v>308602.75622696796</v>
          </cell>
          <cell r="Q313">
            <v>601815.45420242858</v>
          </cell>
          <cell r="R313">
            <v>468171.51200359501</v>
          </cell>
          <cell r="T313">
            <v>568722.85425412445</v>
          </cell>
          <cell r="U313">
            <v>568925.11146290298</v>
          </cell>
          <cell r="V313">
            <v>601815.45420242858</v>
          </cell>
          <cell r="X313">
            <v>558592.89834580303</v>
          </cell>
          <cell r="Z313">
            <v>553176.70260338427</v>
          </cell>
          <cell r="AA313">
            <v>273885.52033405012</v>
          </cell>
          <cell r="AB313">
            <v>864801.58015449566</v>
          </cell>
          <cell r="AC313">
            <v>279291.18226933415</v>
          </cell>
          <cell r="AD313">
            <v>311624.87755111139</v>
          </cell>
        </row>
        <row r="314">
          <cell r="A314" t="str">
            <v>CGI015-qtz06-CL-fit-3-offset</v>
          </cell>
          <cell r="B314">
            <v>750</v>
          </cell>
          <cell r="C314">
            <v>6.6965312637759184E-25</v>
          </cell>
          <cell r="D314">
            <v>1700</v>
          </cell>
          <cell r="E314">
            <v>1024</v>
          </cell>
          <cell r="F314">
            <v>1.66015625</v>
          </cell>
          <cell r="H314">
            <v>1114.4105487706768</v>
          </cell>
          <cell r="I314">
            <v>140147.05235220521</v>
          </cell>
          <cell r="J314">
            <v>484411.17669790389</v>
          </cell>
          <cell r="K314">
            <v>85161.753307703155</v>
          </cell>
          <cell r="L314">
            <v>0</v>
          </cell>
          <cell r="M314">
            <v>1810.8829981839251</v>
          </cell>
          <cell r="N314">
            <v>1002612.4853859922</v>
          </cell>
          <cell r="O314">
            <v>1539737.4119536839</v>
          </cell>
          <cell r="P314">
            <v>89362.725702360549</v>
          </cell>
          <cell r="Q314">
            <v>434150.70236747182</v>
          </cell>
          <cell r="R314">
            <v>137047.3191692823</v>
          </cell>
          <cell r="T314">
            <v>452320.37552293768</v>
          </cell>
          <cell r="U314">
            <v>250833.08837897252</v>
          </cell>
          <cell r="V314">
            <v>138592.8527695337</v>
          </cell>
          <cell r="X314">
            <v>446255.34174219921</v>
          </cell>
          <cell r="Z314">
            <v>546010.99317491183</v>
          </cell>
          <cell r="AA314">
            <v>3338.7213934866759</v>
          </cell>
          <cell r="AB314">
            <v>3651396.0066922987</v>
          </cell>
          <cell r="AC314">
            <v>542672.27178142511</v>
          </cell>
          <cell r="AD314">
            <v>3105385.0135173867</v>
          </cell>
        </row>
        <row r="315">
          <cell r="A315" t="str">
            <v>CGI015-qtz06-CL-fit-4-offset</v>
          </cell>
          <cell r="B315">
            <v>750</v>
          </cell>
          <cell r="C315">
            <v>6.6965312637759184E-25</v>
          </cell>
          <cell r="D315">
            <v>1700</v>
          </cell>
          <cell r="E315">
            <v>1024</v>
          </cell>
          <cell r="F315">
            <v>1.66015625</v>
          </cell>
          <cell r="H315">
            <v>251226.08597466018</v>
          </cell>
          <cell r="I315">
            <v>439662.42826988298</v>
          </cell>
          <cell r="J315">
            <v>457721.82463055605</v>
          </cell>
          <cell r="K315">
            <v>206308.8416841134</v>
          </cell>
          <cell r="L315">
            <v>379499.07558415312</v>
          </cell>
          <cell r="M315">
            <v>449723.82644811529</v>
          </cell>
          <cell r="N315">
            <v>385792.99517397315</v>
          </cell>
          <cell r="O315">
            <v>398648.53702299937</v>
          </cell>
          <cell r="P315">
            <v>777850.41364812548</v>
          </cell>
          <cell r="Q315">
            <v>524319.34330376051</v>
          </cell>
          <cell r="R315">
            <v>305539.0630949745</v>
          </cell>
          <cell r="T315">
            <v>430817.58750348748</v>
          </cell>
          <cell r="U315">
            <v>404152.63183913333</v>
          </cell>
          <cell r="V315">
            <v>398648.53702299937</v>
          </cell>
          <cell r="X315">
            <v>418174.28507362597</v>
          </cell>
          <cell r="Z315">
            <v>424765.31526941218</v>
          </cell>
          <cell r="AA315">
            <v>232471.35359459411</v>
          </cell>
          <cell r="AB315">
            <v>702131.34858469979</v>
          </cell>
          <cell r="AC315">
            <v>192293.96167481807</v>
          </cell>
          <cell r="AD315">
            <v>277366.03331528761</v>
          </cell>
        </row>
        <row r="316">
          <cell r="A316" t="str">
            <v>CGI015-qtz07-CL-fit-1-offset</v>
          </cell>
          <cell r="B316">
            <v>750</v>
          </cell>
          <cell r="C316">
            <v>6.6965312637759184E-25</v>
          </cell>
          <cell r="D316">
            <v>2250</v>
          </cell>
          <cell r="E316">
            <v>1024</v>
          </cell>
          <cell r="F316">
            <v>2.197265625</v>
          </cell>
          <cell r="H316">
            <v>1249426.9554372632</v>
          </cell>
          <cell r="I316">
            <v>1225049.5232868858</v>
          </cell>
          <cell r="J316">
            <v>1538836.2522077628</v>
          </cell>
          <cell r="K316">
            <v>1131406.1158306049</v>
          </cell>
          <cell r="L316">
            <v>1313202.9812075139</v>
          </cell>
          <cell r="M316">
            <v>1015420.7162230922</v>
          </cell>
          <cell r="N316">
            <v>1246897.3095325185</v>
          </cell>
          <cell r="O316">
            <v>829884.18556751742</v>
          </cell>
          <cell r="P316">
            <v>794832.78145840904</v>
          </cell>
          <cell r="Q316">
            <v>843598.22437835974</v>
          </cell>
          <cell r="R316">
            <v>1353432.6899742007</v>
          </cell>
          <cell r="T316">
            <v>1137875.0958749985</v>
          </cell>
          <cell r="U316">
            <v>1128116.1842842239</v>
          </cell>
          <cell r="V316">
            <v>1225049.5232868858</v>
          </cell>
          <cell r="X316">
            <v>1135830.2100047076</v>
          </cell>
          <cell r="Z316">
            <v>1146168.402960733</v>
          </cell>
          <cell r="AA316">
            <v>717553.34316491371</v>
          </cell>
          <cell r="AB316">
            <v>1718355.8420471479</v>
          </cell>
          <cell r="AC316">
            <v>428615.05979581934</v>
          </cell>
          <cell r="AD316">
            <v>572187.43908641487</v>
          </cell>
        </row>
        <row r="317">
          <cell r="A317" t="str">
            <v>CGI015-qtz07-CL-fit-2-offset</v>
          </cell>
          <cell r="B317">
            <v>750</v>
          </cell>
          <cell r="C317">
            <v>6.6965312637759184E-25</v>
          </cell>
          <cell r="D317">
            <v>2250</v>
          </cell>
          <cell r="E317">
            <v>1024</v>
          </cell>
          <cell r="F317">
            <v>2.197265625</v>
          </cell>
          <cell r="H317">
            <v>6240542.6745442413</v>
          </cell>
          <cell r="I317">
            <v>6238033.1862317985</v>
          </cell>
          <cell r="J317">
            <v>6366656.1514437338</v>
          </cell>
          <cell r="K317">
            <v>3395065.8547419449</v>
          </cell>
          <cell r="L317">
            <v>3885747.1615117225</v>
          </cell>
          <cell r="M317">
            <v>3100246.0748533425</v>
          </cell>
          <cell r="N317">
            <v>3172038.4837203012</v>
          </cell>
          <cell r="O317">
            <v>4364024.972963796</v>
          </cell>
          <cell r="P317">
            <v>2067864.7391882187</v>
          </cell>
          <cell r="Q317">
            <v>6471145.2687672814</v>
          </cell>
          <cell r="R317">
            <v>4635580.1682089623</v>
          </cell>
          <cell r="T317">
            <v>4489147.1266709799</v>
          </cell>
          <cell r="U317">
            <v>4409399.3182678195</v>
          </cell>
          <cell r="V317">
            <v>4364024.972963796</v>
          </cell>
          <cell r="X317">
            <v>4298700.3363272268</v>
          </cell>
          <cell r="Z317">
            <v>4480494.1190393856</v>
          </cell>
          <cell r="AA317">
            <v>2429445.3262460465</v>
          </cell>
          <cell r="AB317">
            <v>8461883.8257854097</v>
          </cell>
          <cell r="AC317">
            <v>2051048.7927933391</v>
          </cell>
          <cell r="AD317">
            <v>3981389.7067460241</v>
          </cell>
        </row>
        <row r="318">
          <cell r="A318" t="str">
            <v>CGI015-qtz07-CL-fit-3-offset</v>
          </cell>
          <cell r="B318">
            <v>750</v>
          </cell>
          <cell r="C318">
            <v>6.6965312637759184E-25</v>
          </cell>
          <cell r="D318">
            <v>2250</v>
          </cell>
          <cell r="E318">
            <v>1024</v>
          </cell>
          <cell r="F318">
            <v>2.197265625</v>
          </cell>
          <cell r="H318">
            <v>203738.13749268267</v>
          </cell>
          <cell r="I318">
            <v>279084.41268152749</v>
          </cell>
          <cell r="J318">
            <v>277754.35824534943</v>
          </cell>
          <cell r="K318">
            <v>353925.60551312001</v>
          </cell>
          <cell r="L318">
            <v>286956.0799890504</v>
          </cell>
          <cell r="M318">
            <v>280433.85861295741</v>
          </cell>
          <cell r="N318">
            <v>292386.71597992402</v>
          </cell>
          <cell r="O318">
            <v>346008.8098220948</v>
          </cell>
          <cell r="P318">
            <v>234707.99353361147</v>
          </cell>
          <cell r="Q318">
            <v>214556.93743776242</v>
          </cell>
          <cell r="R318">
            <v>553960.50962329283</v>
          </cell>
          <cell r="T318">
            <v>292916.73945683136</v>
          </cell>
          <cell r="U318">
            <v>296306.96240707103</v>
          </cell>
          <cell r="V318">
            <v>280433.85861295741</v>
          </cell>
          <cell r="X318">
            <v>271990.02145191282</v>
          </cell>
          <cell r="Z318">
            <v>281435.81978757557</v>
          </cell>
          <cell r="AA318">
            <v>143959.42117847523</v>
          </cell>
          <cell r="AB318">
            <v>511844.8161978345</v>
          </cell>
          <cell r="AC318">
            <v>137476.39860910035</v>
          </cell>
          <cell r="AD318">
            <v>230408.99641025893</v>
          </cell>
        </row>
        <row r="319">
          <cell r="A319" t="str">
            <v>CGI015-qtz07-CL-fit-4-offset</v>
          </cell>
          <cell r="B319">
            <v>750</v>
          </cell>
          <cell r="C319">
            <v>6.6965312637759184E-25</v>
          </cell>
          <cell r="D319">
            <v>2250</v>
          </cell>
          <cell r="E319">
            <v>1024</v>
          </cell>
          <cell r="F319">
            <v>2.197265625</v>
          </cell>
          <cell r="H319">
            <v>223139.21221541392</v>
          </cell>
          <cell r="I319">
            <v>149147.65584237871</v>
          </cell>
          <cell r="J319">
            <v>235071.29288206773</v>
          </cell>
          <cell r="K319">
            <v>212964.64368745603</v>
          </cell>
          <cell r="L319">
            <v>239656.513775656</v>
          </cell>
          <cell r="M319">
            <v>236238.1405539987</v>
          </cell>
          <cell r="N319">
            <v>231835.23283687508</v>
          </cell>
          <cell r="O319">
            <v>228967.5794175801</v>
          </cell>
          <cell r="P319">
            <v>208510.11813040028</v>
          </cell>
          <cell r="Q319">
            <v>295197.36276914307</v>
          </cell>
          <cell r="R319">
            <v>317863.12510169175</v>
          </cell>
          <cell r="T319">
            <v>252407.15466103659</v>
          </cell>
          <cell r="U319">
            <v>232519.21870034427</v>
          </cell>
          <cell r="V319">
            <v>231835.23283687508</v>
          </cell>
          <cell r="X319">
            <v>248124.98522860996</v>
          </cell>
          <cell r="Z319">
            <v>230597.20375787548</v>
          </cell>
          <cell r="AA319">
            <v>32784.637132558644</v>
          </cell>
          <cell r="AB319">
            <v>438427.78913473943</v>
          </cell>
          <cell r="AC319">
            <v>197812.56662531683</v>
          </cell>
          <cell r="AD319">
            <v>207830.58537686395</v>
          </cell>
        </row>
        <row r="320">
          <cell r="A320" t="str">
            <v>CGI015-qtz07-CL-fit-5-offset</v>
          </cell>
          <cell r="B320">
            <v>750</v>
          </cell>
          <cell r="C320">
            <v>6.6965312637759184E-25</v>
          </cell>
          <cell r="D320">
            <v>2250</v>
          </cell>
          <cell r="E320">
            <v>1024</v>
          </cell>
          <cell r="F320">
            <v>2.197265625</v>
          </cell>
          <cell r="H320">
            <v>437512.09360042954</v>
          </cell>
          <cell r="I320">
            <v>452260.68504620378</v>
          </cell>
          <cell r="J320">
            <v>383117.0104831981</v>
          </cell>
          <cell r="K320">
            <v>488403.2548470177</v>
          </cell>
          <cell r="L320">
            <v>422631.85836422973</v>
          </cell>
          <cell r="M320">
            <v>527475.68651107466</v>
          </cell>
          <cell r="N320">
            <v>339062.11381433532</v>
          </cell>
          <cell r="O320">
            <v>206256.26189138528</v>
          </cell>
          <cell r="P320">
            <v>301267.73696106992</v>
          </cell>
          <cell r="Q320">
            <v>567571.41935134225</v>
          </cell>
          <cell r="R320">
            <v>492088.4404255898</v>
          </cell>
          <cell r="T320">
            <v>422595.35486724303</v>
          </cell>
          <cell r="U320">
            <v>412904.01988446165</v>
          </cell>
          <cell r="V320">
            <v>437512.09360042954</v>
          </cell>
          <cell r="X320">
            <v>393203.80436680384</v>
          </cell>
          <cell r="Z320">
            <v>399730.10967400309</v>
          </cell>
          <cell r="AA320">
            <v>34792.140335315424</v>
          </cell>
          <cell r="AB320">
            <v>1292300.6142004102</v>
          </cell>
          <cell r="AC320">
            <v>364937.96933868766</v>
          </cell>
          <cell r="AD320">
            <v>892570.50452640711</v>
          </cell>
        </row>
        <row r="321">
          <cell r="A321" t="str">
            <v>CGI015-qtz07-CL-fit-6-offset</v>
          </cell>
          <cell r="B321">
            <v>750</v>
          </cell>
          <cell r="C321">
            <v>6.6965312637759184E-25</v>
          </cell>
          <cell r="D321">
            <v>2250</v>
          </cell>
          <cell r="E321">
            <v>1024</v>
          </cell>
          <cell r="F321">
            <v>2.197265625</v>
          </cell>
          <cell r="H321">
            <v>91256.934199344018</v>
          </cell>
          <cell r="I321">
            <v>142361.35511412879</v>
          </cell>
          <cell r="J321">
            <v>153069.12156375311</v>
          </cell>
          <cell r="K321">
            <v>78925.492681702803</v>
          </cell>
          <cell r="L321">
            <v>124575.12014160526</v>
          </cell>
          <cell r="M321">
            <v>139326.13878180098</v>
          </cell>
          <cell r="N321">
            <v>181563.13271310102</v>
          </cell>
          <cell r="O321">
            <v>137407.21756924636</v>
          </cell>
          <cell r="P321">
            <v>137196.46087641528</v>
          </cell>
          <cell r="Q321">
            <v>89569.967670083177</v>
          </cell>
          <cell r="R321">
            <v>72775.956548773145</v>
          </cell>
          <cell r="T321">
            <v>127405.38909590099</v>
          </cell>
          <cell r="U321">
            <v>120221.64337332679</v>
          </cell>
          <cell r="V321">
            <v>137196.46087641528</v>
          </cell>
          <cell r="X321">
            <v>120707.96660533162</v>
          </cell>
          <cell r="Z321">
            <v>113888.17751094914</v>
          </cell>
          <cell r="AA321">
            <v>3930.8076636951646</v>
          </cell>
          <cell r="AB321">
            <v>244675.05919068182</v>
          </cell>
          <cell r="AC321">
            <v>109957.36984725398</v>
          </cell>
          <cell r="AD321">
            <v>130786.88167973267</v>
          </cell>
        </row>
        <row r="322">
          <cell r="A322" t="str">
            <v>CGI015-qtz08-CL-fit-1-offset</v>
          </cell>
          <cell r="B322">
            <v>750</v>
          </cell>
          <cell r="C322">
            <v>6.6965312637759184E-25</v>
          </cell>
          <cell r="D322">
            <v>1150</v>
          </cell>
          <cell r="E322">
            <v>1024</v>
          </cell>
          <cell r="F322">
            <v>1.123046875</v>
          </cell>
          <cell r="H322">
            <v>453832.77710061357</v>
          </cell>
          <cell r="I322">
            <v>549618.65906317835</v>
          </cell>
          <cell r="J322">
            <v>616472.29987689143</v>
          </cell>
          <cell r="K322">
            <v>651130.52884714806</v>
          </cell>
          <cell r="L322">
            <v>642136.41019313433</v>
          </cell>
          <cell r="M322">
            <v>389077.38106724375</v>
          </cell>
          <cell r="N322">
            <v>425581.40451325011</v>
          </cell>
          <cell r="O322">
            <v>651880.97977093712</v>
          </cell>
          <cell r="P322">
            <v>563173.88580152136</v>
          </cell>
          <cell r="Q322">
            <v>388097.14697609865</v>
          </cell>
          <cell r="R322">
            <v>484906.87816596072</v>
          </cell>
          <cell r="T322">
            <v>523352.1486828858</v>
          </cell>
          <cell r="U322">
            <v>523879.37578342651</v>
          </cell>
          <cell r="V322">
            <v>549618.65906317835</v>
          </cell>
          <cell r="X322">
            <v>524821.3560693186</v>
          </cell>
          <cell r="Z322">
            <v>529360.92092249251</v>
          </cell>
          <cell r="AA322">
            <v>323665.55102290132</v>
          </cell>
          <cell r="AB322">
            <v>791054.93805390876</v>
          </cell>
          <cell r="AC322">
            <v>205695.3698995912</v>
          </cell>
          <cell r="AD322">
            <v>261694.01713141624</v>
          </cell>
        </row>
        <row r="323">
          <cell r="A323" t="str">
            <v>CGI015-qtz08-CL-fit-2-offset</v>
          </cell>
          <cell r="B323">
            <v>750</v>
          </cell>
          <cell r="C323">
            <v>6.6965312637759184E-25</v>
          </cell>
          <cell r="D323">
            <v>1150</v>
          </cell>
          <cell r="E323">
            <v>1024</v>
          </cell>
          <cell r="F323">
            <v>1.123046875</v>
          </cell>
          <cell r="H323">
            <v>282892.97955028282</v>
          </cell>
          <cell r="I323">
            <v>230330.28298917576</v>
          </cell>
          <cell r="J323">
            <v>290328.10469438584</v>
          </cell>
          <cell r="K323">
            <v>173271.78972248783</v>
          </cell>
          <cell r="L323">
            <v>367339.6399990471</v>
          </cell>
          <cell r="M323">
            <v>175316.62346513066</v>
          </cell>
          <cell r="N323">
            <v>223597.84025675588</v>
          </cell>
          <cell r="O323">
            <v>209171.63239501318</v>
          </cell>
          <cell r="P323">
            <v>176613.85964398435</v>
          </cell>
          <cell r="Q323">
            <v>441975.57356503478</v>
          </cell>
          <cell r="R323">
            <v>373789.08207260014</v>
          </cell>
          <cell r="T323">
            <v>267169.84762485261</v>
          </cell>
          <cell r="U323">
            <v>260874.14157151565</v>
          </cell>
          <cell r="V323">
            <v>230330.28298917576</v>
          </cell>
          <cell r="X323">
            <v>265460.33737248107</v>
          </cell>
          <cell r="Z323">
            <v>275722.69757504272</v>
          </cell>
          <cell r="AA323">
            <v>129536.81313216161</v>
          </cell>
          <cell r="AB323">
            <v>615057.26943651377</v>
          </cell>
          <cell r="AC323">
            <v>146185.8844428811</v>
          </cell>
          <cell r="AD323">
            <v>339334.57186147105</v>
          </cell>
        </row>
        <row r="324">
          <cell r="A324" t="str">
            <v>CGI015-qtz08-CL-fit-3-offset</v>
          </cell>
          <cell r="B324">
            <v>750</v>
          </cell>
          <cell r="C324">
            <v>6.6965312637759184E-25</v>
          </cell>
          <cell r="D324">
            <v>1150</v>
          </cell>
          <cell r="E324">
            <v>1024</v>
          </cell>
          <cell r="F324">
            <v>1.123046875</v>
          </cell>
          <cell r="H324">
            <v>992099.48264045978</v>
          </cell>
          <cell r="I324">
            <v>640993.98311605363</v>
          </cell>
          <cell r="J324">
            <v>814485.73938956147</v>
          </cell>
          <cell r="K324">
            <v>829266.09143530193</v>
          </cell>
          <cell r="L324">
            <v>2447698.5526442742</v>
          </cell>
          <cell r="M324">
            <v>529828.38348528999</v>
          </cell>
          <cell r="N324">
            <v>614944.18246882444</v>
          </cell>
          <cell r="O324">
            <v>700603.03172619664</v>
          </cell>
          <cell r="P324">
            <v>1773663.792680637</v>
          </cell>
          <cell r="Q324">
            <v>813275.66571387404</v>
          </cell>
          <cell r="R324">
            <v>1176483.9343499148</v>
          </cell>
          <cell r="T324">
            <v>945169.520767899</v>
          </cell>
          <cell r="U324">
            <v>971419.47282627714</v>
          </cell>
          <cell r="V324">
            <v>814485.73938956147</v>
          </cell>
          <cell r="X324">
            <v>927816.91592724423</v>
          </cell>
          <cell r="Z324">
            <v>956152.74200463877</v>
          </cell>
          <cell r="AA324">
            <v>159142.41137114519</v>
          </cell>
          <cell r="AB324">
            <v>2992798.6256455164</v>
          </cell>
          <cell r="AC324">
            <v>797010.33063349361</v>
          </cell>
          <cell r="AD324">
            <v>2036645.8836408777</v>
          </cell>
        </row>
        <row r="325">
          <cell r="A325" t="str">
            <v>CGI015-qtz08-CL-fit-4-offset</v>
          </cell>
          <cell r="B325">
            <v>750</v>
          </cell>
          <cell r="C325">
            <v>6.6965312637759184E-25</v>
          </cell>
          <cell r="D325">
            <v>1150</v>
          </cell>
          <cell r="E325">
            <v>1024</v>
          </cell>
          <cell r="F325">
            <v>1.123046875</v>
          </cell>
          <cell r="H325">
            <v>185544.73076204458</v>
          </cell>
          <cell r="I325">
            <v>468716.82481111906</v>
          </cell>
          <cell r="J325">
            <v>247834.80783738798</v>
          </cell>
          <cell r="K325">
            <v>301894.96324169246</v>
          </cell>
          <cell r="L325">
            <v>240548.53824604163</v>
          </cell>
          <cell r="M325">
            <v>290661.2942427728</v>
          </cell>
          <cell r="N325">
            <v>283066.36911426508</v>
          </cell>
          <cell r="O325">
            <v>344614.97955130483</v>
          </cell>
          <cell r="P325">
            <v>416008.16049130971</v>
          </cell>
          <cell r="Q325">
            <v>783979.52867288655</v>
          </cell>
          <cell r="R325">
            <v>362988.06362508808</v>
          </cell>
          <cell r="T325">
            <v>352108.53889823094</v>
          </cell>
          <cell r="U325">
            <v>343206.63311037741</v>
          </cell>
          <cell r="V325">
            <v>301894.96324169246</v>
          </cell>
          <cell r="X325">
            <v>326323.08459984517</v>
          </cell>
          <cell r="Z325">
            <v>330800.24883502192</v>
          </cell>
          <cell r="AA325">
            <v>125119.98025922495</v>
          </cell>
          <cell r="AB325">
            <v>710587.84010155278</v>
          </cell>
          <cell r="AC325">
            <v>205680.26857579697</v>
          </cell>
          <cell r="AD325">
            <v>379787.59126653086</v>
          </cell>
        </row>
        <row r="326">
          <cell r="A326" t="str">
            <v>CGI015-qtz08-CL-fit-5-offset</v>
          </cell>
          <cell r="B326">
            <v>750</v>
          </cell>
          <cell r="C326">
            <v>6.6965312637759184E-25</v>
          </cell>
          <cell r="D326">
            <v>1150</v>
          </cell>
          <cell r="E326">
            <v>1024</v>
          </cell>
          <cell r="F326">
            <v>1.123046875</v>
          </cell>
          <cell r="H326">
            <v>254408.75636853461</v>
          </cell>
          <cell r="I326">
            <v>307247.75867713988</v>
          </cell>
          <cell r="J326">
            <v>272431.80954474746</v>
          </cell>
          <cell r="K326">
            <v>192047.75219125187</v>
          </cell>
          <cell r="L326">
            <v>308952.01221599511</v>
          </cell>
          <cell r="M326">
            <v>331667.0967226394</v>
          </cell>
          <cell r="N326">
            <v>301595.59967127966</v>
          </cell>
          <cell r="O326">
            <v>543651.17593859963</v>
          </cell>
          <cell r="P326">
            <v>753838.74276092881</v>
          </cell>
          <cell r="Q326">
            <v>1042891.4118934955</v>
          </cell>
          <cell r="R326">
            <v>506076.73122538003</v>
          </cell>
          <cell r="T326">
            <v>397364.58626232756</v>
          </cell>
          <cell r="U326">
            <v>409363.31820936239</v>
          </cell>
          <cell r="V326">
            <v>308952.01221599511</v>
          </cell>
          <cell r="X326">
            <v>389762.26724897558</v>
          </cell>
          <cell r="Z326">
            <v>402436.54865035025</v>
          </cell>
          <cell r="AA326">
            <v>146400.26798862938</v>
          </cell>
          <cell r="AB326">
            <v>891886.64682203159</v>
          </cell>
          <cell r="AC326">
            <v>256036.28066172087</v>
          </cell>
          <cell r="AD326">
            <v>489450.09817168134</v>
          </cell>
        </row>
        <row r="327">
          <cell r="A327" t="str">
            <v>CGI015-qtz08-CL-fit-6-offset</v>
          </cell>
          <cell r="B327">
            <v>750</v>
          </cell>
          <cell r="C327">
            <v>6.6965312637759184E-25</v>
          </cell>
          <cell r="D327">
            <v>1150</v>
          </cell>
          <cell r="E327">
            <v>1024</v>
          </cell>
          <cell r="F327">
            <v>1.123046875</v>
          </cell>
          <cell r="H327">
            <v>127926.96050347839</v>
          </cell>
          <cell r="I327">
            <v>181125.96420148475</v>
          </cell>
          <cell r="J327">
            <v>89211.012073714272</v>
          </cell>
          <cell r="K327">
            <v>50214.542757088646</v>
          </cell>
          <cell r="L327">
            <v>104434.66011240888</v>
          </cell>
          <cell r="M327">
            <v>86471.592248747824</v>
          </cell>
          <cell r="N327">
            <v>107826.07122426343</v>
          </cell>
          <cell r="O327">
            <v>120677.8314618204</v>
          </cell>
          <cell r="P327">
            <v>138898.63396237968</v>
          </cell>
          <cell r="Q327">
            <v>70546.529227333143</v>
          </cell>
          <cell r="R327">
            <v>148326.99027481483</v>
          </cell>
          <cell r="T327">
            <v>103672.72361768219</v>
          </cell>
          <cell r="U327">
            <v>108446.59422423475</v>
          </cell>
          <cell r="V327">
            <v>107826.07122426343</v>
          </cell>
          <cell r="X327">
            <v>104042.3907736667</v>
          </cell>
          <cell r="Z327">
            <v>113016.68122440392</v>
          </cell>
          <cell r="AA327">
            <v>37995.341674411859</v>
          </cell>
          <cell r="AB327">
            <v>302600.44767213595</v>
          </cell>
          <cell r="AC327">
            <v>75021.339549992059</v>
          </cell>
          <cell r="AD327">
            <v>189583.76644773205</v>
          </cell>
        </row>
        <row r="328">
          <cell r="A328" t="str">
            <v>CGI015-qtz09-CL-fit-1-offset</v>
          </cell>
          <cell r="B328">
            <v>750</v>
          </cell>
          <cell r="C328">
            <v>6.6965312637759184E-25</v>
          </cell>
          <cell r="D328">
            <v>2150</v>
          </cell>
          <cell r="E328">
            <v>1024</v>
          </cell>
          <cell r="F328">
            <v>2.099609375</v>
          </cell>
          <cell r="H328">
            <v>1333561.4066235765</v>
          </cell>
          <cell r="I328">
            <v>1764283.9427915628</v>
          </cell>
          <cell r="J328">
            <v>1735267.3822273</v>
          </cell>
          <cell r="K328">
            <v>2073471.7767804731</v>
          </cell>
          <cell r="L328">
            <v>1553516.2030994131</v>
          </cell>
          <cell r="M328">
            <v>1835298.8340813899</v>
          </cell>
          <cell r="N328">
            <v>1768255.1431266651</v>
          </cell>
          <cell r="O328">
            <v>2019363.5137331702</v>
          </cell>
          <cell r="P328">
            <v>2825529.7732235417</v>
          </cell>
          <cell r="Q328">
            <v>2011655.2424967841</v>
          </cell>
          <cell r="R328">
            <v>2108258.2494721343</v>
          </cell>
          <cell r="T328">
            <v>1882438.3313116317</v>
          </cell>
          <cell r="U328">
            <v>1895250.7074283077</v>
          </cell>
          <cell r="V328">
            <v>1835298.8340813899</v>
          </cell>
          <cell r="X328">
            <v>1900676.6244034821</v>
          </cell>
          <cell r="Z328">
            <v>1930388.0776205952</v>
          </cell>
          <cell r="AA328">
            <v>1376647.9152083034</v>
          </cell>
          <cell r="AB328">
            <v>2888950.8313145167</v>
          </cell>
          <cell r="AC328">
            <v>553740.16241229186</v>
          </cell>
          <cell r="AD328">
            <v>958562.75369392149</v>
          </cell>
        </row>
        <row r="329">
          <cell r="A329" t="str">
            <v>CGI015-qtz09-CL-fit-2-offset</v>
          </cell>
          <cell r="B329">
            <v>750</v>
          </cell>
          <cell r="C329">
            <v>6.6965312637759184E-25</v>
          </cell>
          <cell r="D329">
            <v>2150</v>
          </cell>
          <cell r="E329">
            <v>1024</v>
          </cell>
          <cell r="F329">
            <v>2.099609375</v>
          </cell>
          <cell r="H329">
            <v>1465026.742845179</v>
          </cell>
          <cell r="I329">
            <v>1695328.496215103</v>
          </cell>
          <cell r="J329">
            <v>1044498.15760356</v>
          </cell>
          <cell r="K329">
            <v>1266126.0113216839</v>
          </cell>
          <cell r="L329">
            <v>1072882.8010946489</v>
          </cell>
          <cell r="M329">
            <v>1364304.4962261301</v>
          </cell>
          <cell r="N329">
            <v>1436195.6701297942</v>
          </cell>
          <cell r="O329">
            <v>1645963.314180101</v>
          </cell>
          <cell r="P329">
            <v>1607106.9551305382</v>
          </cell>
          <cell r="Q329">
            <v>1795547.3264007405</v>
          </cell>
          <cell r="R329">
            <v>989925.36535765405</v>
          </cell>
          <cell r="T329">
            <v>1402624.9969884444</v>
          </cell>
          <cell r="U329">
            <v>1385437.6339909695</v>
          </cell>
          <cell r="V329">
            <v>1436195.6701297942</v>
          </cell>
          <cell r="X329">
            <v>1360001.9167643206</v>
          </cell>
          <cell r="Z329">
            <v>1364195.0798139761</v>
          </cell>
          <cell r="AA329">
            <v>786914.61019575037</v>
          </cell>
          <cell r="AB329">
            <v>2250654.6985894917</v>
          </cell>
          <cell r="AC329">
            <v>577280.4696182257</v>
          </cell>
          <cell r="AD329">
            <v>886459.61877551558</v>
          </cell>
        </row>
        <row r="330">
          <cell r="A330" t="str">
            <v>CGI015-qtz09-CL-fit-3-offset</v>
          </cell>
          <cell r="B330">
            <v>750</v>
          </cell>
          <cell r="C330">
            <v>6.6965312637759184E-25</v>
          </cell>
          <cell r="D330">
            <v>2150</v>
          </cell>
          <cell r="E330">
            <v>1024</v>
          </cell>
          <cell r="F330">
            <v>2.099609375</v>
          </cell>
          <cell r="H330">
            <v>229551.60809078006</v>
          </cell>
          <cell r="I330">
            <v>209776.33350328315</v>
          </cell>
          <cell r="J330">
            <v>168791.36864572568</v>
          </cell>
          <cell r="K330">
            <v>145158.35007100651</v>
          </cell>
          <cell r="L330">
            <v>170413.67602438884</v>
          </cell>
          <cell r="M330">
            <v>167329.0679747824</v>
          </cell>
          <cell r="N330">
            <v>167558.73209193005</v>
          </cell>
          <cell r="O330">
            <v>356356.57506032265</v>
          </cell>
          <cell r="P330">
            <v>230474.30164514304</v>
          </cell>
          <cell r="Q330">
            <v>237597.55482812872</v>
          </cell>
          <cell r="R330">
            <v>266304.53303875064</v>
          </cell>
          <cell r="T330">
            <v>212928.61733240171</v>
          </cell>
          <cell r="U330">
            <v>209988.73492937093</v>
          </cell>
          <cell r="V330">
            <v>209776.33350328315</v>
          </cell>
          <cell r="X330">
            <v>194747.61968026147</v>
          </cell>
          <cell r="Z330">
            <v>196634.66743755946</v>
          </cell>
          <cell r="AA330">
            <v>82986.08363220538</v>
          </cell>
          <cell r="AB330">
            <v>352043.85300035973</v>
          </cell>
          <cell r="AC330">
            <v>113648.58380535408</v>
          </cell>
          <cell r="AD330">
            <v>155409.18556280027</v>
          </cell>
        </row>
        <row r="331">
          <cell r="A331" t="str">
            <v>CGI015-qtz09-CL-fit-4-offset</v>
          </cell>
          <cell r="B331">
            <v>750</v>
          </cell>
          <cell r="C331">
            <v>6.6965312637759184E-25</v>
          </cell>
          <cell r="D331">
            <v>2150</v>
          </cell>
          <cell r="E331">
            <v>1024</v>
          </cell>
          <cell r="F331">
            <v>2.099609375</v>
          </cell>
          <cell r="H331">
            <v>198488.44337706282</v>
          </cell>
          <cell r="I331">
            <v>375446.93426873843</v>
          </cell>
          <cell r="J331">
            <v>469035.54672013142</v>
          </cell>
          <cell r="K331">
            <v>454930.63858140219</v>
          </cell>
          <cell r="L331">
            <v>550981.26289498596</v>
          </cell>
          <cell r="M331">
            <v>173620.24858592122</v>
          </cell>
          <cell r="N331">
            <v>292799.08224973985</v>
          </cell>
          <cell r="O331">
            <v>385830.39158310759</v>
          </cell>
          <cell r="P331">
            <v>464209.36082937982</v>
          </cell>
          <cell r="Q331">
            <v>344391.82325344661</v>
          </cell>
          <cell r="R331">
            <v>505855.91878691438</v>
          </cell>
          <cell r="T331">
            <v>405697.42861854681</v>
          </cell>
          <cell r="U331">
            <v>373014.32289319439</v>
          </cell>
          <cell r="V331">
            <v>385830.39158310759</v>
          </cell>
          <cell r="X331">
            <v>394337.8431919865</v>
          </cell>
          <cell r="Z331">
            <v>384701.01579107513</v>
          </cell>
          <cell r="AA331">
            <v>117155.54432828169</v>
          </cell>
          <cell r="AB331">
            <v>747644.66903079045</v>
          </cell>
          <cell r="AC331">
            <v>267545.47146279342</v>
          </cell>
          <cell r="AD331">
            <v>362943.65323971532</v>
          </cell>
        </row>
        <row r="332">
          <cell r="A332" t="str">
            <v>CGI015-qtz09-CL-fit-5-offset</v>
          </cell>
          <cell r="B332">
            <v>750</v>
          </cell>
          <cell r="C332">
            <v>6.6965312637759184E-25</v>
          </cell>
          <cell r="D332">
            <v>2150</v>
          </cell>
          <cell r="E332">
            <v>1024</v>
          </cell>
          <cell r="F332">
            <v>2.099609375</v>
          </cell>
          <cell r="H332">
            <v>7.549650129347614E-3</v>
          </cell>
          <cell r="I332">
            <v>67109.710272951008</v>
          </cell>
          <cell r="J332">
            <v>63359.512729649672</v>
          </cell>
          <cell r="K332">
            <v>94.559406895335343</v>
          </cell>
          <cell r="L332">
            <v>130256.37087328004</v>
          </cell>
          <cell r="M332">
            <v>29248.807133523205</v>
          </cell>
          <cell r="N332">
            <v>48854.69730657521</v>
          </cell>
          <cell r="O332">
            <v>2.7668005732105674</v>
          </cell>
          <cell r="P332">
            <v>42871.903511047574</v>
          </cell>
          <cell r="Q332">
            <v>58747.228337634151</v>
          </cell>
          <cell r="R332">
            <v>19305.298484206789</v>
          </cell>
          <cell r="T332">
            <v>36809.79231734795</v>
          </cell>
          <cell r="U332">
            <v>28702.039404956591</v>
          </cell>
          <cell r="V332">
            <v>42871.903511047574</v>
          </cell>
          <cell r="X332">
            <v>33028.299905020715</v>
          </cell>
          <cell r="Z332">
            <v>36673.060274247684</v>
          </cell>
          <cell r="AA332">
            <v>782.55682137537212</v>
          </cell>
          <cell r="AB332">
            <v>158728.66764872085</v>
          </cell>
          <cell r="AC332">
            <v>35890.503452872312</v>
          </cell>
          <cell r="AD332">
            <v>122055.60737447315</v>
          </cell>
        </row>
        <row r="333">
          <cell r="A333" t="str">
            <v>CGI015-qtz09-CL-fit-6-offset</v>
          </cell>
          <cell r="B333">
            <v>750</v>
          </cell>
          <cell r="C333">
            <v>6.6965312637759184E-25</v>
          </cell>
          <cell r="D333">
            <v>2150</v>
          </cell>
          <cell r="E333">
            <v>1024</v>
          </cell>
          <cell r="F333">
            <v>2.099609375</v>
          </cell>
          <cell r="H333">
            <v>394161.74543509795</v>
          </cell>
          <cell r="I333">
            <v>239272.44320178853</v>
          </cell>
          <cell r="J333">
            <v>304051.49303980963</v>
          </cell>
          <cell r="K333">
            <v>138120.42654851134</v>
          </cell>
          <cell r="L333">
            <v>200709.89714794795</v>
          </cell>
          <cell r="M333">
            <v>146240.4092964264</v>
          </cell>
          <cell r="N333">
            <v>181300.42279153442</v>
          </cell>
          <cell r="O333">
            <v>141572.85556165077</v>
          </cell>
          <cell r="P333">
            <v>91056.463274057765</v>
          </cell>
          <cell r="Q333">
            <v>102965.12355350589</v>
          </cell>
          <cell r="R333">
            <v>89159.394485085839</v>
          </cell>
          <cell r="T333">
            <v>197559.41506309828</v>
          </cell>
          <cell r="U333">
            <v>174400.48490421663</v>
          </cell>
          <cell r="V333">
            <v>146240.4092964264</v>
          </cell>
          <cell r="X333">
            <v>172511.33612084121</v>
          </cell>
          <cell r="Z333">
            <v>164642.33560485268</v>
          </cell>
          <cell r="AA333">
            <v>26324.025559385416</v>
          </cell>
          <cell r="AB333">
            <v>451207.24969564733</v>
          </cell>
          <cell r="AC333">
            <v>138318.31004546725</v>
          </cell>
          <cell r="AD333">
            <v>286564.91409079463</v>
          </cell>
        </row>
        <row r="334">
          <cell r="A334" t="str">
            <v>CGI015-qtz10-CL-fit-1-offset</v>
          </cell>
          <cell r="B334">
            <v>750</v>
          </cell>
          <cell r="C334">
            <v>6.6965312637759184E-25</v>
          </cell>
          <cell r="D334">
            <v>2050</v>
          </cell>
          <cell r="E334">
            <v>1024</v>
          </cell>
          <cell r="F334">
            <v>2.001953125</v>
          </cell>
          <cell r="H334">
            <v>2248007.7212509196</v>
          </cell>
          <cell r="I334">
            <v>2567654.3666129308</v>
          </cell>
          <cell r="J334">
            <v>1663611.502146245</v>
          </cell>
          <cell r="K334">
            <v>2499119.6445924048</v>
          </cell>
          <cell r="L334">
            <v>2215712.1226430605</v>
          </cell>
          <cell r="M334">
            <v>2784790.0354616786</v>
          </cell>
          <cell r="N334">
            <v>2506220.0832901015</v>
          </cell>
          <cell r="O334">
            <v>2202567.6285007959</v>
          </cell>
          <cell r="P334">
            <v>2294786.1224304442</v>
          </cell>
          <cell r="Q334">
            <v>3481179.8605290847</v>
          </cell>
          <cell r="R334">
            <v>2303839.4155415823</v>
          </cell>
          <cell r="T334">
            <v>2409938.9112185412</v>
          </cell>
          <cell r="U334">
            <v>2415308.7489338391</v>
          </cell>
          <cell r="V334">
            <v>2303839.4155415823</v>
          </cell>
          <cell r="X334">
            <v>2402938.0922668711</v>
          </cell>
          <cell r="Z334">
            <v>2392723.2768823956</v>
          </cell>
          <cell r="AA334">
            <v>1618194.4624598939</v>
          </cell>
          <cell r="AB334">
            <v>3552129.1029692278</v>
          </cell>
          <cell r="AC334">
            <v>774528.81442250172</v>
          </cell>
          <cell r="AD334">
            <v>1159405.8260868322</v>
          </cell>
        </row>
        <row r="335">
          <cell r="A335" t="str">
            <v>CGI015-qtz10-CL-fit-2-offset</v>
          </cell>
          <cell r="B335">
            <v>750</v>
          </cell>
          <cell r="C335">
            <v>6.6965312637759184E-25</v>
          </cell>
          <cell r="D335">
            <v>2050</v>
          </cell>
          <cell r="E335">
            <v>1024</v>
          </cell>
          <cell r="F335">
            <v>2.001953125</v>
          </cell>
          <cell r="H335">
            <v>674663.88337846682</v>
          </cell>
          <cell r="I335">
            <v>510296.63533931604</v>
          </cell>
          <cell r="J335">
            <v>111194.88381195143</v>
          </cell>
          <cell r="K335">
            <v>201576.7652917167</v>
          </cell>
          <cell r="L335">
            <v>322017.0613265346</v>
          </cell>
          <cell r="M335">
            <v>750177.28347165673</v>
          </cell>
          <cell r="N335">
            <v>64529.831423867734</v>
          </cell>
          <cell r="O335">
            <v>392372.41774222528</v>
          </cell>
          <cell r="P335">
            <v>636988.73665622366</v>
          </cell>
          <cell r="Q335">
            <v>384466.21773001546</v>
          </cell>
          <cell r="R335">
            <v>58280.680235629625</v>
          </cell>
          <cell r="T335">
            <v>471182.11884763133</v>
          </cell>
          <cell r="U335">
            <v>327159.20889327617</v>
          </cell>
          <cell r="V335">
            <v>384466.21773001546</v>
          </cell>
          <cell r="X335">
            <v>434361.34509851079</v>
          </cell>
          <cell r="Z335">
            <v>487878.69007328519</v>
          </cell>
          <cell r="AA335">
            <v>3113.8957050418376</v>
          </cell>
          <cell r="AB335">
            <v>3657019.2026054654</v>
          </cell>
          <cell r="AC335">
            <v>484764.79436824337</v>
          </cell>
          <cell r="AD335">
            <v>3169140.5125321802</v>
          </cell>
        </row>
        <row r="336">
          <cell r="A336" t="str">
            <v>CGI015-qtz10-CL-fit-3-offset</v>
          </cell>
          <cell r="B336">
            <v>750</v>
          </cell>
          <cell r="C336">
            <v>6.6965312637759184E-25</v>
          </cell>
          <cell r="D336">
            <v>2050</v>
          </cell>
          <cell r="E336">
            <v>1024</v>
          </cell>
          <cell r="F336">
            <v>2.001953125</v>
          </cell>
          <cell r="H336">
            <v>368586.50674170494</v>
          </cell>
          <cell r="I336">
            <v>276036.493354354</v>
          </cell>
          <cell r="J336">
            <v>303262.49165590241</v>
          </cell>
          <cell r="K336">
            <v>388259.62488008151</v>
          </cell>
          <cell r="L336">
            <v>452468.87397569272</v>
          </cell>
          <cell r="M336">
            <v>428776.2189990856</v>
          </cell>
          <cell r="N336">
            <v>553445.51295099175</v>
          </cell>
          <cell r="O336">
            <v>28411.231135956812</v>
          </cell>
          <cell r="P336">
            <v>0</v>
          </cell>
          <cell r="Q336">
            <v>478874.44313265436</v>
          </cell>
          <cell r="R336">
            <v>564298.38779437635</v>
          </cell>
          <cell r="T336">
            <v>438791.61110165343</v>
          </cell>
          <cell r="U336">
            <v>358737.71460448619</v>
          </cell>
          <cell r="V336">
            <v>408266.61643036781</v>
          </cell>
          <cell r="X336">
            <v>377995.64314986911</v>
          </cell>
          <cell r="Z336">
            <v>381102.25736836978</v>
          </cell>
          <cell r="AA336">
            <v>4601.8064178619225</v>
          </cell>
          <cell r="AB336">
            <v>1968069.960780347</v>
          </cell>
          <cell r="AC336">
            <v>376500.45095050789</v>
          </cell>
          <cell r="AD336">
            <v>1586967.7034119773</v>
          </cell>
        </row>
        <row r="337">
          <cell r="A337" t="str">
            <v>CGI015-qtz10-CL-fit-4-offset</v>
          </cell>
          <cell r="B337">
            <v>750</v>
          </cell>
          <cell r="C337">
            <v>6.6965312637759184E-25</v>
          </cell>
          <cell r="D337">
            <v>2050</v>
          </cell>
          <cell r="E337">
            <v>1024</v>
          </cell>
          <cell r="F337">
            <v>2.001953125</v>
          </cell>
          <cell r="H337">
            <v>143006.89214629709</v>
          </cell>
          <cell r="I337">
            <v>46221.454761741799</v>
          </cell>
          <cell r="J337">
            <v>22376.32033091578</v>
          </cell>
          <cell r="K337">
            <v>142698.66264534573</v>
          </cell>
          <cell r="L337">
            <v>45554.2701561422</v>
          </cell>
          <cell r="M337">
            <v>180378.68825591551</v>
          </cell>
          <cell r="N337">
            <v>173327.55366269776</v>
          </cell>
          <cell r="O337">
            <v>245982.03348930989</v>
          </cell>
          <cell r="P337">
            <v>323235.82545915752</v>
          </cell>
          <cell r="Q337">
            <v>172427.7058152977</v>
          </cell>
          <cell r="R337">
            <v>182415.74402081515</v>
          </cell>
          <cell r="T337">
            <v>168875.64482897019</v>
          </cell>
          <cell r="U337">
            <v>137696.10562075616</v>
          </cell>
          <cell r="V337">
            <v>172427.7058152977</v>
          </cell>
          <cell r="X337">
            <v>138898.51211197581</v>
          </cell>
          <cell r="Z337">
            <v>135016.01988541373</v>
          </cell>
          <cell r="AA337">
            <v>9004.9798914358562</v>
          </cell>
          <cell r="AB337">
            <v>392691.00201240095</v>
          </cell>
          <cell r="AC337">
            <v>126011.03999397787</v>
          </cell>
          <cell r="AD337">
            <v>257674.98212698722</v>
          </cell>
        </row>
        <row r="338">
          <cell r="A338" t="str">
            <v>CGI015-qtz10-CL-fit-5-offset</v>
          </cell>
          <cell r="B338">
            <v>750</v>
          </cell>
          <cell r="C338">
            <v>6.6965312637759184E-25</v>
          </cell>
          <cell r="D338">
            <v>2050</v>
          </cell>
          <cell r="E338">
            <v>1024</v>
          </cell>
          <cell r="F338">
            <v>2.001953125</v>
          </cell>
          <cell r="H338">
            <v>102160.49285726402</v>
          </cell>
          <cell r="I338">
            <v>104043.54686288863</v>
          </cell>
          <cell r="J338">
            <v>128411.30390092876</v>
          </cell>
          <cell r="K338">
            <v>332070.00430850289</v>
          </cell>
          <cell r="L338">
            <v>243958.14973567918</v>
          </cell>
          <cell r="M338">
            <v>283285.29457310948</v>
          </cell>
          <cell r="N338">
            <v>270724.20199143526</v>
          </cell>
          <cell r="O338">
            <v>583433.75582269114</v>
          </cell>
          <cell r="P338">
            <v>445645.56564703688</v>
          </cell>
          <cell r="Q338">
            <v>362939.68485170236</v>
          </cell>
          <cell r="R338">
            <v>332458.51558802772</v>
          </cell>
          <cell r="T338">
            <v>262961.78749323526</v>
          </cell>
          <cell r="U338">
            <v>271696.28203846206</v>
          </cell>
          <cell r="V338">
            <v>283285.29457310948</v>
          </cell>
          <cell r="X338">
            <v>272557.58669520554</v>
          </cell>
          <cell r="Z338">
            <v>281343.48533577757</v>
          </cell>
          <cell r="AA338">
            <v>34130.172250719828</v>
          </cell>
          <cell r="AB338">
            <v>845802.06842392334</v>
          </cell>
          <cell r="AC338">
            <v>247213.31308505774</v>
          </cell>
          <cell r="AD338">
            <v>564458.58308814582</v>
          </cell>
        </row>
        <row r="339">
          <cell r="A339" t="str">
            <v>CGI015-qtz10-CL-fit-6-offset</v>
          </cell>
          <cell r="B339">
            <v>750</v>
          </cell>
          <cell r="C339">
            <v>6.6965312637759184E-25</v>
          </cell>
          <cell r="D339">
            <v>2050</v>
          </cell>
          <cell r="E339">
            <v>1024</v>
          </cell>
          <cell r="F339">
            <v>2.001953125</v>
          </cell>
          <cell r="H339">
            <v>61700.453095545367</v>
          </cell>
          <cell r="I339">
            <v>129537.05130964301</v>
          </cell>
          <cell r="J339">
            <v>88782.162946965153</v>
          </cell>
          <cell r="K339">
            <v>71152.620354382292</v>
          </cell>
          <cell r="L339">
            <v>78253.662269673005</v>
          </cell>
          <cell r="M339">
            <v>54245.238303903236</v>
          </cell>
          <cell r="N339">
            <v>73200.164753373785</v>
          </cell>
          <cell r="O339">
            <v>104370.43901270912</v>
          </cell>
          <cell r="P339">
            <v>63144.96299046612</v>
          </cell>
          <cell r="Q339">
            <v>73243.329557732679</v>
          </cell>
          <cell r="R339">
            <v>56856.00814150308</v>
          </cell>
          <cell r="T339">
            <v>75358.845450473178</v>
          </cell>
          <cell r="U339">
            <v>76359.116437419492</v>
          </cell>
          <cell r="V339">
            <v>73200.164753373785</v>
          </cell>
          <cell r="X339">
            <v>69315.635841599578</v>
          </cell>
          <cell r="Z339">
            <v>62181.463637225512</v>
          </cell>
          <cell r="AA339">
            <v>2158.3877570699929</v>
          </cell>
          <cell r="AB339">
            <v>211019.92071771208</v>
          </cell>
          <cell r="AC339">
            <v>60023.07588015552</v>
          </cell>
          <cell r="AD339">
            <v>148838.45708048658</v>
          </cell>
        </row>
        <row r="340">
          <cell r="A340" t="str">
            <v>CGI015-qtz10-CL-fit-7-offset</v>
          </cell>
          <cell r="B340">
            <v>750</v>
          </cell>
          <cell r="C340">
            <v>6.6965312637759184E-25</v>
          </cell>
          <cell r="D340">
            <v>2050</v>
          </cell>
          <cell r="E340">
            <v>1024</v>
          </cell>
          <cell r="F340">
            <v>2.001953125</v>
          </cell>
          <cell r="H340">
            <v>2101.6888522742147</v>
          </cell>
          <cell r="I340">
            <v>2613.0367797301951</v>
          </cell>
          <cell r="J340">
            <v>1831.848107248835</v>
          </cell>
          <cell r="K340">
            <v>1312.3087384593537</v>
          </cell>
          <cell r="L340">
            <v>17759.21271186581</v>
          </cell>
          <cell r="M340">
            <v>243.82737411139712</v>
          </cell>
          <cell r="N340">
            <v>2146.9641214817411</v>
          </cell>
          <cell r="O340">
            <v>1795.347733563266</v>
          </cell>
          <cell r="P340">
            <v>1848.2285882443766</v>
          </cell>
          <cell r="Q340">
            <v>20416.102874474833</v>
          </cell>
          <cell r="R340">
            <v>653.21526861420364</v>
          </cell>
          <cell r="T340">
            <v>1967.0530409981154</v>
          </cell>
          <cell r="U340">
            <v>3228.3836753939486</v>
          </cell>
          <cell r="V340">
            <v>1848.2285882443766</v>
          </cell>
          <cell r="X340">
            <v>2907.5495856088837</v>
          </cell>
          <cell r="Z340">
            <v>10484.719014900442</v>
          </cell>
          <cell r="AA340">
            <v>1.5864754181769872E-2</v>
          </cell>
          <cell r="AB340">
            <v>353410.09142933448</v>
          </cell>
          <cell r="AC340">
            <v>10484.703150146261</v>
          </cell>
          <cell r="AD340">
            <v>342925.37241443404</v>
          </cell>
        </row>
        <row r="341">
          <cell r="A341" t="str">
            <v>CGI015-qtz11-CL-fit-1-offset</v>
          </cell>
          <cell r="B341">
            <v>750</v>
          </cell>
          <cell r="C341">
            <v>6.6965312637759184E-25</v>
          </cell>
          <cell r="D341">
            <v>1700</v>
          </cell>
          <cell r="E341">
            <v>1024</v>
          </cell>
          <cell r="F341">
            <v>1.66015625</v>
          </cell>
          <cell r="H341">
            <v>1378756.210057433</v>
          </cell>
          <cell r="I341">
            <v>1223252.7198830764</v>
          </cell>
          <cell r="J341">
            <v>1304763.0928592985</v>
          </cell>
          <cell r="K341">
            <v>1164076.2974732069</v>
          </cell>
          <cell r="L341">
            <v>1223472.7052960491</v>
          </cell>
          <cell r="M341">
            <v>1124758.7900790407</v>
          </cell>
          <cell r="N341">
            <v>1180180.5456592294</v>
          </cell>
          <cell r="O341">
            <v>1499408.0774120777</v>
          </cell>
          <cell r="P341">
            <v>1645487.1589835954</v>
          </cell>
          <cell r="Q341">
            <v>1469110.4352329446</v>
          </cell>
          <cell r="R341">
            <v>1819595.5384139668</v>
          </cell>
          <cell r="T341">
            <v>1354282.0722278357</v>
          </cell>
          <cell r="U341">
            <v>1358850.9265742069</v>
          </cell>
          <cell r="V341">
            <v>1304763.0928592985</v>
          </cell>
          <cell r="X341">
            <v>1340399.8389754856</v>
          </cell>
          <cell r="Z341">
            <v>1334739.0946743221</v>
          </cell>
          <cell r="AA341">
            <v>1039510.9287110133</v>
          </cell>
          <cell r="AB341">
            <v>1654050.9161452872</v>
          </cell>
          <cell r="AC341">
            <v>295228.16596330877</v>
          </cell>
          <cell r="AD341">
            <v>319311.82147096517</v>
          </cell>
        </row>
        <row r="342">
          <cell r="A342" t="str">
            <v>CGI015-qtz11-CL-fit-2-offset</v>
          </cell>
          <cell r="B342">
            <v>750</v>
          </cell>
          <cell r="C342">
            <v>6.6965312637759184E-25</v>
          </cell>
          <cell r="D342">
            <v>1700</v>
          </cell>
          <cell r="E342">
            <v>1024</v>
          </cell>
          <cell r="F342">
            <v>1.66015625</v>
          </cell>
          <cell r="H342">
            <v>1514492.1026146044</v>
          </cell>
          <cell r="I342">
            <v>1374193.5446018397</v>
          </cell>
          <cell r="J342">
            <v>1074693.9488098209</v>
          </cell>
          <cell r="K342">
            <v>1334173.8025059421</v>
          </cell>
          <cell r="L342">
            <v>1138426.3905795489</v>
          </cell>
          <cell r="M342">
            <v>1256527.3979170194</v>
          </cell>
          <cell r="N342">
            <v>1048417.7030913425</v>
          </cell>
          <cell r="O342">
            <v>873427.67675177462</v>
          </cell>
          <cell r="P342">
            <v>1206069.3788772572</v>
          </cell>
          <cell r="Q342">
            <v>659601.81784134964</v>
          </cell>
          <cell r="R342">
            <v>867456.91088073491</v>
          </cell>
          <cell r="T342">
            <v>1138427.3337885793</v>
          </cell>
          <cell r="U342">
            <v>1108771.9445601304</v>
          </cell>
          <cell r="V342">
            <v>1138426.3905795489</v>
          </cell>
          <cell r="X342">
            <v>1126886.8677650217</v>
          </cell>
          <cell r="Z342">
            <v>1151525.0216094125</v>
          </cell>
          <cell r="AA342">
            <v>629416.43717532104</v>
          </cell>
          <cell r="AB342">
            <v>1924349.7491372891</v>
          </cell>
          <cell r="AC342">
            <v>522108.58443409146</v>
          </cell>
          <cell r="AD342">
            <v>772824.72752787662</v>
          </cell>
        </row>
        <row r="343">
          <cell r="A343" t="str">
            <v>CGI015-qtz11-CL-fit-3-offset</v>
          </cell>
          <cell r="B343">
            <v>750</v>
          </cell>
          <cell r="C343">
            <v>6.6965312637759184E-25</v>
          </cell>
          <cell r="D343">
            <v>1700</v>
          </cell>
          <cell r="E343">
            <v>1024</v>
          </cell>
          <cell r="F343">
            <v>1.66015625</v>
          </cell>
          <cell r="H343">
            <v>118930.21629291453</v>
          </cell>
          <cell r="I343">
            <v>5048.9094998782211</v>
          </cell>
          <cell r="J343">
            <v>113223.34441550303</v>
          </cell>
          <cell r="K343">
            <v>253156.97936083601</v>
          </cell>
          <cell r="L343">
            <v>124143.26706414743</v>
          </cell>
          <cell r="M343">
            <v>39945.495947502313</v>
          </cell>
          <cell r="N343">
            <v>121666.82779358918</v>
          </cell>
          <cell r="O343">
            <v>115974.53691702877</v>
          </cell>
          <cell r="P343">
            <v>94715.98787790355</v>
          </cell>
          <cell r="Q343">
            <v>155289.3547757137</v>
          </cell>
          <cell r="R343">
            <v>204310.72263074917</v>
          </cell>
          <cell r="T343">
            <v>100755.14641260836</v>
          </cell>
          <cell r="U343">
            <v>110160.52818245528</v>
          </cell>
          <cell r="V343">
            <v>118930.21629291453</v>
          </cell>
          <cell r="X343">
            <v>82400.105676449122</v>
          </cell>
          <cell r="Z343">
            <v>95216.091183886121</v>
          </cell>
          <cell r="AA343">
            <v>8573.049245811615</v>
          </cell>
          <cell r="AB343">
            <v>358005.44824492594</v>
          </cell>
          <cell r="AC343">
            <v>86643.041938074501</v>
          </cell>
          <cell r="AD343">
            <v>262789.35706103983</v>
          </cell>
        </row>
        <row r="344">
          <cell r="A344" t="str">
            <v>CGI015-qtz11-CL-fit-4-offset</v>
          </cell>
          <cell r="B344">
            <v>750</v>
          </cell>
          <cell r="C344">
            <v>6.6965312637759184E-25</v>
          </cell>
          <cell r="D344">
            <v>1700</v>
          </cell>
          <cell r="E344">
            <v>1024</v>
          </cell>
          <cell r="F344">
            <v>1.66015625</v>
          </cell>
          <cell r="H344">
            <v>82310.695058866113</v>
          </cell>
          <cell r="I344">
            <v>29704.773586483781</v>
          </cell>
          <cell r="J344">
            <v>87092.618361310073</v>
          </cell>
          <cell r="K344">
            <v>29675.38746713589</v>
          </cell>
          <cell r="L344">
            <v>1045.3782371377631</v>
          </cell>
          <cell r="M344">
            <v>90420.964224468698</v>
          </cell>
          <cell r="N344">
            <v>146752.47602467812</v>
          </cell>
          <cell r="O344">
            <v>8.8414793572041697E-2</v>
          </cell>
          <cell r="P344">
            <v>153981.81357988252</v>
          </cell>
          <cell r="Q344">
            <v>0</v>
          </cell>
          <cell r="R344">
            <v>0</v>
          </cell>
          <cell r="T344">
            <v>106290.86068533508</v>
          </cell>
          <cell r="U344">
            <v>51148.72970506188</v>
          </cell>
          <cell r="V344">
            <v>82310.695058866113</v>
          </cell>
          <cell r="X344">
            <v>63694.682710034976</v>
          </cell>
          <cell r="Z344">
            <v>86754.04179922519</v>
          </cell>
          <cell r="AA344">
            <v>364.25868238730322</v>
          </cell>
          <cell r="AB344">
            <v>1204468.2851541671</v>
          </cell>
          <cell r="AC344">
            <v>86389.783116837891</v>
          </cell>
          <cell r="AD344">
            <v>1117714.243354942</v>
          </cell>
        </row>
        <row r="345">
          <cell r="A345" t="str">
            <v>CGI015-qtz11-CL-fit-5-offset</v>
          </cell>
          <cell r="B345">
            <v>750</v>
          </cell>
          <cell r="C345">
            <v>6.6965312637759184E-25</v>
          </cell>
          <cell r="D345">
            <v>1700</v>
          </cell>
          <cell r="E345">
            <v>1024</v>
          </cell>
          <cell r="F345">
            <v>1.66015625</v>
          </cell>
          <cell r="H345">
            <v>1231.6038278779686</v>
          </cell>
          <cell r="I345">
            <v>45814.220624954578</v>
          </cell>
          <cell r="J345">
            <v>1180.3704011513607</v>
          </cell>
          <cell r="K345">
            <v>8540.8114351722979</v>
          </cell>
          <cell r="L345">
            <v>124077.68745389779</v>
          </cell>
          <cell r="M345">
            <v>15163.235738320122</v>
          </cell>
          <cell r="N345">
            <v>266057.51217231771</v>
          </cell>
          <cell r="O345">
            <v>136639.75705681741</v>
          </cell>
          <cell r="P345">
            <v>119930.75243379423</v>
          </cell>
          <cell r="Q345">
            <v>65888.797534860612</v>
          </cell>
          <cell r="R345">
            <v>25627.429110256991</v>
          </cell>
          <cell r="T345">
            <v>45393.799230071621</v>
          </cell>
          <cell r="U345">
            <v>51646.088532331181</v>
          </cell>
          <cell r="V345">
            <v>45814.220624954578</v>
          </cell>
          <cell r="X345">
            <v>39679.737695264535</v>
          </cell>
          <cell r="Z345">
            <v>67023.822087992885</v>
          </cell>
          <cell r="AA345">
            <v>974.30759783876238</v>
          </cell>
          <cell r="AB345">
            <v>235453.03150776075</v>
          </cell>
          <cell r="AC345">
            <v>66049.514490154121</v>
          </cell>
          <cell r="AD345">
            <v>168429.20941976787</v>
          </cell>
        </row>
        <row r="346">
          <cell r="A346" t="str">
            <v>CGI015-qtz11-CL-fit-6-offset</v>
          </cell>
          <cell r="B346">
            <v>750</v>
          </cell>
          <cell r="C346">
            <v>6.6965312637759184E-25</v>
          </cell>
          <cell r="D346">
            <v>1700</v>
          </cell>
          <cell r="E346">
            <v>1024</v>
          </cell>
          <cell r="F346">
            <v>1.66015625</v>
          </cell>
          <cell r="H346">
            <v>685347.31364514038</v>
          </cell>
          <cell r="I346">
            <v>7485.665509221616</v>
          </cell>
          <cell r="J346">
            <v>223440.40104517495</v>
          </cell>
          <cell r="K346">
            <v>23964.027811830023</v>
          </cell>
          <cell r="L346">
            <v>7622.2128086932507</v>
          </cell>
          <cell r="M346">
            <v>7026.7201497517117</v>
          </cell>
          <cell r="N346">
            <v>134421.50198352133</v>
          </cell>
          <cell r="O346">
            <v>129656.96452746229</v>
          </cell>
          <cell r="P346">
            <v>78094.824017804</v>
          </cell>
          <cell r="Q346">
            <v>289523.51859789522</v>
          </cell>
          <cell r="R346">
            <v>237459.21870222964</v>
          </cell>
          <cell r="T346">
            <v>36161.868433629876</v>
          </cell>
          <cell r="U346">
            <v>115881.22175671556</v>
          </cell>
          <cell r="V346">
            <v>129656.96452746229</v>
          </cell>
          <cell r="X346">
            <v>115274.59848643233</v>
          </cell>
          <cell r="Z346">
            <v>163167.66434096813</v>
          </cell>
          <cell r="AA346">
            <v>193.01199876876859</v>
          </cell>
          <cell r="AB346">
            <v>1197096.7354141378</v>
          </cell>
          <cell r="AC346">
            <v>162974.65234219935</v>
          </cell>
          <cell r="AD346">
            <v>1033929.0710731697</v>
          </cell>
        </row>
        <row r="347">
          <cell r="A347" t="str">
            <v>CGI015-qtz11-CL-fit-7-offset</v>
          </cell>
          <cell r="B347">
            <v>750</v>
          </cell>
          <cell r="C347">
            <v>6.6965312637759184E-25</v>
          </cell>
          <cell r="D347">
            <v>1700</v>
          </cell>
          <cell r="E347">
            <v>1024</v>
          </cell>
          <cell r="F347">
            <v>1.66015625</v>
          </cell>
          <cell r="H347">
            <v>34419.795558626807</v>
          </cell>
          <cell r="I347">
            <v>24013.367391193933</v>
          </cell>
          <cell r="J347">
            <v>40131.467278330878</v>
          </cell>
          <cell r="K347">
            <v>23852.705500067452</v>
          </cell>
          <cell r="L347">
            <v>13211.307635497869</v>
          </cell>
          <cell r="M347">
            <v>9578.2707543844099</v>
          </cell>
          <cell r="N347">
            <v>18630.406323586198</v>
          </cell>
          <cell r="O347">
            <v>37518.341582630652</v>
          </cell>
          <cell r="P347">
            <v>6196.1151474054705</v>
          </cell>
          <cell r="Q347">
            <v>22745.43622631369</v>
          </cell>
          <cell r="R347">
            <v>16256.738822212617</v>
          </cell>
          <cell r="T347">
            <v>22866.395460220938</v>
          </cell>
          <cell r="U347">
            <v>21032.69602688574</v>
          </cell>
          <cell r="V347">
            <v>22745.43622631369</v>
          </cell>
          <cell r="X347">
            <v>20607.770338674007</v>
          </cell>
          <cell r="Z347">
            <v>22953.76075592636</v>
          </cell>
          <cell r="AA347">
            <v>233.59515423256266</v>
          </cell>
          <cell r="AB347">
            <v>124121.61583502816</v>
          </cell>
          <cell r="AC347">
            <v>22720.165601693796</v>
          </cell>
          <cell r="AD347">
            <v>101167.85507910181</v>
          </cell>
        </row>
        <row r="348">
          <cell r="A348" t="str">
            <v>CGI015-qtz12-CL-fit-1-offset</v>
          </cell>
          <cell r="B348">
            <v>750</v>
          </cell>
          <cell r="C348">
            <v>6.6965312637759184E-25</v>
          </cell>
          <cell r="D348">
            <v>2300</v>
          </cell>
          <cell r="E348">
            <v>1024</v>
          </cell>
          <cell r="F348">
            <v>2.24609375</v>
          </cell>
          <cell r="H348">
            <v>1672939.2640803726</v>
          </cell>
          <cell r="I348">
            <v>2647072.7493061698</v>
          </cell>
          <cell r="J348">
            <v>1463722.202119278</v>
          </cell>
          <cell r="K348">
            <v>2240095.7980816611</v>
          </cell>
          <cell r="L348">
            <v>2481304.8348459462</v>
          </cell>
          <cell r="M348">
            <v>1588204.8085601004</v>
          </cell>
          <cell r="N348">
            <v>2665210.2664590273</v>
          </cell>
          <cell r="O348">
            <v>1689658.3028744478</v>
          </cell>
          <cell r="P348">
            <v>1714124.9045065807</v>
          </cell>
          <cell r="Q348">
            <v>2358052.8390949951</v>
          </cell>
          <cell r="R348">
            <v>2402183.6099440763</v>
          </cell>
          <cell r="T348">
            <v>2038458.194309016</v>
          </cell>
          <cell r="U348">
            <v>2060413.285212036</v>
          </cell>
          <cell r="V348">
            <v>2240095.7980816611</v>
          </cell>
          <cell r="X348">
            <v>2044979.7297039062</v>
          </cell>
          <cell r="Z348">
            <v>2051112.469366105</v>
          </cell>
          <cell r="AA348">
            <v>1217675.228766697</v>
          </cell>
          <cell r="AB348">
            <v>3076857.9649574724</v>
          </cell>
          <cell r="AC348">
            <v>833437.24059940805</v>
          </cell>
          <cell r="AD348">
            <v>1025745.4955913674</v>
          </cell>
        </row>
        <row r="349">
          <cell r="A349" t="str">
            <v>CGI015-qtz12-CL-fit-2-offset</v>
          </cell>
          <cell r="B349">
            <v>750</v>
          </cell>
          <cell r="C349">
            <v>6.6965312637759184E-25</v>
          </cell>
          <cell r="D349">
            <v>2300</v>
          </cell>
          <cell r="E349">
            <v>1024</v>
          </cell>
          <cell r="F349">
            <v>2.24609375</v>
          </cell>
          <cell r="H349">
            <v>986758.35530092102</v>
          </cell>
          <cell r="I349">
            <v>307116.2937422957</v>
          </cell>
          <cell r="J349">
            <v>1739.6017779268059</v>
          </cell>
          <cell r="K349">
            <v>3136.6483662774654</v>
          </cell>
          <cell r="L349">
            <v>26911.020127912157</v>
          </cell>
          <cell r="M349">
            <v>214523.2481505796</v>
          </cell>
          <cell r="N349">
            <v>1799295.2769486022</v>
          </cell>
          <cell r="O349">
            <v>14183.603542665245</v>
          </cell>
          <cell r="P349">
            <v>1222007.6208821009</v>
          </cell>
          <cell r="Q349">
            <v>11706.840320435611</v>
          </cell>
          <cell r="R349">
            <v>1460740.9772637989</v>
          </cell>
          <cell r="T349">
            <v>481954.97698719252</v>
          </cell>
          <cell r="U349">
            <v>313110.59174315771</v>
          </cell>
          <cell r="V349">
            <v>214523.2481505796</v>
          </cell>
          <cell r="X349">
            <v>348773.21697322972</v>
          </cell>
          <cell r="Z349">
            <v>447787.81280134461</v>
          </cell>
          <cell r="AA349">
            <v>252.76135913677606</v>
          </cell>
          <cell r="AB349">
            <v>2994404.6392900068</v>
          </cell>
          <cell r="AC349">
            <v>447535.05144220783</v>
          </cell>
          <cell r="AD349">
            <v>2546616.826488662</v>
          </cell>
        </row>
        <row r="350">
          <cell r="A350" t="str">
            <v>CGI015-qtz12-CL-fit-3-offset</v>
          </cell>
          <cell r="B350">
            <v>750</v>
          </cell>
          <cell r="C350">
            <v>6.6965312637759184E-25</v>
          </cell>
          <cell r="D350">
            <v>2300</v>
          </cell>
          <cell r="E350">
            <v>1024</v>
          </cell>
          <cell r="F350">
            <v>2.24609375</v>
          </cell>
          <cell r="H350">
            <v>1216151.7402511956</v>
          </cell>
          <cell r="I350">
            <v>88973.905651146328</v>
          </cell>
          <cell r="J350">
            <v>240122.97927572922</v>
          </cell>
          <cell r="K350">
            <v>321946.06333015743</v>
          </cell>
          <cell r="L350">
            <v>615820.97374803922</v>
          </cell>
          <cell r="M350">
            <v>372654.51882922405</v>
          </cell>
          <cell r="N350">
            <v>887377.98382068775</v>
          </cell>
          <cell r="O350">
            <v>765984.15591634007</v>
          </cell>
          <cell r="P350">
            <v>729118.93038124754</v>
          </cell>
          <cell r="Q350">
            <v>358559.76264505228</v>
          </cell>
          <cell r="R350">
            <v>816182.13847771904</v>
          </cell>
          <cell r="T350">
            <v>553169.13239261915</v>
          </cell>
          <cell r="U350">
            <v>532505.18358841422</v>
          </cell>
          <cell r="V350">
            <v>615820.97374803922</v>
          </cell>
          <cell r="X350">
            <v>552932.54430560023</v>
          </cell>
          <cell r="Z350">
            <v>538063.74310469278</v>
          </cell>
          <cell r="AA350">
            <v>138545.05712495479</v>
          </cell>
          <cell r="AB350">
            <v>1227588.6285299174</v>
          </cell>
          <cell r="AC350">
            <v>399518.68597973802</v>
          </cell>
          <cell r="AD350">
            <v>689524.88542522467</v>
          </cell>
        </row>
        <row r="351">
          <cell r="A351" t="str">
            <v>CGI015-qtz12-CL-fit-4-offset</v>
          </cell>
          <cell r="B351">
            <v>750</v>
          </cell>
          <cell r="C351">
            <v>6.6965312637759184E-25</v>
          </cell>
          <cell r="D351">
            <v>2300</v>
          </cell>
          <cell r="E351">
            <v>1024</v>
          </cell>
          <cell r="F351">
            <v>2.24609375</v>
          </cell>
          <cell r="H351">
            <v>85548.300616294844</v>
          </cell>
          <cell r="I351">
            <v>82110.023805033707</v>
          </cell>
          <cell r="J351">
            <v>76551.113089817853</v>
          </cell>
          <cell r="K351">
            <v>82278.389314410393</v>
          </cell>
          <cell r="L351">
            <v>66064.623314912766</v>
          </cell>
          <cell r="M351">
            <v>95754.497896841713</v>
          </cell>
          <cell r="N351">
            <v>66608.209813755137</v>
          </cell>
          <cell r="O351">
            <v>86697.071836816467</v>
          </cell>
          <cell r="P351">
            <v>77158.386642315527</v>
          </cell>
          <cell r="Q351">
            <v>108982.66564408274</v>
          </cell>
          <cell r="R351">
            <v>76313.503257904187</v>
          </cell>
          <cell r="T351">
            <v>87470.906256711241</v>
          </cell>
          <cell r="U351">
            <v>81780.705080867629</v>
          </cell>
          <cell r="V351">
            <v>82110.023805033707</v>
          </cell>
          <cell r="X351">
            <v>72899.03288057624</v>
          </cell>
          <cell r="Z351">
            <v>67976.066104003577</v>
          </cell>
          <cell r="AA351">
            <v>3320.1091998954098</v>
          </cell>
          <cell r="AB351">
            <v>175707.69312274319</v>
          </cell>
          <cell r="AC351">
            <v>64655.95690410817</v>
          </cell>
          <cell r="AD351">
            <v>107731.62701873961</v>
          </cell>
        </row>
        <row r="352">
          <cell r="A352" t="str">
            <v>CGI015-qtz12-CL-fit-5-offset</v>
          </cell>
          <cell r="B352">
            <v>750</v>
          </cell>
          <cell r="C352">
            <v>6.6965312637759184E-25</v>
          </cell>
          <cell r="D352">
            <v>2300</v>
          </cell>
          <cell r="E352">
            <v>1024</v>
          </cell>
          <cell r="F352">
            <v>2.24609375</v>
          </cell>
          <cell r="H352">
            <v>152767.54991829928</v>
          </cell>
          <cell r="I352">
            <v>126386.20938947318</v>
          </cell>
          <cell r="J352">
            <v>122509.05859379054</v>
          </cell>
          <cell r="K352">
            <v>158166.71071507069</v>
          </cell>
          <cell r="L352">
            <v>225926.08234727936</v>
          </cell>
          <cell r="M352">
            <v>297861.43522266787</v>
          </cell>
          <cell r="N352">
            <v>170035.82077695409</v>
          </cell>
          <cell r="O352">
            <v>26000.800422580713</v>
          </cell>
          <cell r="P352">
            <v>111270.32604465145</v>
          </cell>
          <cell r="Q352">
            <v>198478.72649807783</v>
          </cell>
          <cell r="R352">
            <v>220369.86312075445</v>
          </cell>
          <cell r="T352">
            <v>182294.45679818685</v>
          </cell>
          <cell r="U352">
            <v>155471.09674412539</v>
          </cell>
          <cell r="V352">
            <v>158166.71071507069</v>
          </cell>
          <cell r="X352">
            <v>160086.08475589231</v>
          </cell>
          <cell r="Z352">
            <v>163307.30123439111</v>
          </cell>
          <cell r="AA352">
            <v>4219.9771879968994</v>
          </cell>
          <cell r="AB352">
            <v>470878.03999449225</v>
          </cell>
          <cell r="AC352">
            <v>159087.32404639421</v>
          </cell>
          <cell r="AD352">
            <v>307570.73876010114</v>
          </cell>
        </row>
        <row r="353">
          <cell r="A353" t="str">
            <v>CGI018-qtz01-CL-fit-1-offset</v>
          </cell>
          <cell r="B353">
            <v>750</v>
          </cell>
          <cell r="C353">
            <v>6.6965312637759184E-25</v>
          </cell>
          <cell r="D353">
            <v>1700</v>
          </cell>
          <cell r="E353">
            <v>1024</v>
          </cell>
          <cell r="F353">
            <v>1.66015625</v>
          </cell>
          <cell r="H353">
            <v>3472425.3389301104</v>
          </cell>
          <cell r="I353">
            <v>4444883.7027403628</v>
          </cell>
          <cell r="J353">
            <v>3994130.812479245</v>
          </cell>
          <cell r="K353">
            <v>3021273.0871859477</v>
          </cell>
          <cell r="L353">
            <v>4225517.097126592</v>
          </cell>
          <cell r="M353">
            <v>2696936.8673316208</v>
          </cell>
          <cell r="N353">
            <v>4204933.4040395711</v>
          </cell>
          <cell r="O353">
            <v>2875110.2603721335</v>
          </cell>
          <cell r="P353">
            <v>2825224.6529582599</v>
          </cell>
          <cell r="Q353">
            <v>2496760.9420859995</v>
          </cell>
          <cell r="R353">
            <v>4016057.1865294939</v>
          </cell>
          <cell r="T353">
            <v>3435688.3218234139</v>
          </cell>
          <cell r="U353">
            <v>3445229.3353509414</v>
          </cell>
          <cell r="V353">
            <v>3472425.3389301104</v>
          </cell>
          <cell r="X353">
            <v>3357644.1893261774</v>
          </cell>
          <cell r="Z353">
            <v>3449562.995834426</v>
          </cell>
          <cell r="AA353">
            <v>2169047.3710070299</v>
          </cell>
          <cell r="AB353">
            <v>5305446.8579422263</v>
          </cell>
          <cell r="AC353">
            <v>1280515.6248273961</v>
          </cell>
          <cell r="AD353">
            <v>1855883.8621078003</v>
          </cell>
        </row>
        <row r="354">
          <cell r="A354" t="str">
            <v>CGI018-qtz01-CL-fit-2-offset</v>
          </cell>
          <cell r="B354">
            <v>750</v>
          </cell>
          <cell r="C354">
            <v>6.6965312637759184E-25</v>
          </cell>
          <cell r="D354">
            <v>1700</v>
          </cell>
          <cell r="E354">
            <v>1024</v>
          </cell>
          <cell r="F354">
            <v>1.66015625</v>
          </cell>
          <cell r="H354">
            <v>930145.08195515396</v>
          </cell>
          <cell r="I354">
            <v>794796.05975707259</v>
          </cell>
          <cell r="J354">
            <v>1358079.5689192731</v>
          </cell>
          <cell r="K354">
            <v>931766.46033301181</v>
          </cell>
          <cell r="L354">
            <v>1123490.7175904808</v>
          </cell>
          <cell r="M354">
            <v>1842830.029768938</v>
          </cell>
          <cell r="N354">
            <v>1636357.1080764215</v>
          </cell>
          <cell r="O354">
            <v>996545.81406683673</v>
          </cell>
          <cell r="P354">
            <v>718014.14401445794</v>
          </cell>
          <cell r="Q354">
            <v>1496073.7243579491</v>
          </cell>
          <cell r="R354">
            <v>665384.9034404509</v>
          </cell>
          <cell r="T354">
            <v>1090741.405259561</v>
          </cell>
          <cell r="U354">
            <v>1105889.4430217042</v>
          </cell>
          <cell r="V354">
            <v>996545.81406683673</v>
          </cell>
          <cell r="X354">
            <v>1092745.1632754887</v>
          </cell>
          <cell r="Z354">
            <v>1088466.9435471282</v>
          </cell>
          <cell r="AA354">
            <v>604229.27898734447</v>
          </cell>
          <cell r="AB354">
            <v>1698541.6018464686</v>
          </cell>
          <cell r="AC354">
            <v>484237.66455978376</v>
          </cell>
          <cell r="AD354">
            <v>610074.6582993404</v>
          </cell>
        </row>
        <row r="355">
          <cell r="A355" t="str">
            <v>CGI018-qtz01-CL-fit-3-offset</v>
          </cell>
          <cell r="B355">
            <v>750</v>
          </cell>
          <cell r="C355">
            <v>6.6965312637759184E-25</v>
          </cell>
          <cell r="D355">
            <v>1700</v>
          </cell>
          <cell r="E355">
            <v>1024</v>
          </cell>
          <cell r="F355">
            <v>1.66015625</v>
          </cell>
          <cell r="H355">
            <v>586034.15418507776</v>
          </cell>
          <cell r="I355">
            <v>597360.30747198826</v>
          </cell>
          <cell r="J355">
            <v>426018.99117029778</v>
          </cell>
          <cell r="K355">
            <v>714467.52880235924</v>
          </cell>
          <cell r="L355">
            <v>394053.25167341344</v>
          </cell>
          <cell r="M355">
            <v>564920.93037257646</v>
          </cell>
          <cell r="N355">
            <v>650157.35656575672</v>
          </cell>
          <cell r="O355">
            <v>912892.46317258663</v>
          </cell>
          <cell r="P355">
            <v>628245.58737093071</v>
          </cell>
          <cell r="Q355">
            <v>411827.1158787366</v>
          </cell>
          <cell r="R355">
            <v>536445.68546133407</v>
          </cell>
          <cell r="T355">
            <v>573954.44398869423</v>
          </cell>
          <cell r="U355">
            <v>575431.26736971061</v>
          </cell>
          <cell r="V355">
            <v>586034.15418507776</v>
          </cell>
          <cell r="X355">
            <v>575012.04260390229</v>
          </cell>
          <cell r="Z355">
            <v>569649.1079880828</v>
          </cell>
          <cell r="AA355">
            <v>296260.14693961729</v>
          </cell>
          <cell r="AB355">
            <v>871523.11472305376</v>
          </cell>
          <cell r="AC355">
            <v>273388.96104846551</v>
          </cell>
          <cell r="AD355">
            <v>301874.00673497096</v>
          </cell>
        </row>
        <row r="356">
          <cell r="A356" t="str">
            <v>CGI018-qtz01-CL-fit-4-offset</v>
          </cell>
          <cell r="B356">
            <v>750</v>
          </cell>
          <cell r="C356">
            <v>6.6965312637759184E-25</v>
          </cell>
          <cell r="D356">
            <v>1700</v>
          </cell>
          <cell r="E356">
            <v>1024</v>
          </cell>
          <cell r="F356">
            <v>1.66015625</v>
          </cell>
          <cell r="H356">
            <v>260909.41840860285</v>
          </cell>
          <cell r="I356">
            <v>231225.10969621703</v>
          </cell>
          <cell r="J356">
            <v>290910.28920130699</v>
          </cell>
          <cell r="K356">
            <v>182983.47759442031</v>
          </cell>
          <cell r="L356">
            <v>299342.88332772598</v>
          </cell>
          <cell r="M356">
            <v>200168.18415262544</v>
          </cell>
          <cell r="N356">
            <v>188474.79817392436</v>
          </cell>
          <cell r="O356">
            <v>269849.2055574219</v>
          </cell>
          <cell r="P356">
            <v>561584.96257820842</v>
          </cell>
          <cell r="Q356">
            <v>415284.99630404601</v>
          </cell>
          <cell r="R356">
            <v>529265.16900727095</v>
          </cell>
          <cell r="T356">
            <v>308578.92691056989</v>
          </cell>
          <cell r="U356">
            <v>300327.03726230556</v>
          </cell>
          <cell r="V356">
            <v>269849.2055574219</v>
          </cell>
          <cell r="X356">
            <v>306422.72153965972</v>
          </cell>
          <cell r="Z356">
            <v>319210.49244939809</v>
          </cell>
          <cell r="AA356">
            <v>116683.3967093176</v>
          </cell>
          <cell r="AB356">
            <v>701550.64989951148</v>
          </cell>
          <cell r="AC356">
            <v>202527.09574008049</v>
          </cell>
          <cell r="AD356">
            <v>382340.15745011339</v>
          </cell>
        </row>
        <row r="357">
          <cell r="A357" t="str">
            <v>CGI018-qtz01-CL-fit-5-offset</v>
          </cell>
          <cell r="B357">
            <v>750</v>
          </cell>
          <cell r="C357">
            <v>6.6965312637759184E-25</v>
          </cell>
          <cell r="D357">
            <v>1700</v>
          </cell>
          <cell r="E357">
            <v>1024</v>
          </cell>
          <cell r="F357">
            <v>1.66015625</v>
          </cell>
          <cell r="H357">
            <v>240047.39302149208</v>
          </cell>
          <cell r="I357">
            <v>124537.89592181392</v>
          </cell>
          <cell r="J357">
            <v>135354.3270612217</v>
          </cell>
          <cell r="K357">
            <v>123174.6904615149</v>
          </cell>
          <cell r="L357">
            <v>139108.24237510227</v>
          </cell>
          <cell r="M357">
            <v>198237.9285355584</v>
          </cell>
          <cell r="N357">
            <v>191635.37814732007</v>
          </cell>
          <cell r="O357">
            <v>99846.460120061965</v>
          </cell>
          <cell r="P357">
            <v>192059.06736561266</v>
          </cell>
          <cell r="Q357">
            <v>137160.93733257215</v>
          </cell>
          <cell r="R357">
            <v>290912.32009276864</v>
          </cell>
          <cell r="T357">
            <v>168295.04156248126</v>
          </cell>
          <cell r="U357">
            <v>165991.96380022907</v>
          </cell>
          <cell r="V357">
            <v>139108.24237510227</v>
          </cell>
          <cell r="X357">
            <v>156969.64949154947</v>
          </cell>
          <cell r="Z357">
            <v>155824.16305194111</v>
          </cell>
          <cell r="AA357">
            <v>69294.160978955479</v>
          </cell>
          <cell r="AB357">
            <v>307314.16362723947</v>
          </cell>
          <cell r="AC357">
            <v>86530.002072985633</v>
          </cell>
          <cell r="AD357">
            <v>151490.00057529836</v>
          </cell>
        </row>
        <row r="358">
          <cell r="A358" t="str">
            <v>CGI018-qtz02-CL-fit-1-offset</v>
          </cell>
          <cell r="B358">
            <v>750</v>
          </cell>
          <cell r="C358">
            <v>6.6965312637759184E-25</v>
          </cell>
          <cell r="D358">
            <v>1750</v>
          </cell>
          <cell r="E358">
            <v>1024</v>
          </cell>
          <cell r="F358">
            <v>1.708984375</v>
          </cell>
          <cell r="H358">
            <v>1100068.7489027402</v>
          </cell>
          <cell r="I358">
            <v>1897149.8977841421</v>
          </cell>
          <cell r="J358">
            <v>1779869.8933032732</v>
          </cell>
          <cell r="K358">
            <v>1321558.1793733272</v>
          </cell>
          <cell r="L358">
            <v>1876090.183990346</v>
          </cell>
          <cell r="M358">
            <v>781423.97518682841</v>
          </cell>
          <cell r="N358">
            <v>1248117.7450581151</v>
          </cell>
          <cell r="O358">
            <v>1900048.5033766078</v>
          </cell>
          <cell r="P358">
            <v>1166147.1035296246</v>
          </cell>
          <cell r="Q358">
            <v>1294000.7551779919</v>
          </cell>
          <cell r="R358">
            <v>3853596.446921254</v>
          </cell>
          <cell r="T358">
            <v>1487421.2101777743</v>
          </cell>
          <cell r="U358">
            <v>1582953.6405529543</v>
          </cell>
          <cell r="V358">
            <v>1321558.1793733272</v>
          </cell>
          <cell r="X358">
            <v>1448962.9737525498</v>
          </cell>
          <cell r="Z358">
            <v>1486765.1424010796</v>
          </cell>
          <cell r="AA358">
            <v>534796.2572960105</v>
          </cell>
          <cell r="AB358">
            <v>3407012.5591124566</v>
          </cell>
          <cell r="AC358">
            <v>951968.88510506914</v>
          </cell>
          <cell r="AD358">
            <v>1920247.416711377</v>
          </cell>
        </row>
        <row r="359">
          <cell r="A359" t="str">
            <v>CGI018-qtz02-CL-fit-2-offset</v>
          </cell>
          <cell r="B359">
            <v>750</v>
          </cell>
          <cell r="C359">
            <v>6.6965312637759184E-25</v>
          </cell>
          <cell r="D359">
            <v>1750</v>
          </cell>
          <cell r="E359">
            <v>1024</v>
          </cell>
          <cell r="F359">
            <v>1.708984375</v>
          </cell>
          <cell r="H359">
            <v>2091983.9537441961</v>
          </cell>
          <cell r="I359">
            <v>1674363.0616637415</v>
          </cell>
          <cell r="J359">
            <v>2251377.6326881722</v>
          </cell>
          <cell r="K359">
            <v>1448949.1745575008</v>
          </cell>
          <cell r="L359">
            <v>1603010.27874638</v>
          </cell>
          <cell r="M359">
            <v>1045740.0345969842</v>
          </cell>
          <cell r="N359">
            <v>854703.93443082517</v>
          </cell>
          <cell r="O359">
            <v>1029591.6498290724</v>
          </cell>
          <cell r="P359">
            <v>942003.98843568226</v>
          </cell>
          <cell r="Q359">
            <v>1238527.3434731837</v>
          </cell>
          <cell r="R359">
            <v>1408604.2263334219</v>
          </cell>
          <cell r="T359">
            <v>1277718.1764460776</v>
          </cell>
          <cell r="U359">
            <v>1384416.3527785076</v>
          </cell>
          <cell r="V359">
            <v>1408604.2263334219</v>
          </cell>
          <cell r="X359">
            <v>1265843.6159310134</v>
          </cell>
          <cell r="Z359">
            <v>1338720.8616145796</v>
          </cell>
          <cell r="AA359">
            <v>757740.9390222145</v>
          </cell>
          <cell r="AB359">
            <v>2601624.6955893319</v>
          </cell>
          <cell r="AC359">
            <v>580979.92259236507</v>
          </cell>
          <cell r="AD359">
            <v>1262903.8339747523</v>
          </cell>
        </row>
        <row r="360">
          <cell r="A360" t="str">
            <v>CGI018-qtz02-CL-fit-3-offset</v>
          </cell>
          <cell r="B360">
            <v>750</v>
          </cell>
          <cell r="C360">
            <v>6.6965312637759184E-25</v>
          </cell>
          <cell r="D360">
            <v>1750</v>
          </cell>
          <cell r="E360">
            <v>1024</v>
          </cell>
          <cell r="F360">
            <v>1.708984375</v>
          </cell>
          <cell r="H360">
            <v>333005.36304941279</v>
          </cell>
          <cell r="I360">
            <v>604076.27830419398</v>
          </cell>
          <cell r="J360">
            <v>408911.77759357984</v>
          </cell>
          <cell r="K360">
            <v>594174.51239102473</v>
          </cell>
          <cell r="L360">
            <v>289085.72647906782</v>
          </cell>
          <cell r="M360">
            <v>601474.55992589286</v>
          </cell>
          <cell r="N360">
            <v>374480.83622205822</v>
          </cell>
          <cell r="O360">
            <v>538692.30918315868</v>
          </cell>
          <cell r="P360">
            <v>531028.07799594174</v>
          </cell>
          <cell r="Q360">
            <v>611576.95022991206</v>
          </cell>
          <cell r="R360">
            <v>438879.05866394303</v>
          </cell>
          <cell r="T360">
            <v>479854.33971836563</v>
          </cell>
          <cell r="U360">
            <v>476969.64405285229</v>
          </cell>
          <cell r="V360">
            <v>531028.07799594174</v>
          </cell>
          <cell r="X360">
            <v>478070.45554598997</v>
          </cell>
          <cell r="Z360">
            <v>466583.1029216242</v>
          </cell>
          <cell r="AA360">
            <v>236409.76217397166</v>
          </cell>
          <cell r="AB360">
            <v>773193.07067930384</v>
          </cell>
          <cell r="AC360">
            <v>230173.34074765255</v>
          </cell>
          <cell r="AD360">
            <v>306609.96775767964</v>
          </cell>
        </row>
        <row r="361">
          <cell r="A361" t="str">
            <v>CGI018-qtz02-CL-fit-4-offset</v>
          </cell>
          <cell r="B361">
            <v>750</v>
          </cell>
          <cell r="C361">
            <v>6.6965312637759184E-25</v>
          </cell>
          <cell r="D361">
            <v>1750</v>
          </cell>
          <cell r="E361">
            <v>1024</v>
          </cell>
          <cell r="F361">
            <v>1.708984375</v>
          </cell>
          <cell r="H361">
            <v>162319.88614603016</v>
          </cell>
          <cell r="I361">
            <v>331656.24514686392</v>
          </cell>
          <cell r="J361">
            <v>200207.79002997646</v>
          </cell>
          <cell r="K361">
            <v>241400.23302919307</v>
          </cell>
          <cell r="L361">
            <v>185892.10463242183</v>
          </cell>
          <cell r="M361">
            <v>205366.73378401608</v>
          </cell>
          <cell r="N361">
            <v>302816.38581202581</v>
          </cell>
          <cell r="O361">
            <v>240408.82798867291</v>
          </cell>
          <cell r="P361">
            <v>471627.7743394578</v>
          </cell>
          <cell r="Q361">
            <v>228581.53125429634</v>
          </cell>
          <cell r="R361">
            <v>392875.36537124956</v>
          </cell>
          <cell r="T361">
            <v>263211.3371403449</v>
          </cell>
          <cell r="U361">
            <v>262342.91001642524</v>
          </cell>
          <cell r="V361">
            <v>240408.82798867291</v>
          </cell>
          <cell r="X361">
            <v>253712.74193690281</v>
          </cell>
          <cell r="Z361">
            <v>258318.149700393</v>
          </cell>
          <cell r="AA361">
            <v>99422.922042658902</v>
          </cell>
          <cell r="AB361">
            <v>484449.82230272895</v>
          </cell>
          <cell r="AC361">
            <v>158895.2276577341</v>
          </cell>
          <cell r="AD361">
            <v>226131.67260233595</v>
          </cell>
        </row>
        <row r="362">
          <cell r="A362" t="str">
            <v>CGI018-qtz02-CL-fit-5-offset</v>
          </cell>
          <cell r="B362">
            <v>750</v>
          </cell>
          <cell r="C362">
            <v>6.6965312637759184E-25</v>
          </cell>
          <cell r="D362">
            <v>1750</v>
          </cell>
          <cell r="E362">
            <v>1024</v>
          </cell>
          <cell r="F362">
            <v>1.708984375</v>
          </cell>
          <cell r="H362">
            <v>47232.230184538646</v>
          </cell>
          <cell r="I362">
            <v>41744.73476907055</v>
          </cell>
          <cell r="J362">
            <v>50992.863796843056</v>
          </cell>
          <cell r="K362">
            <v>45423.921356737083</v>
          </cell>
          <cell r="L362">
            <v>61512.714252636622</v>
          </cell>
          <cell r="M362">
            <v>94709.876809057969</v>
          </cell>
          <cell r="N362">
            <v>73684.119129302664</v>
          </cell>
          <cell r="O362">
            <v>64192.320240872083</v>
          </cell>
          <cell r="P362">
            <v>36352.986924611971</v>
          </cell>
          <cell r="Q362">
            <v>54445.986830643364</v>
          </cell>
          <cell r="R362">
            <v>43518.677322297364</v>
          </cell>
          <cell r="T362">
            <v>63768.66096144398</v>
          </cell>
          <cell r="U362">
            <v>54746.638816278471</v>
          </cell>
          <cell r="V362">
            <v>50992.863796843056</v>
          </cell>
          <cell r="X362">
            <v>47656.621747887606</v>
          </cell>
          <cell r="Z362">
            <v>49733.888218431843</v>
          </cell>
          <cell r="AA362">
            <v>4921.0762292420532</v>
          </cell>
          <cell r="AB362">
            <v>154978.71853483756</v>
          </cell>
          <cell r="AC362">
            <v>44812.811989189788</v>
          </cell>
          <cell r="AD362">
            <v>105244.83031640571</v>
          </cell>
        </row>
        <row r="363">
          <cell r="A363" t="str">
            <v>CGI018-qtz03-CL-fit-1-offset</v>
          </cell>
          <cell r="B363">
            <v>750</v>
          </cell>
          <cell r="C363">
            <v>6.6965312637759184E-25</v>
          </cell>
          <cell r="D363">
            <v>2100</v>
          </cell>
          <cell r="E363">
            <v>1024</v>
          </cell>
          <cell r="F363">
            <v>2.05078125</v>
          </cell>
          <cell r="H363">
            <v>380996.45978314808</v>
          </cell>
          <cell r="I363">
            <v>308304.25322307128</v>
          </cell>
          <cell r="J363">
            <v>318994.84395942325</v>
          </cell>
          <cell r="K363">
            <v>525561.48458681523</v>
          </cell>
          <cell r="L363">
            <v>733484.8955180773</v>
          </cell>
          <cell r="M363">
            <v>412152.92427961231</v>
          </cell>
          <cell r="N363">
            <v>399502.01972419326</v>
          </cell>
          <cell r="O363">
            <v>548155.07654373802</v>
          </cell>
          <cell r="P363">
            <v>486736.08221338689</v>
          </cell>
          <cell r="Q363">
            <v>452089.06161419844</v>
          </cell>
          <cell r="R363">
            <v>301933.78527670569</v>
          </cell>
          <cell r="T363">
            <v>439127.44398956816</v>
          </cell>
          <cell r="U363">
            <v>434717.71843418718</v>
          </cell>
          <cell r="V363">
            <v>412152.92427961231</v>
          </cell>
          <cell r="X363">
            <v>419433.79432582698</v>
          </cell>
          <cell r="Z363">
            <v>423637.11709285702</v>
          </cell>
          <cell r="AA363">
            <v>231016.35756809654</v>
          </cell>
          <cell r="AB363">
            <v>661173.80543974612</v>
          </cell>
          <cell r="AC363">
            <v>192620.75952476048</v>
          </cell>
          <cell r="AD363">
            <v>237536.6883468891</v>
          </cell>
        </row>
        <row r="364">
          <cell r="A364" t="str">
            <v>CGI018-qtz03-CL-fit-2-offset</v>
          </cell>
          <cell r="B364">
            <v>750</v>
          </cell>
          <cell r="C364">
            <v>6.6965312637759184E-25</v>
          </cell>
          <cell r="D364">
            <v>2100</v>
          </cell>
          <cell r="E364">
            <v>1024</v>
          </cell>
          <cell r="F364">
            <v>2.05078125</v>
          </cell>
          <cell r="H364">
            <v>62.774726360523452</v>
          </cell>
          <cell r="I364">
            <v>414997.51597710798</v>
          </cell>
          <cell r="J364">
            <v>59916.710695999478</v>
          </cell>
          <cell r="K364">
            <v>1452989.5386468214</v>
          </cell>
          <cell r="L364">
            <v>1550700.0869724241</v>
          </cell>
          <cell r="M364">
            <v>1730668.1697640968</v>
          </cell>
          <cell r="N364">
            <v>3891754.2944087754</v>
          </cell>
          <cell r="O364">
            <v>7217499.8908662237</v>
          </cell>
          <cell r="P364">
            <v>0</v>
          </cell>
          <cell r="Q364">
            <v>0</v>
          </cell>
          <cell r="R364">
            <v>6361815.2132152859</v>
          </cell>
          <cell r="T364">
            <v>2461146.65306701</v>
          </cell>
          <cell r="U364">
            <v>1732055.5149644716</v>
          </cell>
          <cell r="V364">
            <v>1550700.0869724241</v>
          </cell>
          <cell r="X364">
            <v>2375073.7170063751</v>
          </cell>
          <cell r="Z364">
            <v>2411971.571815263</v>
          </cell>
          <cell r="AA364">
            <v>21947.718006354902</v>
          </cell>
          <cell r="AB364">
            <v>9438669.3645058051</v>
          </cell>
          <cell r="AC364">
            <v>2390023.8538089083</v>
          </cell>
          <cell r="AD364">
            <v>7026697.7926905416</v>
          </cell>
        </row>
        <row r="365">
          <cell r="A365" t="str">
            <v>CGI018-qtz03-CL-fit-3-offset</v>
          </cell>
          <cell r="B365">
            <v>750</v>
          </cell>
          <cell r="C365">
            <v>6.6965312637759184E-25</v>
          </cell>
          <cell r="D365">
            <v>2100</v>
          </cell>
          <cell r="E365">
            <v>1024</v>
          </cell>
          <cell r="F365">
            <v>2.05078125</v>
          </cell>
          <cell r="H365">
            <v>547221.66108278558</v>
          </cell>
          <cell r="I365">
            <v>281281.76673204493</v>
          </cell>
          <cell r="J365">
            <v>606419.4649821592</v>
          </cell>
          <cell r="K365">
            <v>444947.04507998418</v>
          </cell>
          <cell r="L365">
            <v>365750.27499915921</v>
          </cell>
          <cell r="M365">
            <v>341691.65717568033</v>
          </cell>
          <cell r="N365">
            <v>278059.58959720744</v>
          </cell>
          <cell r="O365">
            <v>341608.06852484075</v>
          </cell>
          <cell r="P365">
            <v>260993.22220850497</v>
          </cell>
          <cell r="Q365">
            <v>449398.59020572418</v>
          </cell>
          <cell r="R365">
            <v>400411.14005934406</v>
          </cell>
          <cell r="T365">
            <v>388500.42897253606</v>
          </cell>
          <cell r="U365">
            <v>385641.85734501161</v>
          </cell>
          <cell r="V365">
            <v>365750.27499915921</v>
          </cell>
          <cell r="X365">
            <v>392366.14747775096</v>
          </cell>
          <cell r="Z365">
            <v>398226.19676863408</v>
          </cell>
          <cell r="AA365">
            <v>191302.62516707808</v>
          </cell>
          <cell r="AB365">
            <v>756931.51313308883</v>
          </cell>
          <cell r="AC365">
            <v>206923.571601556</v>
          </cell>
          <cell r="AD365">
            <v>358705.31636445475</v>
          </cell>
        </row>
        <row r="366">
          <cell r="A366" t="str">
            <v>CGI018-qtz03-CL-fit-4-offset</v>
          </cell>
          <cell r="B366">
            <v>750</v>
          </cell>
          <cell r="C366">
            <v>6.6965312637759184E-25</v>
          </cell>
          <cell r="D366">
            <v>2100</v>
          </cell>
          <cell r="E366">
            <v>1024</v>
          </cell>
          <cell r="F366">
            <v>2.05078125</v>
          </cell>
          <cell r="H366">
            <v>88754.634831695774</v>
          </cell>
          <cell r="I366">
            <v>146239.36445796484</v>
          </cell>
          <cell r="J366">
            <v>76556.298425406669</v>
          </cell>
          <cell r="K366">
            <v>146302.08134989292</v>
          </cell>
          <cell r="L366">
            <v>230405.29365558265</v>
          </cell>
          <cell r="M366">
            <v>230048.09646974539</v>
          </cell>
          <cell r="N366">
            <v>367560.76514002547</v>
          </cell>
          <cell r="O366">
            <v>430139.21152704669</v>
          </cell>
          <cell r="P366">
            <v>552486.94760580279</v>
          </cell>
          <cell r="Q366">
            <v>268623.90784613014</v>
          </cell>
          <cell r="R366">
            <v>434327.83541507396</v>
          </cell>
          <cell r="T366">
            <v>268801.14089550532</v>
          </cell>
          <cell r="U366">
            <v>248356.22490300194</v>
          </cell>
          <cell r="V366">
            <v>230405.29365558265</v>
          </cell>
          <cell r="X366">
            <v>276791.863818229</v>
          </cell>
          <cell r="Z366">
            <v>333221.24521238118</v>
          </cell>
          <cell r="AA366">
            <v>59407.641034697423</v>
          </cell>
          <cell r="AB366">
            <v>1232622.6193470603</v>
          </cell>
          <cell r="AC366">
            <v>273813.60417768377</v>
          </cell>
          <cell r="AD366">
            <v>899401.37413467909</v>
          </cell>
        </row>
        <row r="367">
          <cell r="A367" t="str">
            <v>CGI018-qtz04-CL-fit-1-offset</v>
          </cell>
          <cell r="B367">
            <v>750</v>
          </cell>
          <cell r="C367">
            <v>6.6965312637759184E-25</v>
          </cell>
          <cell r="D367">
            <v>1900</v>
          </cell>
          <cell r="E367">
            <v>1024</v>
          </cell>
          <cell r="F367">
            <v>1.85546875</v>
          </cell>
          <cell r="H367">
            <v>674406.36374367494</v>
          </cell>
          <cell r="I367">
            <v>587032.31052693073</v>
          </cell>
          <cell r="J367">
            <v>408433.69403621828</v>
          </cell>
          <cell r="K367">
            <v>238984.08205445984</v>
          </cell>
          <cell r="L367">
            <v>450086.95797019353</v>
          </cell>
          <cell r="M367">
            <v>308733.48042511329</v>
          </cell>
          <cell r="N367">
            <v>236480.8683334805</v>
          </cell>
          <cell r="O367">
            <v>905487.21549084794</v>
          </cell>
          <cell r="P367">
            <v>536564.32056887809</v>
          </cell>
          <cell r="Q367">
            <v>729872.34432632232</v>
          </cell>
          <cell r="R367">
            <v>308937.7608698993</v>
          </cell>
          <cell r="T367">
            <v>504104.21007435495</v>
          </cell>
          <cell r="U367">
            <v>467655.90342899144</v>
          </cell>
          <cell r="V367">
            <v>450086.95797019353</v>
          </cell>
          <cell r="X367">
            <v>485794.49894605979</v>
          </cell>
          <cell r="Z367">
            <v>484746.54173245351</v>
          </cell>
          <cell r="AA367">
            <v>76899.568958531003</v>
          </cell>
          <cell r="AB367">
            <v>1093998.0712381799</v>
          </cell>
          <cell r="AC367">
            <v>407846.97277392249</v>
          </cell>
          <cell r="AD367">
            <v>609251.52950572642</v>
          </cell>
        </row>
        <row r="368">
          <cell r="A368" t="str">
            <v>CGI018-qtz04-CL-fit-2-offset</v>
          </cell>
          <cell r="B368">
            <v>750</v>
          </cell>
          <cell r="C368">
            <v>6.6965312637759184E-25</v>
          </cell>
          <cell r="D368">
            <v>1900</v>
          </cell>
          <cell r="E368">
            <v>1024</v>
          </cell>
          <cell r="F368">
            <v>1.85546875</v>
          </cell>
          <cell r="H368">
            <v>0</v>
          </cell>
          <cell r="I368">
            <v>392741.38669228903</v>
          </cell>
          <cell r="J368">
            <v>668077.88954982162</v>
          </cell>
          <cell r="K368">
            <v>723539.66402886959</v>
          </cell>
          <cell r="L368">
            <v>458617.13962375646</v>
          </cell>
          <cell r="M368">
            <v>828040.58259617642</v>
          </cell>
          <cell r="N368">
            <v>276378.64623997989</v>
          </cell>
          <cell r="O368">
            <v>651051.55057814659</v>
          </cell>
          <cell r="P368">
            <v>515813.92824423593</v>
          </cell>
          <cell r="Q368">
            <v>1086395.7556087216</v>
          </cell>
          <cell r="R368">
            <v>174466.02220574947</v>
          </cell>
          <cell r="T368">
            <v>540463.65270568209</v>
          </cell>
          <cell r="U368">
            <v>546510.34644083516</v>
          </cell>
          <cell r="V368">
            <v>581466.89075483161</v>
          </cell>
          <cell r="X368">
            <v>534931.94726843329</v>
          </cell>
          <cell r="Z368">
            <v>569653.98326577619</v>
          </cell>
          <cell r="AA368">
            <v>116554.51160585521</v>
          </cell>
          <cell r="AB368">
            <v>1931564.5912305794</v>
          </cell>
          <cell r="AC368">
            <v>453099.47165992099</v>
          </cell>
          <cell r="AD368">
            <v>1361910.6079648032</v>
          </cell>
        </row>
        <row r="369">
          <cell r="A369" t="str">
            <v>CGI018-qtz04-CL-fit-3-offset</v>
          </cell>
          <cell r="B369">
            <v>750</v>
          </cell>
          <cell r="C369">
            <v>6.6965312637759184E-25</v>
          </cell>
          <cell r="D369">
            <v>1900</v>
          </cell>
          <cell r="E369">
            <v>1024</v>
          </cell>
          <cell r="F369">
            <v>1.85546875</v>
          </cell>
          <cell r="H369">
            <v>224722.87508692764</v>
          </cell>
          <cell r="I369">
            <v>63824.934079992549</v>
          </cell>
          <cell r="J369">
            <v>129228.41576581002</v>
          </cell>
          <cell r="K369">
            <v>164668.92417165305</v>
          </cell>
          <cell r="L369">
            <v>146413.53300930033</v>
          </cell>
          <cell r="M369">
            <v>98672.891356749213</v>
          </cell>
          <cell r="N369">
            <v>123406.39626560443</v>
          </cell>
          <cell r="O369">
            <v>123452.51197904834</v>
          </cell>
          <cell r="P369">
            <v>119768.61234343931</v>
          </cell>
          <cell r="Q369">
            <v>161237.1441911571</v>
          </cell>
          <cell r="R369">
            <v>239536.71811958111</v>
          </cell>
          <cell r="T369">
            <v>147962.28284328606</v>
          </cell>
          <cell r="U369">
            <v>140858.32580886976</v>
          </cell>
          <cell r="V369">
            <v>129228.41576581002</v>
          </cell>
          <cell r="X369">
            <v>143843.52401983432</v>
          </cell>
          <cell r="Z369">
            <v>138529.37684597768</v>
          </cell>
          <cell r="AA369">
            <v>30005.206988526661</v>
          </cell>
          <cell r="AB369">
            <v>283040.27616139624</v>
          </cell>
          <cell r="AC369">
            <v>108524.16985745102</v>
          </cell>
          <cell r="AD369">
            <v>144510.89931541856</v>
          </cell>
        </row>
        <row r="370">
          <cell r="A370" t="str">
            <v>CGI018-qtz04-CL-fit-4-offset</v>
          </cell>
          <cell r="B370">
            <v>750</v>
          </cell>
          <cell r="C370">
            <v>6.6965312637759184E-25</v>
          </cell>
          <cell r="D370">
            <v>1900</v>
          </cell>
          <cell r="E370">
            <v>1024</v>
          </cell>
          <cell r="F370">
            <v>1.85546875</v>
          </cell>
          <cell r="H370">
            <v>247454.00888840403</v>
          </cell>
          <cell r="I370">
            <v>203378.86489087265</v>
          </cell>
          <cell r="J370">
            <v>175626.05865285874</v>
          </cell>
          <cell r="K370">
            <v>0</v>
          </cell>
          <cell r="L370">
            <v>254925.48874292069</v>
          </cell>
          <cell r="M370">
            <v>175994.23685246115</v>
          </cell>
          <cell r="N370">
            <v>230147.77962439728</v>
          </cell>
          <cell r="O370">
            <v>238741.29318854408</v>
          </cell>
          <cell r="P370">
            <v>66804.063868004436</v>
          </cell>
          <cell r="Q370">
            <v>220666.44329374787</v>
          </cell>
          <cell r="R370">
            <v>122434.5532522783</v>
          </cell>
          <cell r="T370">
            <v>198597.18928371131</v>
          </cell>
          <cell r="U370">
            <v>188216.30355461978</v>
          </cell>
          <cell r="V370">
            <v>211934.51945059095</v>
          </cell>
          <cell r="X370">
            <v>194948.64083954704</v>
          </cell>
          <cell r="Z370">
            <v>199770.24099966817</v>
          </cell>
          <cell r="AA370">
            <v>29781.847826328285</v>
          </cell>
          <cell r="AB370">
            <v>628658.64292963513</v>
          </cell>
          <cell r="AC370">
            <v>169988.39317333989</v>
          </cell>
          <cell r="AD370">
            <v>428888.40192996699</v>
          </cell>
        </row>
        <row r="371">
          <cell r="A371" t="str">
            <v>CGI018-qtz05-CL-fit-1-offset</v>
          </cell>
          <cell r="B371">
            <v>750</v>
          </cell>
          <cell r="C371">
            <v>6.6965312637759184E-25</v>
          </cell>
          <cell r="D371">
            <v>1600</v>
          </cell>
          <cell r="E371">
            <v>1024</v>
          </cell>
          <cell r="F371">
            <v>1.5625</v>
          </cell>
          <cell r="H371">
            <v>1892.445663986817</v>
          </cell>
          <cell r="I371">
            <v>1612.8481918348998</v>
          </cell>
          <cell r="J371">
            <v>47.544818230486037</v>
          </cell>
          <cell r="K371">
            <v>1382.7373514568933</v>
          </cell>
          <cell r="L371">
            <v>70854.58014894728</v>
          </cell>
          <cell r="M371">
            <v>1510.0650492080701</v>
          </cell>
          <cell r="N371">
            <v>4415.5952129706047</v>
          </cell>
          <cell r="O371">
            <v>68272.664688327772</v>
          </cell>
          <cell r="P371">
            <v>262932.06586067448</v>
          </cell>
          <cell r="Q371">
            <v>4373.023716729278</v>
          </cell>
          <cell r="R371">
            <v>232270.2540847779</v>
          </cell>
          <cell r="T371">
            <v>142347.40650120474</v>
          </cell>
          <cell r="U371">
            <v>27416.441558886658</v>
          </cell>
          <cell r="V371">
            <v>4373.023716729278</v>
          </cell>
          <cell r="X371">
            <v>64329.079852014016</v>
          </cell>
          <cell r="Z371">
            <v>285674.5302029755</v>
          </cell>
          <cell r="AA371">
            <v>3.4568643374621767E-8</v>
          </cell>
          <cell r="AB371">
            <v>22818068.508995425</v>
          </cell>
          <cell r="AC371">
            <v>285674.53020294092</v>
          </cell>
          <cell r="AD371">
            <v>22532393.978792451</v>
          </cell>
        </row>
        <row r="372">
          <cell r="A372" t="str">
            <v>CGI018-qtz05-CL-fit-2-offset</v>
          </cell>
          <cell r="B372">
            <v>750</v>
          </cell>
          <cell r="C372">
            <v>6.6965312637759184E-25</v>
          </cell>
          <cell r="D372">
            <v>1600</v>
          </cell>
          <cell r="E372">
            <v>1024</v>
          </cell>
          <cell r="F372">
            <v>1.5625</v>
          </cell>
          <cell r="H372">
            <v>576688.22557165474</v>
          </cell>
          <cell r="I372">
            <v>348791.01307902631</v>
          </cell>
          <cell r="J372">
            <v>382082.00834665436</v>
          </cell>
          <cell r="K372">
            <v>380699.69890858466</v>
          </cell>
          <cell r="L372">
            <v>242199.63823366698</v>
          </cell>
          <cell r="M372">
            <v>281349.57090371149</v>
          </cell>
          <cell r="N372">
            <v>206346.76943556094</v>
          </cell>
          <cell r="O372">
            <v>303874.84778902476</v>
          </cell>
          <cell r="P372">
            <v>201359.19604620602</v>
          </cell>
          <cell r="Q372">
            <v>554585.6155563792</v>
          </cell>
          <cell r="R372">
            <v>553151.24874129868</v>
          </cell>
          <cell r="T372">
            <v>352948.60859740723</v>
          </cell>
          <cell r="U372">
            <v>354605.42894374824</v>
          </cell>
          <cell r="V372">
            <v>348791.01307902631</v>
          </cell>
          <cell r="X372">
            <v>346376.18167556345</v>
          </cell>
          <cell r="Z372">
            <v>357193.1279275199</v>
          </cell>
          <cell r="AA372">
            <v>62647.871014831166</v>
          </cell>
          <cell r="AB372">
            <v>1020730.1139300551</v>
          </cell>
          <cell r="AC372">
            <v>294545.25691268872</v>
          </cell>
          <cell r="AD372">
            <v>663536.98600253509</v>
          </cell>
        </row>
        <row r="373">
          <cell r="A373" t="str">
            <v>CGI018-qtz05-CL-fit-3-offset</v>
          </cell>
          <cell r="B373">
            <v>750</v>
          </cell>
          <cell r="C373">
            <v>6.6965312637759184E-25</v>
          </cell>
          <cell r="D373">
            <v>1600</v>
          </cell>
          <cell r="E373">
            <v>1024</v>
          </cell>
          <cell r="F373">
            <v>1.5625</v>
          </cell>
          <cell r="H373">
            <v>430497.03675337695</v>
          </cell>
          <cell r="I373">
            <v>277942.73079906672</v>
          </cell>
          <cell r="J373">
            <v>287933.56036183174</v>
          </cell>
          <cell r="K373">
            <v>92849.334682649584</v>
          </cell>
          <cell r="L373">
            <v>191397.07886375059</v>
          </cell>
          <cell r="M373">
            <v>163153.40979097327</v>
          </cell>
          <cell r="N373">
            <v>309674.76278924523</v>
          </cell>
          <cell r="O373">
            <v>279665.37778323842</v>
          </cell>
          <cell r="P373">
            <v>263920.69186324376</v>
          </cell>
          <cell r="Q373">
            <v>485922.32149086823</v>
          </cell>
          <cell r="R373">
            <v>275619.05752030987</v>
          </cell>
          <cell r="T373">
            <v>301308.65038640588</v>
          </cell>
          <cell r="U373">
            <v>267304.96457160951</v>
          </cell>
          <cell r="V373">
            <v>277942.73079906672</v>
          </cell>
          <cell r="X373">
            <v>295654.42689823528</v>
          </cell>
          <cell r="Z373">
            <v>293069.03525739774</v>
          </cell>
          <cell r="AA373">
            <v>19907.36326345451</v>
          </cell>
          <cell r="AB373">
            <v>758247.61610813078</v>
          </cell>
          <cell r="AC373">
            <v>273161.67199394322</v>
          </cell>
          <cell r="AD373">
            <v>465178.58085073304</v>
          </cell>
        </row>
        <row r="374">
          <cell r="A374" t="str">
            <v>CGI018-qtz05-CL-fit-4-offset</v>
          </cell>
          <cell r="B374">
            <v>750</v>
          </cell>
          <cell r="C374">
            <v>6.6965312637759184E-25</v>
          </cell>
          <cell r="D374">
            <v>1600</v>
          </cell>
          <cell r="E374">
            <v>1024</v>
          </cell>
          <cell r="F374">
            <v>1.5625</v>
          </cell>
          <cell r="H374">
            <v>369718.16034799337</v>
          </cell>
          <cell r="I374">
            <v>371544.71513986122</v>
          </cell>
          <cell r="J374">
            <v>449915.76086413203</v>
          </cell>
          <cell r="K374">
            <v>490587.07773388026</v>
          </cell>
          <cell r="L374">
            <v>455333.90479051782</v>
          </cell>
          <cell r="M374">
            <v>366121.13219078182</v>
          </cell>
          <cell r="N374">
            <v>608487.01186393877</v>
          </cell>
          <cell r="O374">
            <v>524037.83984518686</v>
          </cell>
          <cell r="P374">
            <v>269452.7535035903</v>
          </cell>
          <cell r="Q374">
            <v>245621.56036201961</v>
          </cell>
          <cell r="R374">
            <v>335753.19835638878</v>
          </cell>
          <cell r="T374">
            <v>391188.30666609335</v>
          </cell>
          <cell r="U374">
            <v>401117.58901807066</v>
          </cell>
          <cell r="V374">
            <v>371544.71513986122</v>
          </cell>
          <cell r="X374">
            <v>376883.41052619042</v>
          </cell>
          <cell r="Z374">
            <v>376804.79080620332</v>
          </cell>
          <cell r="AA374">
            <v>200944.98453175195</v>
          </cell>
          <cell r="AB374">
            <v>613935.28710660944</v>
          </cell>
          <cell r="AC374">
            <v>175859.80627445137</v>
          </cell>
          <cell r="AD374">
            <v>237130.49630040611</v>
          </cell>
        </row>
        <row r="375">
          <cell r="A375" t="str">
            <v>CGI018-qtz05-CL-fit-5-offset</v>
          </cell>
          <cell r="B375">
            <v>750</v>
          </cell>
          <cell r="C375">
            <v>6.6965312637759184E-25</v>
          </cell>
          <cell r="D375">
            <v>1600</v>
          </cell>
          <cell r="E375">
            <v>1024</v>
          </cell>
          <cell r="F375">
            <v>1.5625</v>
          </cell>
          <cell r="H375">
            <v>28317.564681099764</v>
          </cell>
          <cell r="I375">
            <v>178507.94478874834</v>
          </cell>
          <cell r="J375">
            <v>267092.98527759808</v>
          </cell>
          <cell r="K375">
            <v>317251.22561305895</v>
          </cell>
          <cell r="L375">
            <v>165817.92809633937</v>
          </cell>
          <cell r="M375">
            <v>46636.313956083664</v>
          </cell>
          <cell r="N375">
            <v>100621.04068632259</v>
          </cell>
          <cell r="O375">
            <v>141636.07891470648</v>
          </cell>
          <cell r="P375">
            <v>136023.58551715512</v>
          </cell>
          <cell r="Q375">
            <v>346371.90114978689</v>
          </cell>
          <cell r="R375">
            <v>402424.70231367357</v>
          </cell>
          <cell r="T375">
            <v>175946.50407192513</v>
          </cell>
          <cell r="U375">
            <v>173303.72119837417</v>
          </cell>
          <cell r="V375">
            <v>165817.92809633937</v>
          </cell>
          <cell r="X375">
            <v>172741.77951780864</v>
          </cell>
          <cell r="Z375">
            <v>228922.70464985282</v>
          </cell>
          <cell r="AA375">
            <v>25680.654973095738</v>
          </cell>
          <cell r="AB375">
            <v>1274254.9934830002</v>
          </cell>
          <cell r="AC375">
            <v>203242.04967675707</v>
          </cell>
          <cell r="AD375">
            <v>1045332.2888331474</v>
          </cell>
        </row>
        <row r="376">
          <cell r="A376" t="str">
            <v>CGI018-qtz05-CL-fit-6-offset</v>
          </cell>
          <cell r="B376">
            <v>750</v>
          </cell>
          <cell r="C376">
            <v>6.6965312637759184E-25</v>
          </cell>
          <cell r="D376">
            <v>1600</v>
          </cell>
          <cell r="E376">
            <v>1024</v>
          </cell>
          <cell r="F376">
            <v>1.5625</v>
          </cell>
          <cell r="H376">
            <v>25178.006082230695</v>
          </cell>
          <cell r="I376">
            <v>78820.645799664169</v>
          </cell>
          <cell r="J376">
            <v>50492.997957943924</v>
          </cell>
          <cell r="K376">
            <v>124838.71346420728</v>
          </cell>
          <cell r="L376">
            <v>57753.631930657961</v>
          </cell>
          <cell r="M376">
            <v>104338.54707948344</v>
          </cell>
          <cell r="N376">
            <v>140053.85086954225</v>
          </cell>
          <cell r="O376">
            <v>57551.554991204823</v>
          </cell>
          <cell r="P376">
            <v>68447.019375038391</v>
          </cell>
          <cell r="Q376">
            <v>74755.660660115085</v>
          </cell>
          <cell r="R376">
            <v>44425.33665993427</v>
          </cell>
          <cell r="T376">
            <v>85685.439430246712</v>
          </cell>
          <cell r="U376">
            <v>71470.715592315129</v>
          </cell>
          <cell r="V376">
            <v>68447.019375038391</v>
          </cell>
          <cell r="X376">
            <v>52810.9958629377</v>
          </cell>
          <cell r="Z376">
            <v>49967.294689848539</v>
          </cell>
          <cell r="AA376">
            <v>1342.1323430101274</v>
          </cell>
          <cell r="AB376">
            <v>196597.87229549407</v>
          </cell>
          <cell r="AC376">
            <v>48625.162346838413</v>
          </cell>
          <cell r="AD376">
            <v>146630.57760564552</v>
          </cell>
        </row>
        <row r="377">
          <cell r="A377" t="str">
            <v>CGI018-qtz05-CL-fit-7-offset</v>
          </cell>
          <cell r="B377">
            <v>750</v>
          </cell>
          <cell r="C377">
            <v>6.6965312637759184E-25</v>
          </cell>
          <cell r="D377">
            <v>1600</v>
          </cell>
          <cell r="E377">
            <v>1024</v>
          </cell>
          <cell r="F377">
            <v>1.5625</v>
          </cell>
          <cell r="H377">
            <v>3691.646600347347</v>
          </cell>
          <cell r="I377">
            <v>0.25265910479506093</v>
          </cell>
          <cell r="J377">
            <v>113.30473206742585</v>
          </cell>
          <cell r="K377">
            <v>25908.31668540978</v>
          </cell>
          <cell r="L377">
            <v>5.7815494941432704</v>
          </cell>
          <cell r="M377">
            <v>30086.305870416367</v>
          </cell>
          <cell r="N377">
            <v>76425.053733945984</v>
          </cell>
          <cell r="O377">
            <v>87189.808116674685</v>
          </cell>
          <cell r="P377">
            <v>21082.820778793379</v>
          </cell>
          <cell r="Q377">
            <v>5424.2275349579922</v>
          </cell>
          <cell r="R377">
            <v>14285.201490538579</v>
          </cell>
          <cell r="T377">
            <v>14866.356431997781</v>
          </cell>
          <cell r="U377">
            <v>14374.364500921967</v>
          </cell>
          <cell r="V377">
            <v>14285.201490538579</v>
          </cell>
          <cell r="X377">
            <v>5251.3229923238168</v>
          </cell>
          <cell r="Z377">
            <v>15651.445234308994</v>
          </cell>
          <cell r="AA377">
            <v>1.4594697354600625</v>
          </cell>
          <cell r="AB377">
            <v>119409.34187473926</v>
          </cell>
          <cell r="AC377">
            <v>15649.985764573534</v>
          </cell>
          <cell r="AD377">
            <v>103757.89664043026</v>
          </cell>
        </row>
        <row r="378">
          <cell r="A378" t="str">
            <v>CGI018-qtz06-CL-fit-2-offset</v>
          </cell>
          <cell r="B378">
            <v>750</v>
          </cell>
          <cell r="C378">
            <v>6.6965312637759184E-25</v>
          </cell>
          <cell r="D378">
            <v>1750</v>
          </cell>
          <cell r="E378">
            <v>1024</v>
          </cell>
          <cell r="F378">
            <v>1.708984375</v>
          </cell>
          <cell r="H378">
            <v>162666.22433654458</v>
          </cell>
          <cell r="I378">
            <v>555335.30982848175</v>
          </cell>
          <cell r="J378">
            <v>965949.30702639045</v>
          </cell>
          <cell r="K378">
            <v>306608.44033729983</v>
          </cell>
          <cell r="L378">
            <v>209110.08238955389</v>
          </cell>
          <cell r="M378">
            <v>160291.28112827649</v>
          </cell>
          <cell r="N378">
            <v>127116.18180291787</v>
          </cell>
          <cell r="O378">
            <v>349497.6303485313</v>
          </cell>
          <cell r="P378">
            <v>601678.53578988754</v>
          </cell>
          <cell r="Q378">
            <v>358182.04737337888</v>
          </cell>
          <cell r="R378">
            <v>277641.57981495222</v>
          </cell>
          <cell r="T378">
            <v>292128.41047226166</v>
          </cell>
          <cell r="U378">
            <v>337616.21570798347</v>
          </cell>
          <cell r="V378">
            <v>306608.44033729983</v>
          </cell>
          <cell r="X378">
            <v>289899.98972344893</v>
          </cell>
          <cell r="Z378">
            <v>313729.50823451823</v>
          </cell>
          <cell r="AA378">
            <v>76567.754414108334</v>
          </cell>
          <cell r="AB378">
            <v>1136957.5640300065</v>
          </cell>
          <cell r="AC378">
            <v>237161.75382040988</v>
          </cell>
          <cell r="AD378">
            <v>823228.0557954883</v>
          </cell>
        </row>
        <row r="379">
          <cell r="A379" t="str">
            <v>CGI018-qtz06-CL-fit-3-offset</v>
          </cell>
          <cell r="B379">
            <v>750</v>
          </cell>
          <cell r="C379">
            <v>6.6965312637759184E-25</v>
          </cell>
          <cell r="D379">
            <v>1750</v>
          </cell>
          <cell r="E379">
            <v>1024</v>
          </cell>
          <cell r="F379">
            <v>1.708984375</v>
          </cell>
          <cell r="H379">
            <v>24632.40744254395</v>
          </cell>
          <cell r="I379">
            <v>98351.286770636041</v>
          </cell>
          <cell r="J379">
            <v>112269.45049264314</v>
          </cell>
          <cell r="K379">
            <v>126661.29562972613</v>
          </cell>
          <cell r="L379">
            <v>275224.02475083823</v>
          </cell>
          <cell r="M379">
            <v>54852.326813731161</v>
          </cell>
          <cell r="N379">
            <v>123803.08717494983</v>
          </cell>
          <cell r="O379">
            <v>167330.61231223788</v>
          </cell>
          <cell r="P379">
            <v>141243.65459695496</v>
          </cell>
          <cell r="Q379">
            <v>285194.25104263757</v>
          </cell>
          <cell r="R379">
            <v>61478.049493802195</v>
          </cell>
          <cell r="T379">
            <v>117654.71108692956</v>
          </cell>
          <cell r="U379">
            <v>121805.25679519449</v>
          </cell>
          <cell r="V379">
            <v>123803.08717494983</v>
          </cell>
          <cell r="X379">
            <v>122106.74802600355</v>
          </cell>
          <cell r="Z379">
            <v>123405.06327177431</v>
          </cell>
          <cell r="AA379">
            <v>20535.728592250518</v>
          </cell>
          <cell r="AB379">
            <v>297162.3635359818</v>
          </cell>
          <cell r="AC379">
            <v>102869.3346795238</v>
          </cell>
          <cell r="AD379">
            <v>173757.30026420747</v>
          </cell>
        </row>
        <row r="380">
          <cell r="A380" t="str">
            <v>CGI018-qtz06-CL-fit-4-offset</v>
          </cell>
          <cell r="B380">
            <v>750</v>
          </cell>
          <cell r="C380">
            <v>6.6965312637759184E-25</v>
          </cell>
          <cell r="D380">
            <v>1750</v>
          </cell>
          <cell r="E380">
            <v>1024</v>
          </cell>
          <cell r="F380">
            <v>1.708984375</v>
          </cell>
          <cell r="H380">
            <v>45653.646056557765</v>
          </cell>
          <cell r="I380">
            <v>20890.221475866187</v>
          </cell>
          <cell r="J380">
            <v>59374.775077930382</v>
          </cell>
          <cell r="K380">
            <v>1795.631459995182</v>
          </cell>
          <cell r="L380">
            <v>1368.5394541414337</v>
          </cell>
          <cell r="M380">
            <v>10455.731258684807</v>
          </cell>
          <cell r="N380">
            <v>75203.752457359034</v>
          </cell>
          <cell r="O380">
            <v>70781.378209040035</v>
          </cell>
          <cell r="P380">
            <v>119079.09917010696</v>
          </cell>
          <cell r="Q380">
            <v>284.47329429275021</v>
          </cell>
          <cell r="R380">
            <v>214403.29667820147</v>
          </cell>
          <cell r="T380">
            <v>32448.704078383984</v>
          </cell>
          <cell r="U380">
            <v>38158.264878372014</v>
          </cell>
          <cell r="V380">
            <v>45653.646056557765</v>
          </cell>
          <cell r="X380">
            <v>28775.301767721179</v>
          </cell>
          <cell r="Z380">
            <v>31305.602031138369</v>
          </cell>
          <cell r="AA380">
            <v>1118.4278071884239</v>
          </cell>
          <cell r="AB380">
            <v>268229.78914730396</v>
          </cell>
          <cell r="AC380">
            <v>30187.174223949944</v>
          </cell>
          <cell r="AD380">
            <v>236924.18711616559</v>
          </cell>
        </row>
        <row r="381">
          <cell r="A381" t="str">
            <v>CGI018-qtz07-CL-fit-1-offset</v>
          </cell>
          <cell r="B381">
            <v>750</v>
          </cell>
          <cell r="C381">
            <v>6.6965312637759184E-25</v>
          </cell>
          <cell r="D381">
            <v>1700</v>
          </cell>
          <cell r="E381">
            <v>1024</v>
          </cell>
          <cell r="F381">
            <v>1.66015625</v>
          </cell>
          <cell r="H381">
            <v>334624.78893821494</v>
          </cell>
          <cell r="I381">
            <v>223174.01777884993</v>
          </cell>
          <cell r="J381">
            <v>610904.54132494086</v>
          </cell>
          <cell r="K381">
            <v>565190.60798189265</v>
          </cell>
          <cell r="L381">
            <v>187950.86719720002</v>
          </cell>
          <cell r="M381">
            <v>74346.478097695872</v>
          </cell>
          <cell r="N381">
            <v>757017.91073146544</v>
          </cell>
          <cell r="O381">
            <v>115822.67912523408</v>
          </cell>
          <cell r="P381">
            <v>56070.749622735835</v>
          </cell>
          <cell r="Q381">
            <v>580569.84746859607</v>
          </cell>
          <cell r="R381">
            <v>113396.43129275109</v>
          </cell>
          <cell r="T381">
            <v>334165.70452413091</v>
          </cell>
          <cell r="U381">
            <v>281512.96042896714</v>
          </cell>
          <cell r="V381">
            <v>223174.01777884993</v>
          </cell>
          <cell r="X381">
            <v>260904.46328230645</v>
          </cell>
          <cell r="Z381">
            <v>342996.82474453142</v>
          </cell>
          <cell r="AA381">
            <v>150.68604539273269</v>
          </cell>
          <cell r="AB381">
            <v>2225052.799459605</v>
          </cell>
          <cell r="AC381">
            <v>342846.13869913871</v>
          </cell>
          <cell r="AD381">
            <v>1882055.9747150736</v>
          </cell>
        </row>
        <row r="382">
          <cell r="A382" t="str">
            <v>CGI018-qtz07-CL-fit-2-offset</v>
          </cell>
          <cell r="B382">
            <v>750</v>
          </cell>
          <cell r="C382">
            <v>6.6965312637759184E-25</v>
          </cell>
          <cell r="D382">
            <v>1700</v>
          </cell>
          <cell r="E382">
            <v>1024</v>
          </cell>
          <cell r="F382">
            <v>1.66015625</v>
          </cell>
          <cell r="H382">
            <v>325584.51053214975</v>
          </cell>
          <cell r="I382">
            <v>365214.53722455673</v>
          </cell>
          <cell r="J382">
            <v>164362.09087183687</v>
          </cell>
          <cell r="K382">
            <v>171071.33257153089</v>
          </cell>
          <cell r="L382">
            <v>1458099.3065573589</v>
          </cell>
          <cell r="M382">
            <v>1291.3835623928048</v>
          </cell>
          <cell r="N382">
            <v>264097.72286324715</v>
          </cell>
          <cell r="O382">
            <v>673591.61843192007</v>
          </cell>
          <cell r="P382">
            <v>386105.95433582843</v>
          </cell>
          <cell r="Q382">
            <v>176976.21412643837</v>
          </cell>
          <cell r="R382">
            <v>263134.84752964543</v>
          </cell>
          <cell r="T382">
            <v>391498.30583831022</v>
          </cell>
          <cell r="U382">
            <v>310255.51156035927</v>
          </cell>
          <cell r="V382">
            <v>264097.72286324715</v>
          </cell>
          <cell r="X382">
            <v>361871.08608496917</v>
          </cell>
          <cell r="Z382">
            <v>384811.28363590629</v>
          </cell>
          <cell r="AA382">
            <v>43447.797670122309</v>
          </cell>
          <cell r="AB382">
            <v>1150154.7221824811</v>
          </cell>
          <cell r="AC382">
            <v>341363.485965784</v>
          </cell>
          <cell r="AD382">
            <v>765343.43854657479</v>
          </cell>
        </row>
        <row r="383">
          <cell r="A383" t="str">
            <v>CGI018-qtz07-CL-fit-3-offset</v>
          </cell>
          <cell r="B383">
            <v>750</v>
          </cell>
          <cell r="C383">
            <v>6.6965312637759184E-25</v>
          </cell>
          <cell r="D383">
            <v>1700</v>
          </cell>
          <cell r="E383">
            <v>1024</v>
          </cell>
          <cell r="F383">
            <v>1.66015625</v>
          </cell>
          <cell r="H383">
            <v>58675.210225907955</v>
          </cell>
          <cell r="I383">
            <v>21852.280652418038</v>
          </cell>
          <cell r="J383">
            <v>38946.155867773523</v>
          </cell>
          <cell r="K383">
            <v>26160.116329102122</v>
          </cell>
          <cell r="L383">
            <v>27.197792002767969</v>
          </cell>
          <cell r="M383">
            <v>77196.246344644445</v>
          </cell>
          <cell r="N383">
            <v>439052.85481718037</v>
          </cell>
          <cell r="O383">
            <v>59442.760533439643</v>
          </cell>
          <cell r="P383">
            <v>68075.210097322721</v>
          </cell>
          <cell r="Q383">
            <v>27609.154670142765</v>
          </cell>
          <cell r="R383">
            <v>45171.236787084257</v>
          </cell>
          <cell r="T383">
            <v>42198.836654409708</v>
          </cell>
          <cell r="U383">
            <v>54936.023716537304</v>
          </cell>
          <cell r="V383">
            <v>45171.236787084257</v>
          </cell>
          <cell r="X383">
            <v>36592.799927607375</v>
          </cell>
          <cell r="Z383">
            <v>37367.338475114324</v>
          </cell>
          <cell r="AA383">
            <v>1173.7626121052722</v>
          </cell>
          <cell r="AB383">
            <v>114921.61800017041</v>
          </cell>
          <cell r="AC383">
            <v>36193.575863009049</v>
          </cell>
          <cell r="AD383">
            <v>77554.279525056074</v>
          </cell>
        </row>
        <row r="384">
          <cell r="A384" t="str">
            <v>CGI018-qtz08-CL-fit-1-offset</v>
          </cell>
          <cell r="B384">
            <v>750</v>
          </cell>
          <cell r="C384">
            <v>6.6965312637759184E-25</v>
          </cell>
          <cell r="D384">
            <v>2300</v>
          </cell>
          <cell r="E384">
            <v>1024</v>
          </cell>
          <cell r="F384">
            <v>2.24609375</v>
          </cell>
          <cell r="H384">
            <v>5996884.9836253412</v>
          </cell>
          <cell r="I384">
            <v>5665910.3461820148</v>
          </cell>
          <cell r="J384">
            <v>5590996.4572896678</v>
          </cell>
          <cell r="K384">
            <v>6197921.5186463427</v>
          </cell>
          <cell r="L384">
            <v>5934896.1809108742</v>
          </cell>
          <cell r="M384">
            <v>6419320.4701152323</v>
          </cell>
          <cell r="N384">
            <v>5038886.5019953214</v>
          </cell>
          <cell r="O384">
            <v>5425824.550576373</v>
          </cell>
          <cell r="P384">
            <v>5736030.0765216546</v>
          </cell>
          <cell r="Q384">
            <v>7446583.0705086654</v>
          </cell>
          <cell r="R384">
            <v>7503168.1341184434</v>
          </cell>
          <cell r="T384">
            <v>6050633.6144150235</v>
          </cell>
          <cell r="U384">
            <v>6065108.8203330701</v>
          </cell>
          <cell r="V384">
            <v>5934896.1809108742</v>
          </cell>
          <cell r="X384">
            <v>6070494.9493847443</v>
          </cell>
          <cell r="Z384">
            <v>5990077.9372490142</v>
          </cell>
          <cell r="AA384">
            <v>4326495.0306511102</v>
          </cell>
          <cell r="AB384">
            <v>8082260.3290000856</v>
          </cell>
          <cell r="AC384">
            <v>1663582.9065979039</v>
          </cell>
          <cell r="AD384">
            <v>2092182.3917510714</v>
          </cell>
        </row>
        <row r="385">
          <cell r="A385" t="str">
            <v>CGI018-qtz08-CL-fit-2-offset</v>
          </cell>
          <cell r="B385">
            <v>750</v>
          </cell>
          <cell r="C385">
            <v>6.6965312637759184E-25</v>
          </cell>
          <cell r="D385">
            <v>2300</v>
          </cell>
          <cell r="E385">
            <v>1024</v>
          </cell>
          <cell r="F385">
            <v>2.24609375</v>
          </cell>
          <cell r="H385">
            <v>775333.55553579133</v>
          </cell>
          <cell r="I385">
            <v>1179117.4961445956</v>
          </cell>
          <cell r="J385">
            <v>1548473.0723998221</v>
          </cell>
          <cell r="K385">
            <v>685434.04753198614</v>
          </cell>
          <cell r="L385">
            <v>970882.54771507229</v>
          </cell>
          <cell r="M385">
            <v>1473874.3092432511</v>
          </cell>
          <cell r="N385">
            <v>934220.04031549243</v>
          </cell>
          <cell r="O385">
            <v>897404.29597860971</v>
          </cell>
          <cell r="P385">
            <v>203248.38239066926</v>
          </cell>
          <cell r="Q385">
            <v>742256.29754311696</v>
          </cell>
          <cell r="R385">
            <v>1208623.3150559568</v>
          </cell>
          <cell r="T385">
            <v>954645.11853790388</v>
          </cell>
          <cell r="U385">
            <v>922240.11344948329</v>
          </cell>
          <cell r="V385">
            <v>934220.04031549243</v>
          </cell>
          <cell r="X385">
            <v>990577.34693234204</v>
          </cell>
          <cell r="Z385">
            <v>1028718.5532199809</v>
          </cell>
          <cell r="AA385">
            <v>253446.95073858931</v>
          </cell>
          <cell r="AB385">
            <v>2215239.4105942082</v>
          </cell>
          <cell r="AC385">
            <v>775271.60248139163</v>
          </cell>
          <cell r="AD385">
            <v>1186520.8573742271</v>
          </cell>
        </row>
        <row r="386">
          <cell r="A386" t="str">
            <v>CGI018-qtz08-CL-fit-3-offset</v>
          </cell>
          <cell r="B386">
            <v>750</v>
          </cell>
          <cell r="C386">
            <v>6.6965312637759184E-25</v>
          </cell>
          <cell r="D386">
            <v>2300</v>
          </cell>
          <cell r="E386">
            <v>1024</v>
          </cell>
          <cell r="F386">
            <v>2.24609375</v>
          </cell>
          <cell r="H386">
            <v>2359307.1218655207</v>
          </cell>
          <cell r="I386">
            <v>1809585.1529060204</v>
          </cell>
          <cell r="J386">
            <v>1758333.2422589241</v>
          </cell>
          <cell r="K386">
            <v>761480.4855644299</v>
          </cell>
          <cell r="L386">
            <v>1200443.7529863587</v>
          </cell>
          <cell r="M386">
            <v>970206.09725240211</v>
          </cell>
          <cell r="N386">
            <v>2052769.3235420305</v>
          </cell>
          <cell r="O386">
            <v>1526667.7149330089</v>
          </cell>
          <cell r="P386">
            <v>786222.061872283</v>
          </cell>
          <cell r="Q386">
            <v>549285.41113468935</v>
          </cell>
          <cell r="R386">
            <v>854927.64227859839</v>
          </cell>
          <cell r="T386">
            <v>1166477.8806722923</v>
          </cell>
          <cell r="U386">
            <v>1266910.9594102723</v>
          </cell>
          <cell r="V386">
            <v>1200443.7529863587</v>
          </cell>
          <cell r="X386">
            <v>1185343.7539864553</v>
          </cell>
          <cell r="Z386">
            <v>1175857.2961719788</v>
          </cell>
          <cell r="AA386">
            <v>434445.82103488635</v>
          </cell>
          <cell r="AB386">
            <v>2227970.0872681937</v>
          </cell>
          <cell r="AC386">
            <v>741411.47513709241</v>
          </cell>
          <cell r="AD386">
            <v>1052112.7910962149</v>
          </cell>
        </row>
        <row r="387">
          <cell r="A387" t="str">
            <v>CGI018-qtz08-CL-fit-4-offset</v>
          </cell>
          <cell r="B387">
            <v>750</v>
          </cell>
          <cell r="C387">
            <v>6.6965312637759184E-25</v>
          </cell>
          <cell r="D387">
            <v>2300</v>
          </cell>
          <cell r="E387">
            <v>1024</v>
          </cell>
          <cell r="F387">
            <v>2.24609375</v>
          </cell>
          <cell r="H387">
            <v>797707.50660274166</v>
          </cell>
          <cell r="I387">
            <v>438367.41224329663</v>
          </cell>
          <cell r="J387">
            <v>221138.71170135066</v>
          </cell>
          <cell r="K387">
            <v>629656.80188313383</v>
          </cell>
          <cell r="L387">
            <v>1270410.6657733978</v>
          </cell>
          <cell r="M387">
            <v>39881.79178600153</v>
          </cell>
          <cell r="N387">
            <v>1425538.4553153731</v>
          </cell>
          <cell r="O387">
            <v>946296.8034935504</v>
          </cell>
          <cell r="P387">
            <v>406035.30302334786</v>
          </cell>
          <cell r="Q387">
            <v>2101171.2192912288</v>
          </cell>
          <cell r="R387">
            <v>1124821.6876433338</v>
          </cell>
          <cell r="T387">
            <v>815843.78062608</v>
          </cell>
          <cell r="U387">
            <v>739583.43562371249</v>
          </cell>
          <cell r="V387">
            <v>797707.50660274166</v>
          </cell>
          <cell r="X387">
            <v>787699.22548968275</v>
          </cell>
          <cell r="Z387">
            <v>797596.60904256359</v>
          </cell>
          <cell r="AA387">
            <v>145491.64125772612</v>
          </cell>
          <cell r="AB387">
            <v>2307362.1929325447</v>
          </cell>
          <cell r="AC387">
            <v>652104.96778483747</v>
          </cell>
          <cell r="AD387">
            <v>1509765.5838899813</v>
          </cell>
        </row>
        <row r="388">
          <cell r="A388" t="str">
            <v>CGI018-qtz08-CL-fit-5-offset</v>
          </cell>
          <cell r="B388">
            <v>750</v>
          </cell>
          <cell r="C388">
            <v>6.6965312637759184E-25</v>
          </cell>
          <cell r="D388">
            <v>2300</v>
          </cell>
          <cell r="E388">
            <v>1024</v>
          </cell>
          <cell r="F388">
            <v>2.24609375</v>
          </cell>
          <cell r="H388">
            <v>1065300.5368440815</v>
          </cell>
          <cell r="I388">
            <v>1064530.1690002701</v>
          </cell>
          <cell r="J388">
            <v>1326027.4336578322</v>
          </cell>
          <cell r="K388">
            <v>1772929.0706228518</v>
          </cell>
          <cell r="L388">
            <v>1328638.8501957112</v>
          </cell>
          <cell r="M388">
            <v>1340291.4088173839</v>
          </cell>
          <cell r="N388">
            <v>1879591.9424571693</v>
          </cell>
          <cell r="O388">
            <v>1494236.9104174899</v>
          </cell>
          <cell r="P388">
            <v>1698812.1810025342</v>
          </cell>
          <cell r="Q388">
            <v>1688253.3339295341</v>
          </cell>
          <cell r="R388">
            <v>1610166.3487911187</v>
          </cell>
          <cell r="T388">
            <v>1459210.6699645647</v>
          </cell>
          <cell r="U388">
            <v>1466812.7242116285</v>
          </cell>
          <cell r="V388">
            <v>1494236.9104174899</v>
          </cell>
          <cell r="X388">
            <v>1456395.0862736017</v>
          </cell>
          <cell r="Z388">
            <v>1466060.1330826606</v>
          </cell>
          <cell r="AA388">
            <v>1079818.1761147061</v>
          </cell>
          <cell r="AB388">
            <v>2033866.3607955198</v>
          </cell>
          <cell r="AC388">
            <v>386241.95696795452</v>
          </cell>
          <cell r="AD388">
            <v>567806.22771285917</v>
          </cell>
        </row>
        <row r="389">
          <cell r="A389" t="str">
            <v>CGI018-qtz08-CL-fit-6-offset</v>
          </cell>
          <cell r="B389">
            <v>750</v>
          </cell>
          <cell r="C389">
            <v>6.6965312637759184E-25</v>
          </cell>
          <cell r="D389">
            <v>2300</v>
          </cell>
          <cell r="E389">
            <v>1024</v>
          </cell>
          <cell r="F389">
            <v>2.24609375</v>
          </cell>
          <cell r="H389">
            <v>190701.92608701953</v>
          </cell>
          <cell r="I389">
            <v>342104.1436325718</v>
          </cell>
          <cell r="J389">
            <v>337952.21467166749</v>
          </cell>
          <cell r="K389">
            <v>386059.54540656804</v>
          </cell>
          <cell r="L389">
            <v>220353.27312777744</v>
          </cell>
          <cell r="M389">
            <v>276689.81577207032</v>
          </cell>
          <cell r="N389">
            <v>244779.44677846727</v>
          </cell>
          <cell r="O389">
            <v>227765.2286112649</v>
          </cell>
          <cell r="P389">
            <v>326347.76930290629</v>
          </cell>
          <cell r="Q389">
            <v>221239.52286750614</v>
          </cell>
          <cell r="R389">
            <v>237156.45341285161</v>
          </cell>
          <cell r="T389">
            <v>270325.65278756787</v>
          </cell>
          <cell r="U389">
            <v>270429.48309417511</v>
          </cell>
          <cell r="V389">
            <v>244779.44677846727</v>
          </cell>
          <cell r="X389">
            <v>263900.532803301</v>
          </cell>
          <cell r="Z389">
            <v>264230.06302061758</v>
          </cell>
          <cell r="AA389">
            <v>145469.46998725209</v>
          </cell>
          <cell r="AB389">
            <v>430752.36464546307</v>
          </cell>
          <cell r="AC389">
            <v>118760.5930333655</v>
          </cell>
          <cell r="AD389">
            <v>166522.30162484548</v>
          </cell>
        </row>
        <row r="390">
          <cell r="A390" t="str">
            <v>CGI018-qtz08-CL-fit-7-offset</v>
          </cell>
          <cell r="B390">
            <v>750</v>
          </cell>
          <cell r="C390">
            <v>6.6965312637759184E-25</v>
          </cell>
          <cell r="D390">
            <v>2300</v>
          </cell>
          <cell r="E390">
            <v>1024</v>
          </cell>
          <cell r="F390">
            <v>2.24609375</v>
          </cell>
          <cell r="H390">
            <v>32846.640378175878</v>
          </cell>
          <cell r="I390">
            <v>143069.78976545829</v>
          </cell>
          <cell r="J390">
            <v>61081.462309359405</v>
          </cell>
          <cell r="K390">
            <v>64672.036067641217</v>
          </cell>
          <cell r="L390">
            <v>165330.05720004404</v>
          </cell>
          <cell r="M390">
            <v>143036.91778056312</v>
          </cell>
          <cell r="N390">
            <v>22021.76032226695</v>
          </cell>
          <cell r="O390">
            <v>1005.811585725292</v>
          </cell>
          <cell r="P390">
            <v>33846.003805193068</v>
          </cell>
          <cell r="Q390">
            <v>4289.4683225659537</v>
          </cell>
          <cell r="R390">
            <v>143622.87745936812</v>
          </cell>
          <cell r="T390">
            <v>64740.774375343935</v>
          </cell>
          <cell r="U390">
            <v>58225.721262050087</v>
          </cell>
          <cell r="V390">
            <v>61081.462309359405</v>
          </cell>
          <cell r="X390">
            <v>50802.221059326104</v>
          </cell>
          <cell r="Z390">
            <v>50278.821612416985</v>
          </cell>
          <cell r="AA390">
            <v>1282.6282748303106</v>
          </cell>
          <cell r="AB390">
            <v>218377.7625735169</v>
          </cell>
          <cell r="AC390">
            <v>48996.193337586672</v>
          </cell>
          <cell r="AD390">
            <v>168098.94096109993</v>
          </cell>
        </row>
        <row r="391">
          <cell r="A391" t="str">
            <v>CGI018-qtz09-CL-fit-2-offset</v>
          </cell>
          <cell r="B391">
            <v>750</v>
          </cell>
          <cell r="C391">
            <v>6.6965312637759184E-25</v>
          </cell>
          <cell r="D391">
            <v>2250</v>
          </cell>
          <cell r="E391">
            <v>1024</v>
          </cell>
          <cell r="F391">
            <v>2.197265625</v>
          </cell>
          <cell r="H391">
            <v>1.2028797574375436</v>
          </cell>
          <cell r="I391">
            <v>2001.5471045173522</v>
          </cell>
          <cell r="J391">
            <v>569692.82095782727</v>
          </cell>
          <cell r="K391">
            <v>872125.28099820903</v>
          </cell>
          <cell r="L391">
            <v>1419904.2080977103</v>
          </cell>
          <cell r="M391">
            <v>102565.70564660984</v>
          </cell>
          <cell r="N391">
            <v>125408.38389336107</v>
          </cell>
          <cell r="O391">
            <v>1505.8023011751795</v>
          </cell>
          <cell r="P391">
            <v>47333.762887648118</v>
          </cell>
          <cell r="Q391">
            <v>1484733.8317489454</v>
          </cell>
          <cell r="R391">
            <v>3204226.8931958196</v>
          </cell>
          <cell r="T391">
            <v>1311336.5967863905</v>
          </cell>
          <cell r="U391">
            <v>389532.39906787378</v>
          </cell>
          <cell r="V391">
            <v>125408.38389336107</v>
          </cell>
          <cell r="X391">
            <v>1254071.7403074936</v>
          </cell>
          <cell r="Z391">
            <v>1784364.6819459915</v>
          </cell>
          <cell r="AA391">
            <v>47.728224954811886</v>
          </cell>
          <cell r="AB391">
            <v>13605468.64983118</v>
          </cell>
          <cell r="AC391">
            <v>1784316.9537210367</v>
          </cell>
          <cell r="AD391">
            <v>11821103.967885189</v>
          </cell>
        </row>
        <row r="392">
          <cell r="A392" t="str">
            <v>CGI018-qtz09-CL-fit-3-offset</v>
          </cell>
          <cell r="B392">
            <v>750</v>
          </cell>
          <cell r="C392">
            <v>6.6965312637759184E-25</v>
          </cell>
          <cell r="D392">
            <v>2250</v>
          </cell>
          <cell r="E392">
            <v>1024</v>
          </cell>
          <cell r="F392">
            <v>2.197265625</v>
          </cell>
          <cell r="H392">
            <v>399266.01789419854</v>
          </cell>
          <cell r="I392">
            <v>347670.84173969692</v>
          </cell>
          <cell r="J392">
            <v>161700.31360288349</v>
          </cell>
          <cell r="K392">
            <v>30.669842137780488</v>
          </cell>
          <cell r="L392">
            <v>99.076352920362183</v>
          </cell>
          <cell r="M392">
            <v>158.75821227617416</v>
          </cell>
          <cell r="N392">
            <v>0</v>
          </cell>
          <cell r="O392">
            <v>80570.214369480513</v>
          </cell>
          <cell r="P392">
            <v>188325.04818329046</v>
          </cell>
          <cell r="Q392">
            <v>162098.79617097307</v>
          </cell>
          <cell r="R392">
            <v>1847403.6936577715</v>
          </cell>
          <cell r="T392">
            <v>177552.15437240995</v>
          </cell>
          <cell r="U392">
            <v>170679.96287479682</v>
          </cell>
          <cell r="V392">
            <v>161899.49358795752</v>
          </cell>
          <cell r="X392">
            <v>187615.4078779241</v>
          </cell>
          <cell r="Z392">
            <v>978635.13202622114</v>
          </cell>
          <cell r="AA392">
            <v>9.2524586757968876</v>
          </cell>
          <cell r="AB392">
            <v>87158403.516587675</v>
          </cell>
          <cell r="AC392">
            <v>978625.87956754537</v>
          </cell>
          <cell r="AD392">
            <v>86179768.384561449</v>
          </cell>
        </row>
        <row r="393">
          <cell r="A393" t="str">
            <v>CGI018-qtz09-CL-fit-4-offset</v>
          </cell>
          <cell r="B393">
            <v>750</v>
          </cell>
          <cell r="C393">
            <v>6.6965312637759184E-25</v>
          </cell>
          <cell r="D393">
            <v>2250</v>
          </cell>
          <cell r="E393">
            <v>1024</v>
          </cell>
          <cell r="F393">
            <v>2.197265625</v>
          </cell>
          <cell r="H393">
            <v>377.90313489769244</v>
          </cell>
          <cell r="I393">
            <v>5.3274169159149618E-11</v>
          </cell>
          <cell r="J393">
            <v>1736.242655920048</v>
          </cell>
          <cell r="K393">
            <v>190.01320483138556</v>
          </cell>
          <cell r="L393">
            <v>60728.993433399039</v>
          </cell>
          <cell r="M393">
            <v>20819.685406693214</v>
          </cell>
          <cell r="N393">
            <v>416.19594782244849</v>
          </cell>
          <cell r="O393">
            <v>68744.504463148493</v>
          </cell>
          <cell r="P393">
            <v>218718.00966135738</v>
          </cell>
          <cell r="Q393">
            <v>696977.50347403623</v>
          </cell>
          <cell r="R393">
            <v>72913.507335362359</v>
          </cell>
          <cell r="T393">
            <v>46794.47984890778</v>
          </cell>
          <cell r="U393">
            <v>44511.705362445246</v>
          </cell>
          <cell r="V393">
            <v>20819.685406693214</v>
          </cell>
          <cell r="X393">
            <v>24017.659039374801</v>
          </cell>
          <cell r="Z393">
            <v>83972.675843756399</v>
          </cell>
          <cell r="AA393">
            <v>9.1042966928878591E-12</v>
          </cell>
          <cell r="AB393">
            <v>1110400.9954923599</v>
          </cell>
          <cell r="AC393">
            <v>83972.675843756384</v>
          </cell>
          <cell r="AD393">
            <v>1026428.3196486034</v>
          </cell>
        </row>
        <row r="394">
          <cell r="A394" t="str">
            <v>CGI018-qtz10-CL-fit-1-offset</v>
          </cell>
          <cell r="B394">
            <v>750</v>
          </cell>
          <cell r="C394">
            <v>6.6965312637759184E-25</v>
          </cell>
          <cell r="D394">
            <v>2600</v>
          </cell>
          <cell r="E394">
            <v>1024</v>
          </cell>
          <cell r="F394">
            <v>2.5390625</v>
          </cell>
          <cell r="H394">
            <v>1430450.3653023373</v>
          </cell>
          <cell r="I394">
            <v>847806.12913394626</v>
          </cell>
          <cell r="J394">
            <v>732267.07952281844</v>
          </cell>
          <cell r="K394">
            <v>379146.44065537991</v>
          </cell>
          <cell r="L394">
            <v>1176378.1405354093</v>
          </cell>
          <cell r="M394">
            <v>1721787.9342917691</v>
          </cell>
          <cell r="N394">
            <v>562287.57533521298</v>
          </cell>
          <cell r="O394">
            <v>359244.9167390439</v>
          </cell>
          <cell r="P394">
            <v>467164.63152615033</v>
          </cell>
          <cell r="Q394">
            <v>423413.77105471242</v>
          </cell>
          <cell r="R394">
            <v>587252.47306602716</v>
          </cell>
          <cell r="T394">
            <v>698483.74510060844</v>
          </cell>
          <cell r="U394">
            <v>735662.01246952417</v>
          </cell>
          <cell r="V394">
            <v>587252.47306602716</v>
          </cell>
          <cell r="X394">
            <v>751376.6759635827</v>
          </cell>
          <cell r="Z394">
            <v>763436.97018639767</v>
          </cell>
          <cell r="AA394">
            <v>295587.93689883786</v>
          </cell>
          <cell r="AB394">
            <v>1700554.8914876888</v>
          </cell>
          <cell r="AC394">
            <v>467849.03328755981</v>
          </cell>
          <cell r="AD394">
            <v>937117.92130129109</v>
          </cell>
        </row>
        <row r="395">
          <cell r="A395" t="str">
            <v>CGI018-qtz10-CL-fit-2-offset</v>
          </cell>
          <cell r="B395">
            <v>750</v>
          </cell>
          <cell r="C395">
            <v>6.6965312637759184E-25</v>
          </cell>
          <cell r="D395">
            <v>2600</v>
          </cell>
          <cell r="E395">
            <v>1024</v>
          </cell>
          <cell r="F395">
            <v>2.5390625</v>
          </cell>
          <cell r="H395">
            <v>480531.68877772416</v>
          </cell>
          <cell r="I395">
            <v>339858.57274549565</v>
          </cell>
          <cell r="J395">
            <v>281003.29082700977</v>
          </cell>
          <cell r="K395">
            <v>462622.60679133161</v>
          </cell>
          <cell r="L395">
            <v>454026.38571041869</v>
          </cell>
          <cell r="M395">
            <v>173400.0689488436</v>
          </cell>
          <cell r="N395">
            <v>570538.00102024269</v>
          </cell>
          <cell r="O395">
            <v>220454.09086792087</v>
          </cell>
          <cell r="P395">
            <v>253446.88975871413</v>
          </cell>
          <cell r="Q395">
            <v>667526.56529689766</v>
          </cell>
          <cell r="R395">
            <v>235500.64988984627</v>
          </cell>
          <cell r="T395">
            <v>380355.64038598764</v>
          </cell>
          <cell r="U395">
            <v>360793.99628951785</v>
          </cell>
          <cell r="V395">
            <v>339858.57274549565</v>
          </cell>
          <cell r="X395">
            <v>343479.3623777536</v>
          </cell>
          <cell r="Z395">
            <v>345447.91841546114</v>
          </cell>
          <cell r="AA395">
            <v>75439.67023967726</v>
          </cell>
          <cell r="AB395">
            <v>770146.52885716897</v>
          </cell>
          <cell r="AC395">
            <v>270008.2481757839</v>
          </cell>
          <cell r="AD395">
            <v>424698.61044170783</v>
          </cell>
        </row>
        <row r="396">
          <cell r="A396" t="str">
            <v>CGI018-qtz10-CL-fit-3-offset</v>
          </cell>
          <cell r="B396">
            <v>750</v>
          </cell>
          <cell r="C396">
            <v>6.6965312637759184E-25</v>
          </cell>
          <cell r="D396">
            <v>2600</v>
          </cell>
          <cell r="E396">
            <v>1024</v>
          </cell>
          <cell r="F396">
            <v>2.5390625</v>
          </cell>
          <cell r="H396">
            <v>274362.24988319713</v>
          </cell>
          <cell r="I396">
            <v>176119.37849984012</v>
          </cell>
          <cell r="J396">
            <v>110855.40373427878</v>
          </cell>
          <cell r="K396">
            <v>107356.45157469984</v>
          </cell>
          <cell r="L396">
            <v>420211.0705899829</v>
          </cell>
          <cell r="M396">
            <v>174537.67721999338</v>
          </cell>
          <cell r="N396">
            <v>261052.55614727139</v>
          </cell>
          <cell r="O396">
            <v>516816.07559897838</v>
          </cell>
          <cell r="P396">
            <v>98749.402894030703</v>
          </cell>
          <cell r="Q396">
            <v>190538.42701500907</v>
          </cell>
          <cell r="R396">
            <v>217126.7622329072</v>
          </cell>
          <cell r="T396">
            <v>203495.47700104408</v>
          </cell>
          <cell r="U396">
            <v>216362.8620285916</v>
          </cell>
          <cell r="V396">
            <v>190538.42701500907</v>
          </cell>
          <cell r="X396">
            <v>194938.48250531923</v>
          </cell>
          <cell r="Z396">
            <v>197808.63317965929</v>
          </cell>
          <cell r="AA396">
            <v>5738.4263796185814</v>
          </cell>
          <cell r="AB396">
            <v>557041.4369961276</v>
          </cell>
          <cell r="AC396">
            <v>192070.2068000407</v>
          </cell>
          <cell r="AD396">
            <v>359232.80381646834</v>
          </cell>
        </row>
        <row r="397">
          <cell r="A397" t="str">
            <v>CGI018-qtz10-CL-fit-4-offset</v>
          </cell>
          <cell r="B397">
            <v>750</v>
          </cell>
          <cell r="C397">
            <v>6.6965312637759184E-25</v>
          </cell>
          <cell r="D397">
            <v>2600</v>
          </cell>
          <cell r="E397">
            <v>1024</v>
          </cell>
          <cell r="F397">
            <v>2.5390625</v>
          </cell>
          <cell r="H397">
            <v>133669.57233990496</v>
          </cell>
          <cell r="I397">
            <v>155444.29364587466</v>
          </cell>
          <cell r="J397">
            <v>68465.073275336705</v>
          </cell>
          <cell r="K397">
            <v>87013.249982774869</v>
          </cell>
          <cell r="L397">
            <v>244205.4959195308</v>
          </cell>
          <cell r="M397">
            <v>314782.79079880053</v>
          </cell>
          <cell r="N397">
            <v>212379.83378323339</v>
          </cell>
          <cell r="O397">
            <v>180742.09660367027</v>
          </cell>
          <cell r="P397">
            <v>172154.87910191348</v>
          </cell>
          <cell r="Q397">
            <v>133302.82266914714</v>
          </cell>
          <cell r="R397">
            <v>360.33596837925217</v>
          </cell>
          <cell r="T397">
            <v>163013.50781221915</v>
          </cell>
          <cell r="U397">
            <v>136008.54187538871</v>
          </cell>
          <cell r="V397">
            <v>155444.29364587466</v>
          </cell>
          <cell r="X397">
            <v>140670.52412730429</v>
          </cell>
          <cell r="Z397">
            <v>150818.85011299769</v>
          </cell>
          <cell r="AA397">
            <v>7222.6264296106001</v>
          </cell>
          <cell r="AB397">
            <v>536479.16789412068</v>
          </cell>
          <cell r="AC397">
            <v>143596.2236833871</v>
          </cell>
          <cell r="AD397">
            <v>385660.31778112298</v>
          </cell>
        </row>
        <row r="398">
          <cell r="A398" t="str">
            <v>CGI018-qtz10-CL-fit-5-offset</v>
          </cell>
          <cell r="B398">
            <v>750</v>
          </cell>
          <cell r="C398">
            <v>6.6965312637759184E-25</v>
          </cell>
          <cell r="D398">
            <v>2600</v>
          </cell>
          <cell r="E398">
            <v>1024</v>
          </cell>
          <cell r="F398">
            <v>2.5390625</v>
          </cell>
          <cell r="H398">
            <v>105480.14855866504</v>
          </cell>
          <cell r="I398">
            <v>12.455225845633551</v>
          </cell>
          <cell r="J398">
            <v>58878.61211785693</v>
          </cell>
          <cell r="K398">
            <v>92326.479312821844</v>
          </cell>
          <cell r="L398">
            <v>76910.827235938283</v>
          </cell>
          <cell r="M398">
            <v>139440.90382755906</v>
          </cell>
          <cell r="N398">
            <v>57603.791682486575</v>
          </cell>
          <cell r="O398">
            <v>138359.11193733124</v>
          </cell>
          <cell r="P398">
            <v>29691.340884081947</v>
          </cell>
          <cell r="Q398">
            <v>131559.27332255183</v>
          </cell>
          <cell r="R398">
            <v>81600.773781353739</v>
          </cell>
          <cell r="T398">
            <v>93413.410983855501</v>
          </cell>
          <cell r="U398">
            <v>72322.353831608314</v>
          </cell>
          <cell r="V398">
            <v>81600.773781353739</v>
          </cell>
          <cell r="X398">
            <v>70549.364328330194</v>
          </cell>
          <cell r="Z398">
            <v>59699.17645676517</v>
          </cell>
          <cell r="AA398">
            <v>312.8003890850585</v>
          </cell>
          <cell r="AB398">
            <v>183785.09567050278</v>
          </cell>
          <cell r="AC398">
            <v>59386.37606768011</v>
          </cell>
          <cell r="AD398">
            <v>124085.91921373761</v>
          </cell>
        </row>
        <row r="399">
          <cell r="A399" t="str">
            <v>CGI018-qtz10-CL-fit-6-offset</v>
          </cell>
          <cell r="B399">
            <v>750</v>
          </cell>
          <cell r="C399">
            <v>6.6965312637759184E-25</v>
          </cell>
          <cell r="D399">
            <v>2600</v>
          </cell>
          <cell r="E399">
            <v>1024</v>
          </cell>
          <cell r="F399">
            <v>2.5390625</v>
          </cell>
          <cell r="H399">
            <v>179006.47012270402</v>
          </cell>
          <cell r="I399">
            <v>121924.82937168467</v>
          </cell>
          <cell r="J399">
            <v>115980.88705413541</v>
          </cell>
          <cell r="K399">
            <v>192222.32193706674</v>
          </cell>
          <cell r="L399">
            <v>198591.01599167922</v>
          </cell>
          <cell r="M399">
            <v>71308.706118148752</v>
          </cell>
          <cell r="N399">
            <v>104222.02261030654</v>
          </cell>
          <cell r="O399">
            <v>132449.66251808501</v>
          </cell>
          <cell r="P399">
            <v>286591.14854386059</v>
          </cell>
          <cell r="Q399">
            <v>132581.87142283097</v>
          </cell>
          <cell r="R399">
            <v>210733.60898260796</v>
          </cell>
          <cell r="T399">
            <v>146827.93138946904</v>
          </cell>
          <cell r="U399">
            <v>153465.97555276673</v>
          </cell>
          <cell r="V399">
            <v>132581.87142283097</v>
          </cell>
          <cell r="X399">
            <v>139821.76450366437</v>
          </cell>
          <cell r="Z399">
            <v>126473.14558147544</v>
          </cell>
          <cell r="AA399">
            <v>5611.7844977235491</v>
          </cell>
          <cell r="AB399">
            <v>349195.6149321415</v>
          </cell>
          <cell r="AC399">
            <v>120861.36108375189</v>
          </cell>
          <cell r="AD399">
            <v>222722.46935066604</v>
          </cell>
        </row>
        <row r="400">
          <cell r="A400" t="str">
            <v>CGI018-qtz11-CL-fit-1-offset</v>
          </cell>
          <cell r="B400">
            <v>750</v>
          </cell>
          <cell r="C400">
            <v>6.6965312637759184E-25</v>
          </cell>
          <cell r="D400">
            <v>1250</v>
          </cell>
          <cell r="E400">
            <v>1024</v>
          </cell>
          <cell r="F400">
            <v>1.220703125</v>
          </cell>
          <cell r="H400">
            <v>405056.3386308506</v>
          </cell>
          <cell r="I400">
            <v>238976.96183756163</v>
          </cell>
          <cell r="J400">
            <v>403792.0927274492</v>
          </cell>
          <cell r="K400">
            <v>483507.41138949909</v>
          </cell>
          <cell r="L400">
            <v>303471.34531702747</v>
          </cell>
          <cell r="M400">
            <v>285214.34777496097</v>
          </cell>
          <cell r="N400">
            <v>310965.24323820823</v>
          </cell>
          <cell r="O400">
            <v>356562.16621339309</v>
          </cell>
          <cell r="P400">
            <v>354279.77188698977</v>
          </cell>
          <cell r="Q400">
            <v>475231.83576883614</v>
          </cell>
          <cell r="R400">
            <v>309244.29265665327</v>
          </cell>
          <cell r="T400">
            <v>353371.00988208631</v>
          </cell>
          <cell r="U400">
            <v>353103.48639764654</v>
          </cell>
          <cell r="V400">
            <v>354279.77188698977</v>
          </cell>
          <cell r="X400">
            <v>352362.88657090487</v>
          </cell>
          <cell r="Z400">
            <v>345773.73211371223</v>
          </cell>
          <cell r="AA400">
            <v>203445.84992112004</v>
          </cell>
          <cell r="AB400">
            <v>494499.74135011493</v>
          </cell>
          <cell r="AC400">
            <v>142327.88219259219</v>
          </cell>
          <cell r="AD400">
            <v>148726.00923640269</v>
          </cell>
        </row>
        <row r="401">
          <cell r="A401" t="str">
            <v>CGI018-qtz11-CL-fit-2-offset</v>
          </cell>
          <cell r="B401">
            <v>750</v>
          </cell>
          <cell r="C401">
            <v>6.6965312637759184E-25</v>
          </cell>
          <cell r="D401">
            <v>1250</v>
          </cell>
          <cell r="E401">
            <v>1024</v>
          </cell>
          <cell r="F401">
            <v>1.220703125</v>
          </cell>
          <cell r="H401">
            <v>66.026785720520223</v>
          </cell>
          <cell r="I401">
            <v>106870.01731723106</v>
          </cell>
          <cell r="J401">
            <v>748000.93154813536</v>
          </cell>
          <cell r="K401">
            <v>183466.15600082863</v>
          </cell>
          <cell r="L401">
            <v>37067.55077276838</v>
          </cell>
          <cell r="M401">
            <v>186443.78755547968</v>
          </cell>
          <cell r="N401">
            <v>675418.28939039353</v>
          </cell>
          <cell r="O401">
            <v>528425.39391101827</v>
          </cell>
          <cell r="P401">
            <v>217677.58384169644</v>
          </cell>
          <cell r="Q401">
            <v>125707.97448977463</v>
          </cell>
          <cell r="R401">
            <v>189774.10968632827</v>
          </cell>
          <cell r="T401">
            <v>236672.23613864885</v>
          </cell>
          <cell r="U401">
            <v>211438.31869076268</v>
          </cell>
          <cell r="V401">
            <v>186443.78755547968</v>
          </cell>
          <cell r="X401">
            <v>209194.4069319572</v>
          </cell>
          <cell r="Z401">
            <v>223528.21287248138</v>
          </cell>
          <cell r="AA401">
            <v>1183.5824815532105</v>
          </cell>
          <cell r="AB401">
            <v>1214053.055317149</v>
          </cell>
          <cell r="AC401">
            <v>222344.63039092819</v>
          </cell>
          <cell r="AD401">
            <v>990524.84244466759</v>
          </cell>
        </row>
        <row r="402">
          <cell r="A402" t="str">
            <v>CGI018-qtz11-CL-fit-3-offset</v>
          </cell>
          <cell r="B402">
            <v>750</v>
          </cell>
          <cell r="C402">
            <v>6.6965312637759184E-25</v>
          </cell>
          <cell r="D402">
            <v>1250</v>
          </cell>
          <cell r="E402">
            <v>1024</v>
          </cell>
          <cell r="F402">
            <v>1.220703125</v>
          </cell>
          <cell r="H402">
            <v>76883.069369286532</v>
          </cell>
          <cell r="I402">
            <v>365605.85035212815</v>
          </cell>
          <cell r="J402">
            <v>75325.130587280204</v>
          </cell>
          <cell r="K402">
            <v>207619.24299147405</v>
          </cell>
          <cell r="L402">
            <v>1558.3060390821133</v>
          </cell>
          <cell r="M402">
            <v>1166.3679258924349</v>
          </cell>
          <cell r="N402">
            <v>74746.710728575868</v>
          </cell>
          <cell r="O402">
            <v>416292.22064657963</v>
          </cell>
          <cell r="P402">
            <v>12361.839413564274</v>
          </cell>
          <cell r="Q402">
            <v>47932.421692531971</v>
          </cell>
          <cell r="R402">
            <v>216908.76267825477</v>
          </cell>
          <cell r="T402">
            <v>115909.18999008471</v>
          </cell>
          <cell r="U402">
            <v>95544.188260256706</v>
          </cell>
          <cell r="V402">
            <v>75325.130587280204</v>
          </cell>
          <cell r="X402">
            <v>85977.812986303135</v>
          </cell>
          <cell r="Z402">
            <v>97907.986941362629</v>
          </cell>
          <cell r="AA402">
            <v>8.7304678637211215E-10</v>
          </cell>
          <cell r="AB402">
            <v>1070337.184340406</v>
          </cell>
          <cell r="AC402">
            <v>97907.986941361756</v>
          </cell>
          <cell r="AD402">
            <v>972429.19739904336</v>
          </cell>
        </row>
        <row r="403">
          <cell r="A403" t="str">
            <v>CGI018-qtz11-CL-fit-4-offset</v>
          </cell>
          <cell r="B403">
            <v>750</v>
          </cell>
          <cell r="C403">
            <v>6.6965312637759184E-25</v>
          </cell>
          <cell r="D403">
            <v>1250</v>
          </cell>
          <cell r="E403">
            <v>1024</v>
          </cell>
          <cell r="F403">
            <v>1.220703125</v>
          </cell>
          <cell r="H403">
            <v>209076.61798193029</v>
          </cell>
          <cell r="I403">
            <v>211480.14111206264</v>
          </cell>
          <cell r="J403">
            <v>553017.72149424732</v>
          </cell>
          <cell r="K403">
            <v>292152.19927448389</v>
          </cell>
          <cell r="L403">
            <v>374281.71200974635</v>
          </cell>
          <cell r="M403">
            <v>26678.659749377741</v>
          </cell>
          <cell r="N403">
            <v>162731.74811068934</v>
          </cell>
          <cell r="O403">
            <v>525594.70804315002</v>
          </cell>
          <cell r="P403">
            <v>251943.70425010499</v>
          </cell>
          <cell r="Q403">
            <v>168504.74451274853</v>
          </cell>
          <cell r="R403">
            <v>461988.62592730549</v>
          </cell>
          <cell r="T403">
            <v>267921.7800122365</v>
          </cell>
          <cell r="U403">
            <v>268221.64079772326</v>
          </cell>
          <cell r="V403">
            <v>251943.70425010499</v>
          </cell>
          <cell r="X403">
            <v>251444.87743697336</v>
          </cell>
          <cell r="Z403">
            <v>289248.22190032265</v>
          </cell>
          <cell r="AA403">
            <v>88451.431613882465</v>
          </cell>
          <cell r="AB403">
            <v>1110056.677508607</v>
          </cell>
          <cell r="AC403">
            <v>200796.79028644017</v>
          </cell>
          <cell r="AD403">
            <v>820808.45560828433</v>
          </cell>
        </row>
        <row r="404">
          <cell r="A404" t="str">
            <v>CGI018-qtz11-CL-fit-5-offset</v>
          </cell>
          <cell r="B404">
            <v>750</v>
          </cell>
          <cell r="C404">
            <v>6.6965312637759184E-25</v>
          </cell>
          <cell r="D404">
            <v>1250</v>
          </cell>
          <cell r="E404">
            <v>1024</v>
          </cell>
          <cell r="F404">
            <v>1.220703125</v>
          </cell>
          <cell r="H404">
            <v>0.39029166203555432</v>
          </cell>
          <cell r="I404">
            <v>171938.27454397408</v>
          </cell>
          <cell r="J404">
            <v>240474.8608554418</v>
          </cell>
          <cell r="K404">
            <v>169746.65937240436</v>
          </cell>
          <cell r="L404">
            <v>6257.0769562791147</v>
          </cell>
          <cell r="M404">
            <v>86022.072827458571</v>
          </cell>
          <cell r="N404">
            <v>130786.55707408063</v>
          </cell>
          <cell r="O404">
            <v>219509.20421231393</v>
          </cell>
          <cell r="P404">
            <v>37887.269340273531</v>
          </cell>
          <cell r="Q404">
            <v>212237.76579672657</v>
          </cell>
          <cell r="R404">
            <v>289018.34889022791</v>
          </cell>
          <cell r="T404">
            <v>130172.62514855312</v>
          </cell>
          <cell r="U404">
            <v>113947.21023464632</v>
          </cell>
          <cell r="V404">
            <v>169746.65937240436</v>
          </cell>
          <cell r="X404">
            <v>130999.66491411341</v>
          </cell>
          <cell r="Z404">
            <v>124696.23102687657</v>
          </cell>
          <cell r="AA404">
            <v>1208.6012576220546</v>
          </cell>
          <cell r="AB404">
            <v>475635.54814174806</v>
          </cell>
          <cell r="AC404">
            <v>123487.62976925452</v>
          </cell>
          <cell r="AD404">
            <v>350939.31711487146</v>
          </cell>
        </row>
        <row r="405">
          <cell r="A405" t="str">
            <v>CGI018-qtz11-CL-fit-6-offset</v>
          </cell>
          <cell r="B405">
            <v>750</v>
          </cell>
          <cell r="C405">
            <v>6.6965312637759184E-25</v>
          </cell>
          <cell r="D405">
            <v>1250</v>
          </cell>
          <cell r="E405">
            <v>1024</v>
          </cell>
          <cell r="F405">
            <v>1.220703125</v>
          </cell>
          <cell r="H405">
            <v>1073.3572901004941</v>
          </cell>
          <cell r="I405">
            <v>191964.31570059969</v>
          </cell>
          <cell r="J405">
            <v>56767.126141442823</v>
          </cell>
          <cell r="K405">
            <v>336344.69588897238</v>
          </cell>
          <cell r="L405">
            <v>32365.487001982008</v>
          </cell>
          <cell r="M405">
            <v>678.47045618631989</v>
          </cell>
          <cell r="N405">
            <v>505.82554574604285</v>
          </cell>
          <cell r="O405">
            <v>68499.316391440996</v>
          </cell>
          <cell r="P405">
            <v>51260.925386828298</v>
          </cell>
          <cell r="Q405">
            <v>37079.490219357518</v>
          </cell>
          <cell r="R405">
            <v>107965.00080388584</v>
          </cell>
          <cell r="T405">
            <v>49148.605650968893</v>
          </cell>
          <cell r="U405">
            <v>52767.334664779977</v>
          </cell>
          <cell r="V405">
            <v>51260.925386828298</v>
          </cell>
          <cell r="X405">
            <v>33017.331960374358</v>
          </cell>
          <cell r="Z405">
            <v>95248.277268399936</v>
          </cell>
          <cell r="AA405">
            <v>67.226136982736747</v>
          </cell>
          <cell r="AB405">
            <v>837685.35789880739</v>
          </cell>
          <cell r="AC405">
            <v>95181.051131417204</v>
          </cell>
          <cell r="AD405">
            <v>742437.08063040744</v>
          </cell>
        </row>
        <row r="406">
          <cell r="A406" t="str">
            <v>CGI018-qtz12-CL-fit-1-offset</v>
          </cell>
          <cell r="B406">
            <v>750</v>
          </cell>
          <cell r="C406">
            <v>6.6965312637759184E-25</v>
          </cell>
          <cell r="D406">
            <v>1800</v>
          </cell>
          <cell r="E406">
            <v>1024</v>
          </cell>
          <cell r="F406">
            <v>1.7578125</v>
          </cell>
          <cell r="H406">
            <v>1020255.8008882435</v>
          </cell>
          <cell r="I406">
            <v>1322070.9815905762</v>
          </cell>
          <cell r="J406">
            <v>1077194.9765286723</v>
          </cell>
          <cell r="K406">
            <v>580837.80247857689</v>
          </cell>
          <cell r="L406">
            <v>858174.94502353133</v>
          </cell>
          <cell r="M406">
            <v>1261471.1010060569</v>
          </cell>
          <cell r="N406">
            <v>1401033.6553109749</v>
          </cell>
          <cell r="O406">
            <v>1389101.7783006055</v>
          </cell>
          <cell r="P406">
            <v>1507802.1843359978</v>
          </cell>
          <cell r="Q406">
            <v>1504184.9403669869</v>
          </cell>
          <cell r="R406">
            <v>1149140.0683694773</v>
          </cell>
          <cell r="T406">
            <v>1182742.7834673543</v>
          </cell>
          <cell r="U406">
            <v>1169944.9627261765</v>
          </cell>
          <cell r="V406">
            <v>1261471.1010060569</v>
          </cell>
          <cell r="X406">
            <v>1178463.2334974452</v>
          </cell>
          <cell r="Z406">
            <v>1197374.9608801252</v>
          </cell>
          <cell r="AA406">
            <v>794825.58477558626</v>
          </cell>
          <cell r="AB406">
            <v>1942733.4206311333</v>
          </cell>
          <cell r="AC406">
            <v>402549.37610453891</v>
          </cell>
          <cell r="AD406">
            <v>745358.45975100808</v>
          </cell>
        </row>
        <row r="407">
          <cell r="A407" t="str">
            <v>CGI018-qtz12-CL-fit-2-offset</v>
          </cell>
          <cell r="B407">
            <v>750</v>
          </cell>
          <cell r="C407">
            <v>6.6965312637759184E-25</v>
          </cell>
          <cell r="D407">
            <v>1800</v>
          </cell>
          <cell r="E407">
            <v>1024</v>
          </cell>
          <cell r="F407">
            <v>1.7578125</v>
          </cell>
          <cell r="H407">
            <v>843299.65485665656</v>
          </cell>
          <cell r="I407">
            <v>150450.80047953373</v>
          </cell>
          <cell r="J407">
            <v>420368.86111344566</v>
          </cell>
          <cell r="K407">
            <v>509582.40583607956</v>
          </cell>
          <cell r="L407">
            <v>565528.18341919244</v>
          </cell>
          <cell r="M407">
            <v>984761.408283422</v>
          </cell>
          <cell r="N407">
            <v>937629.38636159815</v>
          </cell>
          <cell r="O407">
            <v>1219744.6422129252</v>
          </cell>
          <cell r="P407">
            <v>758256.02133737097</v>
          </cell>
          <cell r="Q407">
            <v>543156.85979872022</v>
          </cell>
          <cell r="R407">
            <v>1024496.4769039397</v>
          </cell>
          <cell r="T407">
            <v>714948.38052037638</v>
          </cell>
          <cell r="U407">
            <v>685199.84912754106</v>
          </cell>
          <cell r="V407">
            <v>758256.02133737097</v>
          </cell>
          <cell r="X407">
            <v>717615.72128717636</v>
          </cell>
          <cell r="Z407">
            <v>711201.64345619187</v>
          </cell>
          <cell r="AA407">
            <v>214494.46134228361</v>
          </cell>
          <cell r="AB407">
            <v>1636763.7344698308</v>
          </cell>
          <cell r="AC407">
            <v>496707.18211390823</v>
          </cell>
          <cell r="AD407">
            <v>925562.09101363888</v>
          </cell>
        </row>
        <row r="408">
          <cell r="A408" t="str">
            <v>CGI018-qtz12-CL-fit-3-offset</v>
          </cell>
          <cell r="B408">
            <v>750</v>
          </cell>
          <cell r="C408">
            <v>6.6965312637759184E-25</v>
          </cell>
          <cell r="D408">
            <v>1800</v>
          </cell>
          <cell r="E408">
            <v>1024</v>
          </cell>
          <cell r="F408">
            <v>1.7578125</v>
          </cell>
          <cell r="H408">
            <v>346337.48419247533</v>
          </cell>
          <cell r="I408">
            <v>495454.85318275698</v>
          </cell>
          <cell r="J408">
            <v>82329.584844670448</v>
          </cell>
          <cell r="K408">
            <v>78870.709278937793</v>
          </cell>
          <cell r="L408">
            <v>558229.3764055334</v>
          </cell>
          <cell r="M408">
            <v>53051.549192859136</v>
          </cell>
          <cell r="N408">
            <v>44947.445855541286</v>
          </cell>
          <cell r="O408">
            <v>113842.14821323808</v>
          </cell>
          <cell r="P408">
            <v>36062.019222006107</v>
          </cell>
          <cell r="Q408">
            <v>111355.01351945942</v>
          </cell>
          <cell r="R408">
            <v>416103.7675203149</v>
          </cell>
          <cell r="T408">
            <v>201172.47770374364</v>
          </cell>
          <cell r="U408">
            <v>171524.78070481433</v>
          </cell>
          <cell r="V408">
            <v>111355.01351945942</v>
          </cell>
          <cell r="X408">
            <v>166009.40039496979</v>
          </cell>
          <cell r="Z408">
            <v>190883.40930525062</v>
          </cell>
          <cell r="AA408">
            <v>1867.492820023487</v>
          </cell>
          <cell r="AB408">
            <v>1151869.9442104895</v>
          </cell>
          <cell r="AC408">
            <v>189015.91648522712</v>
          </cell>
          <cell r="AD408">
            <v>960986.53490523889</v>
          </cell>
        </row>
        <row r="409">
          <cell r="A409" t="str">
            <v>CGI018-qtz12-CL-fit-4-offset</v>
          </cell>
          <cell r="B409">
            <v>750</v>
          </cell>
          <cell r="C409">
            <v>6.6965312637759184E-25</v>
          </cell>
          <cell r="D409">
            <v>1800</v>
          </cell>
          <cell r="E409">
            <v>1024</v>
          </cell>
          <cell r="F409">
            <v>1.7578125</v>
          </cell>
          <cell r="H409">
            <v>270292.2607504552</v>
          </cell>
          <cell r="I409">
            <v>221788.0674768686</v>
          </cell>
          <cell r="J409">
            <v>212571.39181917891</v>
          </cell>
          <cell r="K409">
            <v>354383.59450644231</v>
          </cell>
          <cell r="L409">
            <v>280411.50654694188</v>
          </cell>
          <cell r="M409">
            <v>320697.75466278335</v>
          </cell>
          <cell r="N409">
            <v>292325.93465422647</v>
          </cell>
          <cell r="O409">
            <v>152814.66054452269</v>
          </cell>
          <cell r="P409">
            <v>125392.45562758121</v>
          </cell>
          <cell r="Q409">
            <v>154002.06673560283</v>
          </cell>
          <cell r="R409">
            <v>200466.55012007122</v>
          </cell>
          <cell r="T409">
            <v>237183.63821824151</v>
          </cell>
          <cell r="U409">
            <v>229432.08621437644</v>
          </cell>
          <cell r="V409">
            <v>221788.0674768686</v>
          </cell>
          <cell r="X409">
            <v>225772.89862519209</v>
          </cell>
          <cell r="Z409">
            <v>229266.12394553889</v>
          </cell>
          <cell r="AA409">
            <v>96458.625317370796</v>
          </cell>
          <cell r="AB409">
            <v>481621.59043307614</v>
          </cell>
          <cell r="AC409">
            <v>132807.49862816808</v>
          </cell>
          <cell r="AD409">
            <v>252355.46648753725</v>
          </cell>
        </row>
        <row r="410">
          <cell r="A410" t="str">
            <v>CGI018-qtz12-CL-fit-5-offset</v>
          </cell>
          <cell r="B410">
            <v>750</v>
          </cell>
          <cell r="C410">
            <v>6.6965312637759184E-25</v>
          </cell>
          <cell r="D410">
            <v>1800</v>
          </cell>
          <cell r="E410">
            <v>1024</v>
          </cell>
          <cell r="F410">
            <v>1.7578125</v>
          </cell>
          <cell r="H410">
            <v>468759.66251600516</v>
          </cell>
          <cell r="I410">
            <v>520584.20211526338</v>
          </cell>
          <cell r="J410">
            <v>841364.73608638148</v>
          </cell>
          <cell r="K410">
            <v>328626.69469646079</v>
          </cell>
          <cell r="L410">
            <v>464201.54601902002</v>
          </cell>
          <cell r="M410">
            <v>398929.66755936574</v>
          </cell>
          <cell r="N410">
            <v>663002.25399518537</v>
          </cell>
          <cell r="O410">
            <v>507108.33857549005</v>
          </cell>
          <cell r="P410">
            <v>203464.95617255272</v>
          </cell>
          <cell r="Q410">
            <v>268132.21524927253</v>
          </cell>
          <cell r="R410">
            <v>345909.07368035667</v>
          </cell>
          <cell r="T410">
            <v>443094.56730904971</v>
          </cell>
          <cell r="U410">
            <v>439571.13449083065</v>
          </cell>
          <cell r="V410">
            <v>464201.54601902002</v>
          </cell>
          <cell r="X410">
            <v>435858.7372229498</v>
          </cell>
          <cell r="Z410">
            <v>447783.37704113679</v>
          </cell>
          <cell r="AA410">
            <v>224790.29587323568</v>
          </cell>
          <cell r="AB410">
            <v>754373.99025283963</v>
          </cell>
          <cell r="AC410">
            <v>222993.08116790111</v>
          </cell>
          <cell r="AD410">
            <v>306590.61321170285</v>
          </cell>
        </row>
        <row r="411">
          <cell r="A411" t="str">
            <v>CGI018-qtz12-CL-fit-6-offset</v>
          </cell>
          <cell r="B411">
            <v>750</v>
          </cell>
          <cell r="C411">
            <v>6.6965312637759184E-25</v>
          </cell>
          <cell r="D411">
            <v>1800</v>
          </cell>
          <cell r="E411">
            <v>1024</v>
          </cell>
          <cell r="F411">
            <v>1.7578125</v>
          </cell>
          <cell r="H411">
            <v>116130.87043401372</v>
          </cell>
          <cell r="I411">
            <v>87523.39355513631</v>
          </cell>
          <cell r="J411">
            <v>51998.162443622838</v>
          </cell>
          <cell r="K411">
            <v>60730.626737948289</v>
          </cell>
          <cell r="L411">
            <v>135514.48021228926</v>
          </cell>
          <cell r="M411">
            <v>70412.418090191757</v>
          </cell>
          <cell r="N411">
            <v>219341.22264218063</v>
          </cell>
          <cell r="O411">
            <v>172429.36182349714</v>
          </cell>
          <cell r="P411">
            <v>109138.6602101507</v>
          </cell>
          <cell r="Q411">
            <v>51639.10767583939</v>
          </cell>
          <cell r="R411">
            <v>73562.606369204572</v>
          </cell>
          <cell r="T411">
            <v>95300.452480747146</v>
          </cell>
          <cell r="U411">
            <v>98766.178247075368</v>
          </cell>
          <cell r="V411">
            <v>87523.39355513631</v>
          </cell>
          <cell r="X411">
            <v>83003.056555161078</v>
          </cell>
          <cell r="Z411">
            <v>88646.575938814989</v>
          </cell>
          <cell r="AA411">
            <v>4398.5378197737964</v>
          </cell>
          <cell r="AB411">
            <v>230441.55594355619</v>
          </cell>
          <cell r="AC411">
            <v>84248.038119041186</v>
          </cell>
          <cell r="AD411">
            <v>141794.9800047412</v>
          </cell>
        </row>
        <row r="412">
          <cell r="A412" t="str">
            <v>CGI018-qtz12-CL-fit-7-offset</v>
          </cell>
          <cell r="B412">
            <v>750</v>
          </cell>
          <cell r="C412">
            <v>6.6965312637759184E-25</v>
          </cell>
          <cell r="D412">
            <v>1800</v>
          </cell>
          <cell r="E412">
            <v>1024</v>
          </cell>
          <cell r="F412">
            <v>1.7578125</v>
          </cell>
          <cell r="H412">
            <v>577.28551924643921</v>
          </cell>
          <cell r="I412">
            <v>103.56620054034096</v>
          </cell>
          <cell r="J412">
            <v>2.7631846779746039</v>
          </cell>
          <cell r="K412">
            <v>978.59159200715294</v>
          </cell>
          <cell r="L412">
            <v>24.346276884432065</v>
          </cell>
          <cell r="M412">
            <v>666.12676250587481</v>
          </cell>
          <cell r="N412">
            <v>0.49480556990307106</v>
          </cell>
          <cell r="O412">
            <v>35.97745155535101</v>
          </cell>
          <cell r="P412">
            <v>867.4748838285592</v>
          </cell>
          <cell r="Q412">
            <v>116793.02834439022</v>
          </cell>
          <cell r="R412">
            <v>91.359215021719848</v>
          </cell>
          <cell r="T412">
            <v>380.06754550035805</v>
          </cell>
          <cell r="U412">
            <v>1946.8511270072306</v>
          </cell>
          <cell r="V412">
            <v>103.56620054034096</v>
          </cell>
          <cell r="X412">
            <v>379.57464186109416</v>
          </cell>
          <cell r="Z412">
            <v>450.29358047819375</v>
          </cell>
          <cell r="AA412">
            <v>366.77744716361315</v>
          </cell>
          <cell r="AB412">
            <v>395.7806027942579</v>
          </cell>
          <cell r="AC412">
            <v>83.5161333145806</v>
          </cell>
          <cell r="AD412">
            <v>-54.512977683935844</v>
          </cell>
        </row>
      </sheetData>
      <sheetData sheetId="7" refreshError="1"/>
    </sheetDataSet>
  </externalBook>
</externalLink>
</file>

<file path=xl/externalLinks/externalLink4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1-CL-dist-1"/>
    </sheetNames>
    <sheetDataSet>
      <sheetData sheetId="0">
        <row r="3">
          <cell r="B3">
            <v>1024</v>
          </cell>
        </row>
        <row r="4">
          <cell r="B4">
            <v>522.93200000000002</v>
          </cell>
        </row>
      </sheetData>
    </sheetDataSet>
  </externalBook>
</externalLink>
</file>

<file path=xl/externalLinks/externalLink4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1-CL-dist-2"/>
    </sheetNames>
    <sheetDataSet>
      <sheetData sheetId="0">
        <row r="3">
          <cell r="B3">
            <v>1024</v>
          </cell>
        </row>
        <row r="4">
          <cell r="B4">
            <v>422.995</v>
          </cell>
        </row>
      </sheetData>
    </sheetDataSet>
  </externalBook>
</externalLink>
</file>

<file path=xl/externalLinks/externalLink4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4-CL-dist-3"/>
    </sheetNames>
    <sheetDataSet>
      <sheetData sheetId="0">
        <row r="3">
          <cell r="B3">
            <v>1024</v>
          </cell>
        </row>
        <row r="4">
          <cell r="B4">
            <v>278.22699999999998</v>
          </cell>
        </row>
      </sheetData>
    </sheetDataSet>
  </externalBook>
</externalLink>
</file>

<file path=xl/externalLinks/externalLink4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1-CL-dist-4"/>
    </sheetNames>
    <sheetDataSet>
      <sheetData sheetId="0">
        <row r="2">
          <cell r="B2">
            <v>200</v>
          </cell>
        </row>
        <row r="4">
          <cell r="B4">
            <v>110.16800000000001</v>
          </cell>
        </row>
      </sheetData>
    </sheetDataSet>
  </externalBook>
</externalLink>
</file>

<file path=xl/externalLinks/externalLink4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2-CL-dist-1"/>
    </sheetNames>
    <sheetDataSet>
      <sheetData sheetId="0">
        <row r="3">
          <cell r="B3">
            <v>1024</v>
          </cell>
        </row>
        <row r="4">
          <cell r="B4">
            <v>544.61500000000001</v>
          </cell>
        </row>
      </sheetData>
    </sheetDataSet>
  </externalBook>
</externalLink>
</file>

<file path=xl/externalLinks/externalLink4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2-CL-dist-2"/>
    </sheetNames>
    <sheetDataSet>
      <sheetData sheetId="0">
        <row r="3">
          <cell r="B3">
            <v>1024</v>
          </cell>
        </row>
        <row r="4">
          <cell r="B4">
            <v>522.28800000000001</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118</v>
          </cell>
        </row>
        <row r="4">
          <cell r="B4">
            <v>6.1174680765472385</v>
          </cell>
          <cell r="C4">
            <v>6.6051886807309153</v>
          </cell>
        </row>
        <row r="118">
          <cell r="W118">
            <v>0.57616845229600189</v>
          </cell>
          <cell r="Z118">
            <v>15.48838860354924</v>
          </cell>
        </row>
      </sheetData>
      <sheetData sheetId="4">
        <row r="9">
          <cell r="B9">
            <v>6.4114427354796666</v>
          </cell>
          <cell r="C9">
            <v>2.6823614971270677</v>
          </cell>
          <cell r="D9">
            <v>7.0824088807557422</v>
          </cell>
          <cell r="E9">
            <v>5.0954923702212565</v>
          </cell>
          <cell r="F9">
            <v>5.4815188563813821</v>
          </cell>
          <cell r="G9">
            <v>3.0681791396366269</v>
          </cell>
          <cell r="H9">
            <v>4.531302374891971</v>
          </cell>
          <cell r="I9">
            <v>7.5838851465657582</v>
          </cell>
          <cell r="J9">
            <v>8.9813035591283494</v>
          </cell>
          <cell r="K9">
            <v>1.2848487103116319</v>
          </cell>
          <cell r="L9">
            <v>2.9594326331292371</v>
          </cell>
          <cell r="N9">
            <v>6.3460346999999997</v>
          </cell>
          <cell r="O9">
            <v>5.0147432639662437</v>
          </cell>
          <cell r="P9">
            <v>5.0954923702212565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2-CL-dist-3"/>
    </sheetNames>
    <sheetDataSet>
      <sheetData sheetId="0">
        <row r="3">
          <cell r="B3">
            <v>1024</v>
          </cell>
        </row>
        <row r="4">
          <cell r="B4">
            <v>190.83</v>
          </cell>
        </row>
      </sheetData>
    </sheetDataSet>
  </externalBook>
</externalLink>
</file>

<file path=xl/externalLinks/externalLink4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2-CL-dist-4"/>
    </sheetNames>
    <sheetDataSet>
      <sheetData sheetId="0">
        <row r="3">
          <cell r="B3">
            <v>1024</v>
          </cell>
        </row>
        <row r="4">
          <cell r="B4">
            <v>39.962499999999999</v>
          </cell>
        </row>
      </sheetData>
    </sheetDataSet>
  </externalBook>
</externalLink>
</file>

<file path=xl/externalLinks/externalLink4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3-CL-dist-1"/>
    </sheetNames>
    <sheetDataSet>
      <sheetData sheetId="0">
        <row r="3">
          <cell r="B3">
            <v>1024</v>
          </cell>
        </row>
        <row r="4">
          <cell r="B4">
            <v>725.1</v>
          </cell>
        </row>
      </sheetData>
    </sheetDataSet>
  </externalBook>
</externalLink>
</file>

<file path=xl/externalLinks/externalLink4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3-CL-dist-2"/>
    </sheetNames>
    <sheetDataSet>
      <sheetData sheetId="0">
        <row r="3">
          <cell r="B3">
            <v>1024</v>
          </cell>
        </row>
        <row r="4">
          <cell r="B4">
            <v>357.01299999999998</v>
          </cell>
        </row>
      </sheetData>
    </sheetDataSet>
  </externalBook>
</externalLink>
</file>

<file path=xl/externalLinks/externalLink4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3-CL-dist-3"/>
    </sheetNames>
    <sheetDataSet>
      <sheetData sheetId="0">
        <row r="3">
          <cell r="B3">
            <v>1024</v>
          </cell>
        </row>
        <row r="4">
          <cell r="B4">
            <v>157.029</v>
          </cell>
        </row>
      </sheetData>
    </sheetDataSet>
  </externalBook>
</externalLink>
</file>

<file path=xl/externalLinks/externalLink4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3-CL-dist-4"/>
    </sheetNames>
    <sheetDataSet>
      <sheetData sheetId="0">
        <row r="3">
          <cell r="B3">
            <v>1024</v>
          </cell>
        </row>
        <row r="4">
          <cell r="B4">
            <v>58.249499999999998</v>
          </cell>
        </row>
      </sheetData>
    </sheetDataSet>
  </externalBook>
</externalLink>
</file>

<file path=xl/externalLinks/externalLink4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4-CL-dist-1"/>
    </sheetNames>
    <sheetDataSet>
      <sheetData sheetId="0">
        <row r="3">
          <cell r="B3">
            <v>1024</v>
          </cell>
        </row>
        <row r="4">
          <cell r="B4">
            <v>850.76700000000005</v>
          </cell>
        </row>
      </sheetData>
    </sheetDataSet>
  </externalBook>
</externalLink>
</file>

<file path=xl/externalLinks/externalLink4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4-CL-dist-2"/>
    </sheetNames>
    <sheetDataSet>
      <sheetData sheetId="0">
        <row r="3">
          <cell r="B3">
            <v>1024</v>
          </cell>
        </row>
        <row r="4">
          <cell r="B4">
            <v>613.96799999999996</v>
          </cell>
        </row>
      </sheetData>
    </sheetDataSet>
  </externalBook>
</externalLink>
</file>

<file path=xl/externalLinks/externalLink4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4-CL-dist-3"/>
    </sheetNames>
    <sheetDataSet>
      <sheetData sheetId="0">
        <row r="3">
          <cell r="B3">
            <v>1024</v>
          </cell>
        </row>
        <row r="4">
          <cell r="B4">
            <v>327.81200000000001</v>
          </cell>
        </row>
      </sheetData>
    </sheetDataSet>
  </externalBook>
</externalLink>
</file>

<file path=xl/externalLinks/externalLink4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4-CL-dist-4"/>
    </sheetNames>
    <sheetDataSet>
      <sheetData sheetId="0">
        <row r="3">
          <cell r="B3">
            <v>1024</v>
          </cell>
        </row>
        <row r="4">
          <cell r="B4">
            <v>68.154200000000003</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112</v>
          </cell>
        </row>
        <row r="4">
          <cell r="B4">
            <v>7.3983218661221208</v>
          </cell>
          <cell r="C4">
            <v>7.4289847622504031</v>
          </cell>
        </row>
        <row r="112">
          <cell r="W112">
            <v>5.253673450294329</v>
          </cell>
          <cell r="Z112">
            <v>9.6965652672389826</v>
          </cell>
        </row>
      </sheetData>
      <sheetData sheetId="4">
        <row r="9">
          <cell r="B9">
            <v>8.7077823412737541</v>
          </cell>
          <cell r="C9">
            <v>8.1476380279742724</v>
          </cell>
          <cell r="D9">
            <v>6.5553949316204596</v>
          </cell>
          <cell r="E9">
            <v>5.8282763354919327</v>
          </cell>
          <cell r="F9">
            <v>7.1744560302212737</v>
          </cell>
          <cell r="G9">
            <v>7.815258875300942</v>
          </cell>
          <cell r="H9">
            <v>6.8227203087167121</v>
          </cell>
          <cell r="I9">
            <v>7.1474034133275834</v>
          </cell>
          <cell r="J9">
            <v>7.1344530046791954</v>
          </cell>
          <cell r="K9">
            <v>9.080351112101134</v>
          </cell>
          <cell r="L9">
            <v>7.2204794819314264</v>
          </cell>
          <cell r="N9">
            <v>7.5425290000248824</v>
          </cell>
          <cell r="O9">
            <v>7.4212921693307896</v>
          </cell>
          <cell r="P9">
            <v>7.1744560302212737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5-CL-dist-1"/>
    </sheetNames>
    <sheetDataSet>
      <sheetData sheetId="0">
        <row r="3">
          <cell r="B3">
            <v>1024</v>
          </cell>
        </row>
        <row r="4">
          <cell r="B4">
            <v>567.90599999999995</v>
          </cell>
        </row>
      </sheetData>
    </sheetDataSet>
  </externalBook>
</externalLink>
</file>

<file path=xl/externalLinks/externalLink4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5-CL-dist-2"/>
    </sheetNames>
    <sheetDataSet>
      <sheetData sheetId="0">
        <row r="3">
          <cell r="B3">
            <v>1024</v>
          </cell>
        </row>
        <row r="4">
          <cell r="B4">
            <v>471.23899999999998</v>
          </cell>
        </row>
      </sheetData>
    </sheetDataSet>
  </externalBook>
</externalLink>
</file>

<file path=xl/externalLinks/externalLink4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5-CL-dist-3"/>
    </sheetNames>
    <sheetDataSet>
      <sheetData sheetId="0">
        <row r="3">
          <cell r="B3">
            <v>1024</v>
          </cell>
        </row>
        <row r="4">
          <cell r="B4">
            <v>188.13800000000001</v>
          </cell>
        </row>
      </sheetData>
    </sheetDataSet>
  </externalBook>
</externalLink>
</file>

<file path=xl/externalLinks/externalLink4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5-CL-dist-4"/>
    </sheetNames>
    <sheetDataSet>
      <sheetData sheetId="0">
        <row r="3">
          <cell r="B3">
            <v>1024</v>
          </cell>
        </row>
        <row r="4">
          <cell r="B4">
            <v>16.970600000000001</v>
          </cell>
        </row>
      </sheetData>
    </sheetDataSet>
  </externalBook>
</externalLink>
</file>

<file path=xl/externalLinks/externalLink4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6-CL-dist-1"/>
    </sheetNames>
    <sheetDataSet>
      <sheetData sheetId="0">
        <row r="3">
          <cell r="B3">
            <v>1024</v>
          </cell>
        </row>
        <row r="4">
          <cell r="B4">
            <v>652.44200000000001</v>
          </cell>
        </row>
      </sheetData>
    </sheetDataSet>
  </externalBook>
</externalLink>
</file>

<file path=xl/externalLinks/externalLink4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6-CL-dist-2"/>
    </sheetNames>
    <sheetDataSet>
      <sheetData sheetId="0">
        <row r="3">
          <cell r="B3">
            <v>1024</v>
          </cell>
        </row>
        <row r="4">
          <cell r="B4">
            <v>347.75400000000002</v>
          </cell>
        </row>
      </sheetData>
    </sheetDataSet>
  </externalBook>
</externalLink>
</file>

<file path=xl/externalLinks/externalLink4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6-CL-dist-3"/>
    </sheetNames>
    <sheetDataSet>
      <sheetData sheetId="0">
        <row r="3">
          <cell r="B3">
            <v>1024</v>
          </cell>
        </row>
        <row r="4">
          <cell r="B4">
            <v>253.10300000000001</v>
          </cell>
        </row>
      </sheetData>
    </sheetDataSet>
  </externalBook>
</externalLink>
</file>

<file path=xl/externalLinks/externalLink4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6-CL-dist-4"/>
    </sheetNames>
    <sheetDataSet>
      <sheetData sheetId="0">
        <row r="3">
          <cell r="B3">
            <v>1024</v>
          </cell>
        </row>
        <row r="4">
          <cell r="B4">
            <v>32.062399999999997</v>
          </cell>
        </row>
      </sheetData>
    </sheetDataSet>
  </externalBook>
</externalLink>
</file>

<file path=xl/externalLinks/externalLink4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7-CL-dist-1"/>
    </sheetNames>
    <sheetDataSet>
      <sheetData sheetId="0">
        <row r="3">
          <cell r="B3">
            <v>1024</v>
          </cell>
        </row>
        <row r="4">
          <cell r="B4">
            <v>445.66899999999998</v>
          </cell>
        </row>
      </sheetData>
    </sheetDataSet>
  </externalBook>
</externalLink>
</file>

<file path=xl/externalLinks/externalLink4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7-CL-dist-2"/>
    </sheetNames>
    <sheetDataSet>
      <sheetData sheetId="0">
        <row r="3">
          <cell r="B3">
            <v>1024</v>
          </cell>
        </row>
        <row r="4">
          <cell r="B4">
            <v>173.773</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0.9814702357063223</v>
          </cell>
          <cell r="C4">
            <v>1.3481290623253281</v>
          </cell>
        </row>
        <row r="106">
          <cell r="W106">
            <v>5.2529168298873831E-6</v>
          </cell>
          <cell r="Z106">
            <v>3.7011387788721191</v>
          </cell>
        </row>
      </sheetData>
      <sheetData sheetId="4">
        <row r="9">
          <cell r="B9">
            <v>0.91860092111103153</v>
          </cell>
          <cell r="C9">
            <v>0.13487858126966257</v>
          </cell>
          <cell r="D9">
            <v>4.8523097000000001E-2</v>
          </cell>
          <cell r="E9">
            <v>1.7093659937963301</v>
          </cell>
          <cell r="F9">
            <v>2.0100899655576576</v>
          </cell>
          <cell r="G9">
            <v>2.6771568708742546</v>
          </cell>
          <cell r="H9">
            <v>2.0088106827915979</v>
          </cell>
          <cell r="I9">
            <v>2.8600046852286631</v>
          </cell>
          <cell r="J9">
            <v>3.0965990320681862</v>
          </cell>
          <cell r="K9">
            <v>4.1236370829176598</v>
          </cell>
          <cell r="L9">
            <v>4.3825036075600661</v>
          </cell>
          <cell r="N9">
            <v>1.0644145766493598</v>
          </cell>
          <cell r="O9">
            <v>2.17910641092501</v>
          </cell>
          <cell r="P9">
            <v>2.0100899655576576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7-CL-dist-3"/>
    </sheetNames>
    <sheetDataSet>
      <sheetData sheetId="0">
        <row r="3">
          <cell r="B3">
            <v>1024</v>
          </cell>
        </row>
        <row r="4">
          <cell r="B4">
            <v>65.764700000000005</v>
          </cell>
        </row>
      </sheetData>
    </sheetDataSet>
  </externalBook>
</externalLink>
</file>

<file path=xl/externalLinks/externalLink4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8-CL-dist-1"/>
    </sheetNames>
    <sheetDataSet>
      <sheetData sheetId="0">
        <row r="3">
          <cell r="B3">
            <v>1024</v>
          </cell>
        </row>
        <row r="4">
          <cell r="B4">
            <v>762.87099999999998</v>
          </cell>
        </row>
      </sheetData>
    </sheetDataSet>
  </externalBook>
</externalLink>
</file>

<file path=xl/externalLinks/externalLink4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8-CL-dist-2"/>
    </sheetNames>
    <sheetDataSet>
      <sheetData sheetId="0">
        <row r="3">
          <cell r="B3">
            <v>1024</v>
          </cell>
        </row>
        <row r="4">
          <cell r="B4">
            <v>439.36900000000003</v>
          </cell>
        </row>
      </sheetData>
    </sheetDataSet>
  </externalBook>
</externalLink>
</file>

<file path=xl/externalLinks/externalLink4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8-CL-dist-3"/>
    </sheetNames>
    <sheetDataSet>
      <sheetData sheetId="0">
        <row r="3">
          <cell r="B3">
            <v>1024</v>
          </cell>
        </row>
        <row r="4">
          <cell r="B4">
            <v>271.81200000000001</v>
          </cell>
        </row>
      </sheetData>
    </sheetDataSet>
  </externalBook>
</externalLink>
</file>

<file path=xl/externalLinks/externalLink4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8-CL-dist-4"/>
    </sheetNames>
    <sheetDataSet>
      <sheetData sheetId="0">
        <row r="3">
          <cell r="B3">
            <v>1024</v>
          </cell>
        </row>
        <row r="4">
          <cell r="B4">
            <v>50.448</v>
          </cell>
        </row>
      </sheetData>
    </sheetDataSet>
  </externalBook>
</externalLink>
</file>

<file path=xl/externalLinks/externalLink4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9-CL-dist-1"/>
    </sheetNames>
    <sheetDataSet>
      <sheetData sheetId="0">
        <row r="3">
          <cell r="B3">
            <v>1024</v>
          </cell>
        </row>
        <row r="4">
          <cell r="B4">
            <v>437.39299999999997</v>
          </cell>
        </row>
      </sheetData>
    </sheetDataSet>
  </externalBook>
</externalLink>
</file>

<file path=xl/externalLinks/externalLink4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9-CL-dist-2"/>
    </sheetNames>
    <sheetDataSet>
      <sheetData sheetId="0">
        <row r="3">
          <cell r="B3">
            <v>1024</v>
          </cell>
        </row>
        <row r="4">
          <cell r="B4">
            <v>222.40700000000001</v>
          </cell>
        </row>
      </sheetData>
    </sheetDataSet>
  </externalBook>
</externalLink>
</file>

<file path=xl/externalLinks/externalLink4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09-CL-dist-3"/>
    </sheetNames>
    <sheetDataSet>
      <sheetData sheetId="0">
        <row r="3">
          <cell r="B3">
            <v>1024</v>
          </cell>
        </row>
        <row r="4">
          <cell r="B4">
            <v>16.124500000000001</v>
          </cell>
        </row>
      </sheetData>
    </sheetDataSet>
  </externalBook>
</externalLink>
</file>

<file path=xl/externalLinks/externalLink4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10-CL-dist-1"/>
    </sheetNames>
    <sheetDataSet>
      <sheetData sheetId="0">
        <row r="3">
          <cell r="B3">
            <v>1024</v>
          </cell>
        </row>
        <row r="4">
          <cell r="B4">
            <v>331.30799999999999</v>
          </cell>
        </row>
      </sheetData>
    </sheetDataSet>
  </externalBook>
</externalLink>
</file>

<file path=xl/externalLinks/externalLink4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10-CL-dist-2"/>
    </sheetNames>
    <sheetDataSet>
      <sheetData sheetId="0">
        <row r="3">
          <cell r="B3">
            <v>1024</v>
          </cell>
        </row>
        <row r="4">
          <cell r="B4">
            <v>302.76100000000002</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76</v>
          </cell>
        </row>
        <row r="4">
          <cell r="B4">
            <v>0.84981351630536461</v>
          </cell>
          <cell r="C4">
            <v>0.80815244777903505</v>
          </cell>
        </row>
        <row r="76">
          <cell r="W76">
            <v>3.3433051777091016E-4</v>
          </cell>
          <cell r="Z76">
            <v>1.7126473187786662</v>
          </cell>
        </row>
      </sheetData>
      <sheetData sheetId="4">
        <row r="9">
          <cell r="B9">
            <v>0.35533209543987776</v>
          </cell>
          <cell r="C9">
            <v>0.91238787970197333</v>
          </cell>
          <cell r="D9">
            <v>1.4881488963289984</v>
          </cell>
          <cell r="E9">
            <v>1.339699323689904</v>
          </cell>
          <cell r="F9">
            <v>0.76914415884586873</v>
          </cell>
          <cell r="G9">
            <v>0.67000991620942063</v>
          </cell>
          <cell r="H9">
            <v>1.186832238284284</v>
          </cell>
          <cell r="I9">
            <v>0.26506007278613031</v>
          </cell>
          <cell r="J9">
            <v>0.63116784985391006</v>
          </cell>
          <cell r="K9">
            <v>0.24047786449836911</v>
          </cell>
          <cell r="L9">
            <v>0.3036822730058763</v>
          </cell>
          <cell r="N9">
            <v>1.0404629267993928</v>
          </cell>
          <cell r="O9">
            <v>0.74199477896769206</v>
          </cell>
          <cell r="P9">
            <v>0.67000991620942063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10-CL-dist-3"/>
    </sheetNames>
    <sheetDataSet>
      <sheetData sheetId="0">
        <row r="3">
          <cell r="B3">
            <v>1024</v>
          </cell>
        </row>
        <row r="4">
          <cell r="B4">
            <v>498.41399999999999</v>
          </cell>
        </row>
      </sheetData>
    </sheetDataSet>
  </externalBook>
</externalLink>
</file>

<file path=xl/externalLinks/externalLink4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10-CL-dist-4"/>
    </sheetNames>
    <sheetDataSet>
      <sheetData sheetId="0">
        <row r="3">
          <cell r="B3">
            <v>1024</v>
          </cell>
        </row>
        <row r="4">
          <cell r="B4">
            <v>158.24</v>
          </cell>
        </row>
      </sheetData>
    </sheetDataSet>
  </externalBook>
</externalLink>
</file>

<file path=xl/externalLinks/externalLink4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10-CL-dist-5"/>
    </sheetNames>
    <sheetDataSet>
      <sheetData sheetId="0">
        <row r="3">
          <cell r="B3">
            <v>1024</v>
          </cell>
        </row>
        <row r="4">
          <cell r="B4">
            <v>47.539499999999997</v>
          </cell>
        </row>
      </sheetData>
    </sheetDataSet>
  </externalBook>
</externalLink>
</file>

<file path=xl/externalLinks/externalLink4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11-CL-dist-1"/>
    </sheetNames>
    <sheetDataSet>
      <sheetData sheetId="0">
        <row r="3">
          <cell r="B3">
            <v>1024</v>
          </cell>
        </row>
        <row r="4">
          <cell r="B4">
            <v>215.66900000000001</v>
          </cell>
        </row>
      </sheetData>
    </sheetDataSet>
  </externalBook>
</externalLink>
</file>

<file path=xl/externalLinks/externalLink4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11-CL-dist-2"/>
    </sheetNames>
    <sheetDataSet>
      <sheetData sheetId="0">
        <row r="3">
          <cell r="B3">
            <v>1024</v>
          </cell>
        </row>
        <row r="4">
          <cell r="B4">
            <v>142.636</v>
          </cell>
        </row>
      </sheetData>
    </sheetDataSet>
  </externalBook>
</externalLink>
</file>

<file path=xl/externalLinks/externalLink4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12-CL-dist-1"/>
    </sheetNames>
    <sheetDataSet>
      <sheetData sheetId="0">
        <row r="3">
          <cell r="B3">
            <v>1024</v>
          </cell>
        </row>
        <row r="4">
          <cell r="B4">
            <v>327.11599999999999</v>
          </cell>
        </row>
      </sheetData>
    </sheetDataSet>
  </externalBook>
</externalLink>
</file>

<file path=xl/externalLinks/externalLink4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12-CL-dist-2"/>
    </sheetNames>
    <sheetDataSet>
      <sheetData sheetId="0">
        <row r="3">
          <cell r="B3">
            <v>1024</v>
          </cell>
        </row>
        <row r="4">
          <cell r="B4">
            <v>628.90800000000002</v>
          </cell>
        </row>
      </sheetData>
    </sheetDataSet>
  </externalBook>
</externalLink>
</file>

<file path=xl/externalLinks/externalLink4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12-CL-dist-3"/>
    </sheetNames>
    <sheetDataSet>
      <sheetData sheetId="0">
        <row r="3">
          <cell r="B3">
            <v>1024</v>
          </cell>
        </row>
        <row r="4">
          <cell r="B4">
            <v>231.08699999999999</v>
          </cell>
        </row>
      </sheetData>
    </sheetDataSet>
  </externalBook>
</externalLink>
</file>

<file path=xl/externalLinks/externalLink4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1-qtz12-CL-dist-4"/>
    </sheetNames>
    <sheetDataSet>
      <sheetData sheetId="0">
        <row r="3">
          <cell r="B3">
            <v>1024</v>
          </cell>
        </row>
        <row r="4">
          <cell r="B4">
            <v>49.679000000000002</v>
          </cell>
        </row>
      </sheetData>
    </sheetDataSet>
  </externalBook>
</externalLink>
</file>

<file path=xl/externalLinks/externalLink4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1-CL-dist-1"/>
    </sheetNames>
    <sheetDataSet>
      <sheetData sheetId="0">
        <row r="3">
          <cell r="B3">
            <v>1024</v>
          </cell>
        </row>
        <row r="4">
          <cell r="B4">
            <v>428.56200000000001</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108</v>
          </cell>
        </row>
        <row r="4">
          <cell r="B4">
            <v>6.671680347328854</v>
          </cell>
          <cell r="C4">
            <v>6.9442207230295017</v>
          </cell>
        </row>
        <row r="108">
          <cell r="W108">
            <v>1.2544573398284877</v>
          </cell>
          <cell r="Z108">
            <v>13.000721276847768</v>
          </cell>
        </row>
      </sheetData>
      <sheetData sheetId="4">
        <row r="9">
          <cell r="B9">
            <v>7.0936431873854726</v>
          </cell>
          <cell r="C9">
            <v>8.8535479969842363</v>
          </cell>
          <cell r="D9">
            <v>7.6757504751240528</v>
          </cell>
          <cell r="E9">
            <v>7.0614409168336296</v>
          </cell>
          <cell r="F9">
            <v>3.3122226285270915</v>
          </cell>
          <cell r="G9">
            <v>4.728043131980864</v>
          </cell>
          <cell r="H9">
            <v>6.7934220758332469</v>
          </cell>
          <cell r="I9">
            <v>8.4757278499837092</v>
          </cell>
          <cell r="J9">
            <v>10.622704733808302</v>
          </cell>
          <cell r="K9">
            <v>7.9066044321490727</v>
          </cell>
          <cell r="L9">
            <v>7.9520747445582183</v>
          </cell>
          <cell r="N9">
            <v>7.2642370263777556</v>
          </cell>
          <cell r="O9">
            <v>7.3159256521061726</v>
          </cell>
          <cell r="P9">
            <v>7.6757504751240528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1-CL-dist-2"/>
    </sheetNames>
    <sheetDataSet>
      <sheetData sheetId="0">
        <row r="3">
          <cell r="B3">
            <v>1024</v>
          </cell>
        </row>
        <row r="4">
          <cell r="B4">
            <v>195.87</v>
          </cell>
        </row>
      </sheetData>
    </sheetDataSet>
  </externalBook>
</externalLink>
</file>

<file path=xl/externalLinks/externalLink4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1-CL-dist-3"/>
    </sheetNames>
    <sheetDataSet>
      <sheetData sheetId="0">
        <row r="3">
          <cell r="B3">
            <v>1024</v>
          </cell>
        </row>
        <row r="4">
          <cell r="B4">
            <v>254.892</v>
          </cell>
        </row>
      </sheetData>
    </sheetDataSet>
  </externalBook>
</externalLink>
</file>

<file path=xl/externalLinks/externalLink4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1-CL-dist-4"/>
    </sheetNames>
    <sheetDataSet>
      <sheetData sheetId="0">
        <row r="3">
          <cell r="B3">
            <v>1024</v>
          </cell>
        </row>
        <row r="4">
          <cell r="B4">
            <v>115.38200000000001</v>
          </cell>
        </row>
      </sheetData>
    </sheetDataSet>
  </externalBook>
</externalLink>
</file>

<file path=xl/externalLinks/externalLink4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1-CL-dist-5"/>
    </sheetNames>
    <sheetDataSet>
      <sheetData sheetId="0">
        <row r="3">
          <cell r="B3">
            <v>1024</v>
          </cell>
        </row>
        <row r="4">
          <cell r="B4">
            <v>87.726900000000001</v>
          </cell>
        </row>
      </sheetData>
    </sheetDataSet>
  </externalBook>
</externalLink>
</file>

<file path=xl/externalLinks/externalLink4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3-CL-dist-1"/>
    </sheetNames>
    <sheetDataSet>
      <sheetData sheetId="0">
        <row r="3">
          <cell r="B3">
            <v>1024</v>
          </cell>
        </row>
        <row r="4">
          <cell r="B4">
            <v>529.63900000000001</v>
          </cell>
        </row>
      </sheetData>
    </sheetDataSet>
  </externalBook>
</externalLink>
</file>

<file path=xl/externalLinks/externalLink4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3-CL-dist-2"/>
    </sheetNames>
    <sheetDataSet>
      <sheetData sheetId="0">
        <row r="3">
          <cell r="B3">
            <v>1024</v>
          </cell>
        </row>
        <row r="4">
          <cell r="B4">
            <v>496.01600000000002</v>
          </cell>
        </row>
      </sheetData>
    </sheetDataSet>
  </externalBook>
</externalLink>
</file>

<file path=xl/externalLinks/externalLink4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3-CL-dist-3"/>
    </sheetNames>
    <sheetDataSet>
      <sheetData sheetId="0">
        <row r="3">
          <cell r="B3">
            <v>1024</v>
          </cell>
        </row>
        <row r="4">
          <cell r="B4">
            <v>385.012</v>
          </cell>
        </row>
      </sheetData>
    </sheetDataSet>
  </externalBook>
</externalLink>
</file>

<file path=xl/externalLinks/externalLink4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3-CL-dist-4"/>
    </sheetNames>
    <sheetDataSet>
      <sheetData sheetId="0">
        <row r="3">
          <cell r="B3">
            <v>1024</v>
          </cell>
        </row>
        <row r="4">
          <cell r="B4">
            <v>225.80099999999999</v>
          </cell>
        </row>
      </sheetData>
    </sheetDataSet>
  </externalBook>
</externalLink>
</file>

<file path=xl/externalLinks/externalLink4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3-CL-dist-5"/>
    </sheetNames>
    <sheetDataSet>
      <sheetData sheetId="0">
        <row r="3">
          <cell r="B3">
            <v>1024</v>
          </cell>
        </row>
        <row r="4">
          <cell r="B4">
            <v>119.331</v>
          </cell>
        </row>
      </sheetData>
    </sheetDataSet>
  </externalBook>
</externalLink>
</file>

<file path=xl/externalLinks/externalLink4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3-CL-dist-6"/>
    </sheetNames>
    <sheetDataSet>
      <sheetData sheetId="0">
        <row r="3">
          <cell r="B3">
            <v>1024</v>
          </cell>
        </row>
        <row r="4">
          <cell r="B4">
            <v>64.288399999999996</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158</v>
          </cell>
        </row>
        <row r="4">
          <cell r="B4">
            <v>8.257235997508511</v>
          </cell>
          <cell r="C4">
            <v>8.3714450213165836</v>
          </cell>
        </row>
        <row r="158">
          <cell r="W158">
            <v>5.8157284702558325</v>
          </cell>
          <cell r="Z158">
            <v>11.897950940107052</v>
          </cell>
        </row>
      </sheetData>
      <sheetData sheetId="4">
        <row r="9">
          <cell r="B9">
            <v>8.5315799000000005</v>
          </cell>
          <cell r="C9">
            <v>9.250145099567451</v>
          </cell>
          <cell r="D9">
            <v>8.7240266000000002</v>
          </cell>
          <cell r="E9">
            <v>6.092610902993183</v>
          </cell>
          <cell r="F9">
            <v>6.6910252488392628</v>
          </cell>
          <cell r="G9">
            <v>9.4273075169070299</v>
          </cell>
          <cell r="H9">
            <v>8.1045540999999997</v>
          </cell>
          <cell r="I9">
            <v>10.073615999999999</v>
          </cell>
          <cell r="J9">
            <v>10.503377111660575</v>
          </cell>
          <cell r="K9">
            <v>8.9796147000000008</v>
          </cell>
          <cell r="L9">
            <v>10.319436706692018</v>
          </cell>
          <cell r="N9">
            <v>8.6694805000000006</v>
          </cell>
          <cell r="O9">
            <v>8.7906630806054107</v>
          </cell>
          <cell r="P9">
            <v>8.9796147000000008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4-CL-dist-1"/>
    </sheetNames>
    <sheetDataSet>
      <sheetData sheetId="0">
        <row r="3">
          <cell r="B3">
            <v>1024</v>
          </cell>
        </row>
        <row r="4">
          <cell r="B4">
            <v>732.13400000000001</v>
          </cell>
        </row>
      </sheetData>
    </sheetDataSet>
  </externalBook>
</externalLink>
</file>

<file path=xl/externalLinks/externalLink4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4-CL-dist-2"/>
    </sheetNames>
    <sheetDataSet>
      <sheetData sheetId="0">
        <row r="3">
          <cell r="B3">
            <v>1024</v>
          </cell>
        </row>
        <row r="4">
          <cell r="B4">
            <v>576.82799999999997</v>
          </cell>
        </row>
      </sheetData>
    </sheetDataSet>
  </externalBook>
</externalLink>
</file>

<file path=xl/externalLinks/externalLink4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4-CL-dist-3"/>
    </sheetNames>
    <sheetDataSet>
      <sheetData sheetId="0">
        <row r="3">
          <cell r="B3">
            <v>1024</v>
          </cell>
        </row>
        <row r="4">
          <cell r="B4">
            <v>312.84699999999998</v>
          </cell>
        </row>
      </sheetData>
    </sheetDataSet>
  </externalBook>
</externalLink>
</file>

<file path=xl/externalLinks/externalLink4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4-CL-dist-4"/>
    </sheetNames>
    <sheetDataSet>
      <sheetData sheetId="0">
        <row r="3">
          <cell r="B3">
            <v>1024</v>
          </cell>
        </row>
        <row r="4">
          <cell r="B4">
            <v>115.378</v>
          </cell>
        </row>
      </sheetData>
    </sheetDataSet>
  </externalBook>
</externalLink>
</file>

<file path=xl/externalLinks/externalLink4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4-CL-dist-5"/>
    </sheetNames>
    <sheetDataSet>
      <sheetData sheetId="0">
        <row r="3">
          <cell r="B3">
            <v>1024</v>
          </cell>
        </row>
        <row r="4">
          <cell r="B4">
            <v>39.661099999999998</v>
          </cell>
        </row>
      </sheetData>
    </sheetDataSet>
  </externalBook>
</externalLink>
</file>

<file path=xl/externalLinks/externalLink4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5-CL-dist-1"/>
    </sheetNames>
    <sheetDataSet>
      <sheetData sheetId="0">
        <row r="4">
          <cell r="B4">
            <v>220.67599999999999</v>
          </cell>
        </row>
      </sheetData>
    </sheetDataSet>
  </externalBook>
</externalLink>
</file>

<file path=xl/externalLinks/externalLink4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5-CL-dist-2"/>
    </sheetNames>
    <sheetDataSet>
      <sheetData sheetId="0">
        <row r="3">
          <cell r="B3">
            <v>1024</v>
          </cell>
        </row>
        <row r="4">
          <cell r="B4">
            <v>213.38499999999999</v>
          </cell>
        </row>
      </sheetData>
    </sheetDataSet>
  </externalBook>
</externalLink>
</file>

<file path=xl/externalLinks/externalLink4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5-CL-dist-3"/>
    </sheetNames>
    <sheetDataSet>
      <sheetData sheetId="0">
        <row r="3">
          <cell r="B3">
            <v>1024</v>
          </cell>
        </row>
        <row r="4">
          <cell r="B4">
            <v>138.15899999999999</v>
          </cell>
        </row>
      </sheetData>
    </sheetDataSet>
  </externalBook>
</externalLink>
</file>

<file path=xl/externalLinks/externalLink4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6-CL-dist-1"/>
    </sheetNames>
    <sheetDataSet>
      <sheetData sheetId="0">
        <row r="3">
          <cell r="B3">
            <v>1024</v>
          </cell>
        </row>
        <row r="4">
          <cell r="B4">
            <v>684.67899999999997</v>
          </cell>
        </row>
      </sheetData>
    </sheetDataSet>
  </externalBook>
</externalLink>
</file>

<file path=xl/externalLinks/externalLink4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6-CL-dist-2"/>
    </sheetNames>
    <sheetDataSet>
      <sheetData sheetId="0">
        <row r="3">
          <cell r="B3">
            <v>1024</v>
          </cell>
        </row>
        <row r="4">
          <cell r="B4">
            <v>431.06599999999997</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164</v>
          </cell>
        </row>
        <row r="4">
          <cell r="B4">
            <v>6.2763566852869346</v>
          </cell>
          <cell r="C4">
            <v>6.240289925384328</v>
          </cell>
        </row>
        <row r="164">
          <cell r="W164">
            <v>4.3499124598730248</v>
          </cell>
          <cell r="Z164">
            <v>8.022997043849637</v>
          </cell>
        </row>
      </sheetData>
      <sheetData sheetId="4">
        <row r="9">
          <cell r="B9">
            <v>7.2316169373022969</v>
          </cell>
          <cell r="C9">
            <v>6.5821618831660134</v>
          </cell>
          <cell r="D9">
            <v>5.5529674901919783</v>
          </cell>
          <cell r="E9">
            <v>6.9310804776052821</v>
          </cell>
          <cell r="F9">
            <v>3.164968730384353</v>
          </cell>
          <cell r="G9">
            <v>6.0817121475337279</v>
          </cell>
          <cell r="H9">
            <v>6.4797281747420623</v>
          </cell>
          <cell r="I9">
            <v>6.5924459000000004</v>
          </cell>
          <cell r="J9">
            <v>6.3936826</v>
          </cell>
          <cell r="K9">
            <v>7.1318826376004347</v>
          </cell>
          <cell r="L9">
            <v>5.7130582063394506</v>
          </cell>
          <cell r="N9">
            <v>6.3032815723332307</v>
          </cell>
          <cell r="O9">
            <v>6.1686641077150544</v>
          </cell>
          <cell r="P9">
            <v>6.4797281747420623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6-CL-dist-3"/>
    </sheetNames>
    <sheetDataSet>
      <sheetData sheetId="0">
        <row r="3">
          <cell r="B3">
            <v>1024</v>
          </cell>
        </row>
        <row r="4">
          <cell r="B4">
            <v>216.72300000000001</v>
          </cell>
        </row>
      </sheetData>
    </sheetDataSet>
  </externalBook>
</externalLink>
</file>

<file path=xl/externalLinks/externalLink4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6-CL-dist-4"/>
    </sheetNames>
    <sheetDataSet>
      <sheetData sheetId="0">
        <row r="3">
          <cell r="B3">
            <v>1024</v>
          </cell>
        </row>
        <row r="4">
          <cell r="B4">
            <v>64.007800000000003</v>
          </cell>
        </row>
      </sheetData>
    </sheetDataSet>
  </externalBook>
</externalLink>
</file>

<file path=xl/externalLinks/externalLink4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7-CL-dist-1"/>
    </sheetNames>
    <sheetDataSet>
      <sheetData sheetId="0">
        <row r="3">
          <cell r="B3">
            <v>1024</v>
          </cell>
        </row>
        <row r="4">
          <cell r="B4">
            <v>611.49800000000005</v>
          </cell>
        </row>
      </sheetData>
    </sheetDataSet>
  </externalBook>
</externalLink>
</file>

<file path=xl/externalLinks/externalLink4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7-CL-dist-2"/>
    </sheetNames>
    <sheetDataSet>
      <sheetData sheetId="0">
        <row r="3">
          <cell r="B3">
            <v>1024</v>
          </cell>
        </row>
        <row r="4">
          <cell r="B4">
            <v>396.87900000000002</v>
          </cell>
        </row>
      </sheetData>
    </sheetDataSet>
  </externalBook>
</externalLink>
</file>

<file path=xl/externalLinks/externalLink4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7-CL-dist-3"/>
    </sheetNames>
    <sheetDataSet>
      <sheetData sheetId="0">
        <row r="3">
          <cell r="B3">
            <v>1024</v>
          </cell>
        </row>
        <row r="4">
          <cell r="B4">
            <v>254.37200000000001</v>
          </cell>
        </row>
      </sheetData>
    </sheetDataSet>
  </externalBook>
</externalLink>
</file>

<file path=xl/externalLinks/externalLink4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7-CL-dist-4"/>
    </sheetNames>
    <sheetDataSet>
      <sheetData sheetId="0">
        <row r="3">
          <cell r="B3">
            <v>1024</v>
          </cell>
        </row>
        <row r="4">
          <cell r="B4">
            <v>51.009799999999998</v>
          </cell>
        </row>
      </sheetData>
    </sheetDataSet>
  </externalBook>
</externalLink>
</file>

<file path=xl/externalLinks/externalLink4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8-CL-dist-1"/>
    </sheetNames>
    <sheetDataSet>
      <sheetData sheetId="0">
        <row r="3">
          <cell r="B3">
            <v>1024</v>
          </cell>
        </row>
        <row r="4">
          <cell r="B4">
            <v>506.32</v>
          </cell>
        </row>
      </sheetData>
    </sheetDataSet>
  </externalBook>
</externalLink>
</file>

<file path=xl/externalLinks/externalLink4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8-CL-dist-2"/>
    </sheetNames>
    <sheetDataSet>
      <sheetData sheetId="0">
        <row r="3">
          <cell r="B3">
            <v>1024</v>
          </cell>
        </row>
        <row r="4">
          <cell r="B4">
            <v>454.01</v>
          </cell>
        </row>
      </sheetData>
    </sheetDataSet>
  </externalBook>
</externalLink>
</file>

<file path=xl/externalLinks/externalLink4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8-CL-dist-3"/>
    </sheetNames>
    <sheetDataSet>
      <sheetData sheetId="0">
        <row r="3">
          <cell r="B3">
            <v>1024</v>
          </cell>
        </row>
        <row r="4">
          <cell r="B4">
            <v>400.18</v>
          </cell>
        </row>
      </sheetData>
    </sheetDataSet>
  </externalBook>
</externalLink>
</file>

<file path=xl/externalLinks/externalLink4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8-CL-dist-4"/>
    </sheetNames>
    <sheetDataSet>
      <sheetData sheetId="0">
        <row r="3">
          <cell r="B3">
            <v>1024</v>
          </cell>
        </row>
        <row r="4">
          <cell r="B4">
            <v>222.18199999999999</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80</v>
          </cell>
        </row>
        <row r="4">
          <cell r="B4">
            <v>1.8673559644731568</v>
          </cell>
          <cell r="C4">
            <v>1.8361429386541201</v>
          </cell>
        </row>
        <row r="80">
          <cell r="W80">
            <v>0.91759130697360436</v>
          </cell>
          <cell r="Z80">
            <v>2.5093152999999999</v>
          </cell>
        </row>
      </sheetData>
      <sheetData sheetId="4">
        <row r="9">
          <cell r="B9">
            <v>1.4849590891891309</v>
          </cell>
          <cell r="C9">
            <v>1.4669097799456861</v>
          </cell>
          <cell r="D9">
            <v>1.8174598889414684</v>
          </cell>
          <cell r="E9">
            <v>1.8376206062029843</v>
          </cell>
          <cell r="F9">
            <v>2.2454796410424431</v>
          </cell>
          <cell r="G9">
            <v>1.7867274407038376</v>
          </cell>
          <cell r="H9">
            <v>1.9829374024958974</v>
          </cell>
          <cell r="I9">
            <v>1.8348711717194932</v>
          </cell>
          <cell r="J9">
            <v>1.9739386640746215</v>
          </cell>
          <cell r="K9">
            <v>2.0960127685000227</v>
          </cell>
          <cell r="L9">
            <v>1.8228022859683468</v>
          </cell>
          <cell r="N9">
            <v>1.865895549070792</v>
          </cell>
          <cell r="O9">
            <v>1.8499744307985393</v>
          </cell>
          <cell r="P9">
            <v>1.8348711717194932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8-CL-dist-5"/>
    </sheetNames>
    <sheetDataSet>
      <sheetData sheetId="0">
        <row r="3">
          <cell r="B3">
            <v>1024</v>
          </cell>
        </row>
        <row r="4">
          <cell r="B4">
            <v>166.19300000000001</v>
          </cell>
        </row>
      </sheetData>
    </sheetDataSet>
  </externalBook>
</externalLink>
</file>

<file path=xl/externalLinks/externalLink4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8-CL-dist-6"/>
    </sheetNames>
    <sheetDataSet>
      <sheetData sheetId="0">
        <row r="3">
          <cell r="B3">
            <v>1024</v>
          </cell>
        </row>
        <row r="4">
          <cell r="B4">
            <v>117.068</v>
          </cell>
        </row>
      </sheetData>
    </sheetDataSet>
  </externalBook>
</externalLink>
</file>

<file path=xl/externalLinks/externalLink4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9-CL-dist-1"/>
    </sheetNames>
    <sheetDataSet>
      <sheetData sheetId="0">
        <row r="3">
          <cell r="B3">
            <v>1024</v>
          </cell>
        </row>
        <row r="4">
          <cell r="B4">
            <v>828.45899999999995</v>
          </cell>
        </row>
      </sheetData>
    </sheetDataSet>
  </externalBook>
</externalLink>
</file>

<file path=xl/externalLinks/externalLink4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9-CL-dist-2"/>
    </sheetNames>
    <sheetDataSet>
      <sheetData sheetId="0">
        <row r="3">
          <cell r="B3">
            <v>1024</v>
          </cell>
        </row>
        <row r="4">
          <cell r="B4">
            <v>678.77599999999995</v>
          </cell>
        </row>
      </sheetData>
    </sheetDataSet>
  </externalBook>
</externalLink>
</file>

<file path=xl/externalLinks/externalLink4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9-CL-dist-3"/>
    </sheetNames>
    <sheetDataSet>
      <sheetData sheetId="0">
        <row r="3">
          <cell r="B3">
            <v>1024</v>
          </cell>
        </row>
        <row r="4">
          <cell r="B4">
            <v>399.01100000000002</v>
          </cell>
        </row>
      </sheetData>
    </sheetDataSet>
  </externalBook>
</externalLink>
</file>

<file path=xl/externalLinks/externalLink4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9-CL-dist-4"/>
    </sheetNames>
    <sheetDataSet>
      <sheetData sheetId="0">
        <row r="3">
          <cell r="B3">
            <v>1024</v>
          </cell>
        </row>
        <row r="4">
          <cell r="B4">
            <v>255.267</v>
          </cell>
        </row>
      </sheetData>
    </sheetDataSet>
  </externalBook>
</externalLink>
</file>

<file path=xl/externalLinks/externalLink4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09-CL-dist-5"/>
    </sheetNames>
    <sheetDataSet>
      <sheetData sheetId="0">
        <row r="3">
          <cell r="B3">
            <v>1024</v>
          </cell>
        </row>
        <row r="4">
          <cell r="B4">
            <v>72.835400000000007</v>
          </cell>
        </row>
      </sheetData>
    </sheetDataSet>
  </externalBook>
</externalLink>
</file>

<file path=xl/externalLinks/externalLink4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10-CL-dist-1"/>
    </sheetNames>
    <sheetDataSet>
      <sheetData sheetId="0">
        <row r="3">
          <cell r="B3">
            <v>1024</v>
          </cell>
        </row>
        <row r="4">
          <cell r="B4">
            <v>557.00099999999998</v>
          </cell>
        </row>
      </sheetData>
    </sheetDataSet>
  </externalBook>
</externalLink>
</file>

<file path=xl/externalLinks/externalLink4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10-CL-dist-2"/>
    </sheetNames>
    <sheetDataSet>
      <sheetData sheetId="0">
        <row r="3">
          <cell r="B3">
            <v>1024</v>
          </cell>
        </row>
        <row r="4">
          <cell r="B4">
            <v>425.005</v>
          </cell>
        </row>
      </sheetData>
    </sheetDataSet>
  </externalBook>
</externalLink>
</file>

<file path=xl/externalLinks/externalLink4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10-CL-dist-3"/>
    </sheetNames>
    <sheetDataSet>
      <sheetData sheetId="0">
        <row r="3">
          <cell r="B3">
            <v>1024</v>
          </cell>
        </row>
        <row r="4">
          <cell r="B4">
            <v>316.00599999999997</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108</v>
          </cell>
        </row>
        <row r="4">
          <cell r="B4">
            <v>3.7877924448037188</v>
          </cell>
          <cell r="C4">
            <v>3.8554175597644846</v>
          </cell>
        </row>
        <row r="108">
          <cell r="W108">
            <v>2.3666661457203886</v>
          </cell>
          <cell r="Z108">
            <v>5.1895942347989026</v>
          </cell>
        </row>
      </sheetData>
      <sheetData sheetId="4">
        <row r="9">
          <cell r="B9">
            <v>4.1924901475974883</v>
          </cell>
          <cell r="C9">
            <v>3.5787451664719483</v>
          </cell>
          <cell r="D9">
            <v>5.1374301966635043</v>
          </cell>
          <cell r="E9">
            <v>4.6129503713841205</v>
          </cell>
          <cell r="F9">
            <v>2.9818992955659485</v>
          </cell>
          <cell r="G9">
            <v>4.0122200416273222</v>
          </cell>
          <cell r="H9">
            <v>4.0151377153587804</v>
          </cell>
          <cell r="I9">
            <v>3.4285789598388794</v>
          </cell>
          <cell r="J9">
            <v>4.115215955555362</v>
          </cell>
          <cell r="K9">
            <v>4.2091224155827884</v>
          </cell>
          <cell r="L9">
            <v>3.4375712520202653</v>
          </cell>
          <cell r="N9">
            <v>3.927990130209956</v>
          </cell>
          <cell r="O9">
            <v>3.9746692288787644</v>
          </cell>
          <cell r="P9">
            <v>4.0151377153587804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92</v>
          </cell>
        </row>
        <row r="4">
          <cell r="B4">
            <v>3.8040482212333284</v>
          </cell>
          <cell r="C4">
            <v>3.9354321457808554</v>
          </cell>
        </row>
        <row r="92">
          <cell r="W92">
            <v>2.5649840751719371</v>
          </cell>
          <cell r="Z92">
            <v>5.7147635674746038</v>
          </cell>
        </row>
      </sheetData>
      <sheetData sheetId="4">
        <row r="9">
          <cell r="B9">
            <v>4.3757463631739357</v>
          </cell>
          <cell r="C9">
            <v>3.0878115629132283</v>
          </cell>
          <cell r="D9">
            <v>3.5183614682020745</v>
          </cell>
          <cell r="E9">
            <v>3.6830602015026432</v>
          </cell>
          <cell r="F9">
            <v>3.4899847103616626</v>
          </cell>
          <cell r="G9">
            <v>4.0235769003749899</v>
          </cell>
          <cell r="H9">
            <v>4.1425696846613018</v>
          </cell>
          <cell r="I9">
            <v>3.295363990081885</v>
          </cell>
          <cell r="J9">
            <v>4.6287821254919166</v>
          </cell>
          <cell r="K9">
            <v>4.0807257500540555</v>
          </cell>
          <cell r="L9">
            <v>6.3963190592069177</v>
          </cell>
          <cell r="N9">
            <v>3.975415397250988</v>
          </cell>
          <cell r="O9">
            <v>4.0656638014567825</v>
          </cell>
          <cell r="P9">
            <v>4.0235769003749899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10-CL-dist-4"/>
    </sheetNames>
    <sheetDataSet>
      <sheetData sheetId="0">
        <row r="3">
          <cell r="B3">
            <v>1024</v>
          </cell>
        </row>
        <row r="4">
          <cell r="B4">
            <v>214.149</v>
          </cell>
        </row>
      </sheetData>
    </sheetDataSet>
  </externalBook>
</externalLink>
</file>

<file path=xl/externalLinks/externalLink5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10-CL-dist-5"/>
    </sheetNames>
    <sheetDataSet>
      <sheetData sheetId="0">
        <row r="3">
          <cell r="B3">
            <v>1024</v>
          </cell>
        </row>
        <row r="4">
          <cell r="B4">
            <v>163.68899999999999</v>
          </cell>
        </row>
      </sheetData>
    </sheetDataSet>
  </externalBook>
</externalLink>
</file>

<file path=xl/externalLinks/externalLink5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10-CL-dist-6"/>
    </sheetNames>
    <sheetDataSet>
      <sheetData sheetId="0">
        <row r="3">
          <cell r="B3">
            <v>1024</v>
          </cell>
        </row>
        <row r="4">
          <cell r="B4">
            <v>40.311300000000003</v>
          </cell>
        </row>
      </sheetData>
    </sheetDataSet>
  </externalBook>
</externalLink>
</file>

<file path=xl/externalLinks/externalLink5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11-CL-dist-1"/>
    </sheetNames>
    <sheetDataSet>
      <sheetData sheetId="0">
        <row r="3">
          <cell r="B3">
            <v>1024</v>
          </cell>
        </row>
        <row r="4">
          <cell r="B4">
            <v>525.30799999999999</v>
          </cell>
        </row>
      </sheetData>
    </sheetDataSet>
  </externalBook>
</externalLink>
</file>

<file path=xl/externalLinks/externalLink5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11-CL-dist-2"/>
    </sheetNames>
    <sheetDataSet>
      <sheetData sheetId="0">
        <row r="3">
          <cell r="B3">
            <v>1024</v>
          </cell>
        </row>
        <row r="4">
          <cell r="B4">
            <v>389.74</v>
          </cell>
        </row>
      </sheetData>
    </sheetDataSet>
  </externalBook>
</externalLink>
</file>

<file path=xl/externalLinks/externalLink5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11-CL-dist-3"/>
    </sheetNames>
    <sheetDataSet>
      <sheetData sheetId="0">
        <row r="3">
          <cell r="B3">
            <v>1024</v>
          </cell>
        </row>
        <row r="4">
          <cell r="B4">
            <v>175.23099999999999</v>
          </cell>
        </row>
      </sheetData>
    </sheetDataSet>
  </externalBook>
</externalLink>
</file>

<file path=xl/externalLinks/externalLink5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11-CL-dist-4"/>
    </sheetNames>
    <sheetDataSet>
      <sheetData sheetId="0">
        <row r="3">
          <cell r="B3">
            <v>1024</v>
          </cell>
        </row>
        <row r="4">
          <cell r="B4">
            <v>80</v>
          </cell>
        </row>
      </sheetData>
    </sheetDataSet>
  </externalBook>
</externalLink>
</file>

<file path=xl/externalLinks/externalLink5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12-CL-dist-1"/>
    </sheetNames>
    <sheetDataSet>
      <sheetData sheetId="0">
        <row r="3">
          <cell r="B3">
            <v>1024</v>
          </cell>
        </row>
        <row r="4">
          <cell r="B4">
            <v>442.02800000000002</v>
          </cell>
        </row>
      </sheetData>
    </sheetDataSet>
  </externalBook>
</externalLink>
</file>

<file path=xl/externalLinks/externalLink5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12-CL-dist-2"/>
    </sheetNames>
    <sheetDataSet>
      <sheetData sheetId="0">
        <row r="3">
          <cell r="B3">
            <v>1024</v>
          </cell>
        </row>
        <row r="4">
          <cell r="B4">
            <v>342.11799999999999</v>
          </cell>
        </row>
      </sheetData>
    </sheetDataSet>
  </externalBook>
</externalLink>
</file>

<file path=xl/externalLinks/externalLink5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12-CL-dist-3"/>
    </sheetNames>
    <sheetDataSet>
      <sheetData sheetId="0">
        <row r="3">
          <cell r="B3">
            <v>1024</v>
          </cell>
        </row>
        <row r="4">
          <cell r="B4">
            <v>166.208</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138</v>
          </cell>
        </row>
        <row r="4">
          <cell r="B4">
            <v>12.201878064217329</v>
          </cell>
          <cell r="C4">
            <v>12.449523597520924</v>
          </cell>
        </row>
        <row r="138">
          <cell r="W138">
            <v>8.4289457391886184</v>
          </cell>
          <cell r="Z138">
            <v>17.425516303177403</v>
          </cell>
        </row>
      </sheetData>
      <sheetData sheetId="4">
        <row r="9">
          <cell r="B9">
            <v>14.120401777729887</v>
          </cell>
          <cell r="C9">
            <v>11.671119211006465</v>
          </cell>
          <cell r="D9">
            <v>15.766137663800468</v>
          </cell>
          <cell r="E9">
            <v>9.8932600502131933</v>
          </cell>
          <cell r="F9">
            <v>14.286092440041283</v>
          </cell>
          <cell r="G9">
            <v>13.50649473988905</v>
          </cell>
          <cell r="H9">
            <v>15.798162456964237</v>
          </cell>
          <cell r="I9">
            <v>8.679080949214514</v>
          </cell>
          <cell r="J9">
            <v>10.199862712478234</v>
          </cell>
          <cell r="K9">
            <v>9.5861273169954906</v>
          </cell>
          <cell r="L9">
            <v>12.527289899842206</v>
          </cell>
          <cell r="N9">
            <v>12.303820928810447</v>
          </cell>
          <cell r="O9">
            <v>12.366729928925002</v>
          </cell>
          <cell r="P9">
            <v>12.527289899842206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5-qtz12-CL-dist-4"/>
    </sheetNames>
    <sheetDataSet>
      <sheetData sheetId="0">
        <row r="3">
          <cell r="B3">
            <v>1024</v>
          </cell>
        </row>
        <row r="4">
          <cell r="B4">
            <v>79.202299999999994</v>
          </cell>
        </row>
      </sheetData>
    </sheetDataSet>
  </externalBook>
</externalLink>
</file>

<file path=xl/externalLinks/externalLink5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1-CL-dist-1--"/>
    </sheetNames>
    <sheetDataSet>
      <sheetData sheetId="0">
        <row r="3">
          <cell r="B3">
            <v>1024</v>
          </cell>
        </row>
        <row r="4">
          <cell r="B4">
            <v>519.78200000000004</v>
          </cell>
        </row>
      </sheetData>
    </sheetDataSet>
  </externalBook>
</externalLink>
</file>

<file path=xl/externalLinks/externalLink5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1-CL-dist-2"/>
    </sheetNames>
    <sheetDataSet>
      <sheetData sheetId="0">
        <row r="3">
          <cell r="B3">
            <v>1024</v>
          </cell>
        </row>
        <row r="4">
          <cell r="B4">
            <v>362.92700000000002</v>
          </cell>
        </row>
      </sheetData>
    </sheetDataSet>
  </externalBook>
</externalLink>
</file>

<file path=xl/externalLinks/externalLink5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1-CL-dist-3"/>
    </sheetNames>
    <sheetDataSet>
      <sheetData sheetId="0">
        <row r="3">
          <cell r="B3">
            <v>1024</v>
          </cell>
        </row>
        <row r="4">
          <cell r="B4">
            <v>184.71600000000001</v>
          </cell>
        </row>
      </sheetData>
    </sheetDataSet>
  </externalBook>
</externalLink>
</file>

<file path=xl/externalLinks/externalLink5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1-CL-dist-4"/>
    </sheetNames>
    <sheetDataSet>
      <sheetData sheetId="0">
        <row r="3">
          <cell r="B3">
            <v>1024</v>
          </cell>
        </row>
        <row r="4">
          <cell r="B4">
            <v>41.436700000000002</v>
          </cell>
        </row>
      </sheetData>
    </sheetDataSet>
  </externalBook>
</externalLink>
</file>

<file path=xl/externalLinks/externalLink5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1-CL-dist-5"/>
    </sheetNames>
    <sheetDataSet>
      <sheetData sheetId="0">
        <row r="3">
          <cell r="B3">
            <v>1024</v>
          </cell>
        </row>
        <row r="4">
          <cell r="B4">
            <v>15.811400000000001</v>
          </cell>
        </row>
      </sheetData>
    </sheetDataSet>
  </externalBook>
</externalLink>
</file>

<file path=xl/externalLinks/externalLink5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2-CL-dist-1"/>
    </sheetNames>
    <sheetDataSet>
      <sheetData sheetId="0">
        <row r="3">
          <cell r="B3">
            <v>1024</v>
          </cell>
        </row>
        <row r="4">
          <cell r="B4">
            <v>532.78099999999995</v>
          </cell>
        </row>
      </sheetData>
    </sheetDataSet>
  </externalBook>
</externalLink>
</file>

<file path=xl/externalLinks/externalLink5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2-CL-dist-2"/>
    </sheetNames>
    <sheetDataSet>
      <sheetData sheetId="0">
        <row r="3">
          <cell r="B3">
            <v>1024</v>
          </cell>
        </row>
        <row r="4">
          <cell r="B4">
            <v>408.38499999999999</v>
          </cell>
        </row>
      </sheetData>
    </sheetDataSet>
  </externalBook>
</externalLink>
</file>

<file path=xl/externalLinks/externalLink5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2-CL-dist-3"/>
    </sheetNames>
    <sheetDataSet>
      <sheetData sheetId="0">
        <row r="3">
          <cell r="B3">
            <v>1024</v>
          </cell>
        </row>
        <row r="4">
          <cell r="B4">
            <v>186.07499999999999</v>
          </cell>
        </row>
      </sheetData>
    </sheetDataSet>
  </externalBook>
</externalLink>
</file>

<file path=xl/externalLinks/externalLink5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2-CL-dist-4"/>
    </sheetNames>
    <sheetDataSet>
      <sheetData sheetId="0">
        <row r="3">
          <cell r="B3">
            <v>1024</v>
          </cell>
        </row>
        <row r="4">
          <cell r="B4">
            <v>77.491900000000001</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132</v>
          </cell>
        </row>
        <row r="4">
          <cell r="B4">
            <v>8.2895033347234026</v>
          </cell>
          <cell r="C4">
            <v>8.2934097738504828</v>
          </cell>
        </row>
        <row r="132">
          <cell r="W132">
            <v>7.2360853500310451</v>
          </cell>
          <cell r="Z132">
            <v>9.4459193931452177</v>
          </cell>
        </row>
      </sheetData>
      <sheetData sheetId="4">
        <row r="9">
          <cell r="B9">
            <v>9.0466573749136625</v>
          </cell>
          <cell r="C9">
            <v>8.1306811953720874</v>
          </cell>
          <cell r="D9">
            <v>8.4081529516387228</v>
          </cell>
          <cell r="E9">
            <v>8.6297970289363395</v>
          </cell>
          <cell r="F9">
            <v>7.5970956378554746</v>
          </cell>
          <cell r="G9">
            <v>9.1170094594228281</v>
          </cell>
          <cell r="H9">
            <v>8.1680944945620961</v>
          </cell>
          <cell r="I9">
            <v>7.9786743410533987</v>
          </cell>
          <cell r="J9">
            <v>8.3067015527609733</v>
          </cell>
          <cell r="K9">
            <v>7.4248981840984518</v>
          </cell>
          <cell r="L9">
            <v>8.1926947207932539</v>
          </cell>
          <cell r="N9">
            <v>8.3081917734500248</v>
          </cell>
          <cell r="O9">
            <v>8.2727688128552082</v>
          </cell>
          <cell r="P9">
            <v>8.1926947207932539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3-CL-dist-1"/>
    </sheetNames>
    <sheetDataSet>
      <sheetData sheetId="0">
        <row r="3">
          <cell r="B3">
            <v>1024</v>
          </cell>
        </row>
        <row r="4">
          <cell r="B4">
            <v>539.57399999999996</v>
          </cell>
        </row>
      </sheetData>
    </sheetDataSet>
  </externalBook>
</externalLink>
</file>

<file path=xl/externalLinks/externalLink5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3-CL-dist-2"/>
    </sheetNames>
    <sheetDataSet>
      <sheetData sheetId="0">
        <row r="3">
          <cell r="B3">
            <v>1024</v>
          </cell>
        </row>
        <row r="4">
          <cell r="B4">
            <v>385.673</v>
          </cell>
        </row>
      </sheetData>
    </sheetDataSet>
  </externalBook>
</externalLink>
</file>

<file path=xl/externalLinks/externalLink5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3-CL-dist-3"/>
    </sheetNames>
    <sheetDataSet>
      <sheetData sheetId="0">
        <row r="3">
          <cell r="B3">
            <v>1024</v>
          </cell>
        </row>
        <row r="4">
          <cell r="B4">
            <v>179.77799999999999</v>
          </cell>
        </row>
      </sheetData>
    </sheetDataSet>
  </externalBook>
</externalLink>
</file>

<file path=xl/externalLinks/externalLink5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3-CL-dist-4"/>
    </sheetNames>
    <sheetDataSet>
      <sheetData sheetId="0">
        <row r="3">
          <cell r="B3">
            <v>1024</v>
          </cell>
        </row>
        <row r="4">
          <cell r="B4">
            <v>148.923</v>
          </cell>
        </row>
      </sheetData>
    </sheetDataSet>
  </externalBook>
</externalLink>
</file>

<file path=xl/externalLinks/externalLink5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4-CL-dist-1"/>
    </sheetNames>
    <sheetDataSet>
      <sheetData sheetId="0">
        <row r="3">
          <cell r="B3">
            <v>1024</v>
          </cell>
        </row>
        <row r="4">
          <cell r="B4">
            <v>75.504999999999995</v>
          </cell>
        </row>
      </sheetData>
    </sheetDataSet>
  </externalBook>
</externalLink>
</file>

<file path=xl/externalLinks/externalLink5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4-CL-dist-2"/>
    </sheetNames>
    <sheetDataSet>
      <sheetData sheetId="0">
        <row r="3">
          <cell r="B3">
            <v>1024</v>
          </cell>
        </row>
        <row r="4">
          <cell r="B4">
            <v>158.59700000000001</v>
          </cell>
        </row>
      </sheetData>
    </sheetDataSet>
  </externalBook>
</externalLink>
</file>

<file path=xl/externalLinks/externalLink5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4-CL-dist-3"/>
    </sheetNames>
    <sheetDataSet>
      <sheetData sheetId="0">
        <row r="3">
          <cell r="B3">
            <v>1024</v>
          </cell>
        </row>
        <row r="4">
          <cell r="B4">
            <v>509.608</v>
          </cell>
        </row>
      </sheetData>
    </sheetDataSet>
  </externalBook>
</externalLink>
</file>

<file path=xl/externalLinks/externalLink5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5-CL-dist-1"/>
    </sheetNames>
    <sheetDataSet>
      <sheetData sheetId="0">
        <row r="3">
          <cell r="B3">
            <v>1024</v>
          </cell>
        </row>
        <row r="4">
          <cell r="B4">
            <v>449.43099999999998</v>
          </cell>
        </row>
      </sheetData>
    </sheetDataSet>
  </externalBook>
</externalLink>
</file>

<file path=xl/externalLinks/externalLink5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5-CL-dist-2"/>
    </sheetNames>
    <sheetDataSet>
      <sheetData sheetId="0">
        <row r="3">
          <cell r="B3">
            <v>1024</v>
          </cell>
        </row>
        <row r="4">
          <cell r="B4">
            <v>229.02</v>
          </cell>
        </row>
      </sheetData>
    </sheetDataSet>
  </externalBook>
</externalLink>
</file>

<file path=xl/externalLinks/externalLink5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5-CL-dist-3"/>
    </sheetNames>
    <sheetDataSet>
      <sheetData sheetId="0">
        <row r="3">
          <cell r="B3">
            <v>1024</v>
          </cell>
        </row>
        <row r="4">
          <cell r="B4">
            <v>129.02699999999999</v>
          </cell>
        </row>
      </sheetData>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138</v>
          </cell>
        </row>
        <row r="4">
          <cell r="B4">
            <v>9.0346508000087695</v>
          </cell>
          <cell r="C4">
            <v>9.0965585489218768</v>
          </cell>
        </row>
        <row r="138">
          <cell r="W138">
            <v>7.417196090702463</v>
          </cell>
          <cell r="Z138">
            <v>10.991271506134979</v>
          </cell>
        </row>
      </sheetData>
      <sheetData sheetId="4">
        <row r="9">
          <cell r="B9">
            <v>10.067632</v>
          </cell>
          <cell r="C9">
            <v>8.9236512000000001</v>
          </cell>
          <cell r="D9">
            <v>8.1862220000000008</v>
          </cell>
          <cell r="E9">
            <v>8.3108631000000006</v>
          </cell>
          <cell r="F9">
            <v>9.7571480000000008</v>
          </cell>
          <cell r="G9">
            <v>8.8165732000000006</v>
          </cell>
          <cell r="H9">
            <v>10.077999</v>
          </cell>
          <cell r="I9">
            <v>9.0594090999999999</v>
          </cell>
          <cell r="J9">
            <v>8.1091329000000005</v>
          </cell>
          <cell r="K9">
            <v>9.0401038000000007</v>
          </cell>
          <cell r="L9">
            <v>9.2496617000000008</v>
          </cell>
          <cell r="N9">
            <v>9.0610430999999991</v>
          </cell>
          <cell r="O9">
            <v>9.0543996363636374</v>
          </cell>
          <cell r="P9">
            <v>9.0401038000000007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5-CL-dist-4"/>
    </sheetNames>
    <sheetDataSet>
      <sheetData sheetId="0">
        <row r="3">
          <cell r="B3">
            <v>1024</v>
          </cell>
        </row>
        <row r="4">
          <cell r="B4">
            <v>43.324399999999997</v>
          </cell>
        </row>
      </sheetData>
    </sheetDataSet>
  </externalBook>
</externalLink>
</file>

<file path=xl/externalLinks/externalLink5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6-CL-dist-1"/>
    </sheetNames>
    <sheetDataSet>
      <sheetData sheetId="0">
        <row r="3">
          <cell r="B3">
            <v>1024</v>
          </cell>
        </row>
        <row r="4">
          <cell r="B4">
            <v>626.67100000000005</v>
          </cell>
        </row>
      </sheetData>
    </sheetDataSet>
  </externalBook>
</externalLink>
</file>

<file path=xl/externalLinks/externalLink5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6-CL-dist-2"/>
    </sheetNames>
    <sheetDataSet>
      <sheetData sheetId="0">
        <row r="3">
          <cell r="B3">
            <v>1024</v>
          </cell>
        </row>
        <row r="4">
          <cell r="B4">
            <v>527.83000000000004</v>
          </cell>
        </row>
      </sheetData>
    </sheetDataSet>
  </externalBook>
</externalLink>
</file>

<file path=xl/externalLinks/externalLink5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6-CL-dist-3"/>
    </sheetNames>
    <sheetDataSet>
      <sheetData sheetId="0">
        <row r="3">
          <cell r="B3">
            <v>1024</v>
          </cell>
        </row>
        <row r="4">
          <cell r="B4">
            <v>222.84700000000001</v>
          </cell>
        </row>
      </sheetData>
    </sheetDataSet>
  </externalBook>
</externalLink>
</file>

<file path=xl/externalLinks/externalLink5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6-CL-dist-4"/>
    </sheetNames>
    <sheetDataSet>
      <sheetData sheetId="0">
        <row r="3">
          <cell r="B3">
            <v>1024</v>
          </cell>
        </row>
        <row r="4">
          <cell r="B4">
            <v>126.46299999999999</v>
          </cell>
        </row>
      </sheetData>
    </sheetDataSet>
  </externalBook>
</externalLink>
</file>

<file path=xl/externalLinks/externalLink5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7-CL-dist-1"/>
    </sheetNames>
    <sheetDataSet>
      <sheetData sheetId="0">
        <row r="3">
          <cell r="B3">
            <v>1024</v>
          </cell>
        </row>
        <row r="4">
          <cell r="B4">
            <v>73.756399999999999</v>
          </cell>
        </row>
      </sheetData>
    </sheetDataSet>
  </externalBook>
</externalLink>
</file>

<file path=xl/externalLinks/externalLink5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7-CL-dist-2"/>
    </sheetNames>
    <sheetDataSet>
      <sheetData sheetId="0">
        <row r="3">
          <cell r="B3">
            <v>1024</v>
          </cell>
        </row>
        <row r="4">
          <cell r="B4">
            <v>279.041</v>
          </cell>
        </row>
      </sheetData>
    </sheetDataSet>
  </externalBook>
</externalLink>
</file>

<file path=xl/externalLinks/externalLink5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7-CL-dist-3"/>
    </sheetNames>
    <sheetDataSet>
      <sheetData sheetId="0">
        <row r="3">
          <cell r="B3">
            <v>1024</v>
          </cell>
        </row>
        <row r="4">
          <cell r="B4">
            <v>409.024</v>
          </cell>
        </row>
      </sheetData>
    </sheetDataSet>
  </externalBook>
</externalLink>
</file>

<file path=xl/externalLinks/externalLink5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7-CL-dist-4"/>
    </sheetNames>
    <sheetDataSet>
      <sheetData sheetId="0">
        <row r="3">
          <cell r="B3">
            <v>1024</v>
          </cell>
        </row>
        <row r="4">
          <cell r="B4">
            <v>615.58799999999997</v>
          </cell>
        </row>
      </sheetData>
    </sheetDataSet>
  </externalBook>
</externalLink>
</file>

<file path=xl/externalLinks/externalLink5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7-CL-dist-5"/>
    </sheetNames>
    <sheetDataSet>
      <sheetData sheetId="0">
        <row r="3">
          <cell r="B3">
            <v>1024</v>
          </cell>
        </row>
        <row r="4">
          <cell r="B4">
            <v>810.71400000000006</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116</v>
          </cell>
        </row>
        <row r="4">
          <cell r="B4">
            <v>7.5977515750882825</v>
          </cell>
          <cell r="C4">
            <v>7.6162253323209121</v>
          </cell>
        </row>
        <row r="116">
          <cell r="W116">
            <v>6.181331696180699</v>
          </cell>
          <cell r="Z116">
            <v>9.2625917304714687</v>
          </cell>
        </row>
      </sheetData>
      <sheetData sheetId="4">
        <row r="9">
          <cell r="B9">
            <v>7.409311660891662</v>
          </cell>
          <cell r="C9">
            <v>8.1703855452586094</v>
          </cell>
          <cell r="D9">
            <v>6.9738085020307539</v>
          </cell>
          <cell r="E9">
            <v>7.9452041189548339</v>
          </cell>
          <cell r="F9">
            <v>6.7102032347798373</v>
          </cell>
          <cell r="G9">
            <v>8.4615204731663898</v>
          </cell>
          <cell r="H9">
            <v>6.8851413904492649</v>
          </cell>
          <cell r="I9">
            <v>8.8805018969202827</v>
          </cell>
          <cell r="J9">
            <v>8.1662351034468852</v>
          </cell>
          <cell r="K9">
            <v>7.3950329524777514</v>
          </cell>
          <cell r="L9">
            <v>7.0888848729525442</v>
          </cell>
          <cell r="N9">
            <v>7.6964773589094362</v>
          </cell>
          <cell r="O9">
            <v>7.6442027046662551</v>
          </cell>
          <cell r="P9">
            <v>7.409311660891662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8-CL-dist-2"/>
    </sheetNames>
    <sheetDataSet>
      <sheetData sheetId="0">
        <row r="3">
          <cell r="B3">
            <v>1024</v>
          </cell>
        </row>
        <row r="4">
          <cell r="B4">
            <v>135.518</v>
          </cell>
        </row>
      </sheetData>
    </sheetDataSet>
  </externalBook>
</externalLink>
</file>

<file path=xl/externalLinks/externalLink5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8-CL-dist-3"/>
    </sheetNames>
    <sheetDataSet>
      <sheetData sheetId="0">
        <row r="3">
          <cell r="B3">
            <v>1024</v>
          </cell>
        </row>
        <row r="4">
          <cell r="B4">
            <v>87.664100000000005</v>
          </cell>
        </row>
      </sheetData>
    </sheetDataSet>
  </externalBook>
</externalLink>
</file>

<file path=xl/externalLinks/externalLink5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9-CL-dist-1"/>
    </sheetNames>
    <sheetDataSet>
      <sheetData sheetId="0">
        <row r="3">
          <cell r="B3">
            <v>1024</v>
          </cell>
        </row>
        <row r="4">
          <cell r="B4">
            <v>95.210300000000004</v>
          </cell>
        </row>
      </sheetData>
    </sheetDataSet>
  </externalBook>
</externalLink>
</file>

<file path=xl/externalLinks/externalLink5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9-CL-dist-2"/>
    </sheetNames>
    <sheetDataSet>
      <sheetData sheetId="0">
        <row r="3">
          <cell r="B3">
            <v>1024</v>
          </cell>
        </row>
        <row r="4">
          <cell r="B4">
            <v>202.83</v>
          </cell>
        </row>
      </sheetData>
    </sheetDataSet>
  </externalBook>
</externalLink>
</file>

<file path=xl/externalLinks/externalLink5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10-CL-dist-1"/>
    </sheetNames>
    <sheetDataSet>
      <sheetData sheetId="0">
        <row r="3">
          <cell r="B3">
            <v>1024</v>
          </cell>
        </row>
        <row r="4">
          <cell r="B4">
            <v>471.13499999999999</v>
          </cell>
        </row>
      </sheetData>
    </sheetDataSet>
  </externalBook>
</externalLink>
</file>

<file path=xl/externalLinks/externalLink5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10-CL-dist-2"/>
    </sheetNames>
    <sheetDataSet>
      <sheetData sheetId="0">
        <row r="3">
          <cell r="B3">
            <v>1024</v>
          </cell>
        </row>
        <row r="4">
          <cell r="B4">
            <v>396.64600000000002</v>
          </cell>
        </row>
      </sheetData>
    </sheetDataSet>
  </externalBook>
</externalLink>
</file>

<file path=xl/externalLinks/externalLink5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10-CL-dist-3"/>
    </sheetNames>
    <sheetDataSet>
      <sheetData sheetId="0">
        <row r="3">
          <cell r="B3">
            <v>1024</v>
          </cell>
        </row>
        <row r="4">
          <cell r="B4">
            <v>138.29300000000001</v>
          </cell>
        </row>
      </sheetData>
    </sheetDataSet>
  </externalBook>
</externalLink>
</file>

<file path=xl/externalLinks/externalLink5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10-CL-dist-4"/>
    </sheetNames>
    <sheetDataSet>
      <sheetData sheetId="0">
        <row r="3">
          <cell r="B3">
            <v>1024</v>
          </cell>
        </row>
        <row r="4">
          <cell r="B4">
            <v>47.127499999999998</v>
          </cell>
        </row>
      </sheetData>
    </sheetDataSet>
  </externalBook>
</externalLink>
</file>

<file path=xl/externalLinks/externalLink5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11-CL-dist-1"/>
    </sheetNames>
    <sheetDataSet>
      <sheetData sheetId="0">
        <row r="3">
          <cell r="B3">
            <v>1024</v>
          </cell>
        </row>
        <row r="4">
          <cell r="B4">
            <v>369.14100000000002</v>
          </cell>
        </row>
      </sheetData>
    </sheetDataSet>
  </externalBook>
</externalLink>
</file>

<file path=xl/externalLinks/externalLink5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11-CL-dist-2"/>
    </sheetNames>
    <sheetDataSet>
      <sheetData sheetId="0">
        <row r="3">
          <cell r="B3">
            <v>1024</v>
          </cell>
        </row>
        <row r="4">
          <cell r="B4">
            <v>160.37799999999999</v>
          </cell>
        </row>
      </sheetData>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104</v>
          </cell>
        </row>
        <row r="4">
          <cell r="B4">
            <v>1.8603166547838812</v>
          </cell>
          <cell r="C4">
            <v>1.8900864541100242</v>
          </cell>
        </row>
        <row r="104">
          <cell r="W104">
            <v>1.0399139770433234</v>
          </cell>
          <cell r="Z104">
            <v>2.814094662627793</v>
          </cell>
        </row>
      </sheetData>
      <sheetData sheetId="4">
        <row r="9">
          <cell r="B9">
            <v>2.211239894648072</v>
          </cell>
          <cell r="C9">
            <v>1.5392201250174271</v>
          </cell>
          <cell r="D9">
            <v>1.5060122210989539</v>
          </cell>
          <cell r="E9">
            <v>1.8036465780709807</v>
          </cell>
          <cell r="F9">
            <v>1.7022157080065363</v>
          </cell>
          <cell r="G9">
            <v>2.3015926521866037</v>
          </cell>
          <cell r="H9">
            <v>1.8438274210347116</v>
          </cell>
          <cell r="I9">
            <v>2.0280621912906929</v>
          </cell>
          <cell r="J9">
            <v>2.6647297261944147</v>
          </cell>
          <cell r="K9">
            <v>1.9166392833418264</v>
          </cell>
          <cell r="L9">
            <v>1.7733177086039553</v>
          </cell>
          <cell r="N9">
            <v>1.9751875322619372</v>
          </cell>
          <cell r="O9">
            <v>1.9355003190449251</v>
          </cell>
          <cell r="P9">
            <v>1.8438274210347116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11-CL-dist-3"/>
    </sheetNames>
    <sheetDataSet>
      <sheetData sheetId="0">
        <row r="3">
          <cell r="B3">
            <v>1024</v>
          </cell>
        </row>
        <row r="4">
          <cell r="B4">
            <v>81.154200000000003</v>
          </cell>
        </row>
      </sheetData>
    </sheetDataSet>
  </externalBook>
</externalLink>
</file>

<file path=xl/externalLinks/externalLink5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11-CL-dist-4"/>
    </sheetNames>
    <sheetDataSet>
      <sheetData sheetId="0">
        <row r="3">
          <cell r="B3">
            <v>1024</v>
          </cell>
        </row>
        <row r="4">
          <cell r="B4">
            <v>27.0185</v>
          </cell>
        </row>
      </sheetData>
    </sheetDataSet>
  </externalBook>
</externalLink>
</file>

<file path=xl/externalLinks/externalLink5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12-CL-dist-1"/>
    </sheetNames>
    <sheetDataSet>
      <sheetData sheetId="0">
        <row r="3">
          <cell r="B3">
            <v>1024</v>
          </cell>
        </row>
        <row r="4">
          <cell r="B4">
            <v>156.62700000000001</v>
          </cell>
        </row>
      </sheetData>
    </sheetDataSet>
  </externalBook>
</externalLink>
</file>

<file path=xl/externalLinks/externalLink5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12-CL-dist-2"/>
    </sheetNames>
    <sheetDataSet>
      <sheetData sheetId="0">
        <row r="3">
          <cell r="B3">
            <v>1024</v>
          </cell>
        </row>
        <row r="4">
          <cell r="B4">
            <v>113.358</v>
          </cell>
        </row>
      </sheetData>
    </sheetDataSet>
  </externalBook>
</externalLink>
</file>

<file path=xl/externalLinks/externalLink5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12-CL-dist-3"/>
    </sheetNames>
    <sheetDataSet>
      <sheetData sheetId="0">
        <row r="3">
          <cell r="B3">
            <v>1024</v>
          </cell>
        </row>
        <row r="4">
          <cell r="B4">
            <v>46.043500000000002</v>
          </cell>
        </row>
      </sheetData>
    </sheetDataSet>
  </externalBook>
</externalLink>
</file>

<file path=xl/externalLinks/externalLink5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1-CL-dist-1"/>
    </sheetNames>
    <sheetDataSet>
      <sheetData sheetId="0">
        <row r="3">
          <cell r="B3">
            <v>1024</v>
          </cell>
        </row>
        <row r="4">
          <cell r="B4">
            <v>420.24900000000002</v>
          </cell>
        </row>
      </sheetData>
    </sheetDataSet>
  </externalBook>
</externalLink>
</file>

<file path=xl/externalLinks/externalLink5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1-CL-dist-2"/>
    </sheetNames>
    <sheetDataSet>
      <sheetData sheetId="0">
        <row r="3">
          <cell r="B3">
            <v>1024</v>
          </cell>
        </row>
        <row r="4">
          <cell r="B4">
            <v>337.654</v>
          </cell>
        </row>
      </sheetData>
    </sheetDataSet>
  </externalBook>
</externalLink>
</file>

<file path=xl/externalLinks/externalLink5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1-CL-dist-3"/>
    </sheetNames>
    <sheetDataSet>
      <sheetData sheetId="0">
        <row r="3">
          <cell r="B3">
            <v>1024</v>
          </cell>
        </row>
        <row r="4">
          <cell r="B4">
            <v>242.244</v>
          </cell>
        </row>
      </sheetData>
    </sheetDataSet>
  </externalBook>
</externalLink>
</file>

<file path=xl/externalLinks/externalLink5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1-CL-dist-4"/>
    </sheetNames>
    <sheetDataSet>
      <sheetData sheetId="0">
        <row r="3">
          <cell r="B3">
            <v>1024</v>
          </cell>
        </row>
        <row r="4">
          <cell r="B4">
            <v>139.38800000000001</v>
          </cell>
        </row>
      </sheetData>
    </sheetDataSet>
  </externalBook>
</externalLink>
</file>

<file path=xl/externalLinks/externalLink5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1-CL-dist-5"/>
    </sheetNames>
    <sheetDataSet>
      <sheetData sheetId="0">
        <row r="3">
          <cell r="B3">
            <v>1024</v>
          </cell>
        </row>
        <row r="4">
          <cell r="B4">
            <v>57.801400000000001</v>
          </cell>
        </row>
      </sheetData>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1.1427004088319568</v>
          </cell>
          <cell r="C4">
            <v>1.0819927754890397</v>
          </cell>
        </row>
        <row r="98">
          <cell r="W98">
            <v>0.14543531734102777</v>
          </cell>
          <cell r="Z98">
            <v>2.0742114788435573</v>
          </cell>
        </row>
      </sheetData>
      <sheetData sheetId="4">
        <row r="9">
          <cell r="B9">
            <v>1.7907312232743882</v>
          </cell>
          <cell r="C9">
            <v>1.5313826902986345</v>
          </cell>
          <cell r="D9">
            <v>1.7419380917595519</v>
          </cell>
          <cell r="E9">
            <v>0.56926383653245594</v>
          </cell>
          <cell r="F9">
            <v>1.0195075683732526</v>
          </cell>
          <cell r="G9">
            <v>1.2480365448042161</v>
          </cell>
          <cell r="H9">
            <v>0.33474276607369813</v>
          </cell>
          <cell r="I9">
            <v>1.8252224399480349E-2</v>
          </cell>
          <cell r="J9">
            <v>1.2281812808995034E-2</v>
          </cell>
          <cell r="K9">
            <v>0.78531253148756763</v>
          </cell>
          <cell r="L9">
            <v>1.3246769583932603</v>
          </cell>
          <cell r="N9">
            <v>1.213896798224962</v>
          </cell>
          <cell r="O9">
            <v>0.9432842043823183</v>
          </cell>
          <cell r="P9">
            <v>1.0195075683732526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2-CL-dist-1"/>
    </sheetNames>
    <sheetDataSet>
      <sheetData sheetId="0">
        <row r="3">
          <cell r="B3">
            <v>1024</v>
          </cell>
        </row>
        <row r="4">
          <cell r="B4">
            <v>219.34700000000001</v>
          </cell>
        </row>
      </sheetData>
    </sheetDataSet>
  </externalBook>
</externalLink>
</file>

<file path=xl/externalLinks/externalLink5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2-CL-dist-2"/>
    </sheetNames>
    <sheetDataSet>
      <sheetData sheetId="0">
        <row r="3">
          <cell r="B3">
            <v>1024</v>
          </cell>
        </row>
        <row r="4">
          <cell r="B4">
            <v>82.8553</v>
          </cell>
        </row>
      </sheetData>
    </sheetDataSet>
  </externalBook>
</externalLink>
</file>

<file path=xl/externalLinks/externalLink5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2-CL-dist-3"/>
    </sheetNames>
    <sheetDataSet>
      <sheetData sheetId="0">
        <row r="3">
          <cell r="B3">
            <v>1024</v>
          </cell>
        </row>
        <row r="4">
          <cell r="B4">
            <v>40.706299999999999</v>
          </cell>
        </row>
      </sheetData>
    </sheetDataSet>
  </externalBook>
</externalLink>
</file>

<file path=xl/externalLinks/externalLink5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3-CL-dist-1"/>
    </sheetNames>
    <sheetDataSet>
      <sheetData sheetId="0">
        <row r="3">
          <cell r="B3">
            <v>1024</v>
          </cell>
        </row>
        <row r="4">
          <cell r="B4">
            <v>742.76499999999999</v>
          </cell>
        </row>
      </sheetData>
    </sheetDataSet>
  </externalBook>
</externalLink>
</file>

<file path=xl/externalLinks/externalLink5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3-CL-dist-2"/>
    </sheetNames>
    <sheetDataSet>
      <sheetData sheetId="0">
        <row r="3">
          <cell r="B3">
            <v>1024</v>
          </cell>
        </row>
        <row r="4">
          <cell r="B4">
            <v>518.745</v>
          </cell>
        </row>
      </sheetData>
    </sheetDataSet>
  </externalBook>
</externalLink>
</file>

<file path=xl/externalLinks/externalLink5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3-CL-dist-3"/>
    </sheetNames>
    <sheetDataSet>
      <sheetData sheetId="0">
        <row r="3">
          <cell r="B3">
            <v>1024</v>
          </cell>
        </row>
        <row r="4">
          <cell r="B4">
            <v>435.43700000000001</v>
          </cell>
        </row>
      </sheetData>
    </sheetDataSet>
  </externalBook>
</externalLink>
</file>

<file path=xl/externalLinks/externalLink5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3-CL-dist-4"/>
    </sheetNames>
    <sheetDataSet>
      <sheetData sheetId="0">
        <row r="3">
          <cell r="B3">
            <v>1024</v>
          </cell>
        </row>
        <row r="4">
          <cell r="B4">
            <v>223.30500000000001</v>
          </cell>
        </row>
      </sheetData>
    </sheetDataSet>
  </externalBook>
</externalLink>
</file>

<file path=xl/externalLinks/externalLink5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3-CL-dist-5"/>
    </sheetNames>
    <sheetDataSet>
      <sheetData sheetId="0">
        <row r="3">
          <cell r="B3">
            <v>1024</v>
          </cell>
        </row>
        <row r="4">
          <cell r="B4">
            <v>151.19900000000001</v>
          </cell>
        </row>
      </sheetData>
    </sheetDataSet>
  </externalBook>
</externalLink>
</file>

<file path=xl/externalLinks/externalLink5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4-CL-dist-1"/>
    </sheetNames>
    <sheetDataSet>
      <sheetData sheetId="0">
        <row r="3">
          <cell r="B3">
            <v>1024</v>
          </cell>
        </row>
        <row r="4">
          <cell r="B4">
            <v>488.38200000000001</v>
          </cell>
        </row>
      </sheetData>
    </sheetDataSet>
  </externalBook>
</externalLink>
</file>

<file path=xl/externalLinks/externalLink5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4-CL-dist-2"/>
    </sheetNames>
    <sheetDataSet>
      <sheetData sheetId="0">
        <row r="3">
          <cell r="B3">
            <v>1024</v>
          </cell>
        </row>
        <row r="4">
          <cell r="B4">
            <v>336.53800000000001</v>
          </cell>
        </row>
      </sheetData>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4.3099278885806163</v>
          </cell>
          <cell r="C4">
            <v>4.3198474928032562</v>
          </cell>
        </row>
        <row r="94">
          <cell r="W94">
            <v>3.3370680195028406</v>
          </cell>
          <cell r="Z94">
            <v>5.3225068132145417</v>
          </cell>
        </row>
      </sheetData>
      <sheetData sheetId="4">
        <row r="9">
          <cell r="B9">
            <v>4.3973545607980853</v>
          </cell>
          <cell r="C9">
            <v>4.10044208673248</v>
          </cell>
          <cell r="D9">
            <v>4.0667380881570212</v>
          </cell>
          <cell r="E9">
            <v>4.0403135717583405</v>
          </cell>
          <cell r="F9">
            <v>3.5868275790508686</v>
          </cell>
          <cell r="G9">
            <v>4.2666228749148525</v>
          </cell>
          <cell r="H9">
            <v>4.1419644406923339</v>
          </cell>
          <cell r="I9">
            <v>4.8586874042169086</v>
          </cell>
          <cell r="J9">
            <v>5.3738268302565135</v>
          </cell>
          <cell r="K9">
            <v>4.7720934200848699</v>
          </cell>
          <cell r="L9">
            <v>5.1123397328191036</v>
          </cell>
          <cell r="N9">
            <v>4.3826838850560037</v>
          </cell>
          <cell r="O9">
            <v>4.4288373263164891</v>
          </cell>
          <cell r="P9">
            <v>4.2666228749148525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4-CL-dist-3"/>
    </sheetNames>
    <sheetDataSet>
      <sheetData sheetId="0">
        <row r="3">
          <cell r="B3">
            <v>1024</v>
          </cell>
        </row>
        <row r="4">
          <cell r="B4">
            <v>155.36099999999999</v>
          </cell>
        </row>
      </sheetData>
    </sheetDataSet>
  </externalBook>
</externalLink>
</file>

<file path=xl/externalLinks/externalLink5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4-CL-dist-4"/>
    </sheetNames>
    <sheetDataSet>
      <sheetData sheetId="0">
        <row r="3">
          <cell r="B3">
            <v>1024</v>
          </cell>
        </row>
        <row r="4">
          <cell r="B4">
            <v>44.911000000000001</v>
          </cell>
        </row>
      </sheetData>
    </sheetDataSet>
  </externalBook>
</externalLink>
</file>

<file path=xl/externalLinks/externalLink5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5-CL-dist-1"/>
    </sheetNames>
    <sheetDataSet>
      <sheetData sheetId="0">
        <row r="3">
          <cell r="B3">
            <v>1024</v>
          </cell>
        </row>
        <row r="4">
          <cell r="B4">
            <v>715.06399999999996</v>
          </cell>
        </row>
      </sheetData>
    </sheetDataSet>
  </externalBook>
</externalLink>
</file>

<file path=xl/externalLinks/externalLink5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5-CL-dist-2"/>
    </sheetNames>
    <sheetDataSet>
      <sheetData sheetId="0">
        <row r="3">
          <cell r="B3">
            <v>1024</v>
          </cell>
        </row>
        <row r="4">
          <cell r="B4">
            <v>432.447</v>
          </cell>
        </row>
      </sheetData>
    </sheetDataSet>
  </externalBook>
</externalLink>
</file>

<file path=xl/externalLinks/externalLink5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5-CL-dist-3"/>
    </sheetNames>
    <sheetDataSet>
      <sheetData sheetId="0">
        <row r="3">
          <cell r="B3">
            <v>1024</v>
          </cell>
        </row>
        <row r="4">
          <cell r="B4">
            <v>326.33699999999999</v>
          </cell>
        </row>
      </sheetData>
    </sheetDataSet>
  </externalBook>
</externalLink>
</file>

<file path=xl/externalLinks/externalLink5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5-CL-dist-4"/>
    </sheetNames>
    <sheetDataSet>
      <sheetData sheetId="0">
        <row r="3">
          <cell r="B3">
            <v>1024</v>
          </cell>
        </row>
        <row r="4">
          <cell r="B4">
            <v>191.37899999999999</v>
          </cell>
        </row>
      </sheetData>
    </sheetDataSet>
  </externalBook>
</externalLink>
</file>

<file path=xl/externalLinks/externalLink5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5-CL-dist-5"/>
    </sheetNames>
    <sheetDataSet>
      <sheetData sheetId="0">
        <row r="3">
          <cell r="B3">
            <v>1024</v>
          </cell>
        </row>
        <row r="4">
          <cell r="B4">
            <v>36.674199999999999</v>
          </cell>
        </row>
      </sheetData>
    </sheetDataSet>
  </externalBook>
</externalLink>
</file>

<file path=xl/externalLinks/externalLink5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6-CL-dist-1"/>
    </sheetNames>
    <sheetDataSet>
      <sheetData sheetId="0">
        <row r="3">
          <cell r="B3">
            <v>1024</v>
          </cell>
        </row>
        <row r="4">
          <cell r="B4">
            <v>633.76700000000005</v>
          </cell>
        </row>
      </sheetData>
    </sheetDataSet>
  </externalBook>
</externalLink>
</file>

<file path=xl/externalLinks/externalLink5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6-CL-dist-2"/>
    </sheetNames>
    <sheetDataSet>
      <sheetData sheetId="0">
        <row r="3">
          <cell r="B3">
            <v>1024</v>
          </cell>
        </row>
        <row r="4">
          <cell r="B4">
            <v>403.21</v>
          </cell>
        </row>
      </sheetData>
    </sheetDataSet>
  </externalBook>
</externalLink>
</file>

<file path=xl/externalLinks/externalLink5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6-CL-dist-3"/>
    </sheetNames>
    <sheetDataSet>
      <sheetData sheetId="0">
        <row r="3">
          <cell r="B3">
            <v>1024</v>
          </cell>
        </row>
        <row r="4">
          <cell r="B4">
            <v>319.95299999999997</v>
          </cell>
        </row>
      </sheetData>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110</v>
          </cell>
        </row>
        <row r="4">
          <cell r="B4">
            <v>5.6222459338658002</v>
          </cell>
          <cell r="C4">
            <v>5.6258877041098811</v>
          </cell>
        </row>
        <row r="110">
          <cell r="W110">
            <v>4.8164356169965608</v>
          </cell>
          <cell r="Z110">
            <v>6.6101532994330894</v>
          </cell>
        </row>
      </sheetData>
      <sheetData sheetId="4">
        <row r="9">
          <cell r="B9">
            <v>5.5304357030133806</v>
          </cell>
          <cell r="C9">
            <v>6.1126782320485056</v>
          </cell>
          <cell r="D9">
            <v>6.6501798848600382</v>
          </cell>
          <cell r="E9">
            <v>6.4151197338110526</v>
          </cell>
          <cell r="F9">
            <v>5.1876433552822245</v>
          </cell>
          <cell r="G9">
            <v>5.6603988233983973</v>
          </cell>
          <cell r="H9">
            <v>4.8999496764476289</v>
          </cell>
          <cell r="I9">
            <v>5.1952242566080642</v>
          </cell>
          <cell r="J9">
            <v>4.8486993272820404</v>
          </cell>
          <cell r="K9">
            <v>5.3161090975244907</v>
          </cell>
          <cell r="L9">
            <v>5.8803056759792991</v>
          </cell>
          <cell r="N9">
            <v>5.6046840278134589</v>
          </cell>
          <cell r="O9">
            <v>5.6087948878413743</v>
          </cell>
          <cell r="P9">
            <v>5.5304357030133806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6-CL-dist-4"/>
    </sheetNames>
    <sheetDataSet>
      <sheetData sheetId="0">
        <row r="3">
          <cell r="B3">
            <v>1024</v>
          </cell>
        </row>
        <row r="4">
          <cell r="B4">
            <v>219.49299999999999</v>
          </cell>
        </row>
      </sheetData>
    </sheetDataSet>
  </externalBook>
</externalLink>
</file>

<file path=xl/externalLinks/externalLink5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6-CL-dist-5"/>
    </sheetNames>
    <sheetDataSet>
      <sheetData sheetId="0">
        <row r="3">
          <cell r="B3">
            <v>1024</v>
          </cell>
        </row>
        <row r="4">
          <cell r="B4">
            <v>29.410900000000002</v>
          </cell>
        </row>
      </sheetData>
    </sheetDataSet>
  </externalBook>
</externalLink>
</file>

<file path=xl/externalLinks/externalLink5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7-CL-dist-1"/>
    </sheetNames>
    <sheetDataSet>
      <sheetData sheetId="0">
        <row r="3">
          <cell r="B3">
            <v>1024</v>
          </cell>
        </row>
        <row r="4">
          <cell r="B4">
            <v>354.00099999999998</v>
          </cell>
        </row>
      </sheetData>
    </sheetDataSet>
  </externalBook>
</externalLink>
</file>

<file path=xl/externalLinks/externalLink5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7-CL-dist-2"/>
    </sheetNames>
    <sheetDataSet>
      <sheetData sheetId="0">
        <row r="3">
          <cell r="B3">
            <v>1024</v>
          </cell>
        </row>
        <row r="4">
          <cell r="B4">
            <v>96.020799999999994</v>
          </cell>
        </row>
      </sheetData>
    </sheetDataSet>
  </externalBook>
</externalLink>
</file>

<file path=xl/externalLinks/externalLink5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7-CL-dist-3"/>
    </sheetNames>
    <sheetDataSet>
      <sheetData sheetId="0">
        <row r="3">
          <cell r="B3">
            <v>1024</v>
          </cell>
        </row>
        <row r="4">
          <cell r="B4">
            <v>81.394099999999995</v>
          </cell>
        </row>
      </sheetData>
    </sheetDataSet>
  </externalBook>
</externalLink>
</file>

<file path=xl/externalLinks/externalLink5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7-CL-dist-4"/>
    </sheetNames>
    <sheetDataSet>
      <sheetData sheetId="0">
        <row r="3">
          <cell r="B3">
            <v>1024</v>
          </cell>
        </row>
        <row r="4">
          <cell r="B4">
            <v>42.106999999999999</v>
          </cell>
        </row>
      </sheetData>
    </sheetDataSet>
  </externalBook>
</externalLink>
</file>

<file path=xl/externalLinks/externalLink5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8-CL-dist-1"/>
    </sheetNames>
    <sheetDataSet>
      <sheetData sheetId="0">
        <row r="3">
          <cell r="B3">
            <v>1024</v>
          </cell>
        </row>
        <row r="4">
          <cell r="B4">
            <v>553.71900000000005</v>
          </cell>
        </row>
      </sheetData>
    </sheetDataSet>
  </externalBook>
</externalLink>
</file>

<file path=xl/externalLinks/externalLink5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8-CL-dist-2"/>
    </sheetNames>
    <sheetDataSet>
      <sheetData sheetId="0">
        <row r="3">
          <cell r="B3">
            <v>1024</v>
          </cell>
        </row>
        <row r="4">
          <cell r="B4">
            <v>459.69799999999998</v>
          </cell>
        </row>
      </sheetData>
    </sheetDataSet>
  </externalBook>
</externalLink>
</file>

<file path=xl/externalLinks/externalLink5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8-CL-dist-3"/>
    </sheetNames>
    <sheetDataSet>
      <sheetData sheetId="0">
        <row r="3">
          <cell r="B3">
            <v>1024</v>
          </cell>
        </row>
        <row r="4">
          <cell r="B4">
            <v>340.03699999999998</v>
          </cell>
        </row>
      </sheetData>
    </sheetDataSet>
  </externalBook>
</externalLink>
</file>

<file path=xl/externalLinks/externalLink5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8-CL-dist-4"/>
    </sheetNames>
    <sheetDataSet>
      <sheetData sheetId="0">
        <row r="3">
          <cell r="B3">
            <v>1024</v>
          </cell>
        </row>
        <row r="4">
          <cell r="B4">
            <v>120.30800000000001</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2.3146914842479105</v>
          </cell>
          <cell r="C4">
            <v>2.3448916426488768</v>
          </cell>
        </row>
        <row r="98">
          <cell r="W98">
            <v>1.4831235405355645</v>
          </cell>
          <cell r="Z98">
            <v>3.2258696595662903</v>
          </cell>
        </row>
      </sheetData>
      <sheetData sheetId="4">
        <row r="9">
          <cell r="B9">
            <v>1.8454731</v>
          </cell>
          <cell r="C9">
            <v>2.2682025000000001</v>
          </cell>
          <cell r="D9">
            <v>2.7653796455541055</v>
          </cell>
          <cell r="E9">
            <v>2.6932076</v>
          </cell>
          <cell r="F9">
            <v>2.1585345999999999</v>
          </cell>
          <cell r="G9">
            <v>2.3753496600299719</v>
          </cell>
          <cell r="H9">
            <v>2.2533699622423851</v>
          </cell>
          <cell r="I9">
            <v>2.4985743062617178</v>
          </cell>
          <cell r="J9">
            <v>2.1143077410225803</v>
          </cell>
          <cell r="K9">
            <v>1.9935750000000001</v>
          </cell>
          <cell r="L9">
            <v>2.5501209999999999</v>
          </cell>
          <cell r="N9">
            <v>2.3157776999999999</v>
          </cell>
          <cell r="O9">
            <v>2.3196450104646149</v>
          </cell>
          <cell r="P9">
            <v>2.2682025000000001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8-CL-dist-5"/>
    </sheetNames>
    <sheetDataSet>
      <sheetData sheetId="0">
        <row r="3">
          <cell r="B3">
            <v>1024</v>
          </cell>
        </row>
        <row r="4">
          <cell r="B4">
            <v>29.832899999999999</v>
          </cell>
        </row>
      </sheetData>
    </sheetDataSet>
  </externalBook>
</externalLink>
</file>

<file path=xl/externalLinks/externalLink5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9-CL-dist-1"/>
    </sheetNames>
    <sheetDataSet>
      <sheetData sheetId="0">
        <row r="3">
          <cell r="B3">
            <v>1024</v>
          </cell>
        </row>
        <row r="4">
          <cell r="B4">
            <v>577.03099999999995</v>
          </cell>
        </row>
      </sheetData>
    </sheetDataSet>
  </externalBook>
</externalLink>
</file>

<file path=xl/externalLinks/externalLink5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9-CL-dist-2"/>
    </sheetNames>
    <sheetDataSet>
      <sheetData sheetId="0">
        <row r="3">
          <cell r="B3">
            <v>1024</v>
          </cell>
        </row>
        <row r="4">
          <cell r="B4">
            <v>316.661</v>
          </cell>
        </row>
      </sheetData>
    </sheetDataSet>
  </externalBook>
</externalLink>
</file>

<file path=xl/externalLinks/externalLink5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9-CL-dist-3"/>
    </sheetNames>
    <sheetDataSet>
      <sheetData sheetId="0">
        <row r="3">
          <cell r="B3">
            <v>1024</v>
          </cell>
        </row>
        <row r="4">
          <cell r="B4">
            <v>109.128</v>
          </cell>
        </row>
      </sheetData>
    </sheetDataSet>
  </externalBook>
</externalLink>
</file>

<file path=xl/externalLinks/externalLink5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09-CL-dist-4"/>
    </sheetNames>
    <sheetDataSet>
      <sheetData sheetId="0">
        <row r="3">
          <cell r="B3">
            <v>1024</v>
          </cell>
        </row>
        <row r="4">
          <cell r="B4">
            <v>63.812199999999997</v>
          </cell>
        </row>
      </sheetData>
    </sheetDataSet>
  </externalBook>
</externalLink>
</file>

<file path=xl/externalLinks/externalLink5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10-CL-dist-1"/>
    </sheetNames>
    <sheetDataSet>
      <sheetData sheetId="0">
        <row r="3">
          <cell r="B3">
            <v>1024</v>
          </cell>
        </row>
        <row r="4">
          <cell r="B4">
            <v>598.40499999999997</v>
          </cell>
        </row>
      </sheetData>
    </sheetDataSet>
  </externalBook>
</externalLink>
</file>

<file path=xl/externalLinks/externalLink5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10-CL-dist-2"/>
    </sheetNames>
    <sheetDataSet>
      <sheetData sheetId="0">
        <row r="3">
          <cell r="B3">
            <v>1024</v>
          </cell>
        </row>
        <row r="4">
          <cell r="B4">
            <v>332.94</v>
          </cell>
        </row>
      </sheetData>
    </sheetDataSet>
  </externalBook>
</externalLink>
</file>

<file path=xl/externalLinks/externalLink5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10-CL-dist-3"/>
    </sheetNames>
    <sheetDataSet>
      <sheetData sheetId="0">
        <row r="3">
          <cell r="B3">
            <v>1024</v>
          </cell>
        </row>
        <row r="4">
          <cell r="B4">
            <v>293.82499999999999</v>
          </cell>
        </row>
      </sheetData>
    </sheetDataSet>
  </externalBook>
</externalLink>
</file>

<file path=xl/externalLinks/externalLink5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10-CL-dist-4"/>
    </sheetNames>
    <sheetDataSet>
      <sheetData sheetId="0">
        <row r="3">
          <cell r="B3">
            <v>1024</v>
          </cell>
        </row>
        <row r="4">
          <cell r="B4">
            <v>130.38399999999999</v>
          </cell>
        </row>
      </sheetData>
    </sheetDataSet>
  </externalBook>
</externalLink>
</file>

<file path=xl/externalLinks/externalLink5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10-CL-dist-5"/>
    </sheetNames>
    <sheetDataSet>
      <sheetData sheetId="0">
        <row r="3">
          <cell r="B3">
            <v>1024</v>
          </cell>
        </row>
        <row r="4">
          <cell r="B4">
            <v>51.156599999999997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114</v>
          </cell>
        </row>
        <row r="4">
          <cell r="B4">
            <v>5.7616545640773431</v>
          </cell>
          <cell r="C4">
            <v>5.7535851001953926</v>
          </cell>
        </row>
        <row r="114">
          <cell r="W114">
            <v>4.4427001458639364</v>
          </cell>
          <cell r="Z114">
            <v>7.0864201890274918</v>
          </cell>
        </row>
      </sheetData>
      <sheetData sheetId="4">
        <row r="9">
          <cell r="B9">
            <v>4.9624812881175835</v>
          </cell>
          <cell r="C9">
            <v>4.8297662499668874</v>
          </cell>
          <cell r="D9">
            <v>5.3362613435951678</v>
          </cell>
          <cell r="E9">
            <v>5.9718353000000004</v>
          </cell>
          <cell r="F9">
            <v>6.3265646999999996</v>
          </cell>
          <cell r="G9">
            <v>5.8566630175283416</v>
          </cell>
          <cell r="H9">
            <v>6.3007578000000004</v>
          </cell>
          <cell r="I9">
            <v>5.9217917</v>
          </cell>
          <cell r="J9">
            <v>6.4922005431208278</v>
          </cell>
          <cell r="K9">
            <v>5.4585179789765723</v>
          </cell>
          <cell r="L9">
            <v>5.4300577949797644</v>
          </cell>
          <cell r="N9">
            <v>5.8067960395191465</v>
          </cell>
          <cell r="O9">
            <v>5.7169907014804684</v>
          </cell>
          <cell r="P9">
            <v>5.8566630175283416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80</v>
          </cell>
        </row>
        <row r="4">
          <cell r="B4">
            <v>2.8693153164067939</v>
          </cell>
          <cell r="C4">
            <v>2.91975628511458</v>
          </cell>
        </row>
        <row r="80">
          <cell r="W80">
            <v>1.723217636179178</v>
          </cell>
          <cell r="Z80">
            <v>4.6946301520223299</v>
          </cell>
        </row>
      </sheetData>
      <sheetData sheetId="4">
        <row r="9">
          <cell r="B9">
            <v>2.3841249130007034</v>
          </cell>
          <cell r="C9">
            <v>2.8684952302158875</v>
          </cell>
          <cell r="D9">
            <v>3.5409269770474849</v>
          </cell>
          <cell r="E9">
            <v>3.9528781420085193</v>
          </cell>
          <cell r="F9">
            <v>3.1559521617481079</v>
          </cell>
          <cell r="G9">
            <v>2.3409163205633172</v>
          </cell>
          <cell r="H9">
            <v>3.3690270799703788</v>
          </cell>
          <cell r="I9">
            <v>3.0669076625386169</v>
          </cell>
          <cell r="J9">
            <v>2.9217060443873821</v>
          </cell>
          <cell r="K9">
            <v>2.2288399769132687</v>
          </cell>
          <cell r="L9">
            <v>2.625246242105884</v>
          </cell>
          <cell r="N9">
            <v>2.9552440204062251</v>
          </cell>
          <cell r="O9">
            <v>2.9504564318635955</v>
          </cell>
          <cell r="P9">
            <v>2.9217060443873821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11-CL-dist-1"/>
    </sheetNames>
    <sheetDataSet>
      <sheetData sheetId="0">
        <row r="3">
          <cell r="B3">
            <v>1024</v>
          </cell>
        </row>
        <row r="4">
          <cell r="B4">
            <v>443.38400000000001</v>
          </cell>
        </row>
      </sheetData>
    </sheetDataSet>
  </externalBook>
</externalLink>
</file>

<file path=xl/externalLinks/externalLink6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11-CL-dist-2"/>
    </sheetNames>
    <sheetDataSet>
      <sheetData sheetId="0">
        <row r="3">
          <cell r="B3">
            <v>1024</v>
          </cell>
        </row>
        <row r="4">
          <cell r="B4">
            <v>354.572</v>
          </cell>
        </row>
      </sheetData>
    </sheetDataSet>
  </externalBook>
</externalLink>
</file>

<file path=xl/externalLinks/externalLink6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11-CL-dist-3"/>
    </sheetNames>
    <sheetDataSet>
      <sheetData sheetId="0">
        <row r="3">
          <cell r="B3">
            <v>1024</v>
          </cell>
        </row>
        <row r="4">
          <cell r="B4">
            <v>187.00299999999999</v>
          </cell>
        </row>
      </sheetData>
    </sheetDataSet>
  </externalBook>
</externalLink>
</file>

<file path=xl/externalLinks/externalLink6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11-CL-dist-4"/>
    </sheetNames>
    <sheetDataSet>
      <sheetData sheetId="0">
        <row r="3">
          <cell r="B3">
            <v>1024</v>
          </cell>
        </row>
        <row r="4">
          <cell r="B4">
            <v>170.417</v>
          </cell>
        </row>
      </sheetData>
    </sheetDataSet>
  </externalBook>
</externalLink>
</file>

<file path=xl/externalLinks/externalLink6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11-CL-dist-5"/>
    </sheetNames>
    <sheetDataSet>
      <sheetData sheetId="0">
        <row r="3">
          <cell r="B3">
            <v>1024</v>
          </cell>
        </row>
        <row r="4">
          <cell r="B4">
            <v>60.440100000000001</v>
          </cell>
        </row>
      </sheetData>
    </sheetDataSet>
  </externalBook>
</externalLink>
</file>

<file path=xl/externalLinks/externalLink6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12-CL-dist-1"/>
    </sheetNames>
    <sheetDataSet>
      <sheetData sheetId="0">
        <row r="3">
          <cell r="B3">
            <v>1024</v>
          </cell>
        </row>
        <row r="4">
          <cell r="B4">
            <v>605.97900000000004</v>
          </cell>
        </row>
      </sheetData>
    </sheetDataSet>
  </externalBook>
</externalLink>
</file>

<file path=xl/externalLinks/externalLink6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12-CL-dist-2"/>
    </sheetNames>
    <sheetDataSet>
      <sheetData sheetId="0">
        <row r="3">
          <cell r="B3">
            <v>1024</v>
          </cell>
        </row>
        <row r="4">
          <cell r="B4">
            <v>343.577</v>
          </cell>
        </row>
      </sheetData>
    </sheetDataSet>
  </externalBook>
</externalLink>
</file>

<file path=xl/externalLinks/externalLink6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12-CL-dist-3"/>
    </sheetNames>
    <sheetDataSet>
      <sheetData sheetId="0">
        <row r="3">
          <cell r="B3">
            <v>1024</v>
          </cell>
        </row>
        <row r="4">
          <cell r="B4">
            <v>233.94399999999999</v>
          </cell>
        </row>
      </sheetData>
    </sheetDataSet>
  </externalBook>
</externalLink>
</file>

<file path=xl/externalLinks/externalLink6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9-qtz12-CL-dist-4"/>
    </sheetNames>
    <sheetDataSet>
      <sheetData sheetId="0">
        <row r="3">
          <cell r="B3">
            <v>1024</v>
          </cell>
        </row>
        <row r="4">
          <cell r="B4">
            <v>81.024699999999996</v>
          </cell>
        </row>
      </sheetData>
    </sheetDataSet>
  </externalBook>
</externalLink>
</file>

<file path=xl/externalLinks/externalLink6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1-CL-dist-1"/>
    </sheetNames>
    <sheetDataSet>
      <sheetData sheetId="0">
        <row r="3">
          <cell r="B3">
            <v>1024</v>
          </cell>
        </row>
        <row r="4">
          <cell r="B4">
            <v>357.74</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80</v>
          </cell>
        </row>
        <row r="4">
          <cell r="B4">
            <v>2.3689571046467868</v>
          </cell>
          <cell r="C4">
            <v>2.4050415218785677</v>
          </cell>
        </row>
        <row r="80">
          <cell r="W80">
            <v>1.6014086521251787</v>
          </cell>
          <cell r="Z80">
            <v>3.3539120998891301</v>
          </cell>
        </row>
      </sheetData>
      <sheetData sheetId="4">
        <row r="9">
          <cell r="B9">
            <v>1.9172667159969781</v>
          </cell>
          <cell r="C9">
            <v>2.3764770957249337</v>
          </cell>
          <cell r="D9">
            <v>2.101705470060403</v>
          </cell>
          <cell r="E9">
            <v>2.3116607643535958</v>
          </cell>
          <cell r="F9">
            <v>2.6302149427296611</v>
          </cell>
          <cell r="G9">
            <v>2.0667590698819329</v>
          </cell>
          <cell r="H9">
            <v>2.2747964989267122</v>
          </cell>
          <cell r="I9">
            <v>2.407369393780844</v>
          </cell>
          <cell r="J9">
            <v>2.7635707293373963</v>
          </cell>
          <cell r="K9">
            <v>2.046941992239641</v>
          </cell>
          <cell r="L9">
            <v>2.7240088658208075</v>
          </cell>
          <cell r="N9">
            <v>2.3842406655915598</v>
          </cell>
          <cell r="O9">
            <v>2.3291610489866277</v>
          </cell>
          <cell r="P9">
            <v>2.3116607643535958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1-CL-dist-2"/>
    </sheetNames>
    <sheetDataSet>
      <sheetData sheetId="0">
        <row r="3">
          <cell r="B3">
            <v>1024</v>
          </cell>
        </row>
        <row r="4">
          <cell r="B4">
            <v>202.09399999999999</v>
          </cell>
        </row>
      </sheetData>
    </sheetDataSet>
  </externalBook>
</externalLink>
</file>

<file path=xl/externalLinks/externalLink6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1-CL-dist-3"/>
    </sheetNames>
    <sheetDataSet>
      <sheetData sheetId="0">
        <row r="3">
          <cell r="B3">
            <v>1024</v>
          </cell>
        </row>
        <row r="4">
          <cell r="B4">
            <v>148.297</v>
          </cell>
        </row>
      </sheetData>
    </sheetDataSet>
  </externalBook>
</externalLink>
</file>

<file path=xl/externalLinks/externalLink6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1-CL-dist-4"/>
    </sheetNames>
    <sheetDataSet>
      <sheetData sheetId="0">
        <row r="3">
          <cell r="B3">
            <v>1024</v>
          </cell>
        </row>
        <row r="4">
          <cell r="B4">
            <v>72.111000000000004</v>
          </cell>
        </row>
      </sheetData>
    </sheetDataSet>
  </externalBook>
</externalLink>
</file>

<file path=xl/externalLinks/externalLink6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L"/>
      <sheetName val="t (Cherniak)"/>
      <sheetName val="t (Cherniak) Category"/>
      <sheetName val="Sheet1"/>
      <sheetName val="t (Cherniak) Rank Order"/>
      <sheetName val="t (J)"/>
      <sheetName val="Sheet2"/>
      <sheetName val="t (J) Rank Order"/>
      <sheetName val="Sections"/>
    </sheetNames>
    <sheetDataSet>
      <sheetData sheetId="0"/>
      <sheetData sheetId="1"/>
      <sheetData sheetId="2">
        <row r="1">
          <cell r="A1" t="str">
            <v>L (2*sqrt[Dt]) [a]</v>
          </cell>
        </row>
        <row r="200">
          <cell r="Z200">
            <v>1382.5593822999253</v>
          </cell>
        </row>
        <row r="275">
          <cell r="Z275">
            <v>79.957240382701357</v>
          </cell>
        </row>
      </sheetData>
      <sheetData sheetId="3"/>
      <sheetData sheetId="4"/>
      <sheetData sheetId="5"/>
      <sheetData sheetId="6">
        <row r="1">
          <cell r="A1" t="str">
            <v>L (2*sqrt[Dt]) [a]</v>
          </cell>
        </row>
        <row r="159">
          <cell r="Z159">
            <v>78624.061667248228</v>
          </cell>
        </row>
        <row r="200">
          <cell r="Z200">
            <v>1662777.546014759</v>
          </cell>
        </row>
      </sheetData>
      <sheetData sheetId="7"/>
      <sheetData sheetId="8"/>
      <sheetData sheetId="9"/>
    </sheetDataSet>
  </externalBook>
</externalLink>
</file>

<file path=xl/externalLinks/externalLink6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1-CL-dist-5"/>
    </sheetNames>
    <sheetDataSet>
      <sheetData sheetId="0">
        <row r="3">
          <cell r="B3">
            <v>1024</v>
          </cell>
        </row>
        <row r="4">
          <cell r="B4">
            <v>35.170999999999999</v>
          </cell>
        </row>
      </sheetData>
    </sheetDataSet>
  </externalBook>
</externalLink>
</file>

<file path=xl/externalLinks/externalLink6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2-CL-dist-1"/>
    </sheetNames>
    <sheetDataSet>
      <sheetData sheetId="0">
        <row r="3">
          <cell r="B3">
            <v>1024</v>
          </cell>
        </row>
        <row r="4">
          <cell r="B4">
            <v>930.85799999999995</v>
          </cell>
        </row>
      </sheetData>
    </sheetDataSet>
  </externalBook>
</externalLink>
</file>

<file path=xl/externalLinks/externalLink6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2-CL-dist-2"/>
    </sheetNames>
    <sheetDataSet>
      <sheetData sheetId="0">
        <row r="3">
          <cell r="B3">
            <v>1024</v>
          </cell>
        </row>
        <row r="4">
          <cell r="B4">
            <v>519.54200000000003</v>
          </cell>
        </row>
      </sheetData>
    </sheetDataSet>
  </externalBook>
</externalLink>
</file>

<file path=xl/externalLinks/externalLink6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2-CL-dist-3"/>
    </sheetNames>
    <sheetDataSet>
      <sheetData sheetId="0">
        <row r="3">
          <cell r="B3">
            <v>1024</v>
          </cell>
        </row>
        <row r="4">
          <cell r="B4">
            <v>335.72199999999998</v>
          </cell>
        </row>
      </sheetData>
    </sheetDataSet>
  </externalBook>
</externalLink>
</file>

<file path=xl/externalLinks/externalLink6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2-CL-dist-4"/>
    </sheetNames>
    <sheetDataSet>
      <sheetData sheetId="0">
        <row r="3">
          <cell r="B3">
            <v>1024</v>
          </cell>
        </row>
        <row r="4">
          <cell r="B4">
            <v>238.00200000000001</v>
          </cell>
        </row>
      </sheetData>
    </sheetDataSet>
  </externalBook>
</externalLink>
</file>

<file path=xl/externalLinks/externalLink6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2-CL-dist-5"/>
    </sheetNames>
    <sheetDataSet>
      <sheetData sheetId="0">
        <row r="3">
          <cell r="B3">
            <v>1024</v>
          </cell>
        </row>
        <row r="4">
          <cell r="B4">
            <v>140.28899999999999</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3.3125907845590907</v>
          </cell>
          <cell r="C4">
            <v>3.3418171836607629</v>
          </cell>
        </row>
        <row r="98">
          <cell r="W98">
            <v>8.582149097848949E-6</v>
          </cell>
          <cell r="Z98">
            <v>6.9005278639792857</v>
          </cell>
        </row>
      </sheetData>
      <sheetData sheetId="4">
        <row r="9">
          <cell r="B9">
            <v>3.8119258983445432</v>
          </cell>
          <cell r="C9">
            <v>0.20579569407349885</v>
          </cell>
          <cell r="D9">
            <v>5.2926029036833553</v>
          </cell>
          <cell r="E9">
            <v>0.29486357929479917</v>
          </cell>
          <cell r="F9">
            <v>6.2501533640740714</v>
          </cell>
          <cell r="G9">
            <v>0.71623175534185413</v>
          </cell>
          <cell r="H9">
            <v>2.3307684330087852</v>
          </cell>
          <cell r="I9">
            <v>3.1640962199011717</v>
          </cell>
          <cell r="J9">
            <v>8.4381442407468121</v>
          </cell>
          <cell r="K9">
            <v>3.9481290235737596</v>
          </cell>
          <cell r="L9">
            <v>4.622732108950274E-2</v>
          </cell>
          <cell r="N9">
            <v>3.7140878140209939</v>
          </cell>
          <cell r="O9">
            <v>3.1362671302847414</v>
          </cell>
          <cell r="P9">
            <v>3.1640962199011717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3-CL-dist-1"/>
    </sheetNames>
    <sheetDataSet>
      <sheetData sheetId="0">
        <row r="3">
          <cell r="B3">
            <v>1024</v>
          </cell>
        </row>
        <row r="4">
          <cell r="B4">
            <v>529.52800000000002</v>
          </cell>
        </row>
      </sheetData>
    </sheetDataSet>
  </externalBook>
</externalLink>
</file>

<file path=xl/externalLinks/externalLink6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3-CL-dist-2"/>
    </sheetNames>
    <sheetDataSet>
      <sheetData sheetId="0">
        <row r="3">
          <cell r="B3">
            <v>1024</v>
          </cell>
        </row>
        <row r="4">
          <cell r="B4">
            <v>225.559</v>
          </cell>
        </row>
      </sheetData>
    </sheetDataSet>
  </externalBook>
</externalLink>
</file>

<file path=xl/externalLinks/externalLink6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3-CL-dist-3"/>
    </sheetNames>
    <sheetDataSet>
      <sheetData sheetId="0">
        <row r="3">
          <cell r="B3">
            <v>1024</v>
          </cell>
        </row>
        <row r="4">
          <cell r="B4">
            <v>142.72</v>
          </cell>
        </row>
      </sheetData>
    </sheetDataSet>
  </externalBook>
</externalLink>
</file>

<file path=xl/externalLinks/externalLink6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4-CL-dist-1"/>
    </sheetNames>
    <sheetDataSet>
      <sheetData sheetId="0">
        <row r="3">
          <cell r="B3">
            <v>1024</v>
          </cell>
        </row>
        <row r="4">
          <cell r="B4">
            <v>634.88699999999994</v>
          </cell>
        </row>
      </sheetData>
    </sheetDataSet>
  </externalBook>
</externalLink>
</file>

<file path=xl/externalLinks/externalLink6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4-CL-dist-2"/>
    </sheetNames>
    <sheetDataSet>
      <sheetData sheetId="0">
        <row r="3">
          <cell r="B3">
            <v>1024</v>
          </cell>
        </row>
        <row r="4">
          <cell r="B4">
            <v>457.089</v>
          </cell>
        </row>
      </sheetData>
    </sheetDataSet>
  </externalBook>
</externalLink>
</file>

<file path=xl/externalLinks/externalLink6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4-CL-dist-3"/>
    </sheetNames>
    <sheetDataSet>
      <sheetData sheetId="0">
        <row r="3">
          <cell r="B3">
            <v>1024</v>
          </cell>
        </row>
        <row r="4">
          <cell r="B4">
            <v>374.803</v>
          </cell>
        </row>
      </sheetData>
    </sheetDataSet>
  </externalBook>
</externalLink>
</file>

<file path=xl/externalLinks/externalLink6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4-CL-dist-4"/>
    </sheetNames>
    <sheetDataSet>
      <sheetData sheetId="0">
        <row r="3">
          <cell r="B3">
            <v>1024</v>
          </cell>
        </row>
        <row r="4">
          <cell r="B4">
            <v>351.24099999999999</v>
          </cell>
        </row>
      </sheetData>
    </sheetDataSet>
  </externalBook>
</externalLink>
</file>

<file path=xl/externalLinks/externalLink6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4-CL-dist-5"/>
    </sheetNames>
    <sheetDataSet>
      <sheetData sheetId="0">
        <row r="3">
          <cell r="B3">
            <v>1024</v>
          </cell>
        </row>
        <row r="4">
          <cell r="B4">
            <v>100.09</v>
          </cell>
        </row>
      </sheetData>
    </sheetDataSet>
  </externalBook>
</externalLink>
</file>

<file path=xl/externalLinks/externalLink6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5-CL-dist-1"/>
    </sheetNames>
    <sheetDataSet>
      <sheetData sheetId="0">
        <row r="3">
          <cell r="B3">
            <v>1024</v>
          </cell>
        </row>
        <row r="4">
          <cell r="B4">
            <v>689.90800000000002</v>
          </cell>
        </row>
      </sheetData>
    </sheetDataSet>
  </externalBook>
</externalLink>
</file>

<file path=xl/externalLinks/externalLink6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5-CL-dist-2"/>
    </sheetNames>
    <sheetDataSet>
      <sheetData sheetId="0">
        <row r="3">
          <cell r="B3">
            <v>1024</v>
          </cell>
        </row>
        <row r="4">
          <cell r="B4">
            <v>576.28499999999997</v>
          </cell>
        </row>
      </sheetData>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124</v>
          </cell>
        </row>
        <row r="4">
          <cell r="B4">
            <v>6.9354380923049934</v>
          </cell>
          <cell r="C4">
            <v>7.1986169517361125</v>
          </cell>
        </row>
        <row r="124">
          <cell r="W124">
            <v>1.590965202499196</v>
          </cell>
          <cell r="Z124">
            <v>15.252613780789176</v>
          </cell>
        </row>
      </sheetData>
      <sheetData sheetId="4">
        <row r="9">
          <cell r="B9">
            <v>7.1838711505627897</v>
          </cell>
          <cell r="C9">
            <v>5.2955292945160757</v>
          </cell>
          <cell r="D9">
            <v>5.072704775070096</v>
          </cell>
          <cell r="E9">
            <v>8.4067756833400296</v>
          </cell>
          <cell r="F9">
            <v>6.9608206995504531</v>
          </cell>
          <cell r="G9">
            <v>5.3796467852111096</v>
          </cell>
          <cell r="H9">
            <v>6.5994063181923588</v>
          </cell>
          <cell r="I9">
            <v>5.3254817131620102</v>
          </cell>
          <cell r="J9">
            <v>7.5183621196341148</v>
          </cell>
          <cell r="K9">
            <v>11.339590939987175</v>
          </cell>
          <cell r="L9">
            <v>8.6253163148846159</v>
          </cell>
          <cell r="N9">
            <v>6.7028365774836542</v>
          </cell>
          <cell r="O9">
            <v>7.064318708555529</v>
          </cell>
          <cell r="P9">
            <v>6.9608206995504531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5-CL-dist-3"/>
    </sheetNames>
    <sheetDataSet>
      <sheetData sheetId="0">
        <row r="3">
          <cell r="B3">
            <v>1024</v>
          </cell>
        </row>
        <row r="4">
          <cell r="B4">
            <v>375.71300000000002</v>
          </cell>
        </row>
      </sheetData>
    </sheetDataSet>
  </externalBook>
</externalLink>
</file>

<file path=xl/externalLinks/externalLink6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5-CL-dist-4"/>
    </sheetNames>
    <sheetDataSet>
      <sheetData sheetId="0">
        <row r="3">
          <cell r="B3">
            <v>1024</v>
          </cell>
        </row>
        <row r="4">
          <cell r="B4">
            <v>290.85399999999998</v>
          </cell>
        </row>
      </sheetData>
    </sheetDataSet>
  </externalBook>
</externalLink>
</file>

<file path=xl/externalLinks/externalLink6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5-CL-dist-5"/>
    </sheetNames>
    <sheetDataSet>
      <sheetData sheetId="0">
        <row r="3">
          <cell r="B3">
            <v>1024</v>
          </cell>
        </row>
        <row r="4">
          <cell r="B4">
            <v>109.77200000000001</v>
          </cell>
        </row>
      </sheetData>
    </sheetDataSet>
  </externalBook>
</externalLink>
</file>

<file path=xl/externalLinks/externalLink6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6-CL-dist-1"/>
    </sheetNames>
    <sheetDataSet>
      <sheetData sheetId="0">
        <row r="3">
          <cell r="B3">
            <v>1024</v>
          </cell>
        </row>
        <row r="4">
          <cell r="B4">
            <v>885.404</v>
          </cell>
        </row>
      </sheetData>
    </sheetDataSet>
  </externalBook>
</externalLink>
</file>

<file path=xl/externalLinks/externalLink6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6-CL-dist-2"/>
    </sheetNames>
    <sheetDataSet>
      <sheetData sheetId="0">
        <row r="3">
          <cell r="B3">
            <v>1024</v>
          </cell>
        </row>
        <row r="4">
          <cell r="B4">
            <v>530.97</v>
          </cell>
        </row>
      </sheetData>
    </sheetDataSet>
  </externalBook>
</externalLink>
</file>

<file path=xl/externalLinks/externalLink6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6-CL-dist-3"/>
    </sheetNames>
    <sheetDataSet>
      <sheetData sheetId="0">
        <row r="3">
          <cell r="B3">
            <v>1024</v>
          </cell>
        </row>
        <row r="4">
          <cell r="B4">
            <v>247.00800000000001</v>
          </cell>
        </row>
      </sheetData>
    </sheetDataSet>
  </externalBook>
</externalLink>
</file>

<file path=xl/externalLinks/externalLink6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6-CL-dist-4"/>
    </sheetNames>
    <sheetDataSet>
      <sheetData sheetId="0">
        <row r="3">
          <cell r="B3">
            <v>1024</v>
          </cell>
        </row>
        <row r="4">
          <cell r="B4">
            <v>219.864</v>
          </cell>
        </row>
      </sheetData>
    </sheetDataSet>
  </externalBook>
</externalLink>
</file>

<file path=xl/externalLinks/externalLink6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7-CL-dist-1"/>
    </sheetNames>
    <sheetDataSet>
      <sheetData sheetId="0">
        <row r="3">
          <cell r="B3">
            <v>1024</v>
          </cell>
        </row>
        <row r="4">
          <cell r="B4">
            <v>722.399</v>
          </cell>
        </row>
      </sheetData>
    </sheetDataSet>
  </externalBook>
</externalLink>
</file>

<file path=xl/externalLinks/externalLink6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7-CL-dist-2"/>
    </sheetNames>
    <sheetDataSet>
      <sheetData sheetId="0">
        <row r="3">
          <cell r="B3">
            <v>1024</v>
          </cell>
        </row>
        <row r="4">
          <cell r="B4">
            <v>438.22399999999999</v>
          </cell>
        </row>
      </sheetData>
    </sheetDataSet>
  </externalBook>
</externalLink>
</file>

<file path=xl/externalLinks/externalLink6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7-CL-dist-3"/>
    </sheetNames>
    <sheetDataSet>
      <sheetData sheetId="0">
        <row r="3">
          <cell r="B3">
            <v>1024</v>
          </cell>
        </row>
        <row r="4">
          <cell r="B4">
            <v>64.381699999999995</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124</v>
          </cell>
        </row>
        <row r="4">
          <cell r="B4">
            <v>6.1802199031713645</v>
          </cell>
          <cell r="C4">
            <v>6.3757434758307285</v>
          </cell>
        </row>
        <row r="124">
          <cell r="W124">
            <v>3.1424391421367268</v>
          </cell>
          <cell r="Z124">
            <v>11.878382520479851</v>
          </cell>
        </row>
      </sheetData>
      <sheetData sheetId="4">
        <row r="9">
          <cell r="B9">
            <v>4.6610609056406851</v>
          </cell>
          <cell r="C9">
            <v>0.47834004877085484</v>
          </cell>
          <cell r="D9">
            <v>6.4251578179189721</v>
          </cell>
          <cell r="E9">
            <v>5.0572167931541374</v>
          </cell>
          <cell r="F9">
            <v>6.7353633606615428</v>
          </cell>
          <cell r="G9">
            <v>6.8361766508383273</v>
          </cell>
          <cell r="H9">
            <v>4.8001510912922702</v>
          </cell>
          <cell r="I9">
            <v>0</v>
          </cell>
          <cell r="J9">
            <v>8.7439347603038406</v>
          </cell>
          <cell r="K9">
            <v>6.6267555097401605</v>
          </cell>
          <cell r="L9">
            <v>6.0981921386933449</v>
          </cell>
          <cell r="N9">
            <v>6.3295617161364381</v>
          </cell>
          <cell r="O9">
            <v>5.6462349077014133</v>
          </cell>
          <cell r="P9">
            <v>6.2616749783061589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8-CL-dist-1"/>
    </sheetNames>
    <sheetDataSet>
      <sheetData sheetId="0">
        <row r="3">
          <cell r="B3">
            <v>1024</v>
          </cell>
        </row>
        <row r="4">
          <cell r="B4">
            <v>882.803</v>
          </cell>
        </row>
      </sheetData>
    </sheetDataSet>
  </externalBook>
</externalLink>
</file>

<file path=xl/externalLinks/externalLink6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8-CL-dist-2 "/>
    </sheetNames>
    <sheetDataSet>
      <sheetData sheetId="0">
        <row r="3">
          <cell r="B3">
            <v>1024</v>
          </cell>
        </row>
        <row r="4">
          <cell r="B4">
            <v>578.51599999999996</v>
          </cell>
        </row>
      </sheetData>
    </sheetDataSet>
  </externalBook>
</externalLink>
</file>

<file path=xl/externalLinks/externalLink6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8-CL-dist-3 "/>
    </sheetNames>
    <sheetDataSet>
      <sheetData sheetId="0">
        <row r="3">
          <cell r="B3">
            <v>1024</v>
          </cell>
        </row>
        <row r="4">
          <cell r="B4">
            <v>484.23200000000003</v>
          </cell>
        </row>
      </sheetData>
    </sheetDataSet>
  </externalBook>
</externalLink>
</file>

<file path=xl/externalLinks/externalLink6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8-CL-dist-4 "/>
    </sheetNames>
    <sheetDataSet>
      <sheetData sheetId="0">
        <row r="3">
          <cell r="B3">
            <v>1024</v>
          </cell>
        </row>
        <row r="4">
          <cell r="B4">
            <v>126.764</v>
          </cell>
        </row>
      </sheetData>
    </sheetDataSet>
  </externalBook>
</externalLink>
</file>

<file path=xl/externalLinks/externalLink6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8-CL-dist-5 "/>
    </sheetNames>
    <sheetDataSet>
      <sheetData sheetId="0">
        <row r="3">
          <cell r="B3">
            <v>1024</v>
          </cell>
        </row>
        <row r="4">
          <cell r="B4">
            <v>31.305</v>
          </cell>
        </row>
      </sheetData>
    </sheetDataSet>
  </externalBook>
</externalLink>
</file>

<file path=xl/externalLinks/externalLink6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9-CL-dist-1"/>
    </sheetNames>
    <sheetDataSet>
      <sheetData sheetId="0">
        <row r="3">
          <cell r="B3">
            <v>1024</v>
          </cell>
        </row>
        <row r="4">
          <cell r="B4">
            <v>346.91399999999999</v>
          </cell>
        </row>
      </sheetData>
    </sheetDataSet>
  </externalBook>
</externalLink>
</file>

<file path=xl/externalLinks/externalLink6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9-CL-dist-2"/>
    </sheetNames>
    <sheetDataSet>
      <sheetData sheetId="0">
        <row r="3">
          <cell r="B3">
            <v>1024</v>
          </cell>
        </row>
        <row r="4">
          <cell r="B4">
            <v>244.16800000000001</v>
          </cell>
        </row>
      </sheetData>
    </sheetDataSet>
  </externalBook>
</externalLink>
</file>

<file path=xl/externalLinks/externalLink6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9-CL-dist-3"/>
    </sheetNames>
    <sheetDataSet>
      <sheetData sheetId="0">
        <row r="3">
          <cell r="B3">
            <v>1024</v>
          </cell>
        </row>
        <row r="4">
          <cell r="B4">
            <v>234.77600000000001</v>
          </cell>
        </row>
      </sheetData>
    </sheetDataSet>
  </externalBook>
</externalLink>
</file>

<file path=xl/externalLinks/externalLink6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09-CL-dist-4"/>
    </sheetNames>
    <sheetDataSet>
      <sheetData sheetId="0">
        <row r="3">
          <cell r="B3">
            <v>1024</v>
          </cell>
        </row>
        <row r="4">
          <cell r="B4">
            <v>118.849</v>
          </cell>
        </row>
      </sheetData>
    </sheetDataSet>
  </externalBook>
</externalLink>
</file>

<file path=xl/externalLinks/externalLink6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11-CL-dist-1"/>
    </sheetNames>
    <sheetDataSet>
      <sheetData sheetId="0">
        <row r="3">
          <cell r="B3">
            <v>1024</v>
          </cell>
        </row>
        <row r="4">
          <cell r="B4">
            <v>678.399</v>
          </cell>
        </row>
      </sheetData>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142</v>
          </cell>
        </row>
        <row r="4">
          <cell r="B4">
            <v>11.304621632998785</v>
          </cell>
          <cell r="C4">
            <v>11.335650851994364</v>
          </cell>
        </row>
        <row r="142">
          <cell r="W142">
            <v>9.4612256494098084</v>
          </cell>
          <cell r="Z142">
            <v>13.291553296880595</v>
          </cell>
        </row>
      </sheetData>
      <sheetData sheetId="4">
        <row r="9">
          <cell r="B9">
            <v>11.430051896870557</v>
          </cell>
          <cell r="C9">
            <v>10.069067631478447</v>
          </cell>
          <cell r="D9">
            <v>13.105897212325306</v>
          </cell>
          <cell r="E9">
            <v>11.400690713767567</v>
          </cell>
          <cell r="F9">
            <v>10.150448141393849</v>
          </cell>
          <cell r="G9">
            <v>10.384782897381042</v>
          </cell>
          <cell r="H9">
            <v>12.365654670001705</v>
          </cell>
          <cell r="I9">
            <v>12.242382160886221</v>
          </cell>
          <cell r="J9">
            <v>9.5247422896441591</v>
          </cell>
          <cell r="K9">
            <v>13.019594610833604</v>
          </cell>
          <cell r="L9">
            <v>10.456858059656824</v>
          </cell>
          <cell r="N9">
            <v>11.267587631253685</v>
          </cell>
          <cell r="O9">
            <v>11.286379116749027</v>
          </cell>
          <cell r="P9">
            <v>11.400690713767567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11-CL-dist-2"/>
    </sheetNames>
    <sheetDataSet>
      <sheetData sheetId="0">
        <row r="3">
          <cell r="B3">
            <v>1024</v>
          </cell>
        </row>
        <row r="4">
          <cell r="B4">
            <v>440.99</v>
          </cell>
        </row>
      </sheetData>
    </sheetDataSet>
  </externalBook>
</externalLink>
</file>

<file path=xl/externalLinks/externalLink6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11-CL-dist-3"/>
    </sheetNames>
    <sheetDataSet>
      <sheetData sheetId="0">
        <row r="3">
          <cell r="B3">
            <v>1024</v>
          </cell>
        </row>
        <row r="4">
          <cell r="B4">
            <v>339.34199999999998</v>
          </cell>
        </row>
      </sheetData>
    </sheetDataSet>
  </externalBook>
</externalLink>
</file>

<file path=xl/externalLinks/externalLink6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11-CL-dist-4"/>
    </sheetNames>
    <sheetDataSet>
      <sheetData sheetId="0">
        <row r="3">
          <cell r="B3">
            <v>1024</v>
          </cell>
        </row>
        <row r="4">
          <cell r="B4">
            <v>91.3947</v>
          </cell>
        </row>
      </sheetData>
    </sheetDataSet>
  </externalBook>
</externalLink>
</file>

<file path=xl/externalLinks/externalLink6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12-CL-dist-1"/>
    </sheetNames>
    <sheetDataSet>
      <sheetData sheetId="0">
        <row r="3">
          <cell r="B3">
            <v>1024</v>
          </cell>
        </row>
        <row r="4">
          <cell r="B4">
            <v>448.57600000000002</v>
          </cell>
        </row>
      </sheetData>
    </sheetDataSet>
  </externalBook>
</externalLink>
</file>

<file path=xl/externalLinks/externalLink6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12-CL-dist-2"/>
    </sheetNames>
    <sheetDataSet>
      <sheetData sheetId="0">
        <row r="3">
          <cell r="B3">
            <v>1024</v>
          </cell>
        </row>
        <row r="4">
          <cell r="B4">
            <v>304.23700000000002</v>
          </cell>
        </row>
      </sheetData>
    </sheetDataSet>
  </externalBook>
</externalLink>
</file>

<file path=xl/externalLinks/externalLink6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12-CL-dist-3"/>
    </sheetNames>
    <sheetDataSet>
      <sheetData sheetId="0">
        <row r="3">
          <cell r="B3">
            <v>1024</v>
          </cell>
        </row>
        <row r="4">
          <cell r="B4">
            <v>223.40299999999999</v>
          </cell>
        </row>
      </sheetData>
    </sheetDataSet>
  </externalBook>
</externalLink>
</file>

<file path=xl/externalLinks/externalLink6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1-qtz12-CL-dist-4"/>
    </sheetNames>
    <sheetDataSet>
      <sheetData sheetId="0">
        <row r="3">
          <cell r="B3">
            <v>1024</v>
          </cell>
        </row>
        <row r="4">
          <cell r="B4">
            <v>61.294400000000003</v>
          </cell>
        </row>
      </sheetData>
    </sheetDataSet>
  </externalBook>
</externalLink>
</file>

<file path=xl/externalLinks/externalLink6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08-qtz04-CL-dist-3"/>
    </sheetNames>
    <sheetDataSet>
      <sheetData sheetId="0">
        <row r="3">
          <cell r="B3">
            <v>1024</v>
          </cell>
        </row>
        <row r="4">
          <cell r="B4">
            <v>278.22699999999998</v>
          </cell>
        </row>
      </sheetData>
    </sheetDataSet>
  </externalBook>
</externalLink>
</file>

<file path=xl/externalLinks/externalLink6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1-CL-dist-2"/>
    </sheetNames>
    <sheetDataSet>
      <sheetData sheetId="0">
        <row r="3">
          <cell r="B3">
            <v>1024</v>
          </cell>
        </row>
        <row r="4">
          <cell r="B4">
            <v>490.00900000000001</v>
          </cell>
        </row>
      </sheetData>
    </sheetDataSet>
  </externalBook>
</externalLink>
</file>

<file path=xl/externalLinks/externalLink6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2-CL-dist-1"/>
    </sheetNames>
    <sheetDataSet>
      <sheetData sheetId="0">
        <row r="3">
          <cell r="B3">
            <v>1024</v>
          </cell>
        </row>
        <row r="4">
          <cell r="B4">
            <v>364.96699999999998</v>
          </cell>
        </row>
      </sheetData>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118</v>
          </cell>
        </row>
        <row r="4">
          <cell r="B4">
            <v>6.1661114000000001</v>
          </cell>
          <cell r="C4">
            <v>6.1760029910826573</v>
          </cell>
        </row>
        <row r="118">
          <cell r="W118">
            <v>5.1195883115218654</v>
          </cell>
          <cell r="Z118">
            <v>7.2533535950621975</v>
          </cell>
        </row>
      </sheetData>
      <sheetData sheetId="4">
        <row r="9">
          <cell r="B9">
            <v>6.2608812339629702</v>
          </cell>
          <cell r="C9">
            <v>6.1649256388494296</v>
          </cell>
          <cell r="D9">
            <v>6.6485699974551542</v>
          </cell>
          <cell r="E9">
            <v>6.0630141659172434</v>
          </cell>
          <cell r="F9">
            <v>5.7913049972487771</v>
          </cell>
          <cell r="G9">
            <v>6.1050364186175949</v>
          </cell>
          <cell r="H9">
            <v>5.8529475516477563</v>
          </cell>
          <cell r="I9">
            <v>5.6860206803063518</v>
          </cell>
          <cell r="J9">
            <v>6.4693055948322984</v>
          </cell>
          <cell r="K9">
            <v>6.9409755003347184</v>
          </cell>
          <cell r="L9">
            <v>6.1569090715754395</v>
          </cell>
          <cell r="N9">
            <v>6.2167599019822237</v>
          </cell>
          <cell r="O9">
            <v>6.1945355318861575</v>
          </cell>
          <cell r="P9">
            <v>6.1569090715754395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2-CL-dist-2"/>
    </sheetNames>
    <sheetDataSet>
      <sheetData sheetId="0">
        <row r="3">
          <cell r="B3">
            <v>1024</v>
          </cell>
        </row>
        <row r="4">
          <cell r="B4">
            <v>196.06399999999999</v>
          </cell>
        </row>
      </sheetData>
    </sheetDataSet>
  </externalBook>
</externalLink>
</file>

<file path=xl/externalLinks/externalLink6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2-CL-dist-3"/>
    </sheetNames>
    <sheetDataSet>
      <sheetData sheetId="0">
        <row r="3">
          <cell r="B3">
            <v>1024</v>
          </cell>
        </row>
        <row r="4">
          <cell r="B4">
            <v>140.45599999999999</v>
          </cell>
        </row>
      </sheetData>
    </sheetDataSet>
  </externalBook>
</externalLink>
</file>

<file path=xl/externalLinks/externalLink6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2-CL-dist-4"/>
    </sheetNames>
    <sheetDataSet>
      <sheetData sheetId="0">
        <row r="3">
          <cell r="B3">
            <v>1024</v>
          </cell>
        </row>
        <row r="4">
          <cell r="B4">
            <v>85.088200000000001</v>
          </cell>
        </row>
      </sheetData>
    </sheetDataSet>
  </externalBook>
</externalLink>
</file>

<file path=xl/externalLinks/externalLink6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3-CL-dist-1"/>
    </sheetNames>
    <sheetDataSet>
      <sheetData sheetId="0">
        <row r="3">
          <cell r="B3">
            <v>1024</v>
          </cell>
        </row>
        <row r="4">
          <cell r="B4">
            <v>879.92399999999998</v>
          </cell>
        </row>
      </sheetData>
    </sheetDataSet>
  </externalBook>
</externalLink>
</file>

<file path=xl/externalLinks/externalLink6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3-CL-dist-2"/>
    </sheetNames>
    <sheetDataSet>
      <sheetData sheetId="0">
        <row r="3">
          <cell r="B3">
            <v>1024</v>
          </cell>
        </row>
        <row r="4">
          <cell r="B4">
            <v>591.92700000000002</v>
          </cell>
        </row>
      </sheetData>
    </sheetDataSet>
  </externalBook>
</externalLink>
</file>

<file path=xl/externalLinks/externalLink6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3-CL-dist-3"/>
    </sheetNames>
    <sheetDataSet>
      <sheetData sheetId="0">
        <row r="3">
          <cell r="B3">
            <v>1024</v>
          </cell>
        </row>
        <row r="4">
          <cell r="B4">
            <v>445.92599999999999</v>
          </cell>
        </row>
      </sheetData>
    </sheetDataSet>
  </externalBook>
</externalLink>
</file>

<file path=xl/externalLinks/externalLink6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3-CL-dist-4"/>
    </sheetNames>
    <sheetDataSet>
      <sheetData sheetId="0">
        <row r="3">
          <cell r="B3">
            <v>1024</v>
          </cell>
        </row>
        <row r="4">
          <cell r="B4">
            <v>200.41200000000001</v>
          </cell>
        </row>
      </sheetData>
    </sheetDataSet>
  </externalBook>
</externalLink>
</file>

<file path=xl/externalLinks/externalLink6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3-CL-dist-5"/>
    </sheetNames>
    <sheetDataSet>
      <sheetData sheetId="0">
        <row r="3">
          <cell r="B3">
            <v>1024</v>
          </cell>
        </row>
        <row r="4">
          <cell r="B4">
            <v>170.792</v>
          </cell>
        </row>
      </sheetData>
    </sheetDataSet>
  </externalBook>
</externalLink>
</file>

<file path=xl/externalLinks/externalLink6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4-CL-dist-1"/>
    </sheetNames>
    <sheetDataSet>
      <sheetData sheetId="0">
        <row r="3">
          <cell r="B3">
            <v>1024</v>
          </cell>
        </row>
        <row r="4">
          <cell r="B4">
            <v>154.69300000000001</v>
          </cell>
        </row>
      </sheetData>
    </sheetDataSet>
  </externalBook>
</externalLink>
</file>

<file path=xl/externalLinks/externalLink6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4-CL-dist-2"/>
    </sheetNames>
    <sheetDataSet>
      <sheetData sheetId="0">
        <row r="3">
          <cell r="B3">
            <v>1024</v>
          </cell>
        </row>
        <row r="4">
          <cell r="B4">
            <v>143.126</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5.106684908908826</v>
          </cell>
          <cell r="C4">
            <v>5.1616009961071017</v>
          </cell>
        </row>
        <row r="106">
          <cell r="W106">
            <v>3.4461265763738207</v>
          </cell>
          <cell r="Z106">
            <v>7.3725261567117668</v>
          </cell>
        </row>
      </sheetData>
      <sheetData sheetId="4">
        <row r="9">
          <cell r="B9">
            <v>4.4690347933707883</v>
          </cell>
          <cell r="C9">
            <v>4.9241584184161589</v>
          </cell>
          <cell r="D9">
            <v>5.6589417697698892</v>
          </cell>
          <cell r="E9">
            <v>4.8400693307864096</v>
          </cell>
          <cell r="F9">
            <v>5.7663407724204037</v>
          </cell>
          <cell r="G9">
            <v>6.5249210433703251</v>
          </cell>
          <cell r="H9">
            <v>5.2638918659731955</v>
          </cell>
          <cell r="I9">
            <v>3.8110835347640282</v>
          </cell>
          <cell r="J9">
            <v>4.9150548349323042</v>
          </cell>
          <cell r="K9">
            <v>3.3847399037328585</v>
          </cell>
          <cell r="L9">
            <v>5.3611648342743869</v>
          </cell>
          <cell r="N9">
            <v>4.9858735966780214</v>
          </cell>
          <cell r="O9">
            <v>4.9926728274373406</v>
          </cell>
          <cell r="P9">
            <v>4.9241584184161589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4-CL-dist-3"/>
    </sheetNames>
    <sheetDataSet>
      <sheetData sheetId="0">
        <row r="3">
          <cell r="B3">
            <v>1024</v>
          </cell>
        </row>
        <row r="4">
          <cell r="B4">
            <v>52.773099999999999</v>
          </cell>
        </row>
      </sheetData>
    </sheetDataSet>
  </externalBook>
</externalLink>
</file>

<file path=xl/externalLinks/externalLink6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5-CL-dist-1"/>
    </sheetNames>
    <sheetDataSet>
      <sheetData sheetId="0">
        <row r="3">
          <cell r="B3">
            <v>1024</v>
          </cell>
        </row>
        <row r="4">
          <cell r="B4">
            <v>767.77099999999996</v>
          </cell>
        </row>
      </sheetData>
    </sheetDataSet>
  </externalBook>
</externalLink>
</file>

<file path=xl/externalLinks/externalLink6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5-CL-dist-2"/>
    </sheetNames>
    <sheetDataSet>
      <sheetData sheetId="0">
        <row r="3">
          <cell r="B3">
            <v>1024</v>
          </cell>
        </row>
        <row r="4">
          <cell r="B4">
            <v>654.86</v>
          </cell>
        </row>
      </sheetData>
    </sheetDataSet>
  </externalBook>
</externalLink>
</file>

<file path=xl/externalLinks/externalLink6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5-CL-dist-3"/>
    </sheetNames>
    <sheetDataSet>
      <sheetData sheetId="0">
        <row r="3">
          <cell r="B3">
            <v>1024</v>
          </cell>
        </row>
        <row r="4">
          <cell r="B4">
            <v>434.416</v>
          </cell>
        </row>
      </sheetData>
    </sheetDataSet>
  </externalBook>
</externalLink>
</file>

<file path=xl/externalLinks/externalLink6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5-CL-dist-4"/>
    </sheetNames>
    <sheetDataSet>
      <sheetData sheetId="0">
        <row r="3">
          <cell r="B3">
            <v>1024</v>
          </cell>
        </row>
        <row r="4">
          <cell r="B4">
            <v>274.964</v>
          </cell>
        </row>
      </sheetData>
    </sheetDataSet>
  </externalBook>
</externalLink>
</file>

<file path=xl/externalLinks/externalLink6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5-CL-dist-5"/>
    </sheetNames>
    <sheetDataSet>
      <sheetData sheetId="0">
        <row r="3">
          <cell r="B3">
            <v>1024</v>
          </cell>
        </row>
        <row r="4">
          <cell r="B4">
            <v>149.893</v>
          </cell>
        </row>
      </sheetData>
    </sheetDataSet>
  </externalBook>
</externalLink>
</file>

<file path=xl/externalLinks/externalLink6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5-CL-dist-6"/>
    </sheetNames>
    <sheetDataSet>
      <sheetData sheetId="0">
        <row r="3">
          <cell r="B3">
            <v>1024</v>
          </cell>
        </row>
        <row r="4">
          <cell r="B4">
            <v>35.846899999999998</v>
          </cell>
        </row>
      </sheetData>
    </sheetDataSet>
  </externalBook>
</externalLink>
</file>

<file path=xl/externalLinks/externalLink6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7-CL-dist-1"/>
    </sheetNames>
    <sheetDataSet>
      <sheetData sheetId="0">
        <row r="3">
          <cell r="B3">
            <v>1024</v>
          </cell>
        </row>
        <row r="4">
          <cell r="B4">
            <v>391.69499999999999</v>
          </cell>
        </row>
      </sheetData>
    </sheetDataSet>
  </externalBook>
</externalLink>
</file>

<file path=xl/externalLinks/externalLink6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7-CL-dist-2"/>
    </sheetNames>
    <sheetDataSet>
      <sheetData sheetId="0">
        <row r="3">
          <cell r="B3">
            <v>1024</v>
          </cell>
        </row>
        <row r="4">
          <cell r="B4">
            <v>195.161</v>
          </cell>
        </row>
      </sheetData>
    </sheetDataSet>
  </externalBook>
</externalLink>
</file>

<file path=xl/externalLinks/externalLink6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7-CL-dist-3"/>
    </sheetNames>
    <sheetDataSet>
      <sheetData sheetId="0">
        <row r="3">
          <cell r="B3">
            <v>1024</v>
          </cell>
        </row>
        <row r="4">
          <cell r="B4">
            <v>93.230900000000005</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1.3410004617402085</v>
          </cell>
          <cell r="C4">
            <v>1.3417990659745969</v>
          </cell>
        </row>
        <row r="90">
          <cell r="W90">
            <v>0.24864072106409199</v>
          </cell>
          <cell r="Z90">
            <v>2.473984714133469</v>
          </cell>
        </row>
      </sheetData>
      <sheetData sheetId="4">
        <row r="9">
          <cell r="B9">
            <v>1.0621558332146281</v>
          </cell>
          <cell r="C9">
            <v>1.9214245820266125</v>
          </cell>
          <cell r="D9">
            <v>1.1317275</v>
          </cell>
          <cell r="E9">
            <v>0.88703673000000005</v>
          </cell>
          <cell r="F9">
            <v>1.1664354508540751</v>
          </cell>
          <cell r="G9">
            <v>1.4807662529089918</v>
          </cell>
          <cell r="H9">
            <v>0.17261204999999999</v>
          </cell>
          <cell r="I9">
            <v>1.1736169642992629</v>
          </cell>
          <cell r="J9">
            <v>1.5532581000000001</v>
          </cell>
          <cell r="K9">
            <v>1.4510981999999999</v>
          </cell>
          <cell r="L9">
            <v>1.4547643394239882</v>
          </cell>
          <cell r="N9">
            <v>1.3976061</v>
          </cell>
          <cell r="O9">
            <v>1.2231723638843237</v>
          </cell>
          <cell r="P9">
            <v>1.1736169642992629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7-CL-dist-4"/>
    </sheetNames>
    <sheetDataSet>
      <sheetData sheetId="0">
        <row r="3">
          <cell r="B3">
            <v>1024</v>
          </cell>
        </row>
        <row r="4">
          <cell r="B4">
            <v>85.275999999999996</v>
          </cell>
        </row>
      </sheetData>
    </sheetDataSet>
  </externalBook>
</externalLink>
</file>

<file path=xl/externalLinks/externalLink6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8-CL-dist-1"/>
    </sheetNames>
    <sheetDataSet>
      <sheetData sheetId="0">
        <row r="3">
          <cell r="B3">
            <v>1024</v>
          </cell>
        </row>
        <row r="4">
          <cell r="B4">
            <v>682.851</v>
          </cell>
        </row>
      </sheetData>
    </sheetDataSet>
  </externalBook>
</externalLink>
</file>

<file path=xl/externalLinks/externalLink6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8-CL-dist-2"/>
    </sheetNames>
    <sheetDataSet>
      <sheetData sheetId="0">
        <row r="3">
          <cell r="B3">
            <v>1024</v>
          </cell>
        </row>
        <row r="4">
          <cell r="B4">
            <v>581.05600000000004</v>
          </cell>
        </row>
      </sheetData>
    </sheetDataSet>
  </externalBook>
</externalLink>
</file>

<file path=xl/externalLinks/externalLink6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8-CL-dist-3"/>
    </sheetNames>
    <sheetDataSet>
      <sheetData sheetId="0">
        <row r="3">
          <cell r="B3">
            <v>1024</v>
          </cell>
        </row>
        <row r="4">
          <cell r="B4">
            <v>428.23500000000001</v>
          </cell>
        </row>
      </sheetData>
    </sheetDataSet>
  </externalBook>
</externalLink>
</file>

<file path=xl/externalLinks/externalLink6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8-CL-dist-4"/>
    </sheetNames>
    <sheetDataSet>
      <sheetData sheetId="0">
        <row r="3">
          <cell r="B3">
            <v>1024</v>
          </cell>
        </row>
        <row r="4">
          <cell r="B4">
            <v>349.84699999999998</v>
          </cell>
        </row>
      </sheetData>
    </sheetDataSet>
  </externalBook>
</externalLink>
</file>

<file path=xl/externalLinks/externalLink6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9-CL-dist-1"/>
    </sheetNames>
    <sheetDataSet>
      <sheetData sheetId="0">
        <row r="3">
          <cell r="B3">
            <v>1024</v>
          </cell>
        </row>
        <row r="4">
          <cell r="B4">
            <v>788.27</v>
          </cell>
        </row>
      </sheetData>
    </sheetDataSet>
  </externalBook>
</externalLink>
</file>

<file path=xl/externalLinks/externalLink6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9-CL-dist-2"/>
    </sheetNames>
    <sheetDataSet>
      <sheetData sheetId="0">
        <row r="3">
          <cell r="B3">
            <v>1024</v>
          </cell>
        </row>
        <row r="4">
          <cell r="B4">
            <v>708.23900000000003</v>
          </cell>
        </row>
      </sheetData>
    </sheetDataSet>
  </externalBook>
</externalLink>
</file>

<file path=xl/externalLinks/externalLink6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9-CL-dist-3"/>
    </sheetNames>
    <sheetDataSet>
      <sheetData sheetId="0">
        <row r="3">
          <cell r="B3">
            <v>1024</v>
          </cell>
        </row>
        <row r="4">
          <cell r="B4">
            <v>658.58600000000001</v>
          </cell>
        </row>
      </sheetData>
    </sheetDataSet>
  </externalBook>
</externalLink>
</file>

<file path=xl/externalLinks/externalLink6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9-CL-dist-4"/>
    </sheetNames>
    <sheetDataSet>
      <sheetData sheetId="0">
        <row r="3">
          <cell r="B3">
            <v>1024</v>
          </cell>
        </row>
        <row r="4">
          <cell r="B4">
            <v>567.10699999999997</v>
          </cell>
        </row>
      </sheetData>
    </sheetDataSet>
  </externalBook>
</externalLink>
</file>

<file path=xl/externalLinks/externalLink6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09-CL-dist-5"/>
    </sheetNames>
    <sheetDataSet>
      <sheetData sheetId="0">
        <row r="3">
          <cell r="B3">
            <v>1024</v>
          </cell>
        </row>
        <row r="4">
          <cell r="B4">
            <v>255.36199999999999</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116</v>
          </cell>
        </row>
        <row r="4">
          <cell r="B4">
            <v>5.3603784871503866</v>
          </cell>
          <cell r="C4">
            <v>5.371387534530478</v>
          </cell>
        </row>
        <row r="116">
          <cell r="W116">
            <v>4.5445546744933942</v>
          </cell>
          <cell r="Z116">
            <v>6.322774059050098</v>
          </cell>
        </row>
      </sheetData>
      <sheetData sheetId="4">
        <row r="9">
          <cell r="B9">
            <v>5.1745944548852556</v>
          </cell>
          <cell r="C9">
            <v>5.0167142512239007</v>
          </cell>
          <cell r="D9">
            <v>6.0128501353939114</v>
          </cell>
          <cell r="E9">
            <v>6.5074229366800296</v>
          </cell>
          <cell r="F9">
            <v>6.5779838261109829</v>
          </cell>
          <cell r="G9">
            <v>6.0841182122337942</v>
          </cell>
          <cell r="H9">
            <v>5.4784053494982121</v>
          </cell>
          <cell r="I9">
            <v>4.5746108994698238</v>
          </cell>
          <cell r="J9">
            <v>5.1214438441533545</v>
          </cell>
          <cell r="K9">
            <v>4.096439037500299</v>
          </cell>
          <cell r="L9">
            <v>4.9031078019484493</v>
          </cell>
          <cell r="N9">
            <v>5.4363592917555783</v>
          </cell>
          <cell r="O9">
            <v>5.4134264317361831</v>
          </cell>
          <cell r="P9">
            <v>5.1745944548852556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10-CL-dist-1"/>
    </sheetNames>
    <sheetDataSet>
      <sheetData sheetId="0">
        <row r="3">
          <cell r="B3">
            <v>1024</v>
          </cell>
        </row>
        <row r="4">
          <cell r="B4">
            <v>467.55200000000002</v>
          </cell>
        </row>
      </sheetData>
    </sheetDataSet>
  </externalBook>
</externalLink>
</file>

<file path=xl/externalLinks/externalLink6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10-CL-dist-2"/>
    </sheetNames>
    <sheetDataSet>
      <sheetData sheetId="0">
        <row r="3">
          <cell r="B3">
            <v>1024</v>
          </cell>
        </row>
        <row r="4">
          <cell r="B4">
            <v>358.274</v>
          </cell>
        </row>
      </sheetData>
    </sheetDataSet>
  </externalBook>
</externalLink>
</file>

<file path=xl/externalLinks/externalLink6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10-CL-dist-3"/>
    </sheetNames>
    <sheetDataSet>
      <sheetData sheetId="0">
        <row r="3">
          <cell r="B3">
            <v>1024</v>
          </cell>
        </row>
        <row r="4">
          <cell r="B4">
            <v>253.71199999999999</v>
          </cell>
        </row>
      </sheetData>
    </sheetDataSet>
  </externalBook>
</externalLink>
</file>

<file path=xl/externalLinks/externalLink6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10-CL-dist-4"/>
    </sheetNames>
    <sheetDataSet>
      <sheetData sheetId="0">
        <row r="3">
          <cell r="B3">
            <v>1024</v>
          </cell>
        </row>
        <row r="4">
          <cell r="B4">
            <v>148.054</v>
          </cell>
        </row>
      </sheetData>
    </sheetDataSet>
  </externalBook>
</externalLink>
</file>

<file path=xl/externalLinks/externalLink6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11-CL-dist-1"/>
    </sheetNames>
    <sheetDataSet>
      <sheetData sheetId="0">
        <row r="3">
          <cell r="B3">
            <v>1024</v>
          </cell>
        </row>
        <row r="4">
          <cell r="B4">
            <v>730.98599999999999</v>
          </cell>
        </row>
      </sheetData>
    </sheetDataSet>
  </externalBook>
</externalLink>
</file>

<file path=xl/externalLinks/externalLink6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11-CL-dist-2"/>
    </sheetNames>
    <sheetDataSet>
      <sheetData sheetId="0">
        <row r="3">
          <cell r="B3">
            <v>1024</v>
          </cell>
        </row>
        <row r="4">
          <cell r="B4">
            <v>524.17600000000004</v>
          </cell>
        </row>
      </sheetData>
    </sheetDataSet>
  </externalBook>
</externalLink>
</file>

<file path=xl/externalLinks/externalLink6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11-CL-dist-3"/>
    </sheetNames>
    <sheetDataSet>
      <sheetData sheetId="0">
        <row r="3">
          <cell r="B3">
            <v>1024</v>
          </cell>
        </row>
        <row r="4">
          <cell r="B4">
            <v>335.17200000000003</v>
          </cell>
        </row>
      </sheetData>
    </sheetDataSet>
  </externalBook>
</externalLink>
</file>

<file path=xl/externalLinks/externalLink6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11-CL-dist-4"/>
    </sheetNames>
    <sheetDataSet>
      <sheetData sheetId="0">
        <row r="3">
          <cell r="B3">
            <v>1024</v>
          </cell>
        </row>
        <row r="4">
          <cell r="B4">
            <v>221.89400000000001</v>
          </cell>
        </row>
      </sheetData>
    </sheetDataSet>
  </externalBook>
</externalLink>
</file>

<file path=xl/externalLinks/externalLink6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11-CL-dist-5"/>
    </sheetNames>
    <sheetDataSet>
      <sheetData sheetId="0">
        <row r="3">
          <cell r="B3">
            <v>1024</v>
          </cell>
        </row>
        <row r="4">
          <cell r="B4">
            <v>109.622</v>
          </cell>
        </row>
      </sheetData>
    </sheetDataSet>
  </externalBook>
</externalLink>
</file>

<file path=xl/externalLinks/externalLink6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12-CL-dist-1"/>
    </sheetNames>
    <sheetDataSet>
      <sheetData sheetId="0">
        <row r="3">
          <cell r="B3">
            <v>1024</v>
          </cell>
        </row>
        <row r="4">
          <cell r="B4">
            <v>571.94799999999998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96</v>
          </cell>
        </row>
        <row r="4">
          <cell r="B4">
            <v>3.3438867841750017</v>
          </cell>
          <cell r="C4">
            <v>3.2605155234455174</v>
          </cell>
        </row>
        <row r="96">
          <cell r="W96">
            <v>0.75816671854335693</v>
          </cell>
          <cell r="Z96">
            <v>5.0572736654380357</v>
          </cell>
        </row>
      </sheetData>
      <sheetData sheetId="4">
        <row r="9">
          <cell r="B9">
            <v>3.3132918775798958</v>
          </cell>
          <cell r="C9">
            <v>3.4009410129156326</v>
          </cell>
          <cell r="D9">
            <v>3.2618544937337259</v>
          </cell>
          <cell r="E9">
            <v>3.6104395326111849</v>
          </cell>
          <cell r="F9">
            <v>3.0996937356464245</v>
          </cell>
          <cell r="G9">
            <v>3.6021492738438847</v>
          </cell>
          <cell r="H9">
            <v>3.4000452579634013</v>
          </cell>
          <cell r="I9">
            <v>3.7260563972003444</v>
          </cell>
          <cell r="J9">
            <v>3.5599142493233358</v>
          </cell>
          <cell r="K9">
            <v>3.2078326225759302</v>
          </cell>
          <cell r="L9">
            <v>3.0436289353995734</v>
          </cell>
          <cell r="N9">
            <v>3.4885498509337354</v>
          </cell>
          <cell r="O9">
            <v>3.3841679444357577</v>
          </cell>
          <cell r="P9">
            <v>3.4000452579634013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1.5276402187324372</v>
          </cell>
          <cell r="C4">
            <v>1.485535348721537</v>
          </cell>
        </row>
        <row r="98">
          <cell r="W98">
            <v>0.58156571125041556</v>
          </cell>
          <cell r="Z98">
            <v>2.131191650118208</v>
          </cell>
        </row>
      </sheetData>
      <sheetData sheetId="4">
        <row r="9">
          <cell r="B9">
            <v>1.039750666994675</v>
          </cell>
          <cell r="C9">
            <v>1.1676163648825628</v>
          </cell>
          <cell r="D9">
            <v>1.8342213658580937</v>
          </cell>
          <cell r="E9">
            <v>1.8244516525644374</v>
          </cell>
          <cell r="F9">
            <v>1.6290288638669297</v>
          </cell>
          <cell r="G9">
            <v>1.3865722394323001</v>
          </cell>
          <cell r="H9">
            <v>1.4685767902936959</v>
          </cell>
          <cell r="I9">
            <v>1.6040951134940848</v>
          </cell>
          <cell r="J9">
            <v>1.7270873394007655</v>
          </cell>
          <cell r="K9">
            <v>1.4075675444221456</v>
          </cell>
          <cell r="L9">
            <v>1.5936986450981203</v>
          </cell>
          <cell r="N9">
            <v>1.5385023109124998</v>
          </cell>
          <cell r="O9">
            <v>1.51660605330071</v>
          </cell>
          <cell r="P9">
            <v>1.5936986450981203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12-CL-dist-2"/>
    </sheetNames>
    <sheetDataSet>
      <sheetData sheetId="0">
        <row r="3">
          <cell r="B3">
            <v>1024</v>
          </cell>
        </row>
        <row r="4">
          <cell r="B4">
            <v>427.96499999999997</v>
          </cell>
        </row>
      </sheetData>
    </sheetDataSet>
  </externalBook>
</externalLink>
</file>

<file path=xl/externalLinks/externalLink7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4-qtz12-CL-dist-3"/>
    </sheetNames>
    <sheetDataSet>
      <sheetData sheetId="0">
        <row r="3">
          <cell r="B3">
            <v>1024</v>
          </cell>
        </row>
        <row r="4">
          <cell r="B4">
            <v>138.75200000000001</v>
          </cell>
        </row>
      </sheetData>
    </sheetDataSet>
  </externalBook>
</externalLink>
</file>

<file path=xl/externalLinks/externalLink7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1-CL-dist-1"/>
    </sheetNames>
    <sheetDataSet>
      <sheetData sheetId="0">
        <row r="3">
          <cell r="B3">
            <v>1024</v>
          </cell>
        </row>
        <row r="4">
          <cell r="B4">
            <v>549.03300000000002</v>
          </cell>
        </row>
      </sheetData>
    </sheetDataSet>
  </externalBook>
</externalLink>
</file>

<file path=xl/externalLinks/externalLink7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1-CL-dist-2"/>
    </sheetNames>
    <sheetDataSet>
      <sheetData sheetId="0">
        <row r="3">
          <cell r="B3">
            <v>1024</v>
          </cell>
        </row>
        <row r="4">
          <cell r="B4">
            <v>350.036</v>
          </cell>
        </row>
      </sheetData>
    </sheetDataSet>
  </externalBook>
</externalLink>
</file>

<file path=xl/externalLinks/externalLink7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1-CL-dist-3"/>
    </sheetNames>
    <sheetDataSet>
      <sheetData sheetId="0">
        <row r="3">
          <cell r="B3">
            <v>1024</v>
          </cell>
        </row>
        <row r="4">
          <cell r="B4">
            <v>285.00700000000001</v>
          </cell>
        </row>
      </sheetData>
    </sheetDataSet>
  </externalBook>
</externalLink>
</file>

<file path=xl/externalLinks/externalLink7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1-CL-dist-4"/>
    </sheetNames>
    <sheetDataSet>
      <sheetData sheetId="0">
        <row r="3">
          <cell r="B3">
            <v>1024</v>
          </cell>
        </row>
        <row r="4">
          <cell r="B4">
            <v>243.07400000000001</v>
          </cell>
        </row>
      </sheetData>
    </sheetDataSet>
  </externalBook>
</externalLink>
</file>

<file path=xl/externalLinks/externalLink7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1-CL-dist-5"/>
    </sheetNames>
    <sheetDataSet>
      <sheetData sheetId="0">
        <row r="3">
          <cell r="B3">
            <v>1024</v>
          </cell>
        </row>
        <row r="4">
          <cell r="B4">
            <v>263.79500000000002</v>
          </cell>
        </row>
      </sheetData>
    </sheetDataSet>
  </externalBook>
</externalLink>
</file>

<file path=xl/externalLinks/externalLink7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1-CL-dist-6"/>
    </sheetNames>
    <sheetDataSet>
      <sheetData sheetId="0">
        <row r="3">
          <cell r="B3">
            <v>1024</v>
          </cell>
        </row>
        <row r="4">
          <cell r="B4">
            <v>96.166499999999999</v>
          </cell>
        </row>
      </sheetData>
    </sheetDataSet>
  </externalBook>
</externalLink>
</file>

<file path=xl/externalLinks/externalLink7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2-CL-dist-1"/>
    </sheetNames>
    <sheetDataSet>
      <sheetData sheetId="0">
        <row r="3">
          <cell r="B3">
            <v>1024</v>
          </cell>
        </row>
        <row r="4">
          <cell r="B4">
            <v>609.73800000000006</v>
          </cell>
        </row>
      </sheetData>
    </sheetDataSet>
  </externalBook>
</externalLink>
</file>

<file path=xl/externalLinks/externalLink7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2-CL-dist-2"/>
    </sheetNames>
    <sheetDataSet>
      <sheetData sheetId="0">
        <row r="3">
          <cell r="B3">
            <v>1024</v>
          </cell>
        </row>
        <row r="4">
          <cell r="B4">
            <v>339.779</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80</v>
          </cell>
        </row>
        <row r="4">
          <cell r="B4">
            <v>1.8349084104606246</v>
          </cell>
          <cell r="C4">
            <v>1.7719449701883432</v>
          </cell>
        </row>
        <row r="80">
          <cell r="W80">
            <v>0.25135240180378748</v>
          </cell>
          <cell r="Z80">
            <v>3.1372358416028723</v>
          </cell>
        </row>
      </sheetData>
      <sheetData sheetId="4">
        <row r="9">
          <cell r="B9">
            <v>1.6919008152130963</v>
          </cell>
          <cell r="C9">
            <v>0.60869727918440075</v>
          </cell>
          <cell r="D9">
            <v>2.4137482589043624</v>
          </cell>
          <cell r="E9">
            <v>1.9731789791261984</v>
          </cell>
          <cell r="F9">
            <v>0.81743284621663437</v>
          </cell>
          <cell r="G9">
            <v>0.88829677817673991</v>
          </cell>
          <cell r="H9">
            <v>1.0336212613671156</v>
          </cell>
          <cell r="I9">
            <v>3.4901230922407938</v>
          </cell>
          <cell r="J9">
            <v>2.5344927055394093</v>
          </cell>
          <cell r="K9">
            <v>1.6856089460141435</v>
          </cell>
          <cell r="L9">
            <v>2.4496515069588254</v>
          </cell>
          <cell r="N9">
            <v>1.9511576664101258</v>
          </cell>
          <cell r="O9">
            <v>1.7806138608128839</v>
          </cell>
          <cell r="P9">
            <v>1.6919008152130963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2-CL-dist-3"/>
    </sheetNames>
    <sheetDataSet>
      <sheetData sheetId="0">
        <row r="3">
          <cell r="B3">
            <v>1024</v>
          </cell>
        </row>
        <row r="4">
          <cell r="B4">
            <v>190.066</v>
          </cell>
        </row>
      </sheetData>
    </sheetDataSet>
  </externalBook>
</externalLink>
</file>

<file path=xl/externalLinks/externalLink7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2-CL-dist-4"/>
    </sheetNames>
    <sheetDataSet>
      <sheetData sheetId="0">
        <row r="3">
          <cell r="B3">
            <v>1024</v>
          </cell>
        </row>
        <row r="4">
          <cell r="B4">
            <v>163.077</v>
          </cell>
        </row>
      </sheetData>
    </sheetDataSet>
  </externalBook>
</externalLink>
</file>

<file path=xl/externalLinks/externalLink7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3-CL-dist-1"/>
    </sheetNames>
    <sheetDataSet>
      <sheetData sheetId="0">
        <row r="3">
          <cell r="B3">
            <v>1024</v>
          </cell>
        </row>
        <row r="4">
          <cell r="B4">
            <v>497.53199999999998</v>
          </cell>
        </row>
      </sheetData>
    </sheetDataSet>
  </externalBook>
</externalLink>
</file>

<file path=xl/externalLinks/externalLink7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3-CL-dist-2"/>
    </sheetNames>
    <sheetDataSet>
      <sheetData sheetId="0">
        <row r="3">
          <cell r="B3">
            <v>1024</v>
          </cell>
        </row>
        <row r="4">
          <cell r="B4">
            <v>392.47399999999999</v>
          </cell>
        </row>
      </sheetData>
    </sheetDataSet>
  </externalBook>
</externalLink>
</file>

<file path=xl/externalLinks/externalLink7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3-CL-dist-3"/>
    </sheetNames>
    <sheetDataSet>
      <sheetData sheetId="0">
        <row r="3">
          <cell r="B3">
            <v>1024</v>
          </cell>
        </row>
        <row r="4">
          <cell r="B4">
            <v>314.44099999999997</v>
          </cell>
        </row>
      </sheetData>
    </sheetDataSet>
  </externalBook>
</externalLink>
</file>

<file path=xl/externalLinks/externalLink7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3-CL-dist-4"/>
    </sheetNames>
    <sheetDataSet>
      <sheetData sheetId="0">
        <row r="3">
          <cell r="B3">
            <v>1024</v>
          </cell>
        </row>
        <row r="4">
          <cell r="B4">
            <v>227.982</v>
          </cell>
        </row>
      </sheetData>
    </sheetDataSet>
  </externalBook>
</externalLink>
</file>

<file path=xl/externalLinks/externalLink7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3-CL-dist-5"/>
    </sheetNames>
    <sheetDataSet>
      <sheetData sheetId="0">
        <row r="3">
          <cell r="B3">
            <v>1024</v>
          </cell>
        </row>
        <row r="4">
          <cell r="B4">
            <v>124.149</v>
          </cell>
        </row>
      </sheetData>
    </sheetDataSet>
  </externalBook>
</externalLink>
</file>

<file path=xl/externalLinks/externalLink7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4-CL-dist-1"/>
    </sheetNames>
    <sheetDataSet>
      <sheetData sheetId="0">
        <row r="3">
          <cell r="B3">
            <v>1024</v>
          </cell>
        </row>
        <row r="4">
          <cell r="B4">
            <v>616.97400000000005</v>
          </cell>
        </row>
      </sheetData>
    </sheetDataSet>
  </externalBook>
</externalLink>
</file>

<file path=xl/externalLinks/externalLink7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4-CL-dist-2"/>
    </sheetNames>
    <sheetDataSet>
      <sheetData sheetId="0">
        <row r="3">
          <cell r="B3">
            <v>1024</v>
          </cell>
        </row>
        <row r="4">
          <cell r="B4">
            <v>476.29</v>
          </cell>
        </row>
      </sheetData>
    </sheetDataSet>
  </externalBook>
</externalLink>
</file>

<file path=xl/externalLinks/externalLink7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4-CL-dist-3"/>
    </sheetNames>
    <sheetDataSet>
      <sheetData sheetId="0">
        <row r="3">
          <cell r="B3">
            <v>1024</v>
          </cell>
        </row>
        <row r="4">
          <cell r="B4">
            <v>197.43600000000001</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3.2099770243553669</v>
          </cell>
          <cell r="C4">
            <v>3.4216713618709829</v>
          </cell>
        </row>
        <row r="90">
          <cell r="W90">
            <v>0.68815228302375253</v>
          </cell>
          <cell r="Z90">
            <v>6.6150637062745208</v>
          </cell>
        </row>
      </sheetData>
      <sheetData sheetId="4">
        <row r="9">
          <cell r="B9">
            <v>1.4519154425517358</v>
          </cell>
          <cell r="C9">
            <v>3.3187266117052183</v>
          </cell>
          <cell r="D9">
            <v>1.6912196979817071</v>
          </cell>
          <cell r="E9">
            <v>4.6011454436186687</v>
          </cell>
          <cell r="F9">
            <v>4.0092483070684528</v>
          </cell>
          <cell r="G9">
            <v>4.0021608325354086</v>
          </cell>
          <cell r="H9">
            <v>3.7581530319094663</v>
          </cell>
          <cell r="I9">
            <v>7.2349843668065645</v>
          </cell>
          <cell r="J9">
            <v>4.5229222514243439</v>
          </cell>
          <cell r="K9">
            <v>1.9543152047672858</v>
          </cell>
          <cell r="L9">
            <v>1.5657645755084448</v>
          </cell>
          <cell r="N9">
            <v>3.3268436726132427</v>
          </cell>
          <cell r="O9">
            <v>3.4645959787161185</v>
          </cell>
          <cell r="P9">
            <v>3.7581530319094663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4-CL-dist-4"/>
    </sheetNames>
    <sheetDataSet>
      <sheetData sheetId="0">
        <row r="3">
          <cell r="B3">
            <v>1024</v>
          </cell>
        </row>
        <row r="4">
          <cell r="B4">
            <v>121.84</v>
          </cell>
        </row>
      </sheetData>
    </sheetDataSet>
  </externalBook>
</externalLink>
</file>

<file path=xl/externalLinks/externalLink7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5-CL-dist-1"/>
    </sheetNames>
    <sheetDataSet>
      <sheetData sheetId="0">
        <row r="3">
          <cell r="B3">
            <v>1024</v>
          </cell>
        </row>
        <row r="4">
          <cell r="B4">
            <v>571.01300000000003</v>
          </cell>
        </row>
      </sheetData>
    </sheetDataSet>
  </externalBook>
</externalLink>
</file>

<file path=xl/externalLinks/externalLink7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5-CL-dist-2"/>
    </sheetNames>
    <sheetDataSet>
      <sheetData sheetId="0">
        <row r="3">
          <cell r="B3">
            <v>1024</v>
          </cell>
        </row>
        <row r="4">
          <cell r="B4">
            <v>424.79399999999998</v>
          </cell>
        </row>
      </sheetData>
    </sheetDataSet>
  </externalBook>
</externalLink>
</file>

<file path=xl/externalLinks/externalLink7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5-CL-dist-3"/>
    </sheetNames>
    <sheetDataSet>
      <sheetData sheetId="0">
        <row r="3">
          <cell r="B3">
            <v>1024</v>
          </cell>
        </row>
        <row r="4">
          <cell r="B4">
            <v>200.06200000000001</v>
          </cell>
        </row>
      </sheetData>
    </sheetDataSet>
  </externalBook>
</externalLink>
</file>

<file path=xl/externalLinks/externalLink7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5-CL-dist-4"/>
    </sheetNames>
    <sheetDataSet>
      <sheetData sheetId="0">
        <row r="3">
          <cell r="B3">
            <v>1024</v>
          </cell>
        </row>
        <row r="4">
          <cell r="B4">
            <v>130.24600000000001</v>
          </cell>
        </row>
      </sheetData>
    </sheetDataSet>
  </externalBook>
</externalLink>
</file>

<file path=xl/externalLinks/externalLink7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6-CL-dist-1"/>
    </sheetNames>
    <sheetDataSet>
      <sheetData sheetId="0">
        <row r="3">
          <cell r="B3">
            <v>1024</v>
          </cell>
        </row>
        <row r="4">
          <cell r="B4">
            <v>555.54100000000005</v>
          </cell>
        </row>
      </sheetData>
    </sheetDataSet>
  </externalBook>
</externalLink>
</file>

<file path=xl/externalLinks/externalLink7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6-CL-dist-2"/>
    </sheetNames>
    <sheetDataSet>
      <sheetData sheetId="0">
        <row r="3">
          <cell r="B3">
            <v>1024</v>
          </cell>
        </row>
        <row r="4">
          <cell r="B4">
            <v>397.005</v>
          </cell>
        </row>
      </sheetData>
    </sheetDataSet>
  </externalBook>
</externalLink>
</file>

<file path=xl/externalLinks/externalLink7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6-CL-dist-3"/>
    </sheetNames>
    <sheetDataSet>
      <sheetData sheetId="0">
        <row r="3">
          <cell r="B3">
            <v>1024</v>
          </cell>
        </row>
        <row r="4">
          <cell r="B4">
            <v>189.024</v>
          </cell>
        </row>
      </sheetData>
    </sheetDataSet>
  </externalBook>
</externalLink>
</file>

<file path=xl/externalLinks/externalLink7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6-CL-dist-4"/>
    </sheetNames>
    <sheetDataSet>
      <sheetData sheetId="0">
        <row r="3">
          <cell r="B3">
            <v>1024</v>
          </cell>
        </row>
        <row r="4">
          <cell r="B4">
            <v>82.298199999999994</v>
          </cell>
        </row>
      </sheetData>
    </sheetDataSet>
  </externalBook>
</externalLink>
</file>

<file path=xl/externalLinks/externalLink7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7-CL-dist-1"/>
    </sheetNames>
    <sheetDataSet>
      <sheetData sheetId="0">
        <row r="3">
          <cell r="B3">
            <v>1024</v>
          </cell>
        </row>
        <row r="4">
          <cell r="B4">
            <v>522.82500000000005</v>
          </cell>
        </row>
      </sheetData>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3.7988138474953006</v>
          </cell>
          <cell r="C4">
            <v>3.7801523523910912</v>
          </cell>
        </row>
        <row r="94">
          <cell r="W94">
            <v>1.7154115414680777</v>
          </cell>
          <cell r="Z94">
            <v>5.8511337465515387</v>
          </cell>
        </row>
      </sheetData>
      <sheetData sheetId="4">
        <row r="9">
          <cell r="B9">
            <v>2.9696726283104056</v>
          </cell>
          <cell r="C9">
            <v>3.4239837871105259</v>
          </cell>
          <cell r="D9">
            <v>4.1751860623750581</v>
          </cell>
          <cell r="E9">
            <v>3.0727639361606696</v>
          </cell>
          <cell r="F9">
            <v>5.4370790049156099</v>
          </cell>
          <cell r="G9">
            <v>3.2539908055859903</v>
          </cell>
          <cell r="H9">
            <v>4.538937302439936</v>
          </cell>
          <cell r="I9">
            <v>3.8376414398740919</v>
          </cell>
          <cell r="J9">
            <v>4.7375270681627866</v>
          </cell>
          <cell r="K9">
            <v>4.0059681857756839</v>
          </cell>
          <cell r="L9">
            <v>3.8612383889160737</v>
          </cell>
          <cell r="N9">
            <v>3.8891662792404009</v>
          </cell>
          <cell r="O9">
            <v>3.9376353281478931</v>
          </cell>
          <cell r="P9">
            <v>3.8612383889160737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7-CL-dist-2"/>
    </sheetNames>
    <sheetDataSet>
      <sheetData sheetId="0">
        <row r="3">
          <cell r="B3">
            <v>1024</v>
          </cell>
        </row>
        <row r="4">
          <cell r="B4">
            <v>474.85300000000001</v>
          </cell>
        </row>
      </sheetData>
    </sheetDataSet>
  </externalBook>
</externalLink>
</file>

<file path=xl/externalLinks/externalLink7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7-CL-dist-3"/>
    </sheetNames>
    <sheetDataSet>
      <sheetData sheetId="0">
        <row r="3">
          <cell r="B3">
            <v>1024</v>
          </cell>
        </row>
        <row r="4">
          <cell r="B4">
            <v>330.17700000000002</v>
          </cell>
        </row>
      </sheetData>
    </sheetDataSet>
  </externalBook>
</externalLink>
</file>

<file path=xl/externalLinks/externalLink7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7-CL-dist-4"/>
    </sheetNames>
    <sheetDataSet>
      <sheetData sheetId="0">
        <row r="3">
          <cell r="B3">
            <v>1024</v>
          </cell>
        </row>
        <row r="4">
          <cell r="B4">
            <v>271.01299999999998</v>
          </cell>
        </row>
      </sheetData>
    </sheetDataSet>
  </externalBook>
</externalLink>
</file>

<file path=xl/externalLinks/externalLink7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7-CL-dist-5"/>
    </sheetNames>
    <sheetDataSet>
      <sheetData sheetId="0">
        <row r="3">
          <cell r="B3">
            <v>1024</v>
          </cell>
        </row>
        <row r="4">
          <cell r="B4">
            <v>125.801</v>
          </cell>
        </row>
      </sheetData>
    </sheetDataSet>
  </externalBook>
</externalLink>
</file>

<file path=xl/externalLinks/externalLink7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7-CL-dist-6"/>
    </sheetNames>
    <sheetDataSet>
      <sheetData sheetId="0">
        <row r="3">
          <cell r="B3">
            <v>1024</v>
          </cell>
        </row>
        <row r="4">
          <cell r="B4">
            <v>14.866099999999999</v>
          </cell>
        </row>
      </sheetData>
    </sheetDataSet>
  </externalBook>
</externalLink>
</file>

<file path=xl/externalLinks/externalLink7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8-CL-dist-1"/>
    </sheetNames>
    <sheetDataSet>
      <sheetData sheetId="0">
        <row r="3">
          <cell r="B3">
            <v>1024</v>
          </cell>
        </row>
        <row r="4">
          <cell r="B4">
            <v>750.48599999999999</v>
          </cell>
        </row>
      </sheetData>
    </sheetDataSet>
  </externalBook>
</externalLink>
</file>

<file path=xl/externalLinks/externalLink7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8-CL-dist-2"/>
    </sheetNames>
    <sheetDataSet>
      <sheetData sheetId="0">
        <row r="3">
          <cell r="B3">
            <v>1024</v>
          </cell>
        </row>
        <row r="4">
          <cell r="B4">
            <v>579.07000000000005</v>
          </cell>
        </row>
      </sheetData>
    </sheetDataSet>
  </externalBook>
</externalLink>
</file>

<file path=xl/externalLinks/externalLink7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8-CL-dist-3"/>
    </sheetNames>
    <sheetDataSet>
      <sheetData sheetId="0">
        <row r="3">
          <cell r="B3">
            <v>1024</v>
          </cell>
        </row>
        <row r="4">
          <cell r="B4">
            <v>450.01</v>
          </cell>
        </row>
      </sheetData>
    </sheetDataSet>
  </externalBook>
</externalLink>
</file>

<file path=xl/externalLinks/externalLink7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8-CL-dist-4"/>
    </sheetNames>
    <sheetDataSet>
      <sheetData sheetId="0">
        <row r="3">
          <cell r="B3">
            <v>1024</v>
          </cell>
        </row>
        <row r="4">
          <cell r="B4">
            <v>396.12599999999998</v>
          </cell>
        </row>
      </sheetData>
    </sheetDataSet>
  </externalBook>
</externalLink>
</file>

<file path=xl/externalLinks/externalLink7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8-CL-dist-5"/>
    </sheetNames>
    <sheetDataSet>
      <sheetData sheetId="0">
        <row r="3">
          <cell r="B3">
            <v>1024</v>
          </cell>
        </row>
        <row r="4">
          <cell r="B4">
            <v>342.03699999999998</v>
          </cell>
        </row>
      </sheetData>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90</v>
          </cell>
        </row>
        <row r="4">
          <cell r="B4">
            <v>2.7007381507515653</v>
          </cell>
          <cell r="C4">
            <v>2.7304012860044429</v>
          </cell>
        </row>
        <row r="90">
          <cell r="W90">
            <v>1.8750180432254335</v>
          </cell>
          <cell r="Z90">
            <v>3.7601936202127186</v>
          </cell>
        </row>
      </sheetData>
      <sheetData sheetId="4">
        <row r="9">
          <cell r="B9">
            <v>2.8961398597461034</v>
          </cell>
          <cell r="C9">
            <v>2.6084048660496566</v>
          </cell>
          <cell r="D9">
            <v>2.2633032926459347</v>
          </cell>
          <cell r="E9">
            <v>2.9914512023680082</v>
          </cell>
          <cell r="F9">
            <v>2.3596796807336142</v>
          </cell>
          <cell r="G9">
            <v>2.3293724832465275</v>
          </cell>
          <cell r="H9">
            <v>2.1042127830404254</v>
          </cell>
          <cell r="I9">
            <v>3.0083491170394177</v>
          </cell>
          <cell r="J9">
            <v>3.2044345847468767</v>
          </cell>
          <cell r="K9">
            <v>2.9987528109927108</v>
          </cell>
          <cell r="L9">
            <v>2.6866235840732178</v>
          </cell>
          <cell r="N9">
            <v>2.7000573512205719</v>
          </cell>
          <cell r="O9">
            <v>2.6773385695165901</v>
          </cell>
          <cell r="P9">
            <v>2.6866235840732178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8-CL-dist-6"/>
    </sheetNames>
    <sheetDataSet>
      <sheetData sheetId="0">
        <row r="3">
          <cell r="B3">
            <v>1024</v>
          </cell>
        </row>
        <row r="4">
          <cell r="B4">
            <v>146.00299999999999</v>
          </cell>
        </row>
      </sheetData>
    </sheetDataSet>
  </externalBook>
</externalLink>
</file>

<file path=xl/externalLinks/externalLink7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9-CL-dist-1"/>
    </sheetNames>
    <sheetDataSet>
      <sheetData sheetId="0">
        <row r="3">
          <cell r="B3">
            <v>1024</v>
          </cell>
        </row>
        <row r="4">
          <cell r="B4">
            <v>808.99</v>
          </cell>
        </row>
      </sheetData>
    </sheetDataSet>
  </externalBook>
</externalLink>
</file>

<file path=xl/externalLinks/externalLink7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9-CL-dist-2"/>
    </sheetNames>
    <sheetDataSet>
      <sheetData sheetId="0">
        <row r="3">
          <cell r="B3">
            <v>1024</v>
          </cell>
        </row>
        <row r="4">
          <cell r="B4">
            <v>559.37800000000004</v>
          </cell>
        </row>
      </sheetData>
    </sheetDataSet>
  </externalBook>
</externalLink>
</file>

<file path=xl/externalLinks/externalLink7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9-CL-dist-3"/>
    </sheetNames>
    <sheetDataSet>
      <sheetData sheetId="0">
        <row r="3">
          <cell r="B3">
            <v>1024</v>
          </cell>
        </row>
        <row r="4">
          <cell r="B4">
            <v>338.733</v>
          </cell>
        </row>
      </sheetData>
    </sheetDataSet>
  </externalBook>
</externalLink>
</file>

<file path=xl/externalLinks/externalLink7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9-CL-dist-4"/>
    </sheetNames>
    <sheetDataSet>
      <sheetData sheetId="0">
        <row r="3">
          <cell r="B3">
            <v>1024</v>
          </cell>
        </row>
        <row r="4">
          <cell r="B4">
            <v>270.65800000000002</v>
          </cell>
        </row>
      </sheetData>
    </sheetDataSet>
  </externalBook>
</externalLink>
</file>

<file path=xl/externalLinks/externalLink7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9-CL-dist-5"/>
    </sheetNames>
    <sheetDataSet>
      <sheetData sheetId="0">
        <row r="3">
          <cell r="B3">
            <v>1024</v>
          </cell>
        </row>
        <row r="4">
          <cell r="B4">
            <v>166.43299999999999</v>
          </cell>
        </row>
      </sheetData>
    </sheetDataSet>
  </externalBook>
</externalLink>
</file>

<file path=xl/externalLinks/externalLink7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09-CL-dist-6"/>
    </sheetNames>
    <sheetDataSet>
      <sheetData sheetId="0">
        <row r="3">
          <cell r="B3">
            <v>1024</v>
          </cell>
        </row>
        <row r="4">
          <cell r="B4">
            <v>95.603300000000004</v>
          </cell>
        </row>
      </sheetData>
    </sheetDataSet>
  </externalBook>
</externalLink>
</file>

<file path=xl/externalLinks/externalLink7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0-CL-dist-1"/>
    </sheetNames>
    <sheetDataSet>
      <sheetData sheetId="0">
        <row r="3">
          <cell r="B3">
            <v>1024</v>
          </cell>
        </row>
        <row r="4">
          <cell r="B4">
            <v>442.65100000000001</v>
          </cell>
        </row>
      </sheetData>
    </sheetDataSet>
  </externalBook>
</externalLink>
</file>

<file path=xl/externalLinks/externalLink7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0-CL-dist-2"/>
    </sheetNames>
    <sheetDataSet>
      <sheetData sheetId="0">
        <row r="3">
          <cell r="B3">
            <v>1024</v>
          </cell>
        </row>
        <row r="4">
          <cell r="B4">
            <v>467.06900000000002</v>
          </cell>
        </row>
      </sheetData>
    </sheetDataSet>
  </externalBook>
</externalLink>
</file>

<file path=xl/externalLinks/externalLink7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0-CL-dist-3"/>
    </sheetNames>
    <sheetDataSet>
      <sheetData sheetId="0">
        <row r="3">
          <cell r="B3">
            <v>1024</v>
          </cell>
        </row>
        <row r="4">
          <cell r="B4">
            <v>407.00099999999998</v>
          </cell>
        </row>
      </sheetData>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1.6361783644342409</v>
          </cell>
          <cell r="C4">
            <v>1.5851791160902136</v>
          </cell>
        </row>
        <row r="94">
          <cell r="W94">
            <v>4.2038238745267728E-3</v>
          </cell>
          <cell r="Z94">
            <v>2.9526847663118825</v>
          </cell>
        </row>
      </sheetData>
      <sheetData sheetId="4">
        <row r="9">
          <cell r="B9">
            <v>2.2591837322152482</v>
          </cell>
          <cell r="C9">
            <v>1.5695676060168264</v>
          </cell>
          <cell r="D9">
            <v>0.26522568000000002</v>
          </cell>
          <cell r="E9">
            <v>1.827647188267445</v>
          </cell>
          <cell r="F9">
            <v>1.7260180545238155</v>
          </cell>
          <cell r="G9">
            <v>2.1853118999999999</v>
          </cell>
          <cell r="H9">
            <v>1.142492E-2</v>
          </cell>
          <cell r="I9">
            <v>0.85505379999999997</v>
          </cell>
          <cell r="J9">
            <v>1.1036336968254854</v>
          </cell>
          <cell r="K9">
            <v>1.0749934214299839</v>
          </cell>
          <cell r="L9">
            <v>2.2665989157491038</v>
          </cell>
          <cell r="N9">
            <v>1.7162628406851483</v>
          </cell>
          <cell r="O9">
            <v>1.3767871740934461</v>
          </cell>
          <cell r="P9">
            <v>1.5695676060168264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0-CL-dist-4"/>
    </sheetNames>
    <sheetDataSet>
      <sheetData sheetId="0">
        <row r="3">
          <cell r="B3">
            <v>1024</v>
          </cell>
        </row>
        <row r="4">
          <cell r="B4">
            <v>261.12299999999999</v>
          </cell>
        </row>
      </sheetData>
    </sheetDataSet>
  </externalBook>
</externalLink>
</file>

<file path=xl/externalLinks/externalLink7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0-CL-dist-5"/>
    </sheetNames>
    <sheetDataSet>
      <sheetData sheetId="0">
        <row r="3">
          <cell r="B3">
            <v>1024</v>
          </cell>
        </row>
        <row r="4">
          <cell r="B4">
            <v>224</v>
          </cell>
        </row>
      </sheetData>
    </sheetDataSet>
  </externalBook>
</externalLink>
</file>

<file path=xl/externalLinks/externalLink7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0-CL-dist-6"/>
    </sheetNames>
    <sheetDataSet>
      <sheetData sheetId="0">
        <row r="3">
          <cell r="B3">
            <v>1024</v>
          </cell>
        </row>
        <row r="4">
          <cell r="B4">
            <v>98.412400000000005</v>
          </cell>
        </row>
      </sheetData>
    </sheetDataSet>
  </externalBook>
</externalLink>
</file>

<file path=xl/externalLinks/externalLink7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0-CL-dist-7"/>
    </sheetNames>
    <sheetDataSet>
      <sheetData sheetId="0">
        <row r="3">
          <cell r="B3">
            <v>1024</v>
          </cell>
        </row>
        <row r="4">
          <cell r="B4">
            <v>44.102200000000003</v>
          </cell>
        </row>
      </sheetData>
    </sheetDataSet>
  </externalBook>
</externalLink>
</file>

<file path=xl/externalLinks/externalLink7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1-CL-dist-1"/>
    </sheetNames>
    <sheetDataSet>
      <sheetData sheetId="0">
        <row r="3">
          <cell r="B3">
            <v>1024</v>
          </cell>
        </row>
        <row r="4">
          <cell r="B4">
            <v>330</v>
          </cell>
        </row>
      </sheetData>
    </sheetDataSet>
  </externalBook>
</externalLink>
</file>

<file path=xl/externalLinks/externalLink7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1-CL-dist-2"/>
    </sheetNames>
    <sheetDataSet>
      <sheetData sheetId="0">
        <row r="3">
          <cell r="B3">
            <v>1024</v>
          </cell>
        </row>
        <row r="4">
          <cell r="B4">
            <v>373.25900000000001</v>
          </cell>
        </row>
      </sheetData>
    </sheetDataSet>
  </externalBook>
</externalLink>
</file>

<file path=xl/externalLinks/externalLink7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1-CL-dist-3"/>
    </sheetNames>
    <sheetDataSet>
      <sheetData sheetId="0">
        <row r="3">
          <cell r="B3">
            <v>1024</v>
          </cell>
        </row>
        <row r="4">
          <cell r="B4">
            <v>334.05500000000001</v>
          </cell>
        </row>
      </sheetData>
    </sheetDataSet>
  </externalBook>
</externalLink>
</file>

<file path=xl/externalLinks/externalLink7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1-CL-dist-4"/>
    </sheetNames>
    <sheetDataSet>
      <sheetData sheetId="0">
        <row r="3">
          <cell r="B3">
            <v>1024</v>
          </cell>
        </row>
        <row r="4">
          <cell r="B4">
            <v>194.505</v>
          </cell>
        </row>
      </sheetData>
    </sheetDataSet>
  </externalBook>
</externalLink>
</file>

<file path=xl/externalLinks/externalLink7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1-CL-dist-5"/>
    </sheetNames>
    <sheetDataSet>
      <sheetData sheetId="0">
        <row r="3">
          <cell r="B3">
            <v>1024</v>
          </cell>
        </row>
        <row r="4">
          <cell r="B4">
            <v>93.536100000000005</v>
          </cell>
        </row>
      </sheetData>
    </sheetDataSet>
  </externalBook>
</externalLink>
</file>

<file path=xl/externalLinks/externalLink7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1-CL-dist-6"/>
    </sheetNames>
    <sheetDataSet>
      <sheetData sheetId="0">
        <row r="3">
          <cell r="B3">
            <v>1024</v>
          </cell>
        </row>
        <row r="4">
          <cell r="B4">
            <v>50.249400000000001</v>
          </cell>
        </row>
      </sheetData>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84</v>
          </cell>
        </row>
        <row r="4">
          <cell r="B4">
            <v>2.1357491787499927</v>
          </cell>
          <cell r="C4">
            <v>2.1733556828453966</v>
          </cell>
        </row>
        <row r="84">
          <cell r="W84">
            <v>0.27376208756137893</v>
          </cell>
          <cell r="Z84">
            <v>4.4041261396923641</v>
          </cell>
        </row>
      </sheetData>
      <sheetData sheetId="4">
        <row r="9">
          <cell r="B9">
            <v>1.925661170832907</v>
          </cell>
          <cell r="C9">
            <v>2.5549788847054189</v>
          </cell>
          <cell r="D9">
            <v>2.0635553575289372</v>
          </cell>
          <cell r="E9">
            <v>1.3028902596348773</v>
          </cell>
          <cell r="F9">
            <v>1.961773852335071</v>
          </cell>
          <cell r="G9">
            <v>2.2741025847340408</v>
          </cell>
          <cell r="H9">
            <v>3.259512275950442</v>
          </cell>
          <cell r="I9">
            <v>2.2553771135678766</v>
          </cell>
          <cell r="J9">
            <v>0.80950646989900099</v>
          </cell>
          <cell r="K9">
            <v>2.1229259412616841</v>
          </cell>
          <cell r="L9">
            <v>1.6369692852867246</v>
          </cell>
          <cell r="N9">
            <v>2.247885700905687</v>
          </cell>
          <cell r="O9">
            <v>2.0152048359760895</v>
          </cell>
          <cell r="P9">
            <v>2.0635553575289372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1-CL-dist-7"/>
    </sheetNames>
    <sheetDataSet>
      <sheetData sheetId="0">
        <row r="3">
          <cell r="B3">
            <v>1024</v>
          </cell>
        </row>
        <row r="4">
          <cell r="B4">
            <v>22</v>
          </cell>
        </row>
      </sheetData>
    </sheetDataSet>
  </externalBook>
</externalLink>
</file>

<file path=xl/externalLinks/externalLink7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2-CL-dist-1"/>
    </sheetNames>
    <sheetDataSet>
      <sheetData sheetId="0">
        <row r="3">
          <cell r="B3">
            <v>1024</v>
          </cell>
        </row>
        <row r="4">
          <cell r="B4">
            <v>586.07600000000002</v>
          </cell>
        </row>
      </sheetData>
    </sheetDataSet>
  </externalBook>
</externalLink>
</file>

<file path=xl/externalLinks/externalLink7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2-CL-dist-2"/>
    </sheetNames>
    <sheetDataSet>
      <sheetData sheetId="0">
        <row r="3">
          <cell r="B3">
            <v>1024</v>
          </cell>
        </row>
        <row r="4">
          <cell r="B4">
            <v>421.1</v>
          </cell>
        </row>
      </sheetData>
    </sheetDataSet>
  </externalBook>
</externalLink>
</file>

<file path=xl/externalLinks/externalLink7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2-CL-dist-3"/>
    </sheetNames>
    <sheetDataSet>
      <sheetData sheetId="0">
        <row r="3">
          <cell r="B3">
            <v>1024</v>
          </cell>
        </row>
        <row r="4">
          <cell r="B4">
            <v>293.94600000000003</v>
          </cell>
        </row>
      </sheetData>
    </sheetDataSet>
  </externalBook>
</externalLink>
</file>

<file path=xl/externalLinks/externalLink7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2-CL-dist-4"/>
    </sheetNames>
    <sheetDataSet>
      <sheetData sheetId="0">
        <row r="3">
          <cell r="B3">
            <v>1024</v>
          </cell>
        </row>
        <row r="4">
          <cell r="B4">
            <v>85.796300000000002</v>
          </cell>
        </row>
      </sheetData>
    </sheetDataSet>
  </externalBook>
</externalLink>
</file>

<file path=xl/externalLinks/externalLink7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5-qtz12-CL-dist-5"/>
    </sheetNames>
    <sheetDataSet>
      <sheetData sheetId="0">
        <row r="3">
          <cell r="B3">
            <v>1024</v>
          </cell>
        </row>
        <row r="4">
          <cell r="B4">
            <v>54.451799999999999</v>
          </cell>
        </row>
      </sheetData>
    </sheetDataSet>
  </externalBook>
</externalLink>
</file>

<file path=xl/externalLinks/externalLink7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1-CL-dist-1"/>
    </sheetNames>
    <sheetDataSet>
      <sheetData sheetId="0">
        <row r="3">
          <cell r="B3">
            <v>1024</v>
          </cell>
        </row>
        <row r="4">
          <cell r="B4">
            <v>738.94299999999998</v>
          </cell>
        </row>
      </sheetData>
    </sheetDataSet>
  </externalBook>
</externalLink>
</file>

<file path=xl/externalLinks/externalLink7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1-CL-dist-2"/>
    </sheetNames>
    <sheetDataSet>
      <sheetData sheetId="0">
        <row r="3">
          <cell r="B3">
            <v>1024</v>
          </cell>
        </row>
        <row r="4">
          <cell r="B4">
            <v>554.46</v>
          </cell>
        </row>
      </sheetData>
    </sheetDataSet>
  </externalBook>
</externalLink>
</file>

<file path=xl/externalLinks/externalLink7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1-CL-dist-3"/>
    </sheetNames>
    <sheetDataSet>
      <sheetData sheetId="0">
        <row r="3">
          <cell r="B3">
            <v>1024</v>
          </cell>
        </row>
        <row r="4">
          <cell r="B4">
            <v>395.13299999999998</v>
          </cell>
        </row>
      </sheetData>
    </sheetDataSet>
  </externalBook>
</externalLink>
</file>

<file path=xl/externalLinks/externalLink7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1-CL-dist-4"/>
    </sheetNames>
    <sheetDataSet>
      <sheetData sheetId="0">
        <row r="3">
          <cell r="B3">
            <v>1024</v>
          </cell>
        </row>
        <row r="4">
          <cell r="B4">
            <v>247.976</v>
          </cell>
        </row>
      </sheetData>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1.0788553785901756</v>
          </cell>
          <cell r="C4">
            <v>1.0840220151285451</v>
          </cell>
        </row>
        <row r="88">
          <cell r="W88">
            <v>0.15030480596423279</v>
          </cell>
          <cell r="Z88">
            <v>2.7184964078092948</v>
          </cell>
        </row>
      </sheetData>
      <sheetData sheetId="4">
        <row r="9">
          <cell r="B9">
            <v>1.1301442923236464</v>
          </cell>
          <cell r="C9">
            <v>0.21146343823798039</v>
          </cell>
          <cell r="D9">
            <v>0.1147260191786096</v>
          </cell>
          <cell r="E9">
            <v>1.2646678462742846</v>
          </cell>
          <cell r="F9">
            <v>0.85260150386323197</v>
          </cell>
          <cell r="G9">
            <v>0.70253503169560549</v>
          </cell>
          <cell r="H9">
            <v>1.1264373135574213</v>
          </cell>
          <cell r="I9">
            <v>0.24687561288831861</v>
          </cell>
          <cell r="J9">
            <v>2.1374083192558166</v>
          </cell>
          <cell r="K9">
            <v>1.1676509118380827</v>
          </cell>
          <cell r="L9">
            <v>1.2769442037145418</v>
          </cell>
          <cell r="N9">
            <v>1.2336068328438141</v>
          </cell>
          <cell r="O9">
            <v>0.9301322266206854</v>
          </cell>
          <cell r="P9">
            <v>1.1264373135574213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1-CL-dist-5"/>
    </sheetNames>
    <sheetDataSet>
      <sheetData sheetId="0">
        <row r="3">
          <cell r="B3">
            <v>1024</v>
          </cell>
        </row>
        <row r="4">
          <cell r="B4">
            <v>105.54600000000001</v>
          </cell>
        </row>
      </sheetData>
    </sheetDataSet>
  </externalBook>
</externalLink>
</file>

<file path=xl/externalLinks/externalLink7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2-CL-dist-1"/>
    </sheetNames>
    <sheetDataSet>
      <sheetData sheetId="0">
        <row r="3">
          <cell r="B3">
            <v>1024</v>
          </cell>
        </row>
        <row r="4">
          <cell r="B4">
            <v>490.69400000000002</v>
          </cell>
        </row>
      </sheetData>
    </sheetDataSet>
  </externalBook>
</externalLink>
</file>

<file path=xl/externalLinks/externalLink7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2-CL-dist-2"/>
    </sheetNames>
    <sheetDataSet>
      <sheetData sheetId="0">
        <row r="3">
          <cell r="B3">
            <v>1024</v>
          </cell>
        </row>
        <row r="4">
          <cell r="B4">
            <v>457.55500000000001</v>
          </cell>
        </row>
      </sheetData>
    </sheetDataSet>
  </externalBook>
</externalLink>
</file>

<file path=xl/externalLinks/externalLink7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2-CL-dist-3"/>
    </sheetNames>
    <sheetDataSet>
      <sheetData sheetId="0">
        <row r="3">
          <cell r="B3">
            <v>1024</v>
          </cell>
        </row>
        <row r="4">
          <cell r="B4">
            <v>334.767</v>
          </cell>
        </row>
      </sheetData>
    </sheetDataSet>
  </externalBook>
</externalLink>
</file>

<file path=xl/externalLinks/externalLink7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2-CL-dist-4"/>
    </sheetNames>
    <sheetDataSet>
      <sheetData sheetId="0">
        <row r="3">
          <cell r="B3">
            <v>1024</v>
          </cell>
        </row>
        <row r="4">
          <cell r="B4">
            <v>208.94300000000001</v>
          </cell>
        </row>
      </sheetData>
    </sheetDataSet>
  </externalBook>
</externalLink>
</file>

<file path=xl/externalLinks/externalLink7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2-CL-dist-5"/>
    </sheetNames>
    <sheetDataSet>
      <sheetData sheetId="0">
        <row r="3">
          <cell r="B3">
            <v>1024</v>
          </cell>
        </row>
        <row r="4">
          <cell r="B4">
            <v>82.975899999999996</v>
          </cell>
        </row>
      </sheetData>
    </sheetDataSet>
  </externalBook>
</externalLink>
</file>

<file path=xl/externalLinks/externalLink7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3-CL-dist-1"/>
    </sheetNames>
    <sheetDataSet>
      <sheetData sheetId="0">
        <row r="3">
          <cell r="B3">
            <v>1024</v>
          </cell>
        </row>
        <row r="4">
          <cell r="B4">
            <v>323.73599999999999</v>
          </cell>
        </row>
      </sheetData>
    </sheetDataSet>
  </externalBook>
</externalLink>
</file>

<file path=xl/externalLinks/externalLink7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3-CL-dist-2"/>
    </sheetNames>
    <sheetDataSet>
      <sheetData sheetId="0">
        <row r="3">
          <cell r="B3">
            <v>1024</v>
          </cell>
        </row>
        <row r="4">
          <cell r="B4">
            <v>230.09800000000001</v>
          </cell>
        </row>
      </sheetData>
    </sheetDataSet>
  </externalBook>
</externalLink>
</file>

<file path=xl/externalLinks/externalLink7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3-CL-dist-3"/>
    </sheetNames>
    <sheetDataSet>
      <sheetData sheetId="0">
        <row r="3">
          <cell r="B3">
            <v>1024</v>
          </cell>
        </row>
        <row r="4">
          <cell r="B4">
            <v>116.559</v>
          </cell>
        </row>
      </sheetData>
    </sheetDataSet>
  </externalBook>
</externalLink>
</file>

<file path=xl/externalLinks/externalLink7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3-CL-dist-4"/>
    </sheetNames>
    <sheetDataSet>
      <sheetData sheetId="0">
        <row r="3">
          <cell r="B3">
            <v>1024</v>
          </cell>
        </row>
        <row r="4">
          <cell r="B4">
            <v>88.639700000000005</v>
          </cell>
        </row>
      </sheetData>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0.93114049129382503</v>
          </cell>
          <cell r="C4">
            <v>0.92931248787811416</v>
          </cell>
        </row>
        <row r="88">
          <cell r="W88">
            <v>0.10422730813997816</v>
          </cell>
          <cell r="Z88">
            <v>1.7452612610661573</v>
          </cell>
        </row>
      </sheetData>
      <sheetData sheetId="4">
        <row r="9">
          <cell r="B9">
            <v>0.669148241480919</v>
          </cell>
          <cell r="C9">
            <v>1.2593947945653876</v>
          </cell>
          <cell r="D9">
            <v>0.7800171053345708</v>
          </cell>
          <cell r="E9">
            <v>0.99496761822473168</v>
          </cell>
          <cell r="F9">
            <v>0.99126021470104109</v>
          </cell>
          <cell r="G9">
            <v>1.01012688978882</v>
          </cell>
          <cell r="H9">
            <v>0.70082501557120724</v>
          </cell>
          <cell r="I9">
            <v>1.4641364521953157</v>
          </cell>
          <cell r="J9">
            <v>1.1158353878551663</v>
          </cell>
          <cell r="K9">
            <v>1.0809356597226043</v>
          </cell>
          <cell r="L9">
            <v>0.75630380843969036</v>
          </cell>
          <cell r="N9">
            <v>1.0703804080672457</v>
          </cell>
          <cell r="O9">
            <v>0.98390465344358669</v>
          </cell>
          <cell r="P9">
            <v>0.99496761822473168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4-CL-dist-1"/>
    </sheetNames>
    <sheetDataSet>
      <sheetData sheetId="0">
        <row r="3">
          <cell r="B3">
            <v>1024</v>
          </cell>
        </row>
        <row r="4">
          <cell r="B4">
            <v>568.33299999999997</v>
          </cell>
        </row>
      </sheetData>
    </sheetDataSet>
  </externalBook>
</externalLink>
</file>

<file path=xl/externalLinks/externalLink7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4-CL-dist-2"/>
    </sheetNames>
    <sheetDataSet>
      <sheetData sheetId="0">
        <row r="3">
          <cell r="B3">
            <v>1024</v>
          </cell>
        </row>
        <row r="4">
          <cell r="B4">
            <v>383.72</v>
          </cell>
        </row>
      </sheetData>
    </sheetDataSet>
  </externalBook>
</externalLink>
</file>

<file path=xl/externalLinks/externalLink7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4-CL-dist-3"/>
    </sheetNames>
    <sheetDataSet>
      <sheetData sheetId="0">
        <row r="3">
          <cell r="B3">
            <v>1024</v>
          </cell>
        </row>
        <row r="4">
          <cell r="B4">
            <v>253.779</v>
          </cell>
        </row>
      </sheetData>
    </sheetDataSet>
  </externalBook>
</externalLink>
</file>

<file path=xl/externalLinks/externalLink7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4-CL-dist-4"/>
    </sheetNames>
    <sheetDataSet>
      <sheetData sheetId="0">
        <row r="3">
          <cell r="B3">
            <v>1024</v>
          </cell>
        </row>
        <row r="4">
          <cell r="B4">
            <v>187.417</v>
          </cell>
        </row>
      </sheetData>
    </sheetDataSet>
  </externalBook>
</externalLink>
</file>

<file path=xl/externalLinks/externalLink7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5-CL-dist-1"/>
    </sheetNames>
    <sheetDataSet>
      <sheetData sheetId="0">
        <row r="3">
          <cell r="B3">
            <v>1024</v>
          </cell>
        </row>
        <row r="4">
          <cell r="B4">
            <v>580.58199999999999</v>
          </cell>
        </row>
      </sheetData>
    </sheetDataSet>
  </externalBook>
</externalLink>
</file>

<file path=xl/externalLinks/externalLink7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5-CL-dist-2"/>
    </sheetNames>
    <sheetDataSet>
      <sheetData sheetId="0">
        <row r="3">
          <cell r="B3">
            <v>1024</v>
          </cell>
        </row>
        <row r="4">
          <cell r="B4">
            <v>492.392</v>
          </cell>
        </row>
      </sheetData>
    </sheetDataSet>
  </externalBook>
</externalLink>
</file>

<file path=xl/externalLinks/externalLink7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5-CL-dist-3"/>
    </sheetNames>
    <sheetDataSet>
      <sheetData sheetId="0">
        <row r="3">
          <cell r="B3">
            <v>1024</v>
          </cell>
        </row>
        <row r="4">
          <cell r="B4">
            <v>421.78300000000002</v>
          </cell>
        </row>
      </sheetData>
    </sheetDataSet>
  </externalBook>
</externalLink>
</file>

<file path=xl/externalLinks/externalLink7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5-CL-dist-4"/>
    </sheetNames>
    <sheetDataSet>
      <sheetData sheetId="0">
        <row r="3">
          <cell r="B3">
            <v>1024</v>
          </cell>
        </row>
        <row r="4">
          <cell r="B4">
            <v>334.642</v>
          </cell>
        </row>
      </sheetData>
    </sheetDataSet>
  </externalBook>
</externalLink>
</file>

<file path=xl/externalLinks/externalLink7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5-CL-dist-5"/>
    </sheetNames>
    <sheetDataSet>
      <sheetData sheetId="0">
        <row r="3">
          <cell r="B3">
            <v>1024</v>
          </cell>
        </row>
        <row r="4">
          <cell r="B4">
            <v>255.441</v>
          </cell>
        </row>
      </sheetData>
    </sheetDataSet>
  </externalBook>
</externalLink>
</file>

<file path=xl/externalLinks/externalLink7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5-CL-dist-6"/>
    </sheetNames>
    <sheetDataSet>
      <sheetData sheetId="0">
        <row r="3">
          <cell r="B3">
            <v>1024</v>
          </cell>
        </row>
        <row r="4">
          <cell r="B4">
            <v>211.42599999999999</v>
          </cell>
        </row>
      </sheetData>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112</v>
          </cell>
        </row>
        <row r="4">
          <cell r="B4">
            <v>3.3433628177742318</v>
          </cell>
          <cell r="C4">
            <v>10.672473146697257</v>
          </cell>
        </row>
        <row r="112">
          <cell r="W112">
            <v>3.7420361906433386E-2</v>
          </cell>
          <cell r="Z112">
            <v>64.205046196246641</v>
          </cell>
        </row>
      </sheetData>
      <sheetData sheetId="4">
        <row r="9">
          <cell r="B9">
            <v>0</v>
          </cell>
          <cell r="C9">
            <v>1.6464638412922288</v>
          </cell>
          <cell r="D9">
            <v>6.0389263504033348</v>
          </cell>
          <cell r="E9">
            <v>3.1333702685411238</v>
          </cell>
          <cell r="F9">
            <v>0.15199628188221168</v>
          </cell>
          <cell r="G9">
            <v>1.0410210886654456</v>
          </cell>
          <cell r="H9">
            <v>0.38032938141958988</v>
          </cell>
          <cell r="I9">
            <v>5.453061429698967</v>
          </cell>
          <cell r="J9">
            <v>3.375041106758903</v>
          </cell>
          <cell r="K9">
            <v>2.1698617596008805</v>
          </cell>
          <cell r="L9">
            <v>0.41180958103212101</v>
          </cell>
          <cell r="N9">
            <v>3.1442816711845403</v>
          </cell>
          <cell r="O9">
            <v>2.3801881089294805</v>
          </cell>
          <cell r="P9">
            <v>1.9081628004465547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5-CL-dist-7"/>
    </sheetNames>
    <sheetDataSet>
      <sheetData sheetId="0">
        <row r="3">
          <cell r="B3">
            <v>1024</v>
          </cell>
        </row>
        <row r="4">
          <cell r="B4">
            <v>53.009399999999999</v>
          </cell>
        </row>
      </sheetData>
    </sheetDataSet>
  </externalBook>
</externalLink>
</file>

<file path=xl/externalLinks/externalLink7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6-CL-dist-2"/>
    </sheetNames>
    <sheetDataSet>
      <sheetData sheetId="0">
        <row r="3">
          <cell r="B3">
            <v>1024</v>
          </cell>
        </row>
        <row r="4">
          <cell r="B4">
            <v>240.67400000000001</v>
          </cell>
        </row>
      </sheetData>
    </sheetDataSet>
  </externalBook>
</externalLink>
</file>

<file path=xl/externalLinks/externalLink7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6-CL-dist-3"/>
    </sheetNames>
    <sheetDataSet>
      <sheetData sheetId="0">
        <row r="3">
          <cell r="B3">
            <v>1024</v>
          </cell>
        </row>
        <row r="4">
          <cell r="B4">
            <v>248.131</v>
          </cell>
        </row>
      </sheetData>
    </sheetDataSet>
  </externalBook>
</externalLink>
</file>

<file path=xl/externalLinks/externalLink7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6-CL-dist-4"/>
    </sheetNames>
    <sheetDataSet>
      <sheetData sheetId="0">
        <row r="3">
          <cell r="B3">
            <v>1024</v>
          </cell>
        </row>
        <row r="4">
          <cell r="B4">
            <v>55.362400000000001</v>
          </cell>
        </row>
      </sheetData>
    </sheetDataSet>
  </externalBook>
</externalLink>
</file>

<file path=xl/externalLinks/externalLink7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7-CL-dist-1"/>
    </sheetNames>
    <sheetDataSet>
      <sheetData sheetId="0">
        <row r="3">
          <cell r="B3">
            <v>1024</v>
          </cell>
        </row>
        <row r="4">
          <cell r="B4">
            <v>357.76100000000002</v>
          </cell>
        </row>
      </sheetData>
    </sheetDataSet>
  </externalBook>
</externalLink>
</file>

<file path=xl/externalLinks/externalLink7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7-CL-dist-2"/>
    </sheetNames>
    <sheetDataSet>
      <sheetData sheetId="0">
        <row r="3">
          <cell r="B3">
            <v>1024</v>
          </cell>
        </row>
        <row r="4">
          <cell r="B4">
            <v>217.66499999999999</v>
          </cell>
        </row>
      </sheetData>
    </sheetDataSet>
  </externalBook>
</externalLink>
</file>

<file path=xl/externalLinks/externalLink7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7-CL-dist-3"/>
    </sheetNames>
    <sheetDataSet>
      <sheetData sheetId="0">
        <row r="3">
          <cell r="B3">
            <v>1024</v>
          </cell>
        </row>
        <row r="4">
          <cell r="B4">
            <v>147.34</v>
          </cell>
        </row>
      </sheetData>
    </sheetDataSet>
  </externalBook>
</externalLink>
</file>

<file path=xl/externalLinks/externalLink7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8-CL-dist-1"/>
    </sheetNames>
    <sheetDataSet>
      <sheetData sheetId="0">
        <row r="3">
          <cell r="B3">
            <v>1024</v>
          </cell>
        </row>
        <row r="4">
          <cell r="B4">
            <v>599.62099999999998</v>
          </cell>
        </row>
      </sheetData>
    </sheetDataSet>
  </externalBook>
</externalLink>
</file>

<file path=xl/externalLinks/externalLink7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8-CL-dist-2"/>
    </sheetNames>
    <sheetDataSet>
      <sheetData sheetId="0">
        <row r="3">
          <cell r="B3">
            <v>1024</v>
          </cell>
        </row>
        <row r="4">
          <cell r="B4">
            <v>472.44499999999999</v>
          </cell>
        </row>
      </sheetData>
    </sheetDataSet>
  </externalBook>
</externalLink>
</file>

<file path=xl/externalLinks/externalLink7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8-CL-dist-3"/>
    </sheetNames>
    <sheetDataSet>
      <sheetData sheetId="0">
        <row r="3">
          <cell r="B3">
            <v>1024</v>
          </cell>
        </row>
        <row r="4">
          <cell r="B4">
            <v>371.4</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0.20154105935868702</v>
          </cell>
          <cell r="C4">
            <v>0.27857137503716356</v>
          </cell>
        </row>
        <row r="88">
          <cell r="W88">
            <v>6.5548548673820402E-8</v>
          </cell>
          <cell r="Z88">
            <v>1.1207528985046016</v>
          </cell>
        </row>
      </sheetData>
      <sheetData sheetId="4">
        <row r="9">
          <cell r="B9">
            <v>0.20493226141822077</v>
          </cell>
          <cell r="C9">
            <v>9.7076493728933788E-2</v>
          </cell>
          <cell r="D9">
            <v>0.15429896935118498</v>
          </cell>
          <cell r="E9">
            <v>5.5705185450409492E-2</v>
          </cell>
          <cell r="F9">
            <v>0.15504556671815298</v>
          </cell>
          <cell r="G9">
            <v>7.0928991620946874E-2</v>
          </cell>
          <cell r="H9">
            <v>8.8946849153906261E-3</v>
          </cell>
          <cell r="I9">
            <v>0.18496271161912081</v>
          </cell>
          <cell r="J9">
            <v>0.20032711336959502</v>
          </cell>
          <cell r="K9">
            <v>1.546737714881153E-2</v>
          </cell>
          <cell r="L9">
            <v>0.10911271968659568</v>
          </cell>
          <cell r="N9">
            <v>7.4846455358985473E-2</v>
          </cell>
          <cell r="O9">
            <v>0.11425018863885116</v>
          </cell>
          <cell r="P9">
            <v>0.10911271968659568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106</v>
          </cell>
        </row>
        <row r="4">
          <cell r="B4">
            <v>4.8669285044446005</v>
          </cell>
          <cell r="C4">
            <v>4.8523748104729467</v>
          </cell>
        </row>
        <row r="106">
          <cell r="W106">
            <v>2.7005035060469007</v>
          </cell>
          <cell r="Z106">
            <v>6.816772968668543</v>
          </cell>
        </row>
      </sheetData>
      <sheetData sheetId="4">
        <row r="9">
          <cell r="B9">
            <v>3.8919191722239659</v>
          </cell>
          <cell r="C9">
            <v>3.7503417946406579</v>
          </cell>
          <cell r="D9">
            <v>4.8859778959550315</v>
          </cell>
          <cell r="E9">
            <v>5.486719733749152</v>
          </cell>
          <cell r="F9">
            <v>4.2199817432715134</v>
          </cell>
          <cell r="G9">
            <v>5.1004440775254105</v>
          </cell>
          <cell r="H9">
            <v>2.9537829963454936</v>
          </cell>
          <cell r="I9">
            <v>5.1431158902356353</v>
          </cell>
          <cell r="J9">
            <v>5.1797594212220464</v>
          </cell>
          <cell r="K9">
            <v>7.5439297975958288</v>
          </cell>
          <cell r="L9">
            <v>6.0971475591441529</v>
          </cell>
          <cell r="N9">
            <v>4.9733792657210563</v>
          </cell>
          <cell r="O9">
            <v>4.9321018256280809</v>
          </cell>
          <cell r="P9">
            <v>5.1004440775254105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8-CL-dist-4"/>
    </sheetNames>
    <sheetDataSet>
      <sheetData sheetId="0">
        <row r="3">
          <cell r="B3">
            <v>1024</v>
          </cell>
        </row>
        <row r="4">
          <cell r="B4">
            <v>278.98700000000002</v>
          </cell>
        </row>
      </sheetData>
    </sheetDataSet>
  </externalBook>
</externalLink>
</file>

<file path=xl/externalLinks/externalLink8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8-CL-dist-5"/>
    </sheetNames>
    <sheetDataSet>
      <sheetData sheetId="0">
        <row r="3">
          <cell r="B3">
            <v>1024</v>
          </cell>
        </row>
        <row r="4">
          <cell r="B4">
            <v>157.50899999999999</v>
          </cell>
        </row>
      </sheetData>
    </sheetDataSet>
  </externalBook>
</externalLink>
</file>

<file path=xl/externalLinks/externalLink8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8-CL-dist-6"/>
    </sheetNames>
    <sheetDataSet>
      <sheetData sheetId="0">
        <row r="3">
          <cell r="B3">
            <v>1024</v>
          </cell>
        </row>
        <row r="4">
          <cell r="B4">
            <v>152.83000000000001</v>
          </cell>
        </row>
      </sheetData>
    </sheetDataSet>
  </externalBook>
</externalLink>
</file>

<file path=xl/externalLinks/externalLink8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8-CL-dist-7"/>
    </sheetNames>
    <sheetDataSet>
      <sheetData sheetId="0">
        <row r="3">
          <cell r="B3">
            <v>1024</v>
          </cell>
        </row>
        <row r="4">
          <cell r="B4">
            <v>109.65900000000001</v>
          </cell>
        </row>
      </sheetData>
    </sheetDataSet>
  </externalBook>
</externalLink>
</file>

<file path=xl/externalLinks/externalLink8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9-CL-dist-2"/>
    </sheetNames>
    <sheetDataSet>
      <sheetData sheetId="0">
        <row r="3">
          <cell r="B3">
            <v>1024</v>
          </cell>
        </row>
        <row r="4">
          <cell r="B4">
            <v>193.34200000000001</v>
          </cell>
        </row>
      </sheetData>
    </sheetDataSet>
  </externalBook>
</externalLink>
</file>

<file path=xl/externalLinks/externalLink8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9-CL-dist-3"/>
    </sheetNames>
    <sheetDataSet>
      <sheetData sheetId="0">
        <row r="3">
          <cell r="B3">
            <v>1024</v>
          </cell>
        </row>
        <row r="4">
          <cell r="B4">
            <v>95.6922</v>
          </cell>
        </row>
      </sheetData>
    </sheetDataSet>
  </externalBook>
</externalLink>
</file>

<file path=xl/externalLinks/externalLink8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09-CL-dist-4"/>
    </sheetNames>
    <sheetDataSet>
      <sheetData sheetId="0">
        <row r="3">
          <cell r="B3">
            <v>1024</v>
          </cell>
        </row>
        <row r="4">
          <cell r="B4">
            <v>47.434199999999997</v>
          </cell>
        </row>
      </sheetData>
    </sheetDataSet>
  </externalBook>
</externalLink>
</file>

<file path=xl/externalLinks/externalLink8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0-CL-dist-1"/>
    </sheetNames>
    <sheetDataSet>
      <sheetData sheetId="0">
        <row r="3">
          <cell r="B3">
            <v>1024</v>
          </cell>
        </row>
        <row r="4">
          <cell r="B4">
            <v>335.00099999999998</v>
          </cell>
        </row>
      </sheetData>
    </sheetDataSet>
  </externalBook>
</externalLink>
</file>

<file path=xl/externalLinks/externalLink8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0-CL-dist-2"/>
    </sheetNames>
    <sheetDataSet>
      <sheetData sheetId="0">
        <row r="3">
          <cell r="B3">
            <v>1024</v>
          </cell>
        </row>
        <row r="4">
          <cell r="B4">
            <v>300.00200000000001</v>
          </cell>
        </row>
      </sheetData>
    </sheetDataSet>
  </externalBook>
</externalLink>
</file>

<file path=xl/externalLinks/externalLink8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0-CL-dist-3"/>
    </sheetNames>
    <sheetDataSet>
      <sheetData sheetId="0">
        <row r="3">
          <cell r="B3">
            <v>1024</v>
          </cell>
        </row>
        <row r="4">
          <cell r="B4">
            <v>230.93100000000001</v>
          </cell>
        </row>
      </sheetData>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80</v>
          </cell>
        </row>
        <row r="4">
          <cell r="B4">
            <v>4.399269340029857</v>
          </cell>
          <cell r="C4">
            <v>4.4407549761102736</v>
          </cell>
        </row>
        <row r="80">
          <cell r="W80">
            <v>2.3152105259233835</v>
          </cell>
          <cell r="Z80">
            <v>6.7919889526346715</v>
          </cell>
        </row>
      </sheetData>
      <sheetData sheetId="4">
        <row r="9">
          <cell r="B9">
            <v>4.3310040521870237</v>
          </cell>
          <cell r="C9">
            <v>3.0629432475060239</v>
          </cell>
          <cell r="D9">
            <v>3.7949397224756991</v>
          </cell>
          <cell r="E9">
            <v>3.8765762453232879</v>
          </cell>
          <cell r="F9">
            <v>4.5224618623279298</v>
          </cell>
          <cell r="G9">
            <v>4.0589471765714196</v>
          </cell>
          <cell r="H9">
            <v>4.6752489144978551</v>
          </cell>
          <cell r="I9">
            <v>4.8402703669851226</v>
          </cell>
          <cell r="J9">
            <v>4.8978158796326765</v>
          </cell>
          <cell r="K9">
            <v>4.4622950244946331</v>
          </cell>
          <cell r="L9">
            <v>7.17493021845993</v>
          </cell>
          <cell r="N9">
            <v>4.3795767118223941</v>
          </cell>
          <cell r="O9">
            <v>4.5179484282237814</v>
          </cell>
          <cell r="P9">
            <v>4.4622950244946331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0-CL-dist-4"/>
    </sheetNames>
    <sheetDataSet>
      <sheetData sheetId="0">
        <row r="3">
          <cell r="B3">
            <v>1024</v>
          </cell>
        </row>
        <row r="4">
          <cell r="B4">
            <v>154.26</v>
          </cell>
        </row>
      </sheetData>
    </sheetDataSet>
  </externalBook>
</externalLink>
</file>

<file path=xl/externalLinks/externalLink8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0-CL-dist-5"/>
    </sheetNames>
    <sheetDataSet>
      <sheetData sheetId="0">
        <row r="3">
          <cell r="B3">
            <v>1024</v>
          </cell>
        </row>
        <row r="4">
          <cell r="B4">
            <v>64.536799999999999</v>
          </cell>
        </row>
      </sheetData>
    </sheetDataSet>
  </externalBook>
</externalLink>
</file>

<file path=xl/externalLinks/externalLink8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0-CL-dist-6"/>
    </sheetNames>
    <sheetDataSet>
      <sheetData sheetId="0">
        <row r="3">
          <cell r="B3">
            <v>1024</v>
          </cell>
        </row>
        <row r="4">
          <cell r="B4">
            <v>20.223700000000001</v>
          </cell>
        </row>
      </sheetData>
    </sheetDataSet>
  </externalBook>
</externalLink>
</file>

<file path=xl/externalLinks/externalLink8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1-CL-dist-1"/>
    </sheetNames>
    <sheetDataSet>
      <sheetData sheetId="0">
        <row r="3">
          <cell r="B3">
            <v>1024</v>
          </cell>
        </row>
        <row r="4">
          <cell r="B4">
            <v>314.87900000000002</v>
          </cell>
        </row>
      </sheetData>
    </sheetDataSet>
  </externalBook>
</externalLink>
</file>

<file path=xl/externalLinks/externalLink8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1-CL-dist-2"/>
    </sheetNames>
    <sheetDataSet>
      <sheetData sheetId="0">
        <row r="3">
          <cell r="B3">
            <v>1024</v>
          </cell>
        </row>
        <row r="4">
          <cell r="B4">
            <v>306.75099999999998</v>
          </cell>
        </row>
      </sheetData>
    </sheetDataSet>
  </externalBook>
</externalLink>
</file>

<file path=xl/externalLinks/externalLink8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1-CL-dist-3"/>
    </sheetNames>
    <sheetDataSet>
      <sheetData sheetId="0">
        <row r="3">
          <cell r="B3">
            <v>1024</v>
          </cell>
        </row>
        <row r="4">
          <cell r="B4">
            <v>185.952</v>
          </cell>
        </row>
      </sheetData>
    </sheetDataSet>
  </externalBook>
</externalLink>
</file>

<file path=xl/externalLinks/externalLink8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1-CL-dist-4"/>
    </sheetNames>
    <sheetDataSet>
      <sheetData sheetId="0">
        <row r="3">
          <cell r="B3">
            <v>1024</v>
          </cell>
        </row>
        <row r="4">
          <cell r="B4">
            <v>148.852</v>
          </cell>
        </row>
      </sheetData>
    </sheetDataSet>
  </externalBook>
</externalLink>
</file>

<file path=xl/externalLinks/externalLink8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1-CL-dist-5"/>
    </sheetNames>
    <sheetDataSet>
      <sheetData sheetId="0">
        <row r="3">
          <cell r="B3">
            <v>1024</v>
          </cell>
        </row>
        <row r="4">
          <cell r="B4">
            <v>90.255200000000002</v>
          </cell>
        </row>
      </sheetData>
    </sheetDataSet>
  </externalBook>
</externalLink>
</file>

<file path=xl/externalLinks/externalLink8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1-CL-dist-6"/>
    </sheetNames>
    <sheetDataSet>
      <sheetData sheetId="0">
        <row r="3">
          <cell r="B3">
            <v>1024</v>
          </cell>
        </row>
        <row r="4">
          <cell r="B4">
            <v>23.345199999999998</v>
          </cell>
        </row>
      </sheetData>
    </sheetDataSet>
  </externalBook>
</externalLink>
</file>

<file path=xl/externalLinks/externalLink8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2-CL-dist-1"/>
    </sheetNames>
    <sheetDataSet>
      <sheetData sheetId="0">
        <row r="3">
          <cell r="B3">
            <v>1024</v>
          </cell>
        </row>
        <row r="4">
          <cell r="B4">
            <v>599.48099999999999</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82</v>
          </cell>
        </row>
        <row r="4">
          <cell r="B4">
            <v>2.8809356738366061</v>
          </cell>
          <cell r="C4">
            <v>2.8201330933515196</v>
          </cell>
        </row>
        <row r="82">
          <cell r="W82">
            <v>1.5418824059423588</v>
          </cell>
          <cell r="Z82">
            <v>3.9362205411706914</v>
          </cell>
        </row>
      </sheetData>
      <sheetData sheetId="4">
        <row r="9">
          <cell r="B9">
            <v>2.5274984103098577</v>
          </cell>
          <cell r="C9">
            <v>2.7305258636247758</v>
          </cell>
          <cell r="D9">
            <v>2.137452157828724</v>
          </cell>
          <cell r="E9">
            <v>3.3047597010953331</v>
          </cell>
          <cell r="F9">
            <v>3.5997255790211713</v>
          </cell>
          <cell r="G9">
            <v>3.1122016449150371</v>
          </cell>
          <cell r="H9">
            <v>3.2364883191998937</v>
          </cell>
          <cell r="I9">
            <v>2.9666233192852083</v>
          </cell>
          <cell r="J9">
            <v>3.0042992617344657</v>
          </cell>
          <cell r="K9">
            <v>2.7929356700503685</v>
          </cell>
          <cell r="L9">
            <v>2.3500306633799357</v>
          </cell>
          <cell r="N9">
            <v>2.9964866458058337</v>
          </cell>
          <cell r="O9">
            <v>2.8875036900404338</v>
          </cell>
          <cell r="P9">
            <v>2.9666233192852083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2-CL-dist-2"/>
    </sheetNames>
    <sheetDataSet>
      <sheetData sheetId="0">
        <row r="3">
          <cell r="B3">
            <v>1024</v>
          </cell>
        </row>
        <row r="4">
          <cell r="B4">
            <v>494.14600000000002</v>
          </cell>
        </row>
      </sheetData>
    </sheetDataSet>
  </externalBook>
</externalLink>
</file>

<file path=xl/externalLinks/externalLink8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2-CL-dist-3"/>
    </sheetNames>
    <sheetDataSet>
      <sheetData sheetId="0">
        <row r="3">
          <cell r="B3">
            <v>1024</v>
          </cell>
        </row>
        <row r="4">
          <cell r="B4">
            <v>435.01799999999997</v>
          </cell>
        </row>
      </sheetData>
    </sheetDataSet>
  </externalBook>
</externalLink>
</file>

<file path=xl/externalLinks/externalLink8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2-CL-dist-4"/>
    </sheetNames>
    <sheetDataSet>
      <sheetData sheetId="0">
        <row r="3">
          <cell r="B3">
            <v>1024</v>
          </cell>
        </row>
        <row r="4">
          <cell r="B4">
            <v>311.27199999999999</v>
          </cell>
        </row>
      </sheetData>
    </sheetDataSet>
  </externalBook>
</externalLink>
</file>

<file path=xl/externalLinks/externalLink8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2-CL-dist-5"/>
    </sheetNames>
    <sheetDataSet>
      <sheetData sheetId="0">
        <row r="3">
          <cell r="B3">
            <v>1024</v>
          </cell>
        </row>
        <row r="4">
          <cell r="B4">
            <v>157.88900000000001</v>
          </cell>
        </row>
      </sheetData>
    </sheetDataSet>
  </externalBook>
</externalLink>
</file>

<file path=xl/externalLinks/externalLink8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2-CL-dist-6"/>
    </sheetNames>
    <sheetDataSet>
      <sheetData sheetId="0">
        <row r="3">
          <cell r="B3">
            <v>1024</v>
          </cell>
        </row>
        <row r="4">
          <cell r="B4">
            <v>102.083</v>
          </cell>
        </row>
      </sheetData>
    </sheetDataSet>
  </externalBook>
</externalLink>
</file>

<file path=xl/externalLinks/externalLink8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GI018-qtz12-CL-dist-7"/>
    </sheetNames>
    <sheetDataSet>
      <sheetData sheetId="0">
        <row r="3">
          <cell r="B3">
            <v>1024</v>
          </cell>
        </row>
        <row r="4">
          <cell r="B4">
            <v>20</v>
          </cell>
        </row>
      </sheetData>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72</v>
          </cell>
        </row>
        <row r="4">
          <cell r="B4">
            <v>2.210868888761393</v>
          </cell>
          <cell r="C4">
            <v>2.1713900864768383</v>
          </cell>
        </row>
        <row r="72">
          <cell r="W72">
            <v>0.69725386002994982</v>
          </cell>
          <cell r="Z72">
            <v>3.2919048729891447</v>
          </cell>
        </row>
      </sheetData>
      <sheetData sheetId="4">
        <row r="9">
          <cell r="B9">
            <v>2.2646455422156029</v>
          </cell>
          <cell r="C9">
            <v>2.1507906352024442</v>
          </cell>
          <cell r="D9">
            <v>3.0133107546293334</v>
          </cell>
          <cell r="E9">
            <v>2.3725102697651943</v>
          </cell>
          <cell r="F9">
            <v>2.404826085541083</v>
          </cell>
          <cell r="G9">
            <v>2.0528188943693535</v>
          </cell>
          <cell r="H9">
            <v>1.4321768460289608</v>
          </cell>
          <cell r="I9">
            <v>1.7182446472203654</v>
          </cell>
          <cell r="J9">
            <v>2.0513023986368228</v>
          </cell>
          <cell r="K9">
            <v>1.9640673345287947</v>
          </cell>
          <cell r="L9">
            <v>2.0341491390518716</v>
          </cell>
          <cell r="N9">
            <v>2.2178294160642982</v>
          </cell>
          <cell r="O9">
            <v>2.1326220497445303</v>
          </cell>
          <cell r="P9">
            <v>2.0528188943693535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200</v>
          </cell>
        </row>
        <row r="4">
          <cell r="B4">
            <v>13.703846425589624</v>
          </cell>
          <cell r="C4">
            <v>13.684981064007497</v>
          </cell>
        </row>
        <row r="200">
          <cell r="W200">
            <v>12.627116894775181</v>
          </cell>
          <cell r="Z200">
            <v>14.941658023822196</v>
          </cell>
        </row>
      </sheetData>
      <sheetData sheetId="4">
        <row r="9">
          <cell r="B9">
            <v>12.47338793190651</v>
          </cell>
          <cell r="C9">
            <v>14.472066273161321</v>
          </cell>
          <cell r="D9">
            <v>13.796094</v>
          </cell>
          <cell r="E9">
            <v>14.608487</v>
          </cell>
          <cell r="F9">
            <v>13.714370000000001</v>
          </cell>
          <cell r="G9">
            <v>13.40271885051866</v>
          </cell>
          <cell r="H9">
            <v>13.718902006971099</v>
          </cell>
          <cell r="I9">
            <v>13.601547</v>
          </cell>
          <cell r="J9">
            <v>13.543787</v>
          </cell>
          <cell r="K9">
            <v>13.694094</v>
          </cell>
          <cell r="L9">
            <v>14.092610000000001</v>
          </cell>
          <cell r="N9">
            <v>13.736767</v>
          </cell>
          <cell r="O9">
            <v>13.738005823868871</v>
          </cell>
          <cell r="P9">
            <v>13.714370000000001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132</v>
          </cell>
        </row>
        <row r="4">
          <cell r="B4">
            <v>6.1917908002819448</v>
          </cell>
          <cell r="C4">
            <v>6.2264696131099404</v>
          </cell>
        </row>
        <row r="132">
          <cell r="W132">
            <v>5.480264350755859</v>
          </cell>
          <cell r="Z132">
            <v>7.1893156402397684</v>
          </cell>
        </row>
      </sheetData>
      <sheetData sheetId="4">
        <row r="9">
          <cell r="B9">
            <v>6.0004036999999997</v>
          </cell>
          <cell r="C9">
            <v>5.5819348</v>
          </cell>
          <cell r="D9">
            <v>5.8067770999999997</v>
          </cell>
          <cell r="E9">
            <v>5.8986070000000002</v>
          </cell>
          <cell r="F9">
            <v>7.0252485</v>
          </cell>
          <cell r="G9">
            <v>6.1219295999999996</v>
          </cell>
          <cell r="H9">
            <v>6.2452201000000001</v>
          </cell>
          <cell r="I9">
            <v>6.1512061999999998</v>
          </cell>
          <cell r="J9">
            <v>5.7427843000000003</v>
          </cell>
          <cell r="K9">
            <v>6.4352210000000003</v>
          </cell>
          <cell r="L9">
            <v>7.0188810000000004</v>
          </cell>
          <cell r="N9">
            <v>6.1883131999999996</v>
          </cell>
          <cell r="O9">
            <v>6.1843830272727249</v>
          </cell>
          <cell r="P9">
            <v>6.1219295999999996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118</v>
          </cell>
        </row>
        <row r="4">
          <cell r="B4">
            <v>7.0747442190361092</v>
          </cell>
          <cell r="C4">
            <v>7.1112052744609091</v>
          </cell>
        </row>
        <row r="118">
          <cell r="W118">
            <v>4.7567470548615054</v>
          </cell>
          <cell r="Z118">
            <v>9.6352702809602206</v>
          </cell>
        </row>
      </sheetData>
      <sheetData sheetId="4">
        <row r="9">
          <cell r="B9">
            <v>7.7670544129980454</v>
          </cell>
          <cell r="C9">
            <v>8.2268291793359047</v>
          </cell>
          <cell r="D9">
            <v>8.6714106823296486</v>
          </cell>
          <cell r="E9">
            <v>8.6451932445251423</v>
          </cell>
          <cell r="F9">
            <v>7.6276775835222539</v>
          </cell>
          <cell r="G9">
            <v>5.7626991098957872</v>
          </cell>
          <cell r="H9">
            <v>6.9743947858459894</v>
          </cell>
          <cell r="I9">
            <v>4.9534828094225265</v>
          </cell>
          <cell r="J9">
            <v>4.0246894741349033</v>
          </cell>
          <cell r="K9">
            <v>6.9570487612017358</v>
          </cell>
          <cell r="L9">
            <v>5.941990703041605</v>
          </cell>
          <cell r="N9">
            <v>7.0915250853509395</v>
          </cell>
          <cell r="O9">
            <v>6.8684064314775952</v>
          </cell>
          <cell r="P9">
            <v>6.9743947858459894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3.554034264686647</v>
          </cell>
          <cell r="C4">
            <v>3.5668128927656522</v>
          </cell>
        </row>
        <row r="98">
          <cell r="W98">
            <v>2.775530916987794</v>
          </cell>
          <cell r="Z98">
            <v>4.3111383957608691</v>
          </cell>
        </row>
      </sheetData>
      <sheetData sheetId="4">
        <row r="9">
          <cell r="B9">
            <v>3.2362387983384</v>
          </cell>
          <cell r="C9">
            <v>3.484106925715901</v>
          </cell>
          <cell r="D9">
            <v>3.2848540243624824</v>
          </cell>
          <cell r="E9">
            <v>2.9363889295659797</v>
          </cell>
          <cell r="F9">
            <v>3.9655331239560763</v>
          </cell>
          <cell r="G9">
            <v>4.1584980630220834</v>
          </cell>
          <cell r="H9">
            <v>3.3869435266272769</v>
          </cell>
          <cell r="I9">
            <v>3.4760829106669453</v>
          </cell>
          <cell r="J9">
            <v>3.4146533028551111</v>
          </cell>
          <cell r="K9">
            <v>4.083359458671679</v>
          </cell>
          <cell r="L9">
            <v>3.6101598349911099</v>
          </cell>
          <cell r="N9">
            <v>3.5858745699232855</v>
          </cell>
          <cell r="O9">
            <v>3.5488017180702771</v>
          </cell>
          <cell r="P9">
            <v>3.4760829106669453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2.6718610909219254</v>
          </cell>
          <cell r="C4">
            <v>2.6763407453240844</v>
          </cell>
        </row>
        <row r="88">
          <cell r="W88">
            <v>1.1008479186259879</v>
          </cell>
          <cell r="Z88">
            <v>4.5869775078282045</v>
          </cell>
        </row>
      </sheetData>
      <sheetData sheetId="4">
        <row r="9">
          <cell r="B9">
            <v>2.5804830628783377</v>
          </cell>
          <cell r="C9">
            <v>2.5440724397913774</v>
          </cell>
          <cell r="D9">
            <v>1.1419101332956085</v>
          </cell>
          <cell r="E9">
            <v>2.3903793510009517</v>
          </cell>
          <cell r="F9">
            <v>2.5917598056238433</v>
          </cell>
          <cell r="G9">
            <v>3.3084668642116108</v>
          </cell>
          <cell r="H9">
            <v>3.247272715272457</v>
          </cell>
          <cell r="I9">
            <v>2.5623235559811017</v>
          </cell>
          <cell r="J9">
            <v>2.4169409486573543</v>
          </cell>
          <cell r="K9">
            <v>3.3995013337258606</v>
          </cell>
          <cell r="L9">
            <v>2.8022036481374544</v>
          </cell>
          <cell r="N9">
            <v>2.755111750451873</v>
          </cell>
          <cell r="O9">
            <v>2.6350285325978144</v>
          </cell>
          <cell r="P9">
            <v>2.5804830628783377</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78</v>
          </cell>
        </row>
        <row r="4">
          <cell r="B4">
            <v>1.6247512436520521</v>
          </cell>
          <cell r="C4">
            <v>1.6814966510667804</v>
          </cell>
        </row>
        <row r="78">
          <cell r="W78">
            <v>9.0862826341043201E-2</v>
          </cell>
          <cell r="Z78">
            <v>4.1017940508078929</v>
          </cell>
        </row>
      </sheetData>
      <sheetData sheetId="4">
        <row r="9">
          <cell r="B9">
            <v>0.87461341656410008</v>
          </cell>
          <cell r="C9">
            <v>0.23310353614024326</v>
          </cell>
          <cell r="D9">
            <v>1.9191056797564563</v>
          </cell>
          <cell r="E9">
            <v>3.4733160403687319E-2</v>
          </cell>
          <cell r="F9">
            <v>2.5429464058775877</v>
          </cell>
          <cell r="G9">
            <v>0.77236147921224063</v>
          </cell>
          <cell r="H9">
            <v>2.4616418095862054</v>
          </cell>
          <cell r="I9">
            <v>2.0913379930978979</v>
          </cell>
          <cell r="J9">
            <v>0.94168610468389791</v>
          </cell>
          <cell r="K9">
            <v>2.9865439135783363</v>
          </cell>
          <cell r="L9">
            <v>3.2195887944532342</v>
          </cell>
          <cell r="N9">
            <v>1.9048287757799165</v>
          </cell>
          <cell r="O9">
            <v>1.6434238448503533</v>
          </cell>
          <cell r="P9">
            <v>1.9191056797564563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160</v>
          </cell>
        </row>
        <row r="4">
          <cell r="B4">
            <v>8.448005658183579</v>
          </cell>
          <cell r="C4">
            <v>8.3445947211226272</v>
          </cell>
        </row>
        <row r="160">
          <cell r="W160">
            <v>6.3065859599983156</v>
          </cell>
          <cell r="Z160">
            <v>10.017630361816725</v>
          </cell>
        </row>
      </sheetData>
      <sheetData sheetId="4">
        <row r="9">
          <cell r="B9">
            <v>10.275752000000001</v>
          </cell>
          <cell r="C9">
            <v>7.4697044000000004</v>
          </cell>
          <cell r="D9">
            <v>7.2984526531975771</v>
          </cell>
          <cell r="E9">
            <v>7.9453768</v>
          </cell>
          <cell r="F9">
            <v>7.7299666</v>
          </cell>
          <cell r="G9">
            <v>9.7629607625518489</v>
          </cell>
          <cell r="H9">
            <v>9.5366577597319981</v>
          </cell>
          <cell r="I9">
            <v>8.7760025854259087</v>
          </cell>
          <cell r="J9">
            <v>7.2826036735439468</v>
          </cell>
          <cell r="K9">
            <v>8.5941361000000001</v>
          </cell>
          <cell r="L9">
            <v>8.4059122731276243</v>
          </cell>
          <cell r="N9">
            <v>8.4304932000000008</v>
          </cell>
          <cell r="O9">
            <v>8.461593237052627</v>
          </cell>
          <cell r="P9">
            <v>8.4059122731276243</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114</v>
          </cell>
        </row>
        <row r="4">
          <cell r="B4">
            <v>5.0234182712947257</v>
          </cell>
          <cell r="C4">
            <v>4.9998043038855062</v>
          </cell>
        </row>
        <row r="114">
          <cell r="W114">
            <v>4.3834052750929349</v>
          </cell>
          <cell r="Z114">
            <v>5.7009525951159858</v>
          </cell>
        </row>
      </sheetData>
      <sheetData sheetId="4">
        <row r="9">
          <cell r="B9">
            <v>5.0492523208008331</v>
          </cell>
          <cell r="C9">
            <v>5.3841760340714675</v>
          </cell>
          <cell r="D9">
            <v>5.5650251664892956</v>
          </cell>
          <cell r="E9">
            <v>5.464335436241524</v>
          </cell>
          <cell r="F9">
            <v>4.6576180234348366</v>
          </cell>
          <cell r="G9">
            <v>5.2375810935355975</v>
          </cell>
          <cell r="H9">
            <v>4.7312518372953685</v>
          </cell>
          <cell r="I9">
            <v>5.0629883950509873</v>
          </cell>
          <cell r="J9">
            <v>4.9648061540797839</v>
          </cell>
          <cell r="K9">
            <v>4.7322999041852327</v>
          </cell>
          <cell r="L9">
            <v>4.6707203109193065</v>
          </cell>
          <cell r="N9">
            <v>5.0458112853947217</v>
          </cell>
          <cell r="O9">
            <v>5.0472776978276572</v>
          </cell>
          <cell r="P9">
            <v>5.0492523208008331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94</v>
          </cell>
        </row>
        <row r="4">
          <cell r="B4">
            <v>4.8420932720534244</v>
          </cell>
          <cell r="C4">
            <v>4.8574782904987197</v>
          </cell>
        </row>
        <row r="94">
          <cell r="W94">
            <v>3.2736918610384338</v>
          </cell>
          <cell r="Z94">
            <v>6.5827018719484593</v>
          </cell>
        </row>
      </sheetData>
      <sheetData sheetId="4">
        <row r="9">
          <cell r="B9">
            <v>3.6074408644058806</v>
          </cell>
          <cell r="C9">
            <v>5.1844818686132639</v>
          </cell>
          <cell r="D9">
            <v>5.4661001017543276</v>
          </cell>
          <cell r="E9">
            <v>3.0150417339280464</v>
          </cell>
          <cell r="F9">
            <v>4.4581353726731567</v>
          </cell>
          <cell r="G9">
            <v>4.6238813885094068</v>
          </cell>
          <cell r="H9">
            <v>4.4140925355619185</v>
          </cell>
          <cell r="I9">
            <v>5.4427521293534094</v>
          </cell>
          <cell r="J9">
            <v>6.4801044710759808</v>
          </cell>
          <cell r="K9">
            <v>5.5693399894750577</v>
          </cell>
          <cell r="L9">
            <v>5.2778928135094647</v>
          </cell>
          <cell r="N9">
            <v>4.8608216265641104</v>
          </cell>
          <cell r="O9">
            <v>4.8672057517145371</v>
          </cell>
          <cell r="P9">
            <v>5.1844818686132639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1.6819897209192396</v>
          </cell>
          <cell r="C4">
            <v>1.6865865422050437</v>
          </cell>
        </row>
        <row r="88">
          <cell r="W88">
            <v>1.3455402857087624</v>
          </cell>
          <cell r="Z88">
            <v>2.0566908076766253</v>
          </cell>
        </row>
      </sheetData>
      <sheetData sheetId="4">
        <row r="9">
          <cell r="B9">
            <v>1.6857121550533263</v>
          </cell>
          <cell r="C9">
            <v>1.7023604673376609</v>
          </cell>
          <cell r="D9">
            <v>1.8321283369750061</v>
          </cell>
          <cell r="E9">
            <v>1.2799953028452606</v>
          </cell>
          <cell r="F9">
            <v>1.512112380895186</v>
          </cell>
          <cell r="G9">
            <v>1.7733424358807275</v>
          </cell>
          <cell r="H9">
            <v>1.7861926546876055</v>
          </cell>
          <cell r="I9">
            <v>1.7985441297843563</v>
          </cell>
          <cell r="J9">
            <v>2.0028967868246692</v>
          </cell>
          <cell r="K9">
            <v>1.5308934535266723</v>
          </cell>
          <cell r="L9">
            <v>1.8248196371094061</v>
          </cell>
          <cell r="N9">
            <v>1.7039137635528432</v>
          </cell>
          <cell r="O9">
            <v>1.7026361582654432</v>
          </cell>
          <cell r="P9">
            <v>1.7733424358807275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86</v>
          </cell>
        </row>
        <row r="4">
          <cell r="B4">
            <v>1.1500015003480031</v>
          </cell>
          <cell r="C4">
            <v>1.1196000963185988</v>
          </cell>
        </row>
        <row r="86">
          <cell r="W86">
            <v>0.18727433434443497</v>
          </cell>
          <cell r="Z86">
            <v>2.2143932105740762</v>
          </cell>
        </row>
      </sheetData>
      <sheetData sheetId="4">
        <row r="9">
          <cell r="B9">
            <v>1.5283562483462814</v>
          </cell>
          <cell r="C9">
            <v>0.7201980389837439</v>
          </cell>
          <cell r="D9">
            <v>1.395801368976697</v>
          </cell>
          <cell r="E9">
            <v>0.14887863000000001</v>
          </cell>
          <cell r="F9">
            <v>1.2209307520358748</v>
          </cell>
          <cell r="G9">
            <v>1.2260367789782789</v>
          </cell>
          <cell r="H9">
            <v>0.85501418434455856</v>
          </cell>
          <cell r="I9">
            <v>1.1173713361814788</v>
          </cell>
          <cell r="J9">
            <v>1.0155171212566749</v>
          </cell>
          <cell r="K9">
            <v>1.2235983758523077</v>
          </cell>
          <cell r="L9">
            <v>0.97849390594945396</v>
          </cell>
          <cell r="N9">
            <v>1.2080115453037237</v>
          </cell>
          <cell r="O9">
            <v>1.0391087946277593</v>
          </cell>
          <cell r="P9">
            <v>1.1173713361814788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120</v>
          </cell>
        </row>
        <row r="4">
          <cell r="B4">
            <v>3.8066850472523006</v>
          </cell>
          <cell r="C4">
            <v>3.8156690115961371</v>
          </cell>
        </row>
        <row r="120">
          <cell r="W120">
            <v>1.2672613789448732</v>
          </cell>
          <cell r="Z120">
            <v>6.379051053122784</v>
          </cell>
        </row>
      </sheetData>
      <sheetData sheetId="4">
        <row r="9">
          <cell r="B9">
            <v>4.769187927921366</v>
          </cell>
          <cell r="C9">
            <v>5.8559825501847254</v>
          </cell>
          <cell r="D9">
            <v>2.1474271106010461</v>
          </cell>
          <cell r="E9">
            <v>3.2068892566581364</v>
          </cell>
          <cell r="F9">
            <v>4.4419621172402648</v>
          </cell>
          <cell r="G9">
            <v>4.0984885986656199</v>
          </cell>
          <cell r="H9">
            <v>1.9266038596097859</v>
          </cell>
          <cell r="I9">
            <v>1.7135406996081324</v>
          </cell>
          <cell r="J9">
            <v>4.0572804212598399</v>
          </cell>
          <cell r="K9">
            <v>3.2245113184960998</v>
          </cell>
          <cell r="L9">
            <v>3.5464880274856858</v>
          </cell>
          <cell r="N9">
            <v>3.7847850279341646</v>
          </cell>
          <cell r="O9">
            <v>3.544396535248246</v>
          </cell>
          <cell r="P9">
            <v>3.5464880274856858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4.574419718119076</v>
          </cell>
          <cell r="C4">
            <v>4.7711458005617633</v>
          </cell>
        </row>
        <row r="102">
          <cell r="W102">
            <v>2.9341093291319043</v>
          </cell>
          <cell r="Z102">
            <v>8.2265853447161597</v>
          </cell>
        </row>
      </sheetData>
      <sheetData sheetId="4">
        <row r="9">
          <cell r="B9">
            <v>4.1754876365339477</v>
          </cell>
          <cell r="C9">
            <v>3.8170403159213535</v>
          </cell>
          <cell r="D9">
            <v>5.6169679045583507</v>
          </cell>
          <cell r="E9">
            <v>8.0843564263170933</v>
          </cell>
          <cell r="F9">
            <v>4.3130823475748086</v>
          </cell>
          <cell r="G9">
            <v>6.0538861861884126</v>
          </cell>
          <cell r="H9">
            <v>3.7770211972187973</v>
          </cell>
          <cell r="I9">
            <v>4.0736008173950768</v>
          </cell>
          <cell r="J9">
            <v>4.8106415253587267</v>
          </cell>
          <cell r="K9">
            <v>3.9911988685269124</v>
          </cell>
          <cell r="L9">
            <v>4.3402032538888262</v>
          </cell>
          <cell r="N9">
            <v>4.6590014219956659</v>
          </cell>
          <cell r="O9">
            <v>4.8230442254074823</v>
          </cell>
          <cell r="P9">
            <v>4.3130823475748086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98</v>
          </cell>
        </row>
        <row r="4">
          <cell r="B4">
            <v>4.1737781116629051</v>
          </cell>
          <cell r="C4">
            <v>4.3388632154873372</v>
          </cell>
        </row>
        <row r="98">
          <cell r="W98">
            <v>1.7376042163626226</v>
          </cell>
          <cell r="Z98">
            <v>7.4236752506555952</v>
          </cell>
        </row>
      </sheetData>
      <sheetData sheetId="4">
        <row r="9">
          <cell r="B9">
            <v>4.5136440211750601</v>
          </cell>
          <cell r="C9">
            <v>3.8004025827479708</v>
          </cell>
          <cell r="D9">
            <v>4.8449519953821545</v>
          </cell>
          <cell r="E9">
            <v>4.7519381999999997</v>
          </cell>
          <cell r="F9">
            <v>5.5992538999999999</v>
          </cell>
          <cell r="G9">
            <v>2.720172069243485</v>
          </cell>
          <cell r="H9">
            <v>2.6964227759535309</v>
          </cell>
          <cell r="I9">
            <v>2.3258285100398957</v>
          </cell>
          <cell r="J9">
            <v>2.8647124978881671</v>
          </cell>
          <cell r="K9">
            <v>5.5150269999999999</v>
          </cell>
          <cell r="L9">
            <v>4.6479894936493089</v>
          </cell>
          <cell r="N9">
            <v>4.2340632478536815</v>
          </cell>
          <cell r="O9">
            <v>4.0254857314617789</v>
          </cell>
          <cell r="P9">
            <v>4.5136440211750601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88</v>
          </cell>
        </row>
        <row r="4">
          <cell r="B4">
            <v>1.4472817616167384</v>
          </cell>
          <cell r="C4">
            <v>1.428254520244594</v>
          </cell>
        </row>
        <row r="88">
          <cell r="W88">
            <v>0.36399227833944603</v>
          </cell>
          <cell r="Z88">
            <v>2.053828448130449</v>
          </cell>
        </row>
      </sheetData>
      <sheetData sheetId="4">
        <row r="9">
          <cell r="B9">
            <v>1.2292635847243953</v>
          </cell>
          <cell r="C9">
            <v>1.2401409217686368</v>
          </cell>
          <cell r="D9">
            <v>1.3925207564870057</v>
          </cell>
          <cell r="E9">
            <v>1.3560721483428884</v>
          </cell>
          <cell r="F9">
            <v>1.5820980773969937</v>
          </cell>
          <cell r="G9">
            <v>1.5640911659493599</v>
          </cell>
          <cell r="H9">
            <v>1.3364427156940955</v>
          </cell>
          <cell r="I9">
            <v>1.1115426177920988</v>
          </cell>
          <cell r="J9">
            <v>1.2916962062876347</v>
          </cell>
          <cell r="K9">
            <v>1.4773762628009488</v>
          </cell>
          <cell r="L9">
            <v>1.5716029005341079</v>
          </cell>
          <cell r="N9">
            <v>1.4924866203316833</v>
          </cell>
          <cell r="O9">
            <v>1.3775315779798332</v>
          </cell>
          <cell r="P9">
            <v>1.3560721483428884</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86</v>
          </cell>
        </row>
        <row r="4">
          <cell r="B4">
            <v>3.2826428586536722</v>
          </cell>
          <cell r="C4">
            <v>3.4428280191645473</v>
          </cell>
        </row>
        <row r="86">
          <cell r="W86">
            <v>1.614602205555145</v>
          </cell>
          <cell r="Z86">
            <v>6.3299165656945799</v>
          </cell>
        </row>
      </sheetData>
      <sheetData sheetId="4">
        <row r="9">
          <cell r="B9">
            <v>3.1403111905476946</v>
          </cell>
          <cell r="C9">
            <v>3.0734834453648112</v>
          </cell>
          <cell r="D9">
            <v>1.6002562967471485</v>
          </cell>
          <cell r="E9">
            <v>1.5603178289848934</v>
          </cell>
          <cell r="F9">
            <v>2.5284557859365604</v>
          </cell>
          <cell r="G9">
            <v>2.4898964758185618</v>
          </cell>
          <cell r="H9">
            <v>4.9017768899000735</v>
          </cell>
          <cell r="I9">
            <v>4.9918750949035173</v>
          </cell>
          <cell r="J9">
            <v>5.9604263982990435</v>
          </cell>
          <cell r="K9">
            <v>4.1464115070171168</v>
          </cell>
          <cell r="L9">
            <v>3.3497230791901864</v>
          </cell>
          <cell r="N9">
            <v>3.3445289691775515</v>
          </cell>
          <cell r="O9">
            <v>3.4311758175190552</v>
          </cell>
          <cell r="P9">
            <v>3.1403111905476946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orig"/>
      <sheetName val="Data"/>
      <sheetName val="Conditions"/>
      <sheetName val="Prof (MC)"/>
      <sheetName val="All"/>
      <sheetName val="Prof (Avg)"/>
      <sheetName val="Prof (1)"/>
      <sheetName val="Prof (2)"/>
      <sheetName val="Prof (3)"/>
      <sheetName val="Prof (4)"/>
      <sheetName val="Prof (5)"/>
      <sheetName val="Prof (6)"/>
      <sheetName val="Prof (7)"/>
      <sheetName val="Prof (8)"/>
      <sheetName val="Prof (9)"/>
      <sheetName val="Prof (10)"/>
      <sheetName val="Prof (11)"/>
    </sheetNames>
    <sheetDataSet>
      <sheetData sheetId="0"/>
      <sheetData sheetId="1"/>
      <sheetData sheetId="2"/>
      <sheetData sheetId="3">
        <row r="1">
          <cell r="U1">
            <v>102</v>
          </cell>
        </row>
        <row r="4">
          <cell r="B4">
            <v>4.4828954756357344</v>
          </cell>
          <cell r="C4">
            <v>4.3731380206651389</v>
          </cell>
        </row>
        <row r="102">
          <cell r="W102">
            <v>0.21117129762535022</v>
          </cell>
          <cell r="Z102">
            <v>9.4645764826269794</v>
          </cell>
        </row>
      </sheetData>
      <sheetData sheetId="4">
        <row r="9">
          <cell r="B9">
            <v>3.9306608624400607</v>
          </cell>
          <cell r="C9">
            <v>1.9595622621815871</v>
          </cell>
          <cell r="D9">
            <v>6.4785387628451518</v>
          </cell>
          <cell r="E9">
            <v>3.111196432368744</v>
          </cell>
          <cell r="F9">
            <v>0.88828751666608907</v>
          </cell>
          <cell r="G9">
            <v>9.1728858223534804</v>
          </cell>
          <cell r="H9">
            <v>3.4839514020376212</v>
          </cell>
          <cell r="I9">
            <v>6.031443076933539</v>
          </cell>
          <cell r="J9">
            <v>6.3236178167621606</v>
          </cell>
          <cell r="K9">
            <v>6.1704925352962823</v>
          </cell>
          <cell r="L9">
            <v>3.9855331254755635</v>
          </cell>
          <cell r="N9">
            <v>4.4262782393188687</v>
          </cell>
          <cell r="O9">
            <v>4.6851063286691161</v>
          </cell>
          <cell r="P9">
            <v>3.9855331254755635</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30DFF-03D2-4645-AF04-4DAB3FBCEB29}">
  <dimension ref="A1"/>
  <sheetViews>
    <sheetView tabSelected="1" zoomScaleNormal="100" workbookViewId="0">
      <selection activeCell="A28" sqref="A28"/>
    </sheetView>
  </sheetViews>
  <sheetFormatPr baseColWidth="10" defaultRowHeight="15" x14ac:dyDescent="0.2"/>
  <sheetData>
    <row r="1" spans="1:1" x14ac:dyDescent="0.2">
      <c r="A1" s="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_L"/>
  <dimension ref="A1:X412"/>
  <sheetViews>
    <sheetView zoomScaleNormal="100" workbookViewId="0">
      <pane ySplit="1" topLeftCell="A2" activePane="bottomLeft" state="frozen"/>
      <selection pane="bottomLeft"/>
    </sheetView>
  </sheetViews>
  <sheetFormatPr baseColWidth="10" defaultColWidth="9.1640625" defaultRowHeight="15" x14ac:dyDescent="0.2"/>
  <cols>
    <col min="1" max="1" width="26.1640625" bestFit="1" customWidth="1"/>
    <col min="2" max="2" width="10.5" customWidth="1"/>
    <col min="3" max="3" width="17.33203125" customWidth="1"/>
    <col min="4" max="4" width="9.83203125" customWidth="1"/>
    <col min="5" max="15" width="9.5" style="1" customWidth="1"/>
    <col min="16" max="16" width="9.1640625" style="1"/>
    <col min="17" max="17" width="12.1640625" style="1" bestFit="1" customWidth="1"/>
    <col min="18" max="19" width="9.5" style="1" customWidth="1"/>
    <col min="20" max="20" width="9.1640625" style="1"/>
    <col min="21" max="21" width="17.6640625" style="1" bestFit="1" customWidth="1"/>
    <col min="22" max="22" width="14.1640625" style="1" bestFit="1" customWidth="1"/>
    <col min="23" max="23" width="16.5" style="1" bestFit="1" customWidth="1"/>
    <col min="24" max="24" width="17" style="1" bestFit="1" customWidth="1"/>
  </cols>
  <sheetData>
    <row r="1" spans="1:24" s="5" customFormat="1" x14ac:dyDescent="0.2">
      <c r="A1" s="5" t="s">
        <v>439</v>
      </c>
      <c r="B1" s="5" t="s">
        <v>432</v>
      </c>
      <c r="C1" s="5" t="s">
        <v>864</v>
      </c>
      <c r="E1" s="6" t="s">
        <v>17</v>
      </c>
      <c r="F1" s="6" t="s">
        <v>16</v>
      </c>
      <c r="G1" s="6" t="s">
        <v>15</v>
      </c>
      <c r="H1" s="6" t="s">
        <v>14</v>
      </c>
      <c r="I1" s="6" t="s">
        <v>13</v>
      </c>
      <c r="J1" s="6" t="s">
        <v>12</v>
      </c>
      <c r="K1" s="6" t="s">
        <v>11</v>
      </c>
      <c r="L1" s="6" t="s">
        <v>10</v>
      </c>
      <c r="M1" s="6" t="s">
        <v>9</v>
      </c>
      <c r="N1" s="6" t="s">
        <v>8</v>
      </c>
      <c r="O1" s="6" t="s">
        <v>7</v>
      </c>
      <c r="P1" s="6"/>
      <c r="Q1" s="6" t="s">
        <v>6</v>
      </c>
      <c r="R1" s="6" t="s">
        <v>5</v>
      </c>
      <c r="S1" s="6" t="s">
        <v>4</v>
      </c>
      <c r="T1" s="6"/>
      <c r="U1" s="6" t="s">
        <v>3</v>
      </c>
      <c r="V1" s="6" t="s">
        <v>2</v>
      </c>
      <c r="W1" s="6" t="s">
        <v>1</v>
      </c>
      <c r="X1" s="6" t="s">
        <v>0</v>
      </c>
    </row>
    <row r="2" spans="1:24" x14ac:dyDescent="0.2">
      <c r="A2" t="s">
        <v>18</v>
      </c>
      <c r="B2" t="s">
        <v>434</v>
      </c>
      <c r="C2">
        <v>2100</v>
      </c>
      <c r="E2" s="1">
        <f>[1]All!B$9</f>
        <v>5.675112947304715</v>
      </c>
      <c r="F2" s="1">
        <f>[1]All!C$9</f>
        <v>6.3397520649277688</v>
      </c>
      <c r="G2" s="1">
        <f>[1]All!D$9</f>
        <v>8.4805318919982913</v>
      </c>
      <c r="H2" s="1">
        <f>[1]All!E$9</f>
        <v>8.7409128954541586</v>
      </c>
      <c r="I2" s="1">
        <f>[1]All!F$9</f>
        <v>8.4899829905732069</v>
      </c>
      <c r="J2" s="1">
        <f>[1]All!G$9</f>
        <v>4.6379852663886183</v>
      </c>
      <c r="K2" s="1">
        <f>[1]All!H$9</f>
        <v>5.6574393503690503</v>
      </c>
      <c r="L2" s="1">
        <f>[1]All!I$9</f>
        <v>4.9207826048398378</v>
      </c>
      <c r="M2" s="1">
        <f>[1]All!J$9</f>
        <v>4.3562667788892471</v>
      </c>
      <c r="N2" s="1">
        <f>[1]All!K$9</f>
        <v>4.6096206940403999</v>
      </c>
      <c r="O2" s="1">
        <f>[1]All!L$9</f>
        <v>4.3542342325727441</v>
      </c>
      <c r="Q2" s="1">
        <f>[1]All!N$9</f>
        <v>5.6612296673154168</v>
      </c>
      <c r="R2" s="1">
        <f>[1]All!O$9</f>
        <v>6.0238747015780039</v>
      </c>
      <c r="S2" s="1">
        <f>[1]All!P$9</f>
        <v>5.6574393503690503</v>
      </c>
      <c r="U2" s="1">
        <f>'[1]Prof (MC)'!$B$4</f>
        <v>5.6223513669966021</v>
      </c>
      <c r="V2" s="1">
        <f>'[1]Prof (MC)'!$C$4</f>
        <v>5.6752264688713741</v>
      </c>
      <c r="W2" s="1">
        <f>'[1]Prof (MC)'!$W$116</f>
        <v>3.0459468401728094</v>
      </c>
      <c r="X2" s="1">
        <f>'[1]Prof (MC)'!$Z$116</f>
        <v>8.3785364464753194</v>
      </c>
    </row>
    <row r="3" spans="1:24" x14ac:dyDescent="0.2">
      <c r="A3" t="s">
        <v>19</v>
      </c>
      <c r="B3" t="s">
        <v>435</v>
      </c>
      <c r="C3">
        <v>2100</v>
      </c>
      <c r="E3" s="1">
        <f>[2]All!B$9</f>
        <v>11.181709</v>
      </c>
      <c r="F3" s="1">
        <f>[2]All!C$9</f>
        <v>10.768468</v>
      </c>
      <c r="G3" s="1">
        <f>[2]All!D$9</f>
        <v>10.508433999999999</v>
      </c>
      <c r="H3" s="1">
        <f>[2]All!E$9</f>
        <v>9.4940944999999992</v>
      </c>
      <c r="I3" s="1">
        <f>[2]All!F$9</f>
        <v>11.681765</v>
      </c>
      <c r="J3" s="1">
        <f>[2]All!G$9</f>
        <v>11.401897999999999</v>
      </c>
      <c r="K3" s="1">
        <f>[2]All!H$9</f>
        <v>12.05641</v>
      </c>
      <c r="L3" s="1">
        <f>[2]All!I$9</f>
        <v>11.556687999999999</v>
      </c>
      <c r="M3" s="1">
        <f>[2]All!J$9</f>
        <v>12.312106</v>
      </c>
      <c r="N3" s="1">
        <f>[2]All!K$9</f>
        <v>11.634763</v>
      </c>
      <c r="O3" s="1">
        <f>[2]All!L$9</f>
        <v>11.380568999999999</v>
      </c>
      <c r="Q3" s="1">
        <f>[2]All!N$9</f>
        <v>11.264077</v>
      </c>
      <c r="R3" s="1">
        <f>[2]All!O$9</f>
        <v>11.27062768181818</v>
      </c>
      <c r="S3" s="1">
        <f>[2]All!P$9</f>
        <v>11.401897999999999</v>
      </c>
      <c r="U3" s="1">
        <f>'[2]Prof (MC)'!$B$4</f>
        <v>11.089711834186685</v>
      </c>
      <c r="V3" s="1">
        <f>'[2]Prof (MC)'!$C$4</f>
        <v>11.124028743012738</v>
      </c>
      <c r="W3" s="1">
        <f>'[2]Prof (MC)'!$W$168</f>
        <v>9.3876607290292515</v>
      </c>
      <c r="X3" s="1">
        <f>'[2]Prof (MC)'!$Z$168</f>
        <v>13.030859742457201</v>
      </c>
    </row>
    <row r="4" spans="1:24" x14ac:dyDescent="0.2">
      <c r="A4" t="s">
        <v>20</v>
      </c>
      <c r="B4" t="s">
        <v>435</v>
      </c>
      <c r="C4">
        <v>2100</v>
      </c>
      <c r="E4" s="1">
        <f>[3]All!B$9</f>
        <v>4.6592453000000003</v>
      </c>
      <c r="F4" s="1">
        <f>[3]All!C$9</f>
        <v>5.4909122000000004</v>
      </c>
      <c r="G4" s="1">
        <f>[3]All!D$9</f>
        <v>5.2081228150701504</v>
      </c>
      <c r="H4" s="1">
        <f>[3]All!E$9</f>
        <v>5.0006819</v>
      </c>
      <c r="I4" s="1">
        <f>[3]All!F$9</f>
        <v>4.448472882059086</v>
      </c>
      <c r="J4" s="1">
        <f>[3]All!G$9</f>
        <v>4.2120901999999996</v>
      </c>
      <c r="K4" s="1">
        <f>[3]All!H$9</f>
        <v>4.7054156999999996</v>
      </c>
      <c r="L4" s="1">
        <f>[3]All!I$9</f>
        <v>5.2574379999999996</v>
      </c>
      <c r="M4" s="1">
        <f>[3]All!J$9</f>
        <v>3.5272879573387295</v>
      </c>
      <c r="N4" s="1">
        <f>[3]All!K$9</f>
        <v>5.4880345000000004</v>
      </c>
      <c r="O4" s="1">
        <f>[3]All!L$9</f>
        <v>3.8780963109801028</v>
      </c>
      <c r="Q4" s="1">
        <f>[3]All!N$9</f>
        <v>4.6851924</v>
      </c>
      <c r="R4" s="1">
        <f>[3]All!O$9</f>
        <v>4.7159816150407332</v>
      </c>
      <c r="S4" s="1">
        <f>[3]All!P$9</f>
        <v>4.7054156999999996</v>
      </c>
      <c r="U4" s="1">
        <f>'[3]Prof (MC)'!$B$4</f>
        <v>4.6099470311711919</v>
      </c>
      <c r="V4" s="1">
        <f>'[3]Prof (MC)'!$C$4</f>
        <v>4.7058624056540967</v>
      </c>
      <c r="W4" s="1">
        <f>'[3]Prof (MC)'!$W$116</f>
        <v>2.950126031540778</v>
      </c>
      <c r="X4" s="1">
        <f>'[3]Prof (MC)'!$Z$116</f>
        <v>6.6197433808413546</v>
      </c>
    </row>
    <row r="5" spans="1:24" x14ac:dyDescent="0.2">
      <c r="A5" t="s">
        <v>21</v>
      </c>
      <c r="B5" t="s">
        <v>433</v>
      </c>
      <c r="C5">
        <v>2100</v>
      </c>
      <c r="E5" s="1">
        <f>[4]All!B$9</f>
        <v>2.9491636920654374</v>
      </c>
      <c r="F5" s="1">
        <f>[4]All!C$9</f>
        <v>2.7961540501336626</v>
      </c>
      <c r="G5" s="1">
        <f>[4]All!D$9</f>
        <v>2.3543583447781935</v>
      </c>
      <c r="H5" s="1">
        <f>[4]All!E$9</f>
        <v>2.2388796388473748</v>
      </c>
      <c r="I5" s="1">
        <f>[4]All!F$9</f>
        <v>2.2433374348665911</v>
      </c>
      <c r="J5" s="1">
        <f>[4]All!G$9</f>
        <v>2.3977674572482437</v>
      </c>
      <c r="K5" s="1">
        <f>[4]All!H$9</f>
        <v>2.5710386524624327</v>
      </c>
      <c r="L5" s="1">
        <f>[4]All!I$9</f>
        <v>2.4764799954874368</v>
      </c>
      <c r="M5" s="1">
        <f>[4]All!J$9</f>
        <v>2.4267065884857404</v>
      </c>
      <c r="N5" s="1">
        <f>[4]All!K$9</f>
        <v>3.6177561888649317</v>
      </c>
      <c r="O5" s="1">
        <f>[4]All!L$9</f>
        <v>3.4402315811891127</v>
      </c>
      <c r="Q5" s="1">
        <f>[4]All!N$9</f>
        <v>2.9253075916513986</v>
      </c>
      <c r="R5" s="1">
        <f>[4]All!O$9</f>
        <v>2.6828976022208328</v>
      </c>
      <c r="S5" s="1">
        <f>[4]All!P$9</f>
        <v>2.4764799954874368</v>
      </c>
      <c r="U5" s="1">
        <f>'[4]Prof (MC)'!$B$4</f>
        <v>2.8753819833582326</v>
      </c>
      <c r="V5" s="1">
        <f>'[4]Prof (MC)'!$C$4</f>
        <v>2.7647151604836187</v>
      </c>
      <c r="W5" s="1">
        <f>'[4]Prof (MC)'!$W$164</f>
        <v>0.58642908598432875</v>
      </c>
      <c r="X5" s="1">
        <f>'[4]Prof (MC)'!$Z$164</f>
        <v>3.9827438345306949</v>
      </c>
    </row>
    <row r="6" spans="1:24" x14ac:dyDescent="0.2">
      <c r="A6" t="s">
        <v>22</v>
      </c>
      <c r="B6" t="s">
        <v>434</v>
      </c>
      <c r="C6">
        <v>1700</v>
      </c>
      <c r="E6" s="1">
        <f>[5]All!B$9</f>
        <v>4.1924901475974883</v>
      </c>
      <c r="F6" s="1">
        <f>[5]All!C$9</f>
        <v>3.5787451664719483</v>
      </c>
      <c r="G6" s="1">
        <f>[5]All!D$9</f>
        <v>5.1374301966635043</v>
      </c>
      <c r="H6" s="1">
        <f>[5]All!E$9</f>
        <v>4.6129503713841205</v>
      </c>
      <c r="I6" s="1">
        <f>[5]All!F$9</f>
        <v>2.9818992955659485</v>
      </c>
      <c r="J6" s="1">
        <f>[5]All!G$9</f>
        <v>4.0122200416273222</v>
      </c>
      <c r="K6" s="1">
        <f>[5]All!H$9</f>
        <v>4.0151377153587804</v>
      </c>
      <c r="L6" s="1">
        <f>[5]All!I$9</f>
        <v>3.4285789598388794</v>
      </c>
      <c r="M6" s="1">
        <f>[5]All!J$9</f>
        <v>4.115215955555362</v>
      </c>
      <c r="N6" s="1">
        <f>[5]All!K$9</f>
        <v>4.2091224155827884</v>
      </c>
      <c r="O6" s="1">
        <f>[5]All!L$9</f>
        <v>3.4375712520202653</v>
      </c>
      <c r="Q6" s="1">
        <f>[5]All!N$9</f>
        <v>3.927990130209956</v>
      </c>
      <c r="R6" s="1">
        <f>[5]All!O$9</f>
        <v>3.9746692288787644</v>
      </c>
      <c r="S6" s="1">
        <f>[5]All!P$9</f>
        <v>4.0151377153587804</v>
      </c>
      <c r="U6" s="1">
        <f>'[5]Prof (MC)'!$B$4</f>
        <v>3.7877924448037188</v>
      </c>
      <c r="V6" s="1">
        <f>'[5]Prof (MC)'!$C$4</f>
        <v>3.8554175597644846</v>
      </c>
      <c r="W6" s="1">
        <f>'[5]Prof (MC)'!$W$108</f>
        <v>2.3666661457203886</v>
      </c>
      <c r="X6" s="1">
        <f>'[5]Prof (MC)'!$Z$108</f>
        <v>5.1895942347989026</v>
      </c>
    </row>
    <row r="7" spans="1:24" x14ac:dyDescent="0.2">
      <c r="A7" t="s">
        <v>23</v>
      </c>
      <c r="B7" t="s">
        <v>434</v>
      </c>
      <c r="C7">
        <v>1700</v>
      </c>
      <c r="E7" s="1">
        <f>[6]All!B$9</f>
        <v>4.9624812881175835</v>
      </c>
      <c r="F7" s="1">
        <f>[6]All!C$9</f>
        <v>4.8297662499668874</v>
      </c>
      <c r="G7" s="1">
        <f>[6]All!D$9</f>
        <v>5.3362613435951678</v>
      </c>
      <c r="H7" s="1">
        <f>[6]All!E$9</f>
        <v>5.9718353000000004</v>
      </c>
      <c r="I7" s="1">
        <f>[6]All!F$9</f>
        <v>6.3265646999999996</v>
      </c>
      <c r="J7" s="1">
        <f>[6]All!G$9</f>
        <v>5.8566630175283416</v>
      </c>
      <c r="K7" s="1">
        <f>[6]All!H$9</f>
        <v>6.3007578000000004</v>
      </c>
      <c r="L7" s="1">
        <f>[6]All!I$9</f>
        <v>5.9217917</v>
      </c>
      <c r="M7" s="1">
        <f>[6]All!J$9</f>
        <v>6.4922005431208278</v>
      </c>
      <c r="N7" s="1">
        <f>[6]All!K$9</f>
        <v>5.4585179789765723</v>
      </c>
      <c r="O7" s="1">
        <f>[6]All!L$9</f>
        <v>5.4300577949797644</v>
      </c>
      <c r="Q7" s="1">
        <f>[6]All!N$9</f>
        <v>5.8067960395191465</v>
      </c>
      <c r="R7" s="1">
        <f>[6]All!O$9</f>
        <v>5.7169907014804684</v>
      </c>
      <c r="S7" s="1">
        <f>[6]All!P$9</f>
        <v>5.8566630175283416</v>
      </c>
      <c r="U7" s="1">
        <f>'[6]Prof (MC)'!$B$4</f>
        <v>5.7616545640773431</v>
      </c>
      <c r="V7" s="1">
        <f>'[6]Prof (MC)'!$C$4</f>
        <v>5.7535851001953926</v>
      </c>
      <c r="W7" s="1">
        <f>'[6]Prof (MC)'!$W$114</f>
        <v>4.4427001458639364</v>
      </c>
      <c r="X7" s="1">
        <f>'[6]Prof (MC)'!$Z$114</f>
        <v>7.0864201890274918</v>
      </c>
    </row>
    <row r="8" spans="1:24" x14ac:dyDescent="0.2">
      <c r="A8" t="s">
        <v>24</v>
      </c>
      <c r="B8" t="s">
        <v>435</v>
      </c>
      <c r="C8">
        <v>1700</v>
      </c>
      <c r="E8" s="1">
        <f>[7]All!B$9</f>
        <v>3.3132918775798958</v>
      </c>
      <c r="F8" s="1">
        <f>[7]All!C$9</f>
        <v>3.4009410129156326</v>
      </c>
      <c r="G8" s="1">
        <f>[7]All!D$9</f>
        <v>3.2618544937337259</v>
      </c>
      <c r="H8" s="1">
        <f>[7]All!E$9</f>
        <v>3.6104395326111849</v>
      </c>
      <c r="I8" s="1">
        <f>[7]All!F$9</f>
        <v>3.0996937356464245</v>
      </c>
      <c r="J8" s="1">
        <f>[7]All!G$9</f>
        <v>3.6021492738438847</v>
      </c>
      <c r="K8" s="1">
        <f>[7]All!H$9</f>
        <v>3.4000452579634013</v>
      </c>
      <c r="L8" s="1">
        <f>[7]All!I$9</f>
        <v>3.7260563972003444</v>
      </c>
      <c r="M8" s="1">
        <f>[7]All!J$9</f>
        <v>3.5599142493233358</v>
      </c>
      <c r="N8" s="1">
        <f>[7]All!K$9</f>
        <v>3.2078326225759302</v>
      </c>
      <c r="O8" s="1">
        <f>[7]All!L$9</f>
        <v>3.0436289353995734</v>
      </c>
      <c r="Q8" s="1">
        <f>[7]All!N$9</f>
        <v>3.4885498509337354</v>
      </c>
      <c r="R8" s="1">
        <f>[7]All!O$9</f>
        <v>3.3841679444357577</v>
      </c>
      <c r="S8" s="1">
        <f>[7]All!P$9</f>
        <v>3.4000452579634013</v>
      </c>
      <c r="U8" s="1">
        <f>'[7]Prof (MC)'!$B$4</f>
        <v>3.3438867841750017</v>
      </c>
      <c r="V8" s="1">
        <f>'[7]Prof (MC)'!$C$4</f>
        <v>3.2605155234455174</v>
      </c>
      <c r="W8" s="1">
        <f>'[7]Prof (MC)'!$W$96</f>
        <v>0.75816671854335693</v>
      </c>
      <c r="X8" s="1">
        <f>'[7]Prof (MC)'!$Z$96</f>
        <v>5.0572736654380357</v>
      </c>
    </row>
    <row r="9" spans="1:24" x14ac:dyDescent="0.2">
      <c r="A9" t="s">
        <v>25</v>
      </c>
      <c r="B9" t="s">
        <v>433</v>
      </c>
      <c r="C9">
        <v>1700</v>
      </c>
      <c r="E9" s="1">
        <f>[8]All!B$9</f>
        <v>0.20493226141822077</v>
      </c>
      <c r="F9" s="1">
        <f>[8]All!C$9</f>
        <v>9.7076493728933788E-2</v>
      </c>
      <c r="G9" s="1">
        <f>[8]All!D$9</f>
        <v>0.15429896935118498</v>
      </c>
      <c r="H9" s="1">
        <f>[8]All!E$9</f>
        <v>5.5705185450409492E-2</v>
      </c>
      <c r="I9" s="1">
        <f>[8]All!F$9</f>
        <v>0.15504556671815298</v>
      </c>
      <c r="J9" s="1">
        <f>[8]All!G$9</f>
        <v>7.0928991620946874E-2</v>
      </c>
      <c r="K9" s="1">
        <f>[8]All!H$9</f>
        <v>8.8946849153906261E-3</v>
      </c>
      <c r="L9" s="1">
        <f>[8]All!I$9</f>
        <v>0.18496271161912081</v>
      </c>
      <c r="M9" s="1">
        <f>[8]All!J$9</f>
        <v>0.20032711336959502</v>
      </c>
      <c r="N9" s="1">
        <f>[8]All!K$9</f>
        <v>1.546737714881153E-2</v>
      </c>
      <c r="O9" s="1">
        <f>[8]All!L$9</f>
        <v>0.10911271968659568</v>
      </c>
      <c r="Q9" s="1">
        <f>[8]All!N$9</f>
        <v>7.4846455358985473E-2</v>
      </c>
      <c r="R9" s="1">
        <f>[8]All!O$9</f>
        <v>0.11425018863885116</v>
      </c>
      <c r="S9" s="1">
        <f>[8]All!P$9</f>
        <v>0.10911271968659568</v>
      </c>
      <c r="U9" s="1">
        <f>'[8]Prof (MC)'!$B$4</f>
        <v>0.20154105935868702</v>
      </c>
      <c r="V9" s="1">
        <f>'[8]Prof (MC)'!$C$4</f>
        <v>0.27857137503716356</v>
      </c>
      <c r="W9" s="1">
        <f>'[8]Prof (MC)'!$W$88</f>
        <v>6.5548548673820402E-8</v>
      </c>
      <c r="X9" s="1">
        <f>'[8]Prof (MC)'!$Z$88</f>
        <v>1.1207528985046016</v>
      </c>
    </row>
    <row r="10" spans="1:24" x14ac:dyDescent="0.2">
      <c r="A10" t="s">
        <v>26</v>
      </c>
      <c r="B10" t="s">
        <v>434</v>
      </c>
      <c r="C10">
        <v>1900</v>
      </c>
      <c r="E10" s="1">
        <f>[9]All!B$9</f>
        <v>10.275752000000001</v>
      </c>
      <c r="F10" s="1">
        <f>[9]All!C$9</f>
        <v>7.4697044000000004</v>
      </c>
      <c r="G10" s="1">
        <f>[9]All!D$9</f>
        <v>7.2984526531975771</v>
      </c>
      <c r="H10" s="1">
        <f>[9]All!E$9</f>
        <v>7.9453768</v>
      </c>
      <c r="I10" s="1">
        <f>[9]All!F$9</f>
        <v>7.7299666</v>
      </c>
      <c r="J10" s="1">
        <f>[9]All!G$9</f>
        <v>9.7629607625518489</v>
      </c>
      <c r="K10" s="1">
        <f>[9]All!H$9</f>
        <v>9.5366577597319981</v>
      </c>
      <c r="L10" s="1">
        <f>[9]All!I$9</f>
        <v>8.7760025854259087</v>
      </c>
      <c r="M10" s="1">
        <f>[9]All!J$9</f>
        <v>7.2826036735439468</v>
      </c>
      <c r="N10" s="1">
        <f>[9]All!K$9</f>
        <v>8.5941361000000001</v>
      </c>
      <c r="O10" s="1">
        <f>[9]All!L$9</f>
        <v>8.4059122731276243</v>
      </c>
      <c r="Q10" s="1">
        <f>[9]All!N$9</f>
        <v>8.4304932000000008</v>
      </c>
      <c r="R10" s="1">
        <f>[9]All!O$9</f>
        <v>8.461593237052627</v>
      </c>
      <c r="S10" s="1">
        <f>[9]All!P$9</f>
        <v>8.4059122731276243</v>
      </c>
      <c r="U10" s="1">
        <f>'[9]Prof (MC)'!$B$4</f>
        <v>8.448005658183579</v>
      </c>
      <c r="V10" s="1">
        <f>'[9]Prof (MC)'!$C$4</f>
        <v>8.3445947211226272</v>
      </c>
      <c r="W10" s="1">
        <f>'[9]Prof (MC)'!$W$160</f>
        <v>6.3065859599983156</v>
      </c>
      <c r="X10" s="1">
        <f>'[9]Prof (MC)'!$Z$160</f>
        <v>10.017630361816725</v>
      </c>
    </row>
    <row r="11" spans="1:24" x14ac:dyDescent="0.2">
      <c r="A11" t="s">
        <v>27</v>
      </c>
      <c r="B11" t="s">
        <v>435</v>
      </c>
      <c r="C11">
        <v>1900</v>
      </c>
      <c r="E11" s="1">
        <f>[10]All!B$9</f>
        <v>4.5497382000000002</v>
      </c>
      <c r="F11" s="1">
        <f>[10]All!C$9</f>
        <v>3.6911489</v>
      </c>
      <c r="G11" s="1">
        <f>[10]All!D$9</f>
        <v>3.0535054000000001</v>
      </c>
      <c r="H11" s="1">
        <f>[10]All!E$9</f>
        <v>2.4027283981816359</v>
      </c>
      <c r="I11" s="1">
        <f>[10]All!F$9</f>
        <v>2.4512645904369066</v>
      </c>
      <c r="J11" s="1">
        <f>[10]All!G$9</f>
        <v>2.3841337</v>
      </c>
      <c r="K11" s="1">
        <f>[10]All!H$9</f>
        <v>2.2820128999999998</v>
      </c>
      <c r="L11" s="1">
        <f>[10]All!I$9</f>
        <v>3.0344423096583615</v>
      </c>
      <c r="M11" s="1">
        <f>[10]All!J$9</f>
        <v>3.0845932293925737</v>
      </c>
      <c r="N11" s="1">
        <f>[10]All!K$9</f>
        <v>3.1909508999999998</v>
      </c>
      <c r="O11" s="1">
        <f>[10]All!L$9</f>
        <v>3.0917137314904064</v>
      </c>
      <c r="Q11" s="1">
        <f>[10]All!N$9</f>
        <v>3.0045171000000002</v>
      </c>
      <c r="R11" s="1">
        <f>[10]All!O$9</f>
        <v>3.0196574781054437</v>
      </c>
      <c r="S11" s="1">
        <f>[10]All!P$9</f>
        <v>3.0535054000000001</v>
      </c>
      <c r="U11" s="1">
        <f>'[10]Prof (MC)'!$B$4</f>
        <v>3.0026585948047249</v>
      </c>
      <c r="V11" s="1">
        <f>'[10]Prof (MC)'!$C$4</f>
        <v>2.994292509486812</v>
      </c>
      <c r="W11" s="1">
        <f>'[10]Prof (MC)'!$W$96</f>
        <v>2.2152109376394411</v>
      </c>
      <c r="X11" s="1">
        <f>'[10]Prof (MC)'!$Z$96</f>
        <v>3.9221252790301713</v>
      </c>
    </row>
    <row r="12" spans="1:24" x14ac:dyDescent="0.2">
      <c r="A12" t="s">
        <v>28</v>
      </c>
      <c r="B12" t="s">
        <v>435</v>
      </c>
      <c r="C12">
        <v>1900</v>
      </c>
      <c r="E12" s="1">
        <f>[11]All!B$9</f>
        <v>6.1237808880963298</v>
      </c>
      <c r="F12" s="1">
        <f>[11]All!C$9</f>
        <v>2.3150857</v>
      </c>
      <c r="G12" s="1">
        <f>[11]All!D$9</f>
        <v>2.4154045292026116</v>
      </c>
      <c r="H12" s="1">
        <f>[11]All!E$9</f>
        <v>3.5142561540402486</v>
      </c>
      <c r="I12" s="1">
        <f>[11]All!F$9</f>
        <v>1.1437780969639122</v>
      </c>
      <c r="J12" s="1">
        <f>[11]All!G$9</f>
        <v>1.7687634000000001</v>
      </c>
      <c r="K12" s="1">
        <f>[11]All!H$9</f>
        <v>0.18816801</v>
      </c>
      <c r="L12" s="1">
        <f>[11]All!I$9</f>
        <v>0.40968044999999997</v>
      </c>
      <c r="M12" s="1">
        <f>[11]All!J$9</f>
        <v>2.2898113733993517</v>
      </c>
      <c r="N12" s="1">
        <f>[11]All!K$9</f>
        <v>3.0726744725882154</v>
      </c>
      <c r="O12" s="1">
        <f>[11]All!L$9</f>
        <v>2.0836447702386462</v>
      </c>
      <c r="Q12" s="1">
        <f>[11]All!N$9</f>
        <v>2.5281905724761873</v>
      </c>
      <c r="R12" s="1">
        <f>[11]All!O$9</f>
        <v>2.302277076775392</v>
      </c>
      <c r="S12" s="1">
        <f>[11]All!P$9</f>
        <v>2.2898113733993517</v>
      </c>
      <c r="U12" s="1">
        <f>'[11]Prof (MC)'!$B$4</f>
        <v>2.2891279661786337</v>
      </c>
      <c r="V12" s="1">
        <f>'[11]Prof (MC)'!$C$4</f>
        <v>2.4229141712213593</v>
      </c>
      <c r="W12" s="1">
        <f>'[11]Prof (MC)'!$W$82</f>
        <v>0.20946500703188967</v>
      </c>
      <c r="X12" s="1">
        <f>'[11]Prof (MC)'!$Z$82</f>
        <v>6.9691805355516996</v>
      </c>
    </row>
    <row r="13" spans="1:24" x14ac:dyDescent="0.2">
      <c r="A13" t="s">
        <v>29</v>
      </c>
      <c r="B13" t="s">
        <v>433</v>
      </c>
      <c r="C13">
        <v>1900</v>
      </c>
      <c r="E13" s="1">
        <f>[12]All!B$9</f>
        <v>0.26063368061439379</v>
      </c>
      <c r="F13" s="1">
        <f>[12]All!C$9</f>
        <v>9.0046113999999997E-2</v>
      </c>
      <c r="G13" s="1">
        <f>[12]All!D$9</f>
        <v>0.73673418236669042</v>
      </c>
      <c r="H13" s="1">
        <f>[12]All!E$9</f>
        <v>0.51733794649219045</v>
      </c>
      <c r="I13" s="1">
        <f>[12]All!F$9</f>
        <v>0.25008432176392942</v>
      </c>
      <c r="J13" s="1">
        <f>[12]All!G$9</f>
        <v>0.23674158071106285</v>
      </c>
      <c r="K13" s="1">
        <f>[12]All!H$9</f>
        <v>0.88595347788314294</v>
      </c>
      <c r="L13" s="1">
        <f>[12]All!I$9</f>
        <v>0.25537069968825987</v>
      </c>
      <c r="M13" s="1">
        <f>[12]All!J$9</f>
        <v>0.2230837955299344</v>
      </c>
      <c r="N13" s="1">
        <f>[12]All!K$9</f>
        <v>0.72822122088625052</v>
      </c>
      <c r="O13" s="1">
        <f>[12]All!L$9</f>
        <v>2.4019148445106851E-2</v>
      </c>
      <c r="Q13" s="1">
        <f>[12]All!N$9</f>
        <v>0.26136826700237192</v>
      </c>
      <c r="R13" s="1">
        <f>[12]All!O$9</f>
        <v>0.38256601530736012</v>
      </c>
      <c r="S13" s="1">
        <f>[12]All!P$9</f>
        <v>0.25537069968825987</v>
      </c>
      <c r="U13" s="1">
        <f>'[12]Prof (MC)'!$B$4</f>
        <v>0.2533974699337882</v>
      </c>
      <c r="V13" s="1">
        <f>'[12]Prof (MC)'!$C$4</f>
        <v>0.32522525198609342</v>
      </c>
      <c r="W13" s="1">
        <f>'[12]Prof (MC)'!$W$78</f>
        <v>7.2056237354925161E-6</v>
      </c>
      <c r="X13" s="1">
        <f>'[12]Prof (MC)'!$Z$78</f>
        <v>0.91306907484015853</v>
      </c>
    </row>
    <row r="14" spans="1:24" x14ac:dyDescent="0.2">
      <c r="A14" t="s">
        <v>30</v>
      </c>
      <c r="B14" t="s">
        <v>434</v>
      </c>
      <c r="C14">
        <v>2050</v>
      </c>
      <c r="E14" s="1">
        <f>[13]All!B$9</f>
        <v>4.8374293287368246</v>
      </c>
      <c r="F14" s="1">
        <f>[13]All!C$9</f>
        <v>4.1714999880506518</v>
      </c>
      <c r="G14" s="1">
        <f>[13]All!D$9</f>
        <v>7.7562020630472439</v>
      </c>
      <c r="H14" s="1">
        <f>[13]All!E$9</f>
        <v>1.7542071811880398</v>
      </c>
      <c r="I14" s="1">
        <f>[13]All!F$9</f>
        <v>5.4544726650432942</v>
      </c>
      <c r="J14" s="1">
        <f>[13]All!G$9</f>
        <v>3.2004289999999998E-2</v>
      </c>
      <c r="K14" s="1">
        <f>[13]All!H$9</f>
        <v>4.3072659610746715</v>
      </c>
      <c r="L14" s="1">
        <f>[13]All!I$9</f>
        <v>6.8617612844174252</v>
      </c>
      <c r="M14" s="1">
        <f>[13]All!J$9</f>
        <v>2.4972000434238226</v>
      </c>
      <c r="N14" s="1">
        <f>[13]All!K$9</f>
        <v>3.2431836640266742</v>
      </c>
      <c r="O14" s="1">
        <f>[13]All!L$9</f>
        <v>4.012668272339452</v>
      </c>
      <c r="Q14" s="1">
        <f>[13]All!N$9</f>
        <v>4.363170485968956</v>
      </c>
      <c r="R14" s="1">
        <f>[13]All!O$9</f>
        <v>4.0843540673952825</v>
      </c>
      <c r="S14" s="1">
        <f>[13]All!P$9</f>
        <v>4.1714999880506518</v>
      </c>
      <c r="U14" s="1">
        <f>'[13]Prof (MC)'!$B$4</f>
        <v>3.8299199842692828</v>
      </c>
      <c r="V14" s="1">
        <f>'[13]Prof (MC)'!$C$4</f>
        <v>4.0835524929663967</v>
      </c>
      <c r="W14" s="1">
        <f>'[13]Prof (MC)'!$W$92</f>
        <v>0.20218756114814862</v>
      </c>
      <c r="X14" s="1">
        <f>'[13]Prof (MC)'!$Z$92</f>
        <v>11.833164959916704</v>
      </c>
    </row>
    <row r="15" spans="1:24" x14ac:dyDescent="0.2">
      <c r="A15" t="s">
        <v>31</v>
      </c>
      <c r="B15" t="s">
        <v>435</v>
      </c>
      <c r="C15">
        <v>2050</v>
      </c>
      <c r="E15" s="1">
        <f>[14]All!B$9</f>
        <v>4.1820404166774452</v>
      </c>
      <c r="F15" s="1">
        <f>[14]All!C$9</f>
        <v>5.3030490288131729</v>
      </c>
      <c r="G15" s="1">
        <f>[14]All!D$9</f>
        <v>3.3633704548601306</v>
      </c>
      <c r="H15" s="1">
        <f>[14]All!E$9</f>
        <v>4.1599949418457287</v>
      </c>
      <c r="I15" s="1">
        <f>[14]All!F$9</f>
        <v>3.5700059589084514</v>
      </c>
      <c r="J15" s="1">
        <f>[14]All!G$9</f>
        <v>3.7744575289187785</v>
      </c>
      <c r="K15" s="1">
        <f>[14]All!H$9</f>
        <v>2.5386180391309749</v>
      </c>
      <c r="L15" s="1">
        <f>[14]All!I$9</f>
        <v>3.8795835157645078</v>
      </c>
      <c r="M15" s="1">
        <f>[14]All!J$9</f>
        <v>3.7839841964740937</v>
      </c>
      <c r="N15" s="1">
        <f>[14]All!K$9</f>
        <v>4.8009476549427124</v>
      </c>
      <c r="O15" s="1">
        <f>[14]All!L$9</f>
        <v>4.045162701979959</v>
      </c>
      <c r="Q15" s="1">
        <f>[14]All!N$9</f>
        <v>3.9339173072808986</v>
      </c>
      <c r="R15" s="1">
        <f>[14]All!O$9</f>
        <v>3.9455649489378142</v>
      </c>
      <c r="S15" s="1">
        <f>[14]All!P$9</f>
        <v>3.8795835157645078</v>
      </c>
      <c r="U15" s="1">
        <f>'[14]Prof (MC)'!$B$4</f>
        <v>3.9381366999999998</v>
      </c>
      <c r="V15" s="1">
        <f>'[14]Prof (MC)'!$C$4</f>
        <v>3.9780423236067288</v>
      </c>
      <c r="W15" s="1">
        <f>'[14]Prof (MC)'!$W$90</f>
        <v>2.5058788306360182</v>
      </c>
      <c r="X15" s="1">
        <f>'[14]Prof (MC)'!$Z$90</f>
        <v>5.369291491108104</v>
      </c>
    </row>
    <row r="16" spans="1:24" x14ac:dyDescent="0.2">
      <c r="A16" t="s">
        <v>32</v>
      </c>
      <c r="B16" t="s">
        <v>435</v>
      </c>
      <c r="C16">
        <v>2050</v>
      </c>
      <c r="E16" s="1">
        <f>[15]All!B$9</f>
        <v>3.9655491224313288</v>
      </c>
      <c r="F16" s="1">
        <f>[15]All!C$9</f>
        <v>4.5020087032346483</v>
      </c>
      <c r="G16" s="1">
        <f>[15]All!D$9</f>
        <v>4.5733501731542487</v>
      </c>
      <c r="H16" s="1">
        <f>[15]All!E$9</f>
        <v>5.105974200810742</v>
      </c>
      <c r="I16" s="1">
        <f>[15]All!F$9</f>
        <v>4.8107497815444793</v>
      </c>
      <c r="J16" s="1">
        <f>[15]All!G$9</f>
        <v>3.5669327463643898</v>
      </c>
      <c r="K16" s="1">
        <f>[15]All!H$9</f>
        <v>3.7156625239247303</v>
      </c>
      <c r="L16" s="1">
        <f>[15]All!I$9</f>
        <v>3.9204529667624</v>
      </c>
      <c r="M16" s="1">
        <f>[15]All!J$9</f>
        <v>4.2353045095737185</v>
      </c>
      <c r="N16" s="1">
        <f>[15]All!K$9</f>
        <v>3.7167451130194724</v>
      </c>
      <c r="O16" s="1">
        <f>[15]All!L$9</f>
        <v>3.7740819744670264</v>
      </c>
      <c r="Q16" s="1">
        <f>[15]All!N$9</f>
        <v>4.1785844917406703</v>
      </c>
      <c r="R16" s="1">
        <f>[15]All!O$9</f>
        <v>4.1715283468442896</v>
      </c>
      <c r="S16" s="1">
        <f>[15]All!P$9</f>
        <v>3.9655491224313288</v>
      </c>
      <c r="U16" s="1">
        <f>'[15]Prof (MC)'!$B$4</f>
        <v>4.1556442250407981</v>
      </c>
      <c r="V16" s="1">
        <f>'[15]Prof (MC)'!$C$4</f>
        <v>4.1626123441096272</v>
      </c>
      <c r="W16" s="1">
        <f>'[15]Prof (MC)'!$W$104</f>
        <v>3.3739271302298626</v>
      </c>
      <c r="X16" s="1">
        <f>'[15]Prof (MC)'!$Z$104</f>
        <v>4.8779016943434881</v>
      </c>
    </row>
    <row r="17" spans="1:24" x14ac:dyDescent="0.2">
      <c r="A17" t="s">
        <v>33</v>
      </c>
      <c r="B17" t="s">
        <v>433</v>
      </c>
      <c r="C17">
        <v>2050</v>
      </c>
      <c r="E17" s="1">
        <f>[16]All!B$9</f>
        <v>0.30796858995413984</v>
      </c>
      <c r="F17" s="1">
        <f>[16]All!C$9</f>
        <v>0.73350045088816807</v>
      </c>
      <c r="G17" s="1">
        <f>[16]All!D$9</f>
        <v>0.3095349365618083</v>
      </c>
      <c r="H17" s="1">
        <f>[16]All!E$9</f>
        <v>0.30238660557585489</v>
      </c>
      <c r="I17" s="1">
        <f>[16]All!F$9</f>
        <v>0.11948224987629763</v>
      </c>
      <c r="J17" s="1">
        <f>[16]All!G$9</f>
        <v>0.18069973256409821</v>
      </c>
      <c r="K17" s="1">
        <f>[16]All!H$9</f>
        <v>0.25087491257109384</v>
      </c>
      <c r="L17" s="1">
        <f>[16]All!I$9</f>
        <v>0.62618868732708011</v>
      </c>
      <c r="M17" s="1">
        <f>[16]All!J$9</f>
        <v>0.18175715102610074</v>
      </c>
      <c r="N17" s="1">
        <f>[16]All!K$9</f>
        <v>5.2739451508497757E-2</v>
      </c>
      <c r="O17" s="1">
        <f>[16]All!L$9</f>
        <v>8.5723542E-2</v>
      </c>
      <c r="Q17" s="1">
        <f>[16]All!N$9</f>
        <v>0.31515657138498115</v>
      </c>
      <c r="R17" s="1">
        <f>[16]All!O$9</f>
        <v>0.28644148271392172</v>
      </c>
      <c r="S17" s="1">
        <f>[16]All!P$9</f>
        <v>0.25087491257109384</v>
      </c>
      <c r="U17" s="1">
        <f>'[16]Prof (MC)'!$B$4</f>
        <v>0.27820670109429158</v>
      </c>
      <c r="V17" s="1">
        <f>'[16]Prof (MC)'!$C$4</f>
        <v>0.2945769725450374</v>
      </c>
      <c r="W17" s="1">
        <f>'[16]Prof (MC)'!$W$96</f>
        <v>2.5839306442726761E-2</v>
      </c>
      <c r="X17" s="1">
        <f>'[16]Prof (MC)'!$Z$96</f>
        <v>0.88964871074860152</v>
      </c>
    </row>
    <row r="18" spans="1:24" x14ac:dyDescent="0.2">
      <c r="A18" t="s">
        <v>34</v>
      </c>
      <c r="B18" t="s">
        <v>434</v>
      </c>
      <c r="C18">
        <v>1800</v>
      </c>
      <c r="E18" s="1">
        <f>[17]All!B$9</f>
        <v>14.399423096491546</v>
      </c>
      <c r="F18" s="1">
        <f>[17]All!C$9</f>
        <v>11.170381820780406</v>
      </c>
      <c r="G18" s="1">
        <f>[17]All!D$9</f>
        <v>10.648741000268192</v>
      </c>
      <c r="H18" s="1">
        <f>[17]All!E$9</f>
        <v>10.027664451119694</v>
      </c>
      <c r="I18" s="1">
        <f>[17]All!F$9</f>
        <v>3.4465235481198828</v>
      </c>
      <c r="J18" s="1">
        <f>[17]All!G$9</f>
        <v>13.835849989811967</v>
      </c>
      <c r="K18" s="1">
        <f>[17]All!H$9</f>
        <v>8.3434127450036843</v>
      </c>
      <c r="L18" s="1">
        <f>[17]All!I$9</f>
        <v>13.22751542712637</v>
      </c>
      <c r="M18" s="1">
        <f>[17]All!J$9</f>
        <v>15.955421778633047</v>
      </c>
      <c r="N18" s="1">
        <f>[17]All!K$9</f>
        <v>18.680063737423094</v>
      </c>
      <c r="O18" s="1">
        <f>[17]All!L$9</f>
        <v>16.944261890854868</v>
      </c>
      <c r="Q18" s="1">
        <f>[17]All!N$9</f>
        <v>12.292770325456891</v>
      </c>
      <c r="R18" s="1">
        <f>[17]All!O$9</f>
        <v>12.425387225966615</v>
      </c>
      <c r="S18" s="1">
        <f>[17]All!P$9</f>
        <v>13.22751542712637</v>
      </c>
      <c r="U18" s="1">
        <f>'[17]Prof (MC)'!$B$4</f>
        <v>12.264703111967446</v>
      </c>
      <c r="V18" s="1">
        <f>'[17]Prof (MC)'!$C$4</f>
        <v>12.543983141398828</v>
      </c>
      <c r="W18" s="1">
        <f>'[17]Prof (MC)'!$W$154</f>
        <v>4.8025447163006678</v>
      </c>
      <c r="X18" s="1">
        <f>'[17]Prof (MC)'!$Z$154</f>
        <v>19.94246840937377</v>
      </c>
    </row>
    <row r="19" spans="1:24" x14ac:dyDescent="0.2">
      <c r="A19" t="s">
        <v>35</v>
      </c>
      <c r="B19" t="s">
        <v>435</v>
      </c>
      <c r="C19">
        <v>1800</v>
      </c>
      <c r="E19" s="1">
        <f>[18]All!B$9</f>
        <v>4.4848754680554404</v>
      </c>
      <c r="F19" s="1">
        <f>[18]All!C$9</f>
        <v>6.286948151715845</v>
      </c>
      <c r="G19" s="1">
        <f>[18]All!D$9</f>
        <v>4.4818187798328033</v>
      </c>
      <c r="H19" s="1">
        <f>[18]All!E$9</f>
        <v>3.9364241848388404</v>
      </c>
      <c r="I19" s="1">
        <f>[18]All!F$9</f>
        <v>4.1694749344178845</v>
      </c>
      <c r="J19" s="1">
        <f>[18]All!G$9</f>
        <v>6.6663190211606764</v>
      </c>
      <c r="K19" s="1">
        <f>[18]All!H$9</f>
        <v>4.8718300350789381</v>
      </c>
      <c r="L19" s="1">
        <f>[18]All!I$9</f>
        <v>4.5817350728609654</v>
      </c>
      <c r="M19" s="1">
        <f>[18]All!J$9</f>
        <v>4.4990346275926401</v>
      </c>
      <c r="N19" s="1">
        <f>[18]All!K$9</f>
        <v>4.8606945750659856</v>
      </c>
      <c r="O19" s="1">
        <f>[18]All!L$9</f>
        <v>4.6111220452863284</v>
      </c>
      <c r="Q19" s="1">
        <f>[18]All!N$9</f>
        <v>4.7863152552506856</v>
      </c>
      <c r="R19" s="1">
        <f>[18]All!O$9</f>
        <v>4.8591160814460315</v>
      </c>
      <c r="S19" s="1">
        <f>[18]All!P$9</f>
        <v>4.5817350728609654</v>
      </c>
      <c r="U19" s="1">
        <f>'[18]Prof (MC)'!$B$4</f>
        <v>4.6678806671082906</v>
      </c>
      <c r="V19" s="1">
        <f>'[18]Prof (MC)'!$C$4</f>
        <v>4.7488536583659888</v>
      </c>
      <c r="W19" s="1">
        <f>'[18]Prof (MC)'!$W$92</f>
        <v>3.2234525564223979</v>
      </c>
      <c r="X19" s="1">
        <f>'[18]Prof (MC)'!$Z$92</f>
        <v>6.5415888826141941</v>
      </c>
    </row>
    <row r="20" spans="1:24" x14ac:dyDescent="0.2">
      <c r="A20" t="s">
        <v>36</v>
      </c>
      <c r="B20" t="s">
        <v>435</v>
      </c>
      <c r="C20">
        <v>1800</v>
      </c>
      <c r="E20" s="1">
        <f>[19]All!B$9</f>
        <v>2.2536273140252812</v>
      </c>
      <c r="F20" s="1">
        <f>[19]All!C$9</f>
        <v>2.8208216982363346</v>
      </c>
      <c r="G20" s="1">
        <f>[19]All!D$9</f>
        <v>3.6828930784714666</v>
      </c>
      <c r="H20" s="1">
        <f>[19]All!E$9</f>
        <v>2.3413671534546268</v>
      </c>
      <c r="I20" s="1">
        <f>[19]All!F$9</f>
        <v>3.7727058562132672</v>
      </c>
      <c r="J20" s="1">
        <f>[19]All!G$9</f>
        <v>3.9409188465015617</v>
      </c>
      <c r="K20" s="1">
        <f>[19]All!H$9</f>
        <v>5.1339924926690541</v>
      </c>
      <c r="L20" s="1">
        <f>[19]All!I$9</f>
        <v>3.4480032312909756</v>
      </c>
      <c r="M20" s="1">
        <f>[19]All!J$9</f>
        <v>4.9152721948346496</v>
      </c>
      <c r="N20" s="1">
        <f>[19]All!K$9</f>
        <v>3.4012038015135126</v>
      </c>
      <c r="O20" s="1">
        <f>[19]All!L$9</f>
        <v>2.0918218281520722</v>
      </c>
      <c r="Q20" s="1">
        <f>[19]All!N$9</f>
        <v>3.3312602701476002</v>
      </c>
      <c r="R20" s="1">
        <f>[19]All!O$9</f>
        <v>3.4366024995784361</v>
      </c>
      <c r="S20" s="1">
        <f>[19]All!P$9</f>
        <v>3.4480032312909756</v>
      </c>
      <c r="U20" s="1">
        <f>'[19]Prof (MC)'!$B$4</f>
        <v>3.055640094339394</v>
      </c>
      <c r="V20" s="1">
        <f>'[19]Prof (MC)'!$C$4</f>
        <v>3.0216962920386039</v>
      </c>
      <c r="W20" s="1">
        <f>'[19]Prof (MC)'!$W$84</f>
        <v>0.37162649866974889</v>
      </c>
      <c r="X20" s="1">
        <f>'[19]Prof (MC)'!$Z$84</f>
        <v>6.0445200374505808</v>
      </c>
    </row>
    <row r="21" spans="1:24" x14ac:dyDescent="0.2">
      <c r="A21" t="s">
        <v>37</v>
      </c>
      <c r="B21" t="s">
        <v>433</v>
      </c>
      <c r="C21">
        <v>1800</v>
      </c>
      <c r="E21" s="1">
        <f>[20]All!B$9</f>
        <v>6.3245719227889192E-3</v>
      </c>
      <c r="F21" s="1">
        <f>[20]All!C$9</f>
        <v>6.1370530258591904E-2</v>
      </c>
      <c r="G21" s="1">
        <f>[20]All!D$9</f>
        <v>0.20566638732454404</v>
      </c>
      <c r="H21" s="1">
        <f>[20]All!E$9</f>
        <v>0.51481292498086129</v>
      </c>
      <c r="I21" s="1">
        <f>[20]All!F$9</f>
        <v>4.3988023000000001E-2</v>
      </c>
      <c r="J21" s="1">
        <f>[20]All!G$9</f>
        <v>0.49047494186255497</v>
      </c>
      <c r="K21" s="1">
        <f>[20]All!H$9</f>
        <v>0.24170244337015773</v>
      </c>
      <c r="L21" s="1">
        <f>[20]All!I$9</f>
        <v>6.6365426412417286E-3</v>
      </c>
      <c r="M21" s="1">
        <f>[20]All!J$9</f>
        <v>0.22402350628124854</v>
      </c>
      <c r="N21" s="1">
        <f>[20]All!K$9</f>
        <v>2.3525396000000001E-2</v>
      </c>
      <c r="O21" s="1">
        <f>[20]All!L$9</f>
        <v>0.21600812418267418</v>
      </c>
      <c r="Q21" s="1">
        <f>[20]All!N$9</f>
        <v>0.20097086226645267</v>
      </c>
      <c r="R21" s="1">
        <f>[20]All!O$9</f>
        <v>0.1849575810749694</v>
      </c>
      <c r="S21" s="1">
        <f>[20]All!P$9</f>
        <v>0.20566638732454404</v>
      </c>
      <c r="U21" s="1">
        <f>'[20]Prof (MC)'!$B$4</f>
        <v>0.2196011276127619</v>
      </c>
      <c r="V21" s="1">
        <f>'[20]Prof (MC)'!$C$4</f>
        <v>0.26343569676782469</v>
      </c>
      <c r="W21" s="1">
        <f>'[20]Prof (MC)'!$W$82</f>
        <v>1.4460583046353663E-2</v>
      </c>
      <c r="X21" s="1">
        <f>'[20]Prof (MC)'!$Z$82</f>
        <v>0.70183156593280371</v>
      </c>
    </row>
    <row r="22" spans="1:24" x14ac:dyDescent="0.2">
      <c r="A22" t="s">
        <v>38</v>
      </c>
      <c r="B22" t="s">
        <v>434</v>
      </c>
      <c r="C22">
        <v>1500</v>
      </c>
      <c r="E22" s="1">
        <f>[21]All!B$9</f>
        <v>13.07373168576818</v>
      </c>
      <c r="F22" s="1">
        <f>[21]All!C$9</f>
        <v>11.21828849062778</v>
      </c>
      <c r="G22" s="1">
        <f>[21]All!D$9</f>
        <v>12.069263842104327</v>
      </c>
      <c r="H22" s="1">
        <f>[21]All!E$9</f>
        <v>12.559537366846937</v>
      </c>
      <c r="I22" s="1">
        <f>[21]All!F$9</f>
        <v>11.528313263912933</v>
      </c>
      <c r="J22" s="1">
        <f>[21]All!G$9</f>
        <v>12.329537132903853</v>
      </c>
      <c r="K22" s="1">
        <f>[21]All!H$9</f>
        <v>13.219785748804782</v>
      </c>
      <c r="L22" s="1">
        <f>[21]All!I$9</f>
        <v>10.980253458947356</v>
      </c>
      <c r="M22" s="1">
        <f>[21]All!J$9</f>
        <v>12.22437408377678</v>
      </c>
      <c r="N22" s="1">
        <f>[21]All!K$9</f>
        <v>11.3166646904881</v>
      </c>
      <c r="O22" s="1">
        <f>[21]All!L$9</f>
        <v>11.008481755162595</v>
      </c>
      <c r="Q22" s="1">
        <f>[21]All!N$9</f>
        <v>11.923159402653114</v>
      </c>
      <c r="R22" s="1">
        <f>[21]All!O$9</f>
        <v>11.957111956303965</v>
      </c>
      <c r="S22" s="1">
        <f>[21]All!P$9</f>
        <v>12.069263842104327</v>
      </c>
      <c r="U22" s="1">
        <f>'[21]Prof (MC)'!$B$4</f>
        <v>11.836290448747427</v>
      </c>
      <c r="V22" s="1">
        <f>'[21]Prof (MC)'!$C$4</f>
        <v>11.919315291396135</v>
      </c>
      <c r="W22" s="1">
        <f>'[21]Prof (MC)'!$W$146</f>
        <v>10.407152206833748</v>
      </c>
      <c r="X22" s="1">
        <f>'[21]Prof (MC)'!$Z$146</f>
        <v>13.584702284033646</v>
      </c>
    </row>
    <row r="23" spans="1:24" x14ac:dyDescent="0.2">
      <c r="A23" t="s">
        <v>39</v>
      </c>
      <c r="B23" t="s">
        <v>435</v>
      </c>
      <c r="C23">
        <v>1500</v>
      </c>
      <c r="E23" s="1">
        <f>[22]All!B$9</f>
        <v>3.9835218359661662</v>
      </c>
      <c r="F23" s="1">
        <f>[22]All!C$9</f>
        <v>2.9637007357937866</v>
      </c>
      <c r="G23" s="1">
        <f>[22]All!D$9</f>
        <v>2.3247657421559915</v>
      </c>
      <c r="H23" s="1">
        <f>[22]All!E$9</f>
        <v>1.6955778881024248</v>
      </c>
      <c r="I23" s="1">
        <f>[22]All!F$9</f>
        <v>3.8802451766480544</v>
      </c>
      <c r="J23" s="1">
        <f>[22]All!G$9</f>
        <v>3.0119272241801465</v>
      </c>
      <c r="K23" s="1">
        <f>[22]All!H$9</f>
        <v>3.4952630835510186</v>
      </c>
      <c r="L23" s="1">
        <f>[22]All!I$9</f>
        <v>3.433489880333441</v>
      </c>
      <c r="M23" s="1">
        <f>[22]All!J$9</f>
        <v>2.1683936809753832</v>
      </c>
      <c r="N23" s="1">
        <f>[22]All!K$9</f>
        <v>3.211164100264706</v>
      </c>
      <c r="O23" s="1">
        <f>[22]All!L$9</f>
        <v>2.2524545218242387</v>
      </c>
      <c r="Q23" s="1">
        <f>[22]All!N$9</f>
        <v>3.1431329567494286</v>
      </c>
      <c r="R23" s="1">
        <f>[22]All!O$9</f>
        <v>2.9473185336177603</v>
      </c>
      <c r="S23" s="1">
        <f>[22]All!P$9</f>
        <v>3.0119272241801465</v>
      </c>
      <c r="U23" s="1">
        <f>'[22]Prof (MC)'!$B$4</f>
        <v>2.9005893745090532</v>
      </c>
      <c r="V23" s="1">
        <f>'[22]Prof (MC)'!$C$4</f>
        <v>2.7905927902129544</v>
      </c>
      <c r="W23" s="1">
        <f>'[22]Prof (MC)'!$W$80</f>
        <v>0.34043309896359014</v>
      </c>
      <c r="X23" s="1">
        <f>'[22]Prof (MC)'!$Z$80</f>
        <v>5.0623768659828787</v>
      </c>
    </row>
    <row r="24" spans="1:24" x14ac:dyDescent="0.2">
      <c r="A24" t="s">
        <v>40</v>
      </c>
      <c r="B24" t="s">
        <v>435</v>
      </c>
      <c r="C24">
        <v>1500</v>
      </c>
      <c r="E24" s="1">
        <f>[23]All!B$9</f>
        <v>2.1235795222185039</v>
      </c>
      <c r="F24" s="1">
        <f>[23]All!C$9</f>
        <v>2.2181926657819568</v>
      </c>
      <c r="G24" s="1">
        <f>[23]All!D$9</f>
        <v>3.7175932888119365</v>
      </c>
      <c r="H24" s="1">
        <f>[23]All!E$9</f>
        <v>2.2469858176472819</v>
      </c>
      <c r="I24" s="1">
        <f>[23]All!F$9</f>
        <v>3.0976902981254217</v>
      </c>
      <c r="J24" s="1">
        <f>[23]All!G$9</f>
        <v>2.0072009008022857</v>
      </c>
      <c r="K24" s="1">
        <f>[23]All!H$9</f>
        <v>3.0747272998026438</v>
      </c>
      <c r="L24" s="1">
        <f>[23]All!I$9</f>
        <v>2.8964488955947849</v>
      </c>
      <c r="M24" s="1">
        <f>[23]All!J$9</f>
        <v>3.3821229774943147</v>
      </c>
      <c r="N24" s="1">
        <f>[23]All!K$9</f>
        <v>1.7129422568244572</v>
      </c>
      <c r="O24" s="1">
        <f>[23]All!L$9</f>
        <v>2.3663269573760868</v>
      </c>
      <c r="Q24" s="1">
        <f>[23]All!N$9</f>
        <v>2.607438356701878</v>
      </c>
      <c r="R24" s="1">
        <f>[23]All!O$9</f>
        <v>2.6221646254981521</v>
      </c>
      <c r="S24" s="1">
        <f>[23]All!P$9</f>
        <v>2.3663269573760868</v>
      </c>
      <c r="U24" s="1">
        <f>'[23]Prof (MC)'!$B$4</f>
        <v>2.5385734325253519</v>
      </c>
      <c r="V24" s="1">
        <f>'[23]Prof (MC)'!$C$4</f>
        <v>2.5589014871300062</v>
      </c>
      <c r="W24" s="1">
        <f>'[23]Prof (MC)'!$W$112</f>
        <v>1.4743071392367444</v>
      </c>
      <c r="X24" s="1">
        <f>'[23]Prof (MC)'!$Z$112</f>
        <v>3.8121287661485055</v>
      </c>
    </row>
    <row r="25" spans="1:24" x14ac:dyDescent="0.2">
      <c r="A25" t="s">
        <v>41</v>
      </c>
      <c r="B25" t="s">
        <v>433</v>
      </c>
      <c r="C25">
        <v>1500</v>
      </c>
      <c r="E25" s="1">
        <f>[24]All!B$9</f>
        <v>1.785073652474189</v>
      </c>
      <c r="F25" s="1">
        <f>[24]All!C$9</f>
        <v>2.2781183096456585</v>
      </c>
      <c r="G25" s="1">
        <f>[24]All!D$9</f>
        <v>2.2098694305620379</v>
      </c>
      <c r="H25" s="1">
        <f>[24]All!E$9</f>
        <v>2.1349559964684941</v>
      </c>
      <c r="I25" s="1">
        <f>[24]All!F$9</f>
        <v>1.9907137652096576</v>
      </c>
      <c r="J25" s="1">
        <f>[24]All!G$9</f>
        <v>1.9544814310057856</v>
      </c>
      <c r="K25" s="1">
        <f>[24]All!H$9</f>
        <v>2.0259071961775672</v>
      </c>
      <c r="L25" s="1">
        <f>[24]All!I$9</f>
        <v>1.9142962283664497</v>
      </c>
      <c r="M25" s="1">
        <f>[24]All!J$9</f>
        <v>2.22134949077777</v>
      </c>
      <c r="N25" s="1">
        <f>[24]All!K$9</f>
        <v>1.9906995600112454</v>
      </c>
      <c r="O25" s="1">
        <f>[24]All!L$9</f>
        <v>2.1227941985543648</v>
      </c>
      <c r="Q25" s="1">
        <f>[24]All!N$9</f>
        <v>2.081033791105515</v>
      </c>
      <c r="R25" s="1">
        <f>[24]All!O$9</f>
        <v>2.0571144781139292</v>
      </c>
      <c r="S25" s="1">
        <f>[24]All!P$9</f>
        <v>2.0259071961775672</v>
      </c>
      <c r="U25" s="1">
        <f>'[24]Prof (MC)'!$B$4</f>
        <v>2.0684285344396818</v>
      </c>
      <c r="V25" s="1">
        <f>'[24]Prof (MC)'!$C$4</f>
        <v>2.0535018010559498</v>
      </c>
      <c r="W25" s="1">
        <f>'[24]Prof (MC)'!$W$86</f>
        <v>1.6201294568844804</v>
      </c>
      <c r="X25" s="1">
        <f>'[24]Prof (MC)'!$Z$86</f>
        <v>2.5196730178903302</v>
      </c>
    </row>
    <row r="26" spans="1:24" x14ac:dyDescent="0.2">
      <c r="A26" t="s">
        <v>42</v>
      </c>
      <c r="B26" t="s">
        <v>434</v>
      </c>
      <c r="C26">
        <v>1850</v>
      </c>
      <c r="E26" s="1">
        <f>[25]All!B$9</f>
        <v>11.852371385067631</v>
      </c>
      <c r="F26" s="1">
        <f>[25]All!C$9</f>
        <v>9.8534287965972549</v>
      </c>
      <c r="G26" s="1">
        <f>[25]All!D$9</f>
        <v>12.492650935054252</v>
      </c>
      <c r="H26" s="1">
        <f>[25]All!E$9</f>
        <v>12.079108076228824</v>
      </c>
      <c r="I26" s="1">
        <f>[25]All!F$9</f>
        <v>11.695559241083588</v>
      </c>
      <c r="J26" s="1">
        <f>[25]All!G$9</f>
        <v>11.979523074122355</v>
      </c>
      <c r="K26" s="1">
        <f>[25]All!H$9</f>
        <v>12.654227223915587</v>
      </c>
      <c r="L26" s="1">
        <f>[25]All!I$9</f>
        <v>12.904934605459619</v>
      </c>
      <c r="M26" s="1">
        <f>[25]All!J$9</f>
        <v>12.745621840792861</v>
      </c>
      <c r="N26" s="1">
        <f>[25]All!K$9</f>
        <v>13.491984718147043</v>
      </c>
      <c r="O26" s="1">
        <f>[25]All!L$9</f>
        <v>9.1272245526007563</v>
      </c>
      <c r="Q26" s="1">
        <f>[25]All!N$9</f>
        <v>11.876566662139174</v>
      </c>
      <c r="R26" s="1">
        <f>[25]All!O$9</f>
        <v>11.897875859006342</v>
      </c>
      <c r="S26" s="1">
        <f>[25]All!P$9</f>
        <v>12.079108076228824</v>
      </c>
      <c r="U26" s="1">
        <f>'[25]Prof (MC)'!$B$4</f>
        <v>11.933411335483891</v>
      </c>
      <c r="V26" s="1">
        <f>'[25]Prof (MC)'!$C$4</f>
        <v>12.051426444854592</v>
      </c>
      <c r="W26" s="1">
        <f>'[25]Prof (MC)'!$W$172</f>
        <v>9.8761384159522745</v>
      </c>
      <c r="X26" s="1">
        <f>'[25]Prof (MC)'!$Z$172</f>
        <v>14.743407844022721</v>
      </c>
    </row>
    <row r="27" spans="1:24" x14ac:dyDescent="0.2">
      <c r="A27" t="s">
        <v>43</v>
      </c>
      <c r="B27" t="s">
        <v>435</v>
      </c>
      <c r="C27">
        <v>1850</v>
      </c>
      <c r="E27" s="1">
        <f>[26]All!B$9</f>
        <v>3.4979320728754959</v>
      </c>
      <c r="F27" s="1">
        <f>[26]All!C$9</f>
        <v>3.778869032545487</v>
      </c>
      <c r="G27" s="1">
        <f>[26]All!D$9</f>
        <v>3.9712449347415526</v>
      </c>
      <c r="H27" s="1">
        <f>[26]All!E$9</f>
        <v>2.8430846602204443</v>
      </c>
      <c r="I27" s="1">
        <f>[26]All!F$9</f>
        <v>3.3200302342570001</v>
      </c>
      <c r="J27" s="1">
        <f>[26]All!G$9</f>
        <v>3.5269540443394707</v>
      </c>
      <c r="K27" s="1">
        <f>[26]All!H$9</f>
        <v>3.6296685844711134</v>
      </c>
      <c r="L27" s="1">
        <f>[26]All!I$9</f>
        <v>2.507202705958131</v>
      </c>
      <c r="M27" s="1">
        <f>[26]All!J$9</f>
        <v>2.4670469010743634</v>
      </c>
      <c r="N27" s="1">
        <f>[26]All!K$9</f>
        <v>2.9421285107336423</v>
      </c>
      <c r="O27" s="1">
        <f>[26]All!L$9</f>
        <v>2.8876194928966297</v>
      </c>
      <c r="Q27" s="1">
        <f>[26]All!N$9</f>
        <v>3.2529771069003162</v>
      </c>
      <c r="R27" s="1">
        <f>[26]All!O$9</f>
        <v>3.2156164703739396</v>
      </c>
      <c r="S27" s="1">
        <f>[26]All!P$9</f>
        <v>3.3200302342570001</v>
      </c>
      <c r="U27" s="1">
        <f>'[26]Prof (MC)'!$B$4</f>
        <v>3.3370105206597276</v>
      </c>
      <c r="V27" s="1">
        <f>'[26]Prof (MC)'!$C$4</f>
        <v>3.3369628570215104</v>
      </c>
      <c r="W27" s="1">
        <f>'[26]Prof (MC)'!$W$132</f>
        <v>2.2395247155135132</v>
      </c>
      <c r="X27" s="1">
        <f>'[26]Prof (MC)'!$Z$132</f>
        <v>4.3701121558728806</v>
      </c>
    </row>
    <row r="28" spans="1:24" x14ac:dyDescent="0.2">
      <c r="A28" t="s">
        <v>44</v>
      </c>
      <c r="B28" t="s">
        <v>435</v>
      </c>
      <c r="C28">
        <v>1850</v>
      </c>
      <c r="E28" s="1">
        <f>[27]All!B$9</f>
        <v>2.6018521178823333</v>
      </c>
      <c r="F28" s="1">
        <f>[27]All!C$9</f>
        <v>2.2821034643444515</v>
      </c>
      <c r="G28" s="1">
        <f>[27]All!D$9</f>
        <v>1.8356119941305207</v>
      </c>
      <c r="H28" s="1">
        <f>[27]All!E$9</f>
        <v>2.140850414776752</v>
      </c>
      <c r="I28" s="1">
        <f>[27]All!F$9</f>
        <v>2.5051154592399523</v>
      </c>
      <c r="J28" s="1">
        <f>[27]All!G$9</f>
        <v>2.1457033466414202</v>
      </c>
      <c r="K28" s="1">
        <f>[27]All!H$9</f>
        <v>2.0038518379775727</v>
      </c>
      <c r="L28" s="1">
        <f>[27]All!I$9</f>
        <v>1.8492382068122417</v>
      </c>
      <c r="M28" s="1">
        <f>[27]All!J$9</f>
        <v>2.2000724001814436</v>
      </c>
      <c r="N28" s="1">
        <f>[27]All!K$9</f>
        <v>2.6676055424829186</v>
      </c>
      <c r="O28" s="1">
        <f>[27]All!L$9</f>
        <v>2.2786729967796608</v>
      </c>
      <c r="Q28" s="1">
        <f>[27]All!N$9</f>
        <v>2.2367341765230666</v>
      </c>
      <c r="R28" s="1">
        <f>[27]All!O$9</f>
        <v>2.2282434346590243</v>
      </c>
      <c r="S28" s="1">
        <f>[27]All!P$9</f>
        <v>2.2000724001814436</v>
      </c>
      <c r="U28" s="1">
        <f>'[27]Prof (MC)'!$B$4</f>
        <v>2.2498788983472764</v>
      </c>
      <c r="V28" s="1">
        <f>'[27]Prof (MC)'!$C$4</f>
        <v>2.2192016441642965</v>
      </c>
      <c r="W28" s="1">
        <f>'[27]Prof (MC)'!$W$96</f>
        <v>1.4144140242568344</v>
      </c>
      <c r="X28" s="1">
        <f>'[27]Prof (MC)'!$Z$96</f>
        <v>2.9347209982357754</v>
      </c>
    </row>
    <row r="29" spans="1:24" x14ac:dyDescent="0.2">
      <c r="A29" t="s">
        <v>45</v>
      </c>
      <c r="B29" t="s">
        <v>434</v>
      </c>
      <c r="C29">
        <v>1500</v>
      </c>
      <c r="E29" s="1">
        <f>[28]All!B$9</f>
        <v>14.515845952496237</v>
      </c>
      <c r="F29" s="1">
        <f>[28]All!C$9</f>
        <v>13.904481847528364</v>
      </c>
      <c r="G29" s="1">
        <f>[28]All!D$9</f>
        <v>16.635249221951149</v>
      </c>
      <c r="H29" s="1">
        <f>[28]All!E$9</f>
        <v>17.255575424223924</v>
      </c>
      <c r="I29" s="1">
        <f>[28]All!F$9</f>
        <v>12.746749429787068</v>
      </c>
      <c r="J29" s="1">
        <f>[28]All!G$9</f>
        <v>14.483339026393166</v>
      </c>
      <c r="K29" s="1">
        <f>[28]All!H$9</f>
        <v>14.443135761284685</v>
      </c>
      <c r="L29" s="1">
        <f>[28]All!I$9</f>
        <v>14.771590712488001</v>
      </c>
      <c r="M29" s="1">
        <f>[28]All!J$9</f>
        <v>15.525152563806866</v>
      </c>
      <c r="N29" s="1">
        <f>[28]All!K$9</f>
        <v>13.251784680596403</v>
      </c>
      <c r="O29" s="1">
        <f>[28]All!L$9</f>
        <v>12.409997129268861</v>
      </c>
      <c r="Q29" s="1">
        <f>[28]All!N$9</f>
        <v>14.460299123130092</v>
      </c>
      <c r="R29" s="1">
        <f>[28]All!O$9</f>
        <v>14.540263795438614</v>
      </c>
      <c r="S29" s="1">
        <f>[28]All!P$9</f>
        <v>14.483339026393166</v>
      </c>
      <c r="U29" s="1">
        <f>'[28]Prof (MC)'!$B$4</f>
        <v>14.471226859493406</v>
      </c>
      <c r="V29" s="1">
        <f>'[28]Prof (MC)'!$C$4</f>
        <v>14.552472419481216</v>
      </c>
      <c r="W29" s="1">
        <f>'[28]Prof (MC)'!$W$144</f>
        <v>11.145642324000677</v>
      </c>
      <c r="X29" s="1">
        <f>'[28]Prof (MC)'!$Z$144</f>
        <v>17.80926041221219</v>
      </c>
    </row>
    <row r="30" spans="1:24" x14ac:dyDescent="0.2">
      <c r="A30" t="s">
        <v>46</v>
      </c>
      <c r="B30" t="s">
        <v>435</v>
      </c>
      <c r="C30">
        <v>1500</v>
      </c>
      <c r="E30" s="1">
        <f>[29]All!B$9</f>
        <v>4.337619122212522</v>
      </c>
      <c r="F30" s="1">
        <f>[29]All!C$9</f>
        <v>5.0604677139539778</v>
      </c>
      <c r="G30" s="1">
        <f>[29]All!D$9</f>
        <v>4.4764524088196778</v>
      </c>
      <c r="H30" s="1">
        <f>[29]All!E$9</f>
        <v>4.6241426639742551</v>
      </c>
      <c r="I30" s="1">
        <f>[29]All!F$9</f>
        <v>3.8569315802474704</v>
      </c>
      <c r="J30" s="1">
        <f>[29]All!G$9</f>
        <v>3.6140634579202549</v>
      </c>
      <c r="K30" s="1">
        <f>[29]All!H$9</f>
        <v>5.5772348626054988</v>
      </c>
      <c r="L30" s="1">
        <f>[29]All!I$9</f>
        <v>7.2544625539510763</v>
      </c>
      <c r="M30" s="1">
        <f>[29]All!J$9</f>
        <v>4.4807595537307883</v>
      </c>
      <c r="N30" s="1">
        <f>[29]All!K$9</f>
        <v>5.9809367704774026</v>
      </c>
      <c r="O30" s="1">
        <f>[29]All!L$9</f>
        <v>5.4663278171146326</v>
      </c>
      <c r="Q30" s="1">
        <f>[29]All!N$9</f>
        <v>5.1910197578179265</v>
      </c>
      <c r="R30" s="1">
        <f>[29]All!O$9</f>
        <v>4.975399864091596</v>
      </c>
      <c r="S30" s="1">
        <f>[29]All!P$9</f>
        <v>4.6241426639742551</v>
      </c>
      <c r="U30" s="1">
        <f>'[29]Prof (MC)'!$B$4</f>
        <v>5.1115888854728802</v>
      </c>
      <c r="V30" s="1">
        <f>'[29]Prof (MC)'!$C$4</f>
        <v>5.0569483602055829</v>
      </c>
      <c r="W30" s="1">
        <f>'[29]Prof (MC)'!$W$96</f>
        <v>3.0310337072256375</v>
      </c>
      <c r="X30" s="1">
        <f>'[29]Prof (MC)'!$Z$96</f>
        <v>6.9863570006988258</v>
      </c>
    </row>
    <row r="31" spans="1:24" x14ac:dyDescent="0.2">
      <c r="A31" t="s">
        <v>47</v>
      </c>
      <c r="B31" t="s">
        <v>435</v>
      </c>
      <c r="C31">
        <v>1500</v>
      </c>
      <c r="E31" s="1">
        <f>[30]All!B$9</f>
        <v>4.3218605221279587</v>
      </c>
      <c r="F31" s="1">
        <f>[30]All!C$9</f>
        <v>5.8757315040188498</v>
      </c>
      <c r="G31" s="1">
        <f>[30]All!D$9</f>
        <v>5.2402726380481006</v>
      </c>
      <c r="H31" s="1">
        <f>[30]All!E$9</f>
        <v>3.7131791616862384</v>
      </c>
      <c r="I31" s="1">
        <f>[30]All!F$9</f>
        <v>5.3070458154028461</v>
      </c>
      <c r="J31" s="1">
        <f>[30]All!G$9</f>
        <v>1.9353620295966609</v>
      </c>
      <c r="K31" s="1">
        <f>[30]All!H$9</f>
        <v>4.0333958231396325</v>
      </c>
      <c r="L31" s="1">
        <f>[30]All!I$9</f>
        <v>0</v>
      </c>
      <c r="M31" s="1">
        <f>[30]All!J$9</f>
        <v>1.8651181058376112</v>
      </c>
      <c r="N31" s="1">
        <f>[30]All!K$9</f>
        <v>2.5643270999999999</v>
      </c>
      <c r="O31" s="1">
        <f>[30]All!L$9</f>
        <v>2.1096812371247102</v>
      </c>
      <c r="Q31" s="1">
        <f>[30]All!N$9</f>
        <v>4.6076394000000001</v>
      </c>
      <c r="R31" s="1">
        <f>[30]All!O$9</f>
        <v>3.6965973936982608</v>
      </c>
      <c r="S31" s="1">
        <f>[30]All!P$9</f>
        <v>3.8732874924129357</v>
      </c>
      <c r="U31" s="1">
        <f>'[30]Prof (MC)'!$B$4</f>
        <v>3.4334468467144807</v>
      </c>
      <c r="V31" s="1">
        <f>'[30]Prof (MC)'!$C$4</f>
        <v>3.9988238053986502</v>
      </c>
      <c r="W31" s="1">
        <f>'[30]Prof (MC)'!$W$114</f>
        <v>9.1845648254404805E-2</v>
      </c>
      <c r="X31" s="1">
        <f>'[30]Prof (MC)'!$Z$114</f>
        <v>13.400782828780631</v>
      </c>
    </row>
    <row r="32" spans="1:24" x14ac:dyDescent="0.2">
      <c r="A32" t="s">
        <v>48</v>
      </c>
      <c r="B32" t="s">
        <v>433</v>
      </c>
      <c r="C32">
        <v>1500</v>
      </c>
      <c r="E32" s="1">
        <f>[31]All!B$9</f>
        <v>1.8546459167029503</v>
      </c>
      <c r="F32" s="1">
        <f>[31]All!C$9</f>
        <v>1.245439118875225</v>
      </c>
      <c r="G32" s="1">
        <f>[31]All!D$9</f>
        <v>1.8429407728666918</v>
      </c>
      <c r="H32" s="1">
        <f>[31]All!E$9</f>
        <v>1.1237550118996606</v>
      </c>
      <c r="I32" s="1">
        <f>[31]All!F$9</f>
        <v>1.1677628995011979</v>
      </c>
      <c r="J32" s="1">
        <f>[31]All!G$9</f>
        <v>1.7926340266345664</v>
      </c>
      <c r="K32" s="1">
        <f>[31]All!H$9</f>
        <v>1.1153164528121309</v>
      </c>
      <c r="L32" s="1">
        <f>[31]All!I$9</f>
        <v>1.7331741449415512</v>
      </c>
      <c r="M32" s="1">
        <f>[31]All!J$9</f>
        <v>0.91645746131693262</v>
      </c>
      <c r="N32" s="1">
        <f>[31]All!K$9</f>
        <v>1.140211774788479</v>
      </c>
      <c r="O32" s="1">
        <f>[31]All!L$9</f>
        <v>0.9395567453456275</v>
      </c>
      <c r="Q32" s="1">
        <f>[31]All!N$9</f>
        <v>1.6501550565454561</v>
      </c>
      <c r="R32" s="1">
        <f>[31]All!O$9</f>
        <v>1.3519903932440924</v>
      </c>
      <c r="S32" s="1">
        <f>[31]All!P$9</f>
        <v>1.1677628995011979</v>
      </c>
      <c r="U32" s="1">
        <f>'[31]Prof (MC)'!$B$4</f>
        <v>1.6104039479412777</v>
      </c>
      <c r="V32" s="1">
        <f>'[31]Prof (MC)'!$C$4</f>
        <v>1.51198262727628</v>
      </c>
      <c r="W32" s="1">
        <f>'[31]Prof (MC)'!$W$78</f>
        <v>0.28430695314518739</v>
      </c>
      <c r="X32" s="1">
        <f>'[31]Prof (MC)'!$Z$78</f>
        <v>2.6237215471592261</v>
      </c>
    </row>
    <row r="33" spans="1:24" x14ac:dyDescent="0.2">
      <c r="A33" t="s">
        <v>49</v>
      </c>
      <c r="B33" t="s">
        <v>434</v>
      </c>
      <c r="C33">
        <v>1500</v>
      </c>
      <c r="E33" s="1">
        <f>[32]All!B$9</f>
        <v>5.2192047967036554</v>
      </c>
      <c r="F33" s="1">
        <f>[32]All!C$9</f>
        <v>5.0226266661939896</v>
      </c>
      <c r="G33" s="1">
        <f>[32]All!D$9</f>
        <v>4.5923506353069756</v>
      </c>
      <c r="H33" s="1">
        <f>[32]All!E$9</f>
        <v>6.2756161330821962</v>
      </c>
      <c r="I33" s="1">
        <f>[32]All!F$9</f>
        <v>4.5778089734352401</v>
      </c>
      <c r="J33" s="1">
        <f>[32]All!G$9</f>
        <v>7.1053747815596457</v>
      </c>
      <c r="K33" s="1">
        <f>[32]All!H$9</f>
        <v>4.2561288295458652</v>
      </c>
      <c r="L33" s="1">
        <f>[32]All!I$9</f>
        <v>4.9605960933474931</v>
      </c>
      <c r="M33" s="1">
        <f>[32]All!J$9</f>
        <v>6.3778964556345565</v>
      </c>
      <c r="N33" s="1">
        <f>[32]All!K$9</f>
        <v>4.1279563899910423</v>
      </c>
      <c r="O33" s="1">
        <f>[32]All!L$9</f>
        <v>5.0832952441176262</v>
      </c>
      <c r="Q33" s="1">
        <f>[32]All!N$9</f>
        <v>5.2293040114202034</v>
      </c>
      <c r="R33" s="1">
        <f>[32]All!O$9</f>
        <v>5.2362595453562077</v>
      </c>
      <c r="S33" s="1">
        <f>[32]All!P$9</f>
        <v>5.0226266661939896</v>
      </c>
      <c r="U33" s="1">
        <f>'[32]Prof (MC)'!$B$4</f>
        <v>5.3293457198789858</v>
      </c>
      <c r="V33" s="1">
        <f>'[32]Prof (MC)'!$C$4</f>
        <v>5.2790995157688094</v>
      </c>
      <c r="W33" s="1">
        <f>'[32]Prof (MC)'!$W$114</f>
        <v>3.5973675845397661</v>
      </c>
      <c r="X33" s="1">
        <f>'[32]Prof (MC)'!$Z$114</f>
        <v>7.1501838728193094</v>
      </c>
    </row>
    <row r="34" spans="1:24" x14ac:dyDescent="0.2">
      <c r="A34" t="s">
        <v>50</v>
      </c>
      <c r="B34" t="s">
        <v>434</v>
      </c>
      <c r="C34">
        <v>1500</v>
      </c>
      <c r="E34" s="1">
        <f>[33]All!B$9</f>
        <v>3.0831760820047656</v>
      </c>
      <c r="F34" s="1">
        <f>[33]All!C$9</f>
        <v>1.1030152366509178</v>
      </c>
      <c r="G34" s="1">
        <f>[33]All!D$9</f>
        <v>2.9228098925852275</v>
      </c>
      <c r="H34" s="1">
        <f>[33]All!E$9</f>
        <v>2.9055070881122895</v>
      </c>
      <c r="I34" s="1">
        <f>[33]All!F$9</f>
        <v>2.3611414479413462</v>
      </c>
      <c r="J34" s="1">
        <f>[33]All!G$9</f>
        <v>1.5538535651747385</v>
      </c>
      <c r="K34" s="1">
        <f>[33]All!H$9</f>
        <v>3.7926017754117769</v>
      </c>
      <c r="L34" s="1">
        <f>[33]All!I$9</f>
        <v>2.3517398571030665</v>
      </c>
      <c r="M34" s="1">
        <f>[33]All!J$9</f>
        <v>0.90834635774124595</v>
      </c>
      <c r="N34" s="1">
        <f>[33]All!K$9</f>
        <v>1.3560822632321685</v>
      </c>
      <c r="O34" s="1">
        <f>[33]All!L$9</f>
        <v>3.5129409782036261</v>
      </c>
      <c r="Q34" s="1">
        <f>[33]All!N$9</f>
        <v>2.5802964303200748</v>
      </c>
      <c r="R34" s="1">
        <f>[33]All!O$9</f>
        <v>2.3501104131055608</v>
      </c>
      <c r="S34" s="1">
        <f>[33]All!P$9</f>
        <v>2.3611414479413462</v>
      </c>
      <c r="U34" s="1">
        <f>'[33]Prof (MC)'!$B$4</f>
        <v>2.3871811835278316</v>
      </c>
      <c r="V34" s="1">
        <f>'[33]Prof (MC)'!$C$4</f>
        <v>2.3034762910664965</v>
      </c>
      <c r="W34" s="1">
        <f>'[33]Prof (MC)'!$W$92</f>
        <v>0.16200352887279673</v>
      </c>
      <c r="X34" s="1">
        <f>'[33]Prof (MC)'!$Z$92</f>
        <v>4.8335134026453659</v>
      </c>
    </row>
    <row r="35" spans="1:24" x14ac:dyDescent="0.2">
      <c r="A35" t="s">
        <v>51</v>
      </c>
      <c r="B35" t="s">
        <v>435</v>
      </c>
      <c r="C35">
        <v>1500</v>
      </c>
      <c r="E35" s="1">
        <f>[34]All!B$9</f>
        <v>2.5861782752197766</v>
      </c>
      <c r="F35" s="1">
        <f>[34]All!C$9</f>
        <v>3.3646050592652927</v>
      </c>
      <c r="G35" s="1">
        <f>[34]All!D$9</f>
        <v>1.6033332664242514</v>
      </c>
      <c r="H35" s="1">
        <f>[34]All!E$9</f>
        <v>2.1953900270511015</v>
      </c>
      <c r="I35" s="1">
        <f>[34]All!F$9</f>
        <v>2.2970953471948543</v>
      </c>
      <c r="J35" s="1">
        <f>[34]All!G$9</f>
        <v>1.3991384442760728</v>
      </c>
      <c r="K35" s="1">
        <f>[34]All!H$9</f>
        <v>1.6267603487987543</v>
      </c>
      <c r="L35" s="1">
        <f>[34]All!I$9</f>
        <v>1.8669246360005938</v>
      </c>
      <c r="M35" s="1">
        <f>[34]All!J$9</f>
        <v>2.4353432375768485</v>
      </c>
      <c r="N35" s="1">
        <f>[34]All!K$9</f>
        <v>1.6901617008596903</v>
      </c>
      <c r="O35" s="1">
        <f>[34]All!L$9</f>
        <v>0.21767924211221515</v>
      </c>
      <c r="Q35" s="1">
        <f>[34]All!N$9</f>
        <v>1.6951646849207351</v>
      </c>
      <c r="R35" s="1">
        <f>[34]All!O$9</f>
        <v>1.9347826895254046</v>
      </c>
      <c r="S35" s="1">
        <f>[34]All!P$9</f>
        <v>1.8669246360005938</v>
      </c>
      <c r="U35" s="1">
        <f>'[34]Prof (MC)'!$B$4</f>
        <v>1.7801174819951153</v>
      </c>
      <c r="V35" s="1">
        <f>'[34]Prof (MC)'!$C$4</f>
        <v>2.0055034911307925</v>
      </c>
      <c r="W35" s="1">
        <f>'[34]Prof (MC)'!$W$86</f>
        <v>0.23954285272573889</v>
      </c>
      <c r="X35" s="1">
        <f>'[34]Prof (MC)'!$Z$86</f>
        <v>5.3909595772445362</v>
      </c>
    </row>
    <row r="36" spans="1:24" x14ac:dyDescent="0.2">
      <c r="A36" t="s">
        <v>52</v>
      </c>
      <c r="B36" t="s">
        <v>434</v>
      </c>
      <c r="C36">
        <v>2000</v>
      </c>
      <c r="E36" s="1">
        <f>[35]All!B$9</f>
        <v>4.8592097991621275</v>
      </c>
      <c r="F36" s="1">
        <f>[35]All!C$9</f>
        <v>4.5500719586982212</v>
      </c>
      <c r="G36" s="1">
        <f>[35]All!D$9</f>
        <v>3.9456164430164562</v>
      </c>
      <c r="H36" s="1">
        <f>[35]All!E$9</f>
        <v>4.7387863018363179</v>
      </c>
      <c r="I36" s="1">
        <f>[35]All!F$9</f>
        <v>3.5156583025373163</v>
      </c>
      <c r="J36" s="1">
        <f>[35]All!G$9</f>
        <v>4.7901989880401876</v>
      </c>
      <c r="K36" s="1">
        <f>[35]All!H$9</f>
        <v>4.3001878881766373</v>
      </c>
      <c r="L36" s="1">
        <f>[35]All!I$9</f>
        <v>4.6690591929658121</v>
      </c>
      <c r="M36" s="1">
        <f>[35]All!J$9</f>
        <v>5.7145588789302559</v>
      </c>
      <c r="N36" s="1">
        <f>[35]All!K$9</f>
        <v>5.555213332480383</v>
      </c>
      <c r="O36" s="1">
        <f>[35]All!L$9</f>
        <v>4.8257861319813333</v>
      </c>
      <c r="Q36" s="1">
        <f>[35]All!N$9</f>
        <v>4.7127980390983959</v>
      </c>
      <c r="R36" s="1">
        <f>[35]All!O$9</f>
        <v>4.6785770198022769</v>
      </c>
      <c r="S36" s="1">
        <f>[35]All!P$9</f>
        <v>4.7387863018363179</v>
      </c>
      <c r="U36" s="1">
        <f>'[35]Prof (MC)'!$B$4</f>
        <v>4.6727477234500405</v>
      </c>
      <c r="V36" s="1">
        <f>'[35]Prof (MC)'!$C$4</f>
        <v>4.6796282842100752</v>
      </c>
      <c r="W36" s="1">
        <f>'[35]Prof (MC)'!$W$94</f>
        <v>3.3347975844372222</v>
      </c>
      <c r="X36" s="1">
        <f>'[35]Prof (MC)'!$Z$94</f>
        <v>6.0221762006289863</v>
      </c>
    </row>
    <row r="37" spans="1:24" x14ac:dyDescent="0.2">
      <c r="A37" t="s">
        <v>53</v>
      </c>
      <c r="B37" t="s">
        <v>435</v>
      </c>
      <c r="C37">
        <v>2000</v>
      </c>
      <c r="E37" s="1">
        <f>[36]All!B$9</f>
        <v>3.2925249999999999</v>
      </c>
      <c r="F37" s="1">
        <f>[36]All!C$9</f>
        <v>2.3078213999999999</v>
      </c>
      <c r="G37" s="1">
        <f>[36]All!D$9</f>
        <v>3.7490562595950179</v>
      </c>
      <c r="H37" s="1">
        <f>[36]All!E$9</f>
        <v>2.4931247000000001</v>
      </c>
      <c r="I37" s="1">
        <f>[36]All!F$9</f>
        <v>2.4983109873565925</v>
      </c>
      <c r="J37" s="1">
        <f>[36]All!G$9</f>
        <v>2.895546208685472</v>
      </c>
      <c r="K37" s="1">
        <f>[36]All!H$9</f>
        <v>2.7432482999999999</v>
      </c>
      <c r="L37" s="1">
        <f>[36]All!I$9</f>
        <v>3.2120294</v>
      </c>
      <c r="M37" s="1">
        <f>[36]All!J$9</f>
        <v>2.8255587867677923</v>
      </c>
      <c r="N37" s="1">
        <f>[36]All!K$9</f>
        <v>2.1549514467538491</v>
      </c>
      <c r="O37" s="1">
        <f>[36]All!L$9</f>
        <v>2.1438223795924953</v>
      </c>
      <c r="Q37" s="1">
        <f>[36]All!N$9</f>
        <v>2.6826283000000002</v>
      </c>
      <c r="R37" s="1">
        <f>[36]All!O$9</f>
        <v>2.755999533522838</v>
      </c>
      <c r="S37" s="1">
        <f>[36]All!P$9</f>
        <v>2.7432482999999999</v>
      </c>
      <c r="U37" s="1">
        <f>'[36]Prof (MC)'!$B$4</f>
        <v>2.6796964057505659</v>
      </c>
      <c r="V37" s="1">
        <f>'[36]Prof (MC)'!$C$4</f>
        <v>2.6945760521217337</v>
      </c>
      <c r="W37" s="1">
        <f>'[36]Prof (MC)'!$W$102</f>
        <v>1.9463997249433505</v>
      </c>
      <c r="X37" s="1">
        <f>'[36]Prof (MC)'!$Z$102</f>
        <v>3.5448151198754196</v>
      </c>
    </row>
    <row r="38" spans="1:24" x14ac:dyDescent="0.2">
      <c r="A38" t="s">
        <v>54</v>
      </c>
      <c r="B38" t="s">
        <v>434</v>
      </c>
      <c r="C38">
        <v>2000</v>
      </c>
      <c r="E38" s="1">
        <f>[37]All!B$9</f>
        <v>14.229429932070721</v>
      </c>
      <c r="F38" s="1">
        <f>[37]All!C$9</f>
        <v>15.643046773533952</v>
      </c>
      <c r="G38" s="1">
        <f>[37]All!D$9</f>
        <v>15.626546616300308</v>
      </c>
      <c r="H38" s="1">
        <f>[37]All!E$9</f>
        <v>14.576742533273931</v>
      </c>
      <c r="I38" s="1">
        <f>[37]All!F$9</f>
        <v>13.801875816853345</v>
      </c>
      <c r="J38" s="1">
        <f>[37]All!G$9</f>
        <v>13.891187392692894</v>
      </c>
      <c r="K38" s="1">
        <f>[37]All!H$9</f>
        <v>12.806274760188458</v>
      </c>
      <c r="L38" s="1">
        <f>[37]All!I$9</f>
        <v>14.28710857120697</v>
      </c>
      <c r="M38" s="1">
        <f>[37]All!J$9</f>
        <v>13.511790258921813</v>
      </c>
      <c r="N38" s="1">
        <f>[37]All!K$9</f>
        <v>12.778947464779177</v>
      </c>
      <c r="O38" s="1">
        <f>[37]All!L$9</f>
        <v>10.78569676285357</v>
      </c>
      <c r="Q38" s="1">
        <f>[37]All!N$9</f>
        <v>13.775396563136141</v>
      </c>
      <c r="R38" s="1">
        <f>[37]All!O$9</f>
        <v>13.812604262061377</v>
      </c>
      <c r="S38" s="1">
        <f>[37]All!P$9</f>
        <v>13.891187392692894</v>
      </c>
      <c r="U38" s="1">
        <f>'[37]Prof (MC)'!$B$4</f>
        <v>13.660204596904778</v>
      </c>
      <c r="V38" s="1">
        <f>'[37]Prof (MC)'!$C$4</f>
        <v>13.793216460032752</v>
      </c>
      <c r="W38" s="1">
        <f>'[37]Prof (MC)'!$W$140</f>
        <v>11.482350692214027</v>
      </c>
      <c r="X38" s="1">
        <f>'[37]Prof (MC)'!$Z$140</f>
        <v>16.20080822708314</v>
      </c>
    </row>
    <row r="39" spans="1:24" x14ac:dyDescent="0.2">
      <c r="A39" t="s">
        <v>55</v>
      </c>
      <c r="B39" t="s">
        <v>435</v>
      </c>
      <c r="C39">
        <v>2000</v>
      </c>
      <c r="E39" s="1">
        <f>[38]All!B$9</f>
        <v>2.0555292999999999</v>
      </c>
      <c r="F39" s="1">
        <f>[38]All!C$9</f>
        <v>2.1742366</v>
      </c>
      <c r="G39" s="1">
        <f>[38]All!D$9</f>
        <v>2.3038929000000001</v>
      </c>
      <c r="H39" s="1">
        <f>[38]All!E$9</f>
        <v>1.8946083</v>
      </c>
      <c r="I39" s="1">
        <f>[38]All!F$9</f>
        <v>1.5298468000000001</v>
      </c>
      <c r="J39" s="1">
        <f>[38]All!G$9</f>
        <v>1.8335731757311695</v>
      </c>
      <c r="K39" s="1">
        <f>[38]All!H$9</f>
        <v>2.3059666000000001</v>
      </c>
      <c r="L39" s="1">
        <f>[38]All!I$9</f>
        <v>2.2219026323222986</v>
      </c>
      <c r="M39" s="1">
        <f>[38]All!J$9</f>
        <v>2.1222373999999999</v>
      </c>
      <c r="N39" s="1">
        <f>[38]All!K$9</f>
        <v>1.9196302999999999</v>
      </c>
      <c r="O39" s="1">
        <f>[38]All!L$9</f>
        <v>1.3700498000000001</v>
      </c>
      <c r="Q39" s="1">
        <f>[38]All!N$9</f>
        <v>1.9860187</v>
      </c>
      <c r="R39" s="1">
        <f>[38]All!O$9</f>
        <v>1.9755885280048608</v>
      </c>
      <c r="S39" s="1">
        <f>[38]All!P$9</f>
        <v>2.0555292999999999</v>
      </c>
      <c r="U39" s="1">
        <f>'[38]Prof (MC)'!$B$4</f>
        <v>1.970595426546681</v>
      </c>
      <c r="V39" s="1">
        <f>'[38]Prof (MC)'!$C$4</f>
        <v>1.9709831584514705</v>
      </c>
      <c r="W39" s="1">
        <f>'[38]Prof (MC)'!$W$96</f>
        <v>1.2801038751989482</v>
      </c>
      <c r="X39" s="1">
        <f>'[38]Prof (MC)'!$Z$96</f>
        <v>2.7154135655670566</v>
      </c>
    </row>
    <row r="40" spans="1:24" x14ac:dyDescent="0.2">
      <c r="A40" t="s">
        <v>56</v>
      </c>
      <c r="B40" t="s">
        <v>433</v>
      </c>
      <c r="C40">
        <v>2000</v>
      </c>
      <c r="E40" s="1">
        <f>[39]All!B$9</f>
        <v>0.95606077690890501</v>
      </c>
      <c r="F40" s="1">
        <f>[39]All!C$9</f>
        <v>1.2092336729178079</v>
      </c>
      <c r="G40" s="1">
        <f>[39]All!D$9</f>
        <v>1.0707394009198545</v>
      </c>
      <c r="H40" s="1">
        <f>[39]All!E$9</f>
        <v>1.184686654347944</v>
      </c>
      <c r="I40" s="1">
        <f>[39]All!F$9</f>
        <v>0.99724951766067638</v>
      </c>
      <c r="J40" s="1">
        <f>[39]All!G$9</f>
        <v>1.0338763845268559</v>
      </c>
      <c r="K40" s="1">
        <f>[39]All!H$9</f>
        <v>0.65774831361206121</v>
      </c>
      <c r="L40" s="1">
        <f>[39]All!I$9</f>
        <v>0.73819522129025772</v>
      </c>
      <c r="M40" s="1">
        <f>[39]All!J$9</f>
        <v>0.81749955142928121</v>
      </c>
      <c r="N40" s="1">
        <f>[39]All!K$9</f>
        <v>0.88857219571202029</v>
      </c>
      <c r="O40" s="1">
        <f>[39]All!L$9</f>
        <v>1.1203963031503068</v>
      </c>
      <c r="Q40" s="1">
        <f>[39]All!N$9</f>
        <v>1.11839694622699</v>
      </c>
      <c r="R40" s="1">
        <f>[39]All!O$9</f>
        <v>0.97038709022508829</v>
      </c>
      <c r="S40" s="1">
        <f>[39]All!P$9</f>
        <v>0.99724951766067638</v>
      </c>
      <c r="U40" s="1">
        <f>'[39]Prof (MC)'!$B$4</f>
        <v>0.93164186704089469</v>
      </c>
      <c r="V40" s="1">
        <f>'[39]Prof (MC)'!$C$4</f>
        <v>0.89294554126834524</v>
      </c>
      <c r="W40" s="1">
        <f>'[39]Prof (MC)'!$W$77</f>
        <v>0.1908058553170815</v>
      </c>
      <c r="X40" s="1">
        <f>'[39]Prof (MC)'!$Z$77</f>
        <v>1.6409043075744483</v>
      </c>
    </row>
    <row r="41" spans="1:24" x14ac:dyDescent="0.2">
      <c r="A41" t="s">
        <v>57</v>
      </c>
      <c r="B41" t="s">
        <v>434</v>
      </c>
      <c r="C41">
        <v>1500</v>
      </c>
      <c r="E41" s="1">
        <f>[40]All!B$9</f>
        <v>10.603210659348006</v>
      </c>
      <c r="F41" s="1">
        <f>[40]All!C$9</f>
        <v>8.9054177246028896</v>
      </c>
      <c r="G41" s="1">
        <f>[40]All!D$9</f>
        <v>10.448203109221726</v>
      </c>
      <c r="H41" s="1">
        <f>[40]All!E$9</f>
        <v>9.6911831799712083</v>
      </c>
      <c r="I41" s="1">
        <f>[40]All!F$9</f>
        <v>13.284500914848444</v>
      </c>
      <c r="J41" s="1">
        <f>[40]All!G$9</f>
        <v>10.457766536405488</v>
      </c>
      <c r="K41" s="1">
        <f>[40]All!H$9</f>
        <v>11.466900931029866</v>
      </c>
      <c r="L41" s="1">
        <f>[40]All!I$9</f>
        <v>10.662639426261652</v>
      </c>
      <c r="M41" s="1">
        <f>[40]All!J$9</f>
        <v>8.8778375851063167</v>
      </c>
      <c r="N41" s="1">
        <f>[40]All!K$9</f>
        <v>11.114587242464298</v>
      </c>
      <c r="O41" s="1">
        <f>[40]All!L$9</f>
        <v>9.7172072229311155</v>
      </c>
      <c r="Q41" s="1">
        <f>[40]All!N$9</f>
        <v>10.361616573210615</v>
      </c>
      <c r="R41" s="1">
        <f>[40]All!O$9</f>
        <v>10.475404957471909</v>
      </c>
      <c r="S41" s="1">
        <f>[40]All!P$9</f>
        <v>10.457766536405488</v>
      </c>
      <c r="U41" s="1">
        <f>'[40]Prof (MC)'!$B$4</f>
        <v>10.401529330355453</v>
      </c>
      <c r="V41" s="1">
        <f>'[40]Prof (MC)'!$C$4</f>
        <v>10.560007867087371</v>
      </c>
      <c r="W41" s="1">
        <f>'[40]Prof (MC)'!$W$146</f>
        <v>6.3802523594177893</v>
      </c>
      <c r="X41" s="1">
        <f>'[40]Prof (MC)'!$Z$146</f>
        <v>16.271007881743429</v>
      </c>
    </row>
    <row r="42" spans="1:24" x14ac:dyDescent="0.2">
      <c r="A42" t="s">
        <v>58</v>
      </c>
      <c r="B42" t="s">
        <v>435</v>
      </c>
      <c r="C42">
        <v>1500</v>
      </c>
      <c r="E42" s="1">
        <f>[41]All!B$9</f>
        <v>1.1410202666652804</v>
      </c>
      <c r="F42" s="1">
        <f>[41]All!C$9</f>
        <v>1.3272962085477757</v>
      </c>
      <c r="G42" s="1">
        <f>[41]All!D$9</f>
        <v>0.75745717586155126</v>
      </c>
      <c r="H42" s="1">
        <f>[41]All!E$9</f>
        <v>1.6597575821732884</v>
      </c>
      <c r="I42" s="1">
        <f>[41]All!F$9</f>
        <v>1.2520904823049013</v>
      </c>
      <c r="J42" s="1">
        <f>[41]All!G$9</f>
        <v>1.2372011778759229</v>
      </c>
      <c r="K42" s="1">
        <f>[41]All!H$9</f>
        <v>1.2672713259055159</v>
      </c>
      <c r="L42" s="1">
        <f>[41]All!I$9</f>
        <v>1.6991650123993298</v>
      </c>
      <c r="M42" s="1">
        <f>[41]All!J$9</f>
        <v>0.88722631737373181</v>
      </c>
      <c r="N42" s="1">
        <f>[41]All!K$9</f>
        <v>1.4509613419280167</v>
      </c>
      <c r="O42" s="1">
        <f>[41]All!L$9</f>
        <v>2.2033625869582587</v>
      </c>
      <c r="Q42" s="1">
        <f>[41]All!N$9</f>
        <v>1.4627984704958057</v>
      </c>
      <c r="R42" s="1">
        <f>[41]All!O$9</f>
        <v>1.3529826798175975</v>
      </c>
      <c r="S42" s="1">
        <f>[41]All!P$9</f>
        <v>1.2672713259055159</v>
      </c>
      <c r="U42" s="1">
        <f>'[41]Prof (MC)'!$B$4</f>
        <v>1.3708278841050201</v>
      </c>
      <c r="V42" s="1">
        <f>'[41]Prof (MC)'!$C$4</f>
        <v>1.2980606890677473</v>
      </c>
      <c r="W42" s="1">
        <f>'[41]Prof (MC)'!$W$110</f>
        <v>0.24186969894279306</v>
      </c>
      <c r="X42" s="1">
        <f>'[41]Prof (MC)'!$Z$110</f>
        <v>2.2613854</v>
      </c>
    </row>
    <row r="43" spans="1:24" x14ac:dyDescent="0.2">
      <c r="A43" t="s">
        <v>59</v>
      </c>
      <c r="B43" t="s">
        <v>434</v>
      </c>
      <c r="C43">
        <v>2100</v>
      </c>
      <c r="E43" s="1">
        <f>[42]All!B$9</f>
        <v>6.4114427354796666</v>
      </c>
      <c r="F43" s="1">
        <f>[42]All!C$9</f>
        <v>2.6823614971270677</v>
      </c>
      <c r="G43" s="1">
        <f>[42]All!D$9</f>
        <v>7.0824088807557422</v>
      </c>
      <c r="H43" s="1">
        <f>[42]All!E$9</f>
        <v>5.0954923702212565</v>
      </c>
      <c r="I43" s="1">
        <f>[42]All!F$9</f>
        <v>5.4815188563813821</v>
      </c>
      <c r="J43" s="1">
        <f>[42]All!G$9</f>
        <v>3.0681791396366269</v>
      </c>
      <c r="K43" s="1">
        <f>[42]All!H$9</f>
        <v>4.531302374891971</v>
      </c>
      <c r="L43" s="1">
        <f>[42]All!I$9</f>
        <v>7.5838851465657582</v>
      </c>
      <c r="M43" s="1">
        <f>[42]All!J$9</f>
        <v>8.9813035591283494</v>
      </c>
      <c r="N43" s="1">
        <f>[42]All!K$9</f>
        <v>1.2848487103116319</v>
      </c>
      <c r="O43" s="1">
        <f>[42]All!L$9</f>
        <v>2.9594326331292371</v>
      </c>
      <c r="Q43" s="1">
        <f>[42]All!N$9</f>
        <v>6.3460346999999997</v>
      </c>
      <c r="R43" s="1">
        <f>[42]All!O$9</f>
        <v>5.0147432639662437</v>
      </c>
      <c r="S43" s="1">
        <f>[42]All!P$9</f>
        <v>5.0954923702212565</v>
      </c>
      <c r="U43" s="1">
        <f>'[42]Prof (MC)'!$B$4</f>
        <v>6.1174680765472385</v>
      </c>
      <c r="V43" s="1">
        <f>'[42]Prof (MC)'!$C$4</f>
        <v>6.6051886807309153</v>
      </c>
      <c r="W43" s="1">
        <f>'[42]Prof (MC)'!$W$118</f>
        <v>0.57616845229600189</v>
      </c>
      <c r="X43" s="1">
        <f>'[42]Prof (MC)'!$Z$118</f>
        <v>15.48838860354924</v>
      </c>
    </row>
    <row r="44" spans="1:24" x14ac:dyDescent="0.2">
      <c r="A44" t="s">
        <v>60</v>
      </c>
      <c r="B44" t="s">
        <v>435</v>
      </c>
      <c r="C44">
        <v>2100</v>
      </c>
      <c r="E44" s="1">
        <f>[43]All!B$9</f>
        <v>8.7077823412737541</v>
      </c>
      <c r="F44" s="1">
        <f>[43]All!C$9</f>
        <v>8.1476380279742724</v>
      </c>
      <c r="G44" s="1">
        <f>[43]All!D$9</f>
        <v>6.5553949316204596</v>
      </c>
      <c r="H44" s="1">
        <f>[43]All!E$9</f>
        <v>5.8282763354919327</v>
      </c>
      <c r="I44" s="1">
        <f>[43]All!F$9</f>
        <v>7.1744560302212737</v>
      </c>
      <c r="J44" s="1">
        <f>[43]All!G$9</f>
        <v>7.815258875300942</v>
      </c>
      <c r="K44" s="1">
        <f>[43]All!H$9</f>
        <v>6.8227203087167121</v>
      </c>
      <c r="L44" s="1">
        <f>[43]All!I$9</f>
        <v>7.1474034133275834</v>
      </c>
      <c r="M44" s="1">
        <f>[43]All!J$9</f>
        <v>7.1344530046791954</v>
      </c>
      <c r="N44" s="1">
        <f>[43]All!K$9</f>
        <v>9.080351112101134</v>
      </c>
      <c r="O44" s="1">
        <f>[43]All!L$9</f>
        <v>7.2204794819314264</v>
      </c>
      <c r="Q44" s="1">
        <f>[43]All!N$9</f>
        <v>7.5425290000248824</v>
      </c>
      <c r="R44" s="1">
        <f>[43]All!O$9</f>
        <v>7.4212921693307896</v>
      </c>
      <c r="S44" s="1">
        <f>[43]All!P$9</f>
        <v>7.1744560302212737</v>
      </c>
      <c r="U44" s="1">
        <f>'[43]Prof (MC)'!$B$4</f>
        <v>7.3983218661221208</v>
      </c>
      <c r="V44" s="1">
        <f>'[43]Prof (MC)'!$C$4</f>
        <v>7.4289847622504031</v>
      </c>
      <c r="W44" s="1">
        <f>'[43]Prof (MC)'!$W$112</f>
        <v>5.253673450294329</v>
      </c>
      <c r="X44" s="1">
        <f>'[43]Prof (MC)'!$Z$112</f>
        <v>9.6965652672389826</v>
      </c>
    </row>
    <row r="45" spans="1:24" x14ac:dyDescent="0.2">
      <c r="A45" t="s">
        <v>61</v>
      </c>
      <c r="B45" t="s">
        <v>435</v>
      </c>
      <c r="C45">
        <v>2100</v>
      </c>
      <c r="E45" s="1">
        <f>[44]All!B$9</f>
        <v>0.91860092111103153</v>
      </c>
      <c r="F45" s="1">
        <f>[44]All!C$9</f>
        <v>0.13487858126966257</v>
      </c>
      <c r="G45" s="1">
        <f>[44]All!D$9</f>
        <v>4.8523097000000001E-2</v>
      </c>
      <c r="H45" s="1">
        <f>[44]All!E$9</f>
        <v>1.7093659937963301</v>
      </c>
      <c r="I45" s="1">
        <f>[44]All!F$9</f>
        <v>2.0100899655576576</v>
      </c>
      <c r="J45" s="1">
        <f>[44]All!G$9</f>
        <v>2.6771568708742546</v>
      </c>
      <c r="K45" s="1">
        <f>[44]All!H$9</f>
        <v>2.0088106827915979</v>
      </c>
      <c r="L45" s="1">
        <f>[44]All!I$9</f>
        <v>2.8600046852286631</v>
      </c>
      <c r="M45" s="1">
        <f>[44]All!J$9</f>
        <v>3.0965990320681862</v>
      </c>
      <c r="N45" s="1">
        <f>[44]All!K$9</f>
        <v>4.1236370829176598</v>
      </c>
      <c r="O45" s="1">
        <f>[44]All!L$9</f>
        <v>4.3825036075600661</v>
      </c>
      <c r="Q45" s="1">
        <f>[44]All!N$9</f>
        <v>1.0644145766493598</v>
      </c>
      <c r="R45" s="1">
        <f>[44]All!O$9</f>
        <v>2.17910641092501</v>
      </c>
      <c r="S45" s="1">
        <f>[44]All!P$9</f>
        <v>2.0100899655576576</v>
      </c>
      <c r="U45" s="1">
        <f>'[44]Prof (MC)'!$B$4</f>
        <v>0.9814702357063223</v>
      </c>
      <c r="V45" s="1">
        <f>'[44]Prof (MC)'!$C$4</f>
        <v>1.3481290623253281</v>
      </c>
      <c r="W45" s="1">
        <f>'[44]Prof (MC)'!$W$106</f>
        <v>5.2529168298873831E-6</v>
      </c>
      <c r="X45" s="1">
        <f>'[44]Prof (MC)'!$Z$106</f>
        <v>3.7011387788721191</v>
      </c>
    </row>
    <row r="46" spans="1:24" x14ac:dyDescent="0.2">
      <c r="A46" t="s">
        <v>62</v>
      </c>
      <c r="B46" t="s">
        <v>433</v>
      </c>
      <c r="C46">
        <v>2100</v>
      </c>
      <c r="E46" s="1">
        <f>[45]All!B$9</f>
        <v>0.35533209543987776</v>
      </c>
      <c r="F46" s="1">
        <f>[45]All!C$9</f>
        <v>0.91238787970197333</v>
      </c>
      <c r="G46" s="1">
        <f>[45]All!D$9</f>
        <v>1.4881488963289984</v>
      </c>
      <c r="H46" s="1">
        <f>[45]All!E$9</f>
        <v>1.339699323689904</v>
      </c>
      <c r="I46" s="1">
        <f>[45]All!F$9</f>
        <v>0.76914415884586873</v>
      </c>
      <c r="J46" s="1">
        <f>[45]All!G$9</f>
        <v>0.67000991620942063</v>
      </c>
      <c r="K46" s="1">
        <f>[45]All!H$9</f>
        <v>1.186832238284284</v>
      </c>
      <c r="L46" s="1">
        <f>[45]All!I$9</f>
        <v>0.26506007278613031</v>
      </c>
      <c r="M46" s="1">
        <f>[45]All!J$9</f>
        <v>0.63116784985391006</v>
      </c>
      <c r="N46" s="1">
        <f>[45]All!K$9</f>
        <v>0.24047786449836911</v>
      </c>
      <c r="O46" s="1">
        <f>[45]All!L$9</f>
        <v>0.3036822730058763</v>
      </c>
      <c r="Q46" s="1">
        <f>[45]All!N$9</f>
        <v>1.0404629267993928</v>
      </c>
      <c r="R46" s="1">
        <f>[45]All!O$9</f>
        <v>0.74199477896769206</v>
      </c>
      <c r="S46" s="1">
        <f>[45]All!P$9</f>
        <v>0.67000991620942063</v>
      </c>
      <c r="U46" s="1">
        <f>'[45]Prof (MC)'!$B$4</f>
        <v>0.84981351630536461</v>
      </c>
      <c r="V46" s="1">
        <f>'[45]Prof (MC)'!$C$4</f>
        <v>0.80815244777903505</v>
      </c>
      <c r="W46" s="1">
        <f>'[45]Prof (MC)'!$W$76</f>
        <v>3.3433051777091016E-4</v>
      </c>
      <c r="X46" s="1">
        <f>'[45]Prof (MC)'!$Z$76</f>
        <v>1.7126473187786662</v>
      </c>
    </row>
    <row r="47" spans="1:24" x14ac:dyDescent="0.2">
      <c r="A47" t="s">
        <v>63</v>
      </c>
      <c r="B47" t="s">
        <v>434</v>
      </c>
      <c r="C47">
        <v>1700</v>
      </c>
      <c r="E47" s="1">
        <f>[46]All!B$9</f>
        <v>7.0936431873854726</v>
      </c>
      <c r="F47" s="1">
        <f>[46]All!C$9</f>
        <v>8.8535479969842363</v>
      </c>
      <c r="G47" s="1">
        <f>[46]All!D$9</f>
        <v>7.6757504751240528</v>
      </c>
      <c r="H47" s="1">
        <f>[46]All!E$9</f>
        <v>7.0614409168336296</v>
      </c>
      <c r="I47" s="1">
        <f>[46]All!F$9</f>
        <v>3.3122226285270915</v>
      </c>
      <c r="J47" s="1">
        <f>[46]All!G$9</f>
        <v>4.728043131980864</v>
      </c>
      <c r="K47" s="1">
        <f>[46]All!H$9</f>
        <v>6.7934220758332469</v>
      </c>
      <c r="L47" s="1">
        <f>[46]All!I$9</f>
        <v>8.4757278499837092</v>
      </c>
      <c r="M47" s="1">
        <f>[46]All!J$9</f>
        <v>10.622704733808302</v>
      </c>
      <c r="N47" s="1">
        <f>[46]All!K$9</f>
        <v>7.9066044321490727</v>
      </c>
      <c r="O47" s="1">
        <f>[46]All!L$9</f>
        <v>7.9520747445582183</v>
      </c>
      <c r="Q47" s="1">
        <f>[46]All!N$9</f>
        <v>7.2642370263777556</v>
      </c>
      <c r="R47" s="1">
        <f>[46]All!O$9</f>
        <v>7.3159256521061726</v>
      </c>
      <c r="S47" s="1">
        <f>[46]All!P$9</f>
        <v>7.6757504751240528</v>
      </c>
      <c r="U47" s="1">
        <f>'[46]Prof (MC)'!$B$4</f>
        <v>6.671680347328854</v>
      </c>
      <c r="V47" s="1">
        <f>'[46]Prof (MC)'!$C$4</f>
        <v>6.9442207230295017</v>
      </c>
      <c r="W47" s="1">
        <f>'[46]Prof (MC)'!$W$108</f>
        <v>1.2544573398284877</v>
      </c>
      <c r="X47" s="1">
        <f>'[46]Prof (MC)'!$Z$108</f>
        <v>13.000721276847768</v>
      </c>
    </row>
    <row r="48" spans="1:24" x14ac:dyDescent="0.2">
      <c r="A48" t="s">
        <v>64</v>
      </c>
      <c r="B48" t="s">
        <v>435</v>
      </c>
      <c r="C48">
        <v>1700</v>
      </c>
      <c r="E48" s="1">
        <f>[47]All!B$9</f>
        <v>8.5315799000000005</v>
      </c>
      <c r="F48" s="1">
        <f>[47]All!C$9</f>
        <v>9.250145099567451</v>
      </c>
      <c r="G48" s="1">
        <f>[47]All!D$9</f>
        <v>8.7240266000000002</v>
      </c>
      <c r="H48" s="1">
        <f>[47]All!E$9</f>
        <v>6.092610902993183</v>
      </c>
      <c r="I48" s="1">
        <f>[47]All!F$9</f>
        <v>6.6910252488392628</v>
      </c>
      <c r="J48" s="1">
        <f>[47]All!G$9</f>
        <v>9.4273075169070299</v>
      </c>
      <c r="K48" s="1">
        <f>[47]All!H$9</f>
        <v>8.1045540999999997</v>
      </c>
      <c r="L48" s="1">
        <f>[47]All!I$9</f>
        <v>10.073615999999999</v>
      </c>
      <c r="M48" s="1">
        <f>[47]All!J$9</f>
        <v>10.503377111660575</v>
      </c>
      <c r="N48" s="1">
        <f>[47]All!K$9</f>
        <v>8.9796147000000008</v>
      </c>
      <c r="O48" s="1">
        <f>[47]All!L$9</f>
        <v>10.319436706692018</v>
      </c>
      <c r="Q48" s="1">
        <f>[47]All!N$9</f>
        <v>8.6694805000000006</v>
      </c>
      <c r="R48" s="1">
        <f>[47]All!O$9</f>
        <v>8.7906630806054107</v>
      </c>
      <c r="S48" s="1">
        <f>[47]All!P$9</f>
        <v>8.9796147000000008</v>
      </c>
      <c r="U48" s="1">
        <f>'[47]Prof (MC)'!$B$4</f>
        <v>8.257235997508511</v>
      </c>
      <c r="V48" s="1">
        <f>'[47]Prof (MC)'!$C$4</f>
        <v>8.3714450213165836</v>
      </c>
      <c r="W48" s="1">
        <f>'[47]Prof (MC)'!$W$158</f>
        <v>5.8157284702558325</v>
      </c>
      <c r="X48" s="1">
        <f>'[47]Prof (MC)'!$Z$158</f>
        <v>11.897950940107052</v>
      </c>
    </row>
    <row r="49" spans="1:24" x14ac:dyDescent="0.2">
      <c r="A49" t="s">
        <v>65</v>
      </c>
      <c r="B49" t="s">
        <v>435</v>
      </c>
      <c r="C49">
        <v>1700</v>
      </c>
      <c r="E49" s="1">
        <f>[48]All!B$9</f>
        <v>7.2316169373022969</v>
      </c>
      <c r="F49" s="1">
        <f>[48]All!C$9</f>
        <v>6.5821618831660134</v>
      </c>
      <c r="G49" s="1">
        <f>[48]All!D$9</f>
        <v>5.5529674901919783</v>
      </c>
      <c r="H49" s="1">
        <f>[48]All!E$9</f>
        <v>6.9310804776052821</v>
      </c>
      <c r="I49" s="1">
        <f>[48]All!F$9</f>
        <v>3.164968730384353</v>
      </c>
      <c r="J49" s="1">
        <f>[48]All!G$9</f>
        <v>6.0817121475337279</v>
      </c>
      <c r="K49" s="1">
        <f>[48]All!H$9</f>
        <v>6.4797281747420623</v>
      </c>
      <c r="L49" s="1">
        <f>[48]All!I$9</f>
        <v>6.5924459000000004</v>
      </c>
      <c r="M49" s="1">
        <f>[48]All!J$9</f>
        <v>6.3936826</v>
      </c>
      <c r="N49" s="1">
        <f>[48]All!K$9</f>
        <v>7.1318826376004347</v>
      </c>
      <c r="O49" s="1">
        <f>[48]All!L$9</f>
        <v>5.7130582063394506</v>
      </c>
      <c r="Q49" s="1">
        <f>[48]All!N$9</f>
        <v>6.3032815723332307</v>
      </c>
      <c r="R49" s="1">
        <f>[48]All!O$9</f>
        <v>6.1686641077150544</v>
      </c>
      <c r="S49" s="1">
        <f>[48]All!P$9</f>
        <v>6.4797281747420623</v>
      </c>
      <c r="U49" s="1">
        <f>'[48]Prof (MC)'!$B$4</f>
        <v>6.2763566852869346</v>
      </c>
      <c r="V49" s="1">
        <f>'[48]Prof (MC)'!$C$4</f>
        <v>6.240289925384328</v>
      </c>
      <c r="W49" s="1">
        <f>'[48]Prof (MC)'!$W$164</f>
        <v>4.3499124598730248</v>
      </c>
      <c r="X49" s="1">
        <f>'[48]Prof (MC)'!$Z$164</f>
        <v>8.022997043849637</v>
      </c>
    </row>
    <row r="50" spans="1:24" x14ac:dyDescent="0.2">
      <c r="A50" t="s">
        <v>66</v>
      </c>
      <c r="B50" t="s">
        <v>433</v>
      </c>
      <c r="C50">
        <v>1700</v>
      </c>
      <c r="E50" s="1">
        <f>[49]All!B$9</f>
        <v>1.4849590891891309</v>
      </c>
      <c r="F50" s="1">
        <f>[49]All!C$9</f>
        <v>1.4669097799456861</v>
      </c>
      <c r="G50" s="1">
        <f>[49]All!D$9</f>
        <v>1.8174598889414684</v>
      </c>
      <c r="H50" s="1">
        <f>[49]All!E$9</f>
        <v>1.8376206062029843</v>
      </c>
      <c r="I50" s="1">
        <f>[49]All!F$9</f>
        <v>2.2454796410424431</v>
      </c>
      <c r="J50" s="1">
        <f>[49]All!G$9</f>
        <v>1.7867274407038376</v>
      </c>
      <c r="K50" s="1">
        <f>[49]All!H$9</f>
        <v>1.9829374024958974</v>
      </c>
      <c r="L50" s="1">
        <f>[49]All!I$9</f>
        <v>1.8348711717194932</v>
      </c>
      <c r="M50" s="1">
        <f>[49]All!J$9</f>
        <v>1.9739386640746215</v>
      </c>
      <c r="N50" s="1">
        <f>[49]All!K$9</f>
        <v>2.0960127685000227</v>
      </c>
      <c r="O50" s="1">
        <f>[49]All!L$9</f>
        <v>1.8228022859683468</v>
      </c>
      <c r="Q50" s="1">
        <f>[49]All!N$9</f>
        <v>1.865895549070792</v>
      </c>
      <c r="R50" s="1">
        <f>[49]All!O$9</f>
        <v>1.8499744307985393</v>
      </c>
      <c r="S50" s="1">
        <f>[49]All!P$9</f>
        <v>1.8348711717194932</v>
      </c>
      <c r="U50" s="1">
        <f>'[49]Prof (MC)'!$B$4</f>
        <v>1.8673559644731568</v>
      </c>
      <c r="V50" s="1">
        <f>'[49]Prof (MC)'!$C$4</f>
        <v>1.8361429386541201</v>
      </c>
      <c r="W50" s="1">
        <f>'[49]Prof (MC)'!$W$80</f>
        <v>0.91759130697360436</v>
      </c>
      <c r="X50" s="1">
        <f>'[49]Prof (MC)'!$Z$80</f>
        <v>2.5093152999999999</v>
      </c>
    </row>
    <row r="51" spans="1:24" x14ac:dyDescent="0.2">
      <c r="A51" t="s">
        <v>67</v>
      </c>
      <c r="B51" t="s">
        <v>433</v>
      </c>
      <c r="C51">
        <v>1700</v>
      </c>
      <c r="E51" s="1">
        <f>[50]All!B$9</f>
        <v>4.3757463631739357</v>
      </c>
      <c r="F51" s="1">
        <f>[50]All!C$9</f>
        <v>3.0878115629132283</v>
      </c>
      <c r="G51" s="1">
        <f>[50]All!D$9</f>
        <v>3.5183614682020745</v>
      </c>
      <c r="H51" s="1">
        <f>[50]All!E$9</f>
        <v>3.6830602015026432</v>
      </c>
      <c r="I51" s="1">
        <f>[50]All!F$9</f>
        <v>3.4899847103616626</v>
      </c>
      <c r="J51" s="1">
        <f>[50]All!G$9</f>
        <v>4.0235769003749899</v>
      </c>
      <c r="K51" s="1">
        <f>[50]All!H$9</f>
        <v>4.1425696846613018</v>
      </c>
      <c r="L51" s="1">
        <f>[50]All!I$9</f>
        <v>3.295363990081885</v>
      </c>
      <c r="M51" s="1">
        <f>[50]All!J$9</f>
        <v>4.6287821254919166</v>
      </c>
      <c r="N51" s="1">
        <f>[50]All!K$9</f>
        <v>4.0807257500540555</v>
      </c>
      <c r="O51" s="1">
        <f>[50]All!L$9</f>
        <v>6.3963190592069177</v>
      </c>
      <c r="Q51" s="1">
        <f>[50]All!N$9</f>
        <v>3.975415397250988</v>
      </c>
      <c r="R51" s="1">
        <f>[50]All!O$9</f>
        <v>4.0656638014567825</v>
      </c>
      <c r="S51" s="1">
        <f>[50]All!P$9</f>
        <v>4.0235769003749899</v>
      </c>
      <c r="U51" s="1">
        <f>'[50]Prof (MC)'!$B$4</f>
        <v>3.8040482212333284</v>
      </c>
      <c r="V51" s="1">
        <f>'[50]Prof (MC)'!$C$4</f>
        <v>3.9354321457808554</v>
      </c>
      <c r="W51" s="1">
        <f>'[50]Prof (MC)'!$W$92</f>
        <v>2.5649840751719371</v>
      </c>
      <c r="X51" s="1">
        <f>'[50]Prof (MC)'!$Z$92</f>
        <v>5.7147635674746038</v>
      </c>
    </row>
    <row r="52" spans="1:24" x14ac:dyDescent="0.2">
      <c r="A52" t="s">
        <v>68</v>
      </c>
      <c r="B52" t="s">
        <v>434</v>
      </c>
      <c r="C52">
        <v>1400</v>
      </c>
      <c r="E52" s="1">
        <f>[51]All!B$9</f>
        <v>14.120401777729887</v>
      </c>
      <c r="F52" s="1">
        <f>[51]All!C$9</f>
        <v>11.671119211006465</v>
      </c>
      <c r="G52" s="1">
        <f>[51]All!D$9</f>
        <v>15.766137663800468</v>
      </c>
      <c r="H52" s="1">
        <f>[51]All!E$9</f>
        <v>9.8932600502131933</v>
      </c>
      <c r="I52" s="1">
        <f>[51]All!F$9</f>
        <v>14.286092440041283</v>
      </c>
      <c r="J52" s="1">
        <f>[51]All!G$9</f>
        <v>13.50649473988905</v>
      </c>
      <c r="K52" s="1">
        <f>[51]All!H$9</f>
        <v>15.798162456964237</v>
      </c>
      <c r="L52" s="1">
        <f>[51]All!I$9</f>
        <v>8.679080949214514</v>
      </c>
      <c r="M52" s="1">
        <f>[51]All!J$9</f>
        <v>10.199862712478234</v>
      </c>
      <c r="N52" s="1">
        <f>[51]All!K$9</f>
        <v>9.5861273169954906</v>
      </c>
      <c r="O52" s="1">
        <f>[51]All!L$9</f>
        <v>12.527289899842206</v>
      </c>
      <c r="Q52" s="1">
        <f>[51]All!N$9</f>
        <v>12.303820928810447</v>
      </c>
      <c r="R52" s="1">
        <f>[51]All!O$9</f>
        <v>12.366729928925002</v>
      </c>
      <c r="S52" s="1">
        <f>[51]All!P$9</f>
        <v>12.527289899842206</v>
      </c>
      <c r="U52" s="1">
        <f>'[51]Prof (MC)'!$B$4</f>
        <v>12.201878064217329</v>
      </c>
      <c r="V52" s="1">
        <f>'[51]Prof (MC)'!$C$4</f>
        <v>12.449523597520924</v>
      </c>
      <c r="W52" s="1">
        <f>'[51]Prof (MC)'!$W$138</f>
        <v>8.4289457391886184</v>
      </c>
      <c r="X52" s="1">
        <f>'[51]Prof (MC)'!$Z$138</f>
        <v>17.425516303177403</v>
      </c>
    </row>
    <row r="53" spans="1:24" x14ac:dyDescent="0.2">
      <c r="A53" t="s">
        <v>69</v>
      </c>
      <c r="B53" t="s">
        <v>434</v>
      </c>
      <c r="C53">
        <v>1400</v>
      </c>
      <c r="E53" s="1">
        <f>[52]All!B$9</f>
        <v>9.0466573749136625</v>
      </c>
      <c r="F53" s="1">
        <f>[52]All!C$9</f>
        <v>8.1306811953720874</v>
      </c>
      <c r="G53" s="1">
        <f>[52]All!D$9</f>
        <v>8.4081529516387228</v>
      </c>
      <c r="H53" s="1">
        <f>[52]All!E$9</f>
        <v>8.6297970289363395</v>
      </c>
      <c r="I53" s="1">
        <f>[52]All!F$9</f>
        <v>7.5970956378554746</v>
      </c>
      <c r="J53" s="1">
        <f>[52]All!G$9</f>
        <v>9.1170094594228281</v>
      </c>
      <c r="K53" s="1">
        <f>[52]All!H$9</f>
        <v>8.1680944945620961</v>
      </c>
      <c r="L53" s="1">
        <f>[52]All!I$9</f>
        <v>7.9786743410533987</v>
      </c>
      <c r="M53" s="1">
        <f>[52]All!J$9</f>
        <v>8.3067015527609733</v>
      </c>
      <c r="N53" s="1">
        <f>[52]All!K$9</f>
        <v>7.4248981840984518</v>
      </c>
      <c r="O53" s="1">
        <f>[52]All!L$9</f>
        <v>8.1926947207932539</v>
      </c>
      <c r="Q53" s="1">
        <f>[52]All!N$9</f>
        <v>8.3081917734500248</v>
      </c>
      <c r="R53" s="1">
        <f>[52]All!O$9</f>
        <v>8.2727688128552082</v>
      </c>
      <c r="S53" s="1">
        <f>[52]All!P$9</f>
        <v>8.1926947207932539</v>
      </c>
      <c r="U53" s="1">
        <f>'[52]Prof (MC)'!$B$4</f>
        <v>8.2895033347234026</v>
      </c>
      <c r="V53" s="1">
        <f>'[52]Prof (MC)'!$C$4</f>
        <v>8.2934097738504828</v>
      </c>
      <c r="W53" s="1">
        <f>'[52]Prof (MC)'!$W$132</f>
        <v>7.2360853500310451</v>
      </c>
      <c r="X53" s="1">
        <f>'[52]Prof (MC)'!$Z$132</f>
        <v>9.4459193931452177</v>
      </c>
    </row>
    <row r="54" spans="1:24" x14ac:dyDescent="0.2">
      <c r="A54" t="s">
        <v>70</v>
      </c>
      <c r="B54" t="s">
        <v>434</v>
      </c>
      <c r="C54">
        <v>1400</v>
      </c>
      <c r="E54" s="1">
        <f>[53]All!B$9</f>
        <v>10.067632</v>
      </c>
      <c r="F54" s="1">
        <f>[53]All!C$9</f>
        <v>8.9236512000000001</v>
      </c>
      <c r="G54" s="1">
        <f>[53]All!D$9</f>
        <v>8.1862220000000008</v>
      </c>
      <c r="H54" s="1">
        <f>[53]All!E$9</f>
        <v>8.3108631000000006</v>
      </c>
      <c r="I54" s="1">
        <f>[53]All!F$9</f>
        <v>9.7571480000000008</v>
      </c>
      <c r="J54" s="1">
        <f>[53]All!G$9</f>
        <v>8.8165732000000006</v>
      </c>
      <c r="K54" s="1">
        <f>[53]All!H$9</f>
        <v>10.077999</v>
      </c>
      <c r="L54" s="1">
        <f>[53]All!I$9</f>
        <v>9.0594090999999999</v>
      </c>
      <c r="M54" s="1">
        <f>[53]All!J$9</f>
        <v>8.1091329000000005</v>
      </c>
      <c r="N54" s="1">
        <f>[53]All!K$9</f>
        <v>9.0401038000000007</v>
      </c>
      <c r="O54" s="1">
        <f>[53]All!L$9</f>
        <v>9.2496617000000008</v>
      </c>
      <c r="Q54" s="1">
        <f>[53]All!N$9</f>
        <v>9.0610430999999991</v>
      </c>
      <c r="R54" s="1">
        <f>[53]All!O$9</f>
        <v>9.0543996363636374</v>
      </c>
      <c r="S54" s="1">
        <f>[53]All!P$9</f>
        <v>9.0401038000000007</v>
      </c>
      <c r="U54" s="1">
        <f>'[53]Prof (MC)'!$B$4</f>
        <v>9.0346508000087695</v>
      </c>
      <c r="V54" s="1">
        <f>'[53]Prof (MC)'!$C$4</f>
        <v>9.0965585489218768</v>
      </c>
      <c r="W54" s="1">
        <f>'[53]Prof (MC)'!$W$138</f>
        <v>7.417196090702463</v>
      </c>
      <c r="X54" s="1">
        <f>'[53]Prof (MC)'!$Z$138</f>
        <v>10.991271506134979</v>
      </c>
    </row>
    <row r="55" spans="1:24" x14ac:dyDescent="0.2">
      <c r="A55" t="s">
        <v>71</v>
      </c>
      <c r="B55" t="s">
        <v>435</v>
      </c>
      <c r="C55">
        <v>1400</v>
      </c>
      <c r="E55" s="1">
        <f>[54]All!B$9</f>
        <v>7.409311660891662</v>
      </c>
      <c r="F55" s="1">
        <f>[54]All!C$9</f>
        <v>8.1703855452586094</v>
      </c>
      <c r="G55" s="1">
        <f>[54]All!D$9</f>
        <v>6.9738085020307539</v>
      </c>
      <c r="H55" s="1">
        <f>[54]All!E$9</f>
        <v>7.9452041189548339</v>
      </c>
      <c r="I55" s="1">
        <f>[54]All!F$9</f>
        <v>6.7102032347798373</v>
      </c>
      <c r="J55" s="1">
        <f>[54]All!G$9</f>
        <v>8.4615204731663898</v>
      </c>
      <c r="K55" s="1">
        <f>[54]All!H$9</f>
        <v>6.8851413904492649</v>
      </c>
      <c r="L55" s="1">
        <f>[54]All!I$9</f>
        <v>8.8805018969202827</v>
      </c>
      <c r="M55" s="1">
        <f>[54]All!J$9</f>
        <v>8.1662351034468852</v>
      </c>
      <c r="N55" s="1">
        <f>[54]All!K$9</f>
        <v>7.3950329524777514</v>
      </c>
      <c r="O55" s="1">
        <f>[54]All!L$9</f>
        <v>7.0888848729525442</v>
      </c>
      <c r="Q55" s="1">
        <f>[54]All!N$9</f>
        <v>7.6964773589094362</v>
      </c>
      <c r="R55" s="1">
        <f>[54]All!O$9</f>
        <v>7.6442027046662551</v>
      </c>
      <c r="S55" s="1">
        <f>[54]All!P$9</f>
        <v>7.409311660891662</v>
      </c>
      <c r="U55" s="1">
        <f>'[54]Prof (MC)'!$B$4</f>
        <v>7.5977515750882825</v>
      </c>
      <c r="V55" s="1">
        <f>'[54]Prof (MC)'!$C$4</f>
        <v>7.6162253323209121</v>
      </c>
      <c r="W55" s="1">
        <f>'[54]Prof (MC)'!$W$116</f>
        <v>6.181331696180699</v>
      </c>
      <c r="X55" s="1">
        <f>'[54]Prof (MC)'!$Z$116</f>
        <v>9.2625917304714687</v>
      </c>
    </row>
    <row r="56" spans="1:24" x14ac:dyDescent="0.2">
      <c r="A56" t="s">
        <v>72</v>
      </c>
      <c r="B56" t="s">
        <v>435</v>
      </c>
      <c r="C56">
        <v>1400</v>
      </c>
      <c r="E56" s="1">
        <f>[55]All!B$9</f>
        <v>2.211239894648072</v>
      </c>
      <c r="F56" s="1">
        <f>[55]All!C$9</f>
        <v>1.5392201250174271</v>
      </c>
      <c r="G56" s="1">
        <f>[55]All!D$9</f>
        <v>1.5060122210989539</v>
      </c>
      <c r="H56" s="1">
        <f>[55]All!E$9</f>
        <v>1.8036465780709807</v>
      </c>
      <c r="I56" s="1">
        <f>[55]All!F$9</f>
        <v>1.7022157080065363</v>
      </c>
      <c r="J56" s="1">
        <f>[55]All!G$9</f>
        <v>2.3015926521866037</v>
      </c>
      <c r="K56" s="1">
        <f>[55]All!H$9</f>
        <v>1.8438274210347116</v>
      </c>
      <c r="L56" s="1">
        <f>[55]All!I$9</f>
        <v>2.0280621912906929</v>
      </c>
      <c r="M56" s="1">
        <f>[55]All!J$9</f>
        <v>2.6647297261944147</v>
      </c>
      <c r="N56" s="1">
        <f>[55]All!K$9</f>
        <v>1.9166392833418264</v>
      </c>
      <c r="O56" s="1">
        <f>[55]All!L$9</f>
        <v>1.7733177086039553</v>
      </c>
      <c r="Q56" s="1">
        <f>[55]All!N$9</f>
        <v>1.9751875322619372</v>
      </c>
      <c r="R56" s="1">
        <f>[55]All!O$9</f>
        <v>1.9355003190449251</v>
      </c>
      <c r="S56" s="1">
        <f>[55]All!P$9</f>
        <v>1.8438274210347116</v>
      </c>
      <c r="U56" s="1">
        <f>'[55]Prof (MC)'!$B$4</f>
        <v>1.8603166547838812</v>
      </c>
      <c r="V56" s="1">
        <f>'[55]Prof (MC)'!$C$4</f>
        <v>1.8900864541100242</v>
      </c>
      <c r="W56" s="1">
        <f>'[55]Prof (MC)'!$W$104</f>
        <v>1.0399139770433234</v>
      </c>
      <c r="X56" s="1">
        <f>'[55]Prof (MC)'!$Z$104</f>
        <v>2.814094662627793</v>
      </c>
    </row>
    <row r="57" spans="1:24" x14ac:dyDescent="0.2">
      <c r="A57" t="s">
        <v>73</v>
      </c>
      <c r="B57" t="s">
        <v>435</v>
      </c>
      <c r="C57">
        <v>1400</v>
      </c>
      <c r="E57" s="1">
        <f>[56]All!B$9</f>
        <v>1.7907312232743882</v>
      </c>
      <c r="F57" s="1">
        <f>[56]All!C$9</f>
        <v>1.5313826902986345</v>
      </c>
      <c r="G57" s="1">
        <f>[56]All!D$9</f>
        <v>1.7419380917595519</v>
      </c>
      <c r="H57" s="1">
        <f>[56]All!E$9</f>
        <v>0.56926383653245594</v>
      </c>
      <c r="I57" s="1">
        <f>[56]All!F$9</f>
        <v>1.0195075683732526</v>
      </c>
      <c r="J57" s="1">
        <f>[56]All!G$9</f>
        <v>1.2480365448042161</v>
      </c>
      <c r="K57" s="1">
        <f>[56]All!H$9</f>
        <v>0.33474276607369813</v>
      </c>
      <c r="L57" s="1">
        <f>[56]All!I$9</f>
        <v>1.8252224399480349E-2</v>
      </c>
      <c r="M57" s="1">
        <f>[56]All!J$9</f>
        <v>1.2281812808995034E-2</v>
      </c>
      <c r="N57" s="1">
        <f>[56]All!K$9</f>
        <v>0.78531253148756763</v>
      </c>
      <c r="O57" s="1">
        <f>[56]All!L$9</f>
        <v>1.3246769583932603</v>
      </c>
      <c r="Q57" s="1">
        <f>[56]All!N$9</f>
        <v>1.213896798224962</v>
      </c>
      <c r="R57" s="1">
        <f>[56]All!O$9</f>
        <v>0.9432842043823183</v>
      </c>
      <c r="S57" s="1">
        <f>[56]All!P$9</f>
        <v>1.0195075683732526</v>
      </c>
      <c r="U57" s="1">
        <f>'[56]Prof (MC)'!$B$4</f>
        <v>1.1427004088319568</v>
      </c>
      <c r="V57" s="1">
        <f>'[56]Prof (MC)'!$C$4</f>
        <v>1.0819927754890397</v>
      </c>
      <c r="W57" s="1">
        <f>'[56]Prof (MC)'!$W$98</f>
        <v>0.14543531734102777</v>
      </c>
      <c r="X57" s="1">
        <f>'[56]Prof (MC)'!$Z$98</f>
        <v>2.0742114788435573</v>
      </c>
    </row>
    <row r="58" spans="1:24" x14ac:dyDescent="0.2">
      <c r="A58" t="s">
        <v>74</v>
      </c>
      <c r="B58" t="s">
        <v>434</v>
      </c>
      <c r="C58">
        <v>1900</v>
      </c>
      <c r="E58" s="1">
        <f>[57]All!B$9</f>
        <v>4.3973545607980853</v>
      </c>
      <c r="F58" s="1">
        <f>[57]All!C$9</f>
        <v>4.10044208673248</v>
      </c>
      <c r="G58" s="1">
        <f>[57]All!D$9</f>
        <v>4.0667380881570212</v>
      </c>
      <c r="H58" s="1">
        <f>[57]All!E$9</f>
        <v>4.0403135717583405</v>
      </c>
      <c r="I58" s="1">
        <f>[57]All!F$9</f>
        <v>3.5868275790508686</v>
      </c>
      <c r="J58" s="1">
        <f>[57]All!G$9</f>
        <v>4.2666228749148525</v>
      </c>
      <c r="K58" s="1">
        <f>[57]All!H$9</f>
        <v>4.1419644406923339</v>
      </c>
      <c r="L58" s="1">
        <f>[57]All!I$9</f>
        <v>4.8586874042169086</v>
      </c>
      <c r="M58" s="1">
        <f>[57]All!J$9</f>
        <v>5.3738268302565135</v>
      </c>
      <c r="N58" s="1">
        <f>[57]All!K$9</f>
        <v>4.7720934200848699</v>
      </c>
      <c r="O58" s="1">
        <f>[57]All!L$9</f>
        <v>5.1123397328191036</v>
      </c>
      <c r="Q58" s="1">
        <f>[57]All!N$9</f>
        <v>4.3826838850560037</v>
      </c>
      <c r="R58" s="1">
        <f>[57]All!O$9</f>
        <v>4.4288373263164891</v>
      </c>
      <c r="S58" s="1">
        <f>[57]All!P$9</f>
        <v>4.2666228749148525</v>
      </c>
      <c r="U58" s="1">
        <f>'[57]Prof (MC)'!$B$4</f>
        <v>4.3099278885806163</v>
      </c>
      <c r="V58" s="1">
        <f>'[57]Prof (MC)'!$C$4</f>
        <v>4.3198474928032562</v>
      </c>
      <c r="W58" s="1">
        <f>'[57]Prof (MC)'!$W$94</f>
        <v>3.3370680195028406</v>
      </c>
      <c r="X58" s="1">
        <f>'[57]Prof (MC)'!$Z$94</f>
        <v>5.3225068132145417</v>
      </c>
    </row>
    <row r="59" spans="1:24" x14ac:dyDescent="0.2">
      <c r="A59" t="s">
        <v>75</v>
      </c>
      <c r="B59" t="s">
        <v>435</v>
      </c>
      <c r="C59">
        <v>1900</v>
      </c>
      <c r="E59" s="1">
        <f>[58]All!B$9</f>
        <v>5.5304357030133806</v>
      </c>
      <c r="F59" s="1">
        <f>[58]All!C$9</f>
        <v>6.1126782320485056</v>
      </c>
      <c r="G59" s="1">
        <f>[58]All!D$9</f>
        <v>6.6501798848600382</v>
      </c>
      <c r="H59" s="1">
        <f>[58]All!E$9</f>
        <v>6.4151197338110526</v>
      </c>
      <c r="I59" s="1">
        <f>[58]All!F$9</f>
        <v>5.1876433552822245</v>
      </c>
      <c r="J59" s="1">
        <f>[58]All!G$9</f>
        <v>5.6603988233983973</v>
      </c>
      <c r="K59" s="1">
        <f>[58]All!H$9</f>
        <v>4.8999496764476289</v>
      </c>
      <c r="L59" s="1">
        <f>[58]All!I$9</f>
        <v>5.1952242566080642</v>
      </c>
      <c r="M59" s="1">
        <f>[58]All!J$9</f>
        <v>4.8486993272820404</v>
      </c>
      <c r="N59" s="1">
        <f>[58]All!K$9</f>
        <v>5.3161090975244907</v>
      </c>
      <c r="O59" s="1">
        <f>[58]All!L$9</f>
        <v>5.8803056759792991</v>
      </c>
      <c r="Q59" s="1">
        <f>[58]All!N$9</f>
        <v>5.6046840278134589</v>
      </c>
      <c r="R59" s="1">
        <f>[58]All!O$9</f>
        <v>5.6087948878413743</v>
      </c>
      <c r="S59" s="1">
        <f>[58]All!P$9</f>
        <v>5.5304357030133806</v>
      </c>
      <c r="U59" s="1">
        <f>'[58]Prof (MC)'!$B$4</f>
        <v>5.6222459338658002</v>
      </c>
      <c r="V59" s="1">
        <f>'[58]Prof (MC)'!$C$4</f>
        <v>5.6258877041098811</v>
      </c>
      <c r="W59" s="1">
        <f>'[58]Prof (MC)'!$W$110</f>
        <v>4.8164356169965608</v>
      </c>
      <c r="X59" s="1">
        <f>'[58]Prof (MC)'!$Z$110</f>
        <v>6.6101532994330894</v>
      </c>
    </row>
    <row r="60" spans="1:24" x14ac:dyDescent="0.2">
      <c r="A60" t="s">
        <v>76</v>
      </c>
      <c r="B60" t="s">
        <v>435</v>
      </c>
      <c r="C60">
        <v>1900</v>
      </c>
      <c r="E60" s="1">
        <f>[59]All!B$9</f>
        <v>1.8454731</v>
      </c>
      <c r="F60" s="1">
        <f>[59]All!C$9</f>
        <v>2.2682025000000001</v>
      </c>
      <c r="G60" s="1">
        <f>[59]All!D$9</f>
        <v>2.7653796455541055</v>
      </c>
      <c r="H60" s="1">
        <f>[59]All!E$9</f>
        <v>2.6932076</v>
      </c>
      <c r="I60" s="1">
        <f>[59]All!F$9</f>
        <v>2.1585345999999999</v>
      </c>
      <c r="J60" s="1">
        <f>[59]All!G$9</f>
        <v>2.3753496600299719</v>
      </c>
      <c r="K60" s="1">
        <f>[59]All!H$9</f>
        <v>2.2533699622423851</v>
      </c>
      <c r="L60" s="1">
        <f>[59]All!I$9</f>
        <v>2.4985743062617178</v>
      </c>
      <c r="M60" s="1">
        <f>[59]All!J$9</f>
        <v>2.1143077410225803</v>
      </c>
      <c r="N60" s="1">
        <f>[59]All!K$9</f>
        <v>1.9935750000000001</v>
      </c>
      <c r="O60" s="1">
        <f>[59]All!L$9</f>
        <v>2.5501209999999999</v>
      </c>
      <c r="Q60" s="1">
        <f>[59]All!N$9</f>
        <v>2.3157776999999999</v>
      </c>
      <c r="R60" s="1">
        <f>[59]All!O$9</f>
        <v>2.3196450104646149</v>
      </c>
      <c r="S60" s="1">
        <f>[59]All!P$9</f>
        <v>2.2682025000000001</v>
      </c>
      <c r="U60" s="1">
        <f>'[59]Prof (MC)'!$B$4</f>
        <v>2.3146914842479105</v>
      </c>
      <c r="V60" s="1">
        <f>'[59]Prof (MC)'!$C$4</f>
        <v>2.3448916426488768</v>
      </c>
      <c r="W60" s="1">
        <f>'[59]Prof (MC)'!$W$98</f>
        <v>1.4831235405355645</v>
      </c>
      <c r="X60" s="1">
        <f>'[59]Prof (MC)'!$Z$98</f>
        <v>3.2258696595662903</v>
      </c>
    </row>
    <row r="61" spans="1:24" x14ac:dyDescent="0.2">
      <c r="A61" t="s">
        <v>77</v>
      </c>
      <c r="B61" t="s">
        <v>435</v>
      </c>
      <c r="C61">
        <v>1900</v>
      </c>
      <c r="E61" s="1">
        <f>[60]All!B$9</f>
        <v>2.3841249130007034</v>
      </c>
      <c r="F61" s="1">
        <f>[60]All!C$9</f>
        <v>2.8684952302158875</v>
      </c>
      <c r="G61" s="1">
        <f>[60]All!D$9</f>
        <v>3.5409269770474849</v>
      </c>
      <c r="H61" s="1">
        <f>[60]All!E$9</f>
        <v>3.9528781420085193</v>
      </c>
      <c r="I61" s="1">
        <f>[60]All!F$9</f>
        <v>3.1559521617481079</v>
      </c>
      <c r="J61" s="1">
        <f>[60]All!G$9</f>
        <v>2.3409163205633172</v>
      </c>
      <c r="K61" s="1">
        <f>[60]All!H$9</f>
        <v>3.3690270799703788</v>
      </c>
      <c r="L61" s="1">
        <f>[60]All!I$9</f>
        <v>3.0669076625386169</v>
      </c>
      <c r="M61" s="1">
        <f>[60]All!J$9</f>
        <v>2.9217060443873821</v>
      </c>
      <c r="N61" s="1">
        <f>[60]All!K$9</f>
        <v>2.2288399769132687</v>
      </c>
      <c r="O61" s="1">
        <f>[60]All!L$9</f>
        <v>2.625246242105884</v>
      </c>
      <c r="Q61" s="1">
        <f>[60]All!N$9</f>
        <v>2.9552440204062251</v>
      </c>
      <c r="R61" s="1">
        <f>[60]All!O$9</f>
        <v>2.9504564318635955</v>
      </c>
      <c r="S61" s="1">
        <f>[60]All!P$9</f>
        <v>2.9217060443873821</v>
      </c>
      <c r="U61" s="1">
        <f>'[60]Prof (MC)'!$B$4</f>
        <v>2.8693153164067939</v>
      </c>
      <c r="V61" s="1">
        <f>'[60]Prof (MC)'!$C$4</f>
        <v>2.91975628511458</v>
      </c>
      <c r="W61" s="1">
        <f>'[60]Prof (MC)'!$W$80</f>
        <v>1.723217636179178</v>
      </c>
      <c r="X61" s="1">
        <f>'[60]Prof (MC)'!$Z$80</f>
        <v>4.6946301520223299</v>
      </c>
    </row>
    <row r="62" spans="1:24" x14ac:dyDescent="0.2">
      <c r="A62" t="s">
        <v>78</v>
      </c>
      <c r="B62" t="s">
        <v>435</v>
      </c>
      <c r="C62">
        <v>1900</v>
      </c>
      <c r="E62" s="1">
        <f>[61]All!B$9</f>
        <v>1.9172667159969781</v>
      </c>
      <c r="F62" s="1">
        <f>[61]All!C$9</f>
        <v>2.3764770957249337</v>
      </c>
      <c r="G62" s="1">
        <f>[61]All!D$9</f>
        <v>2.101705470060403</v>
      </c>
      <c r="H62" s="1">
        <f>[61]All!E$9</f>
        <v>2.3116607643535958</v>
      </c>
      <c r="I62" s="1">
        <f>[61]All!F$9</f>
        <v>2.6302149427296611</v>
      </c>
      <c r="J62" s="1">
        <f>[61]All!G$9</f>
        <v>2.0667590698819329</v>
      </c>
      <c r="K62" s="1">
        <f>[61]All!H$9</f>
        <v>2.2747964989267122</v>
      </c>
      <c r="L62" s="1">
        <f>[61]All!I$9</f>
        <v>2.407369393780844</v>
      </c>
      <c r="M62" s="1">
        <f>[61]All!J$9</f>
        <v>2.7635707293373963</v>
      </c>
      <c r="N62" s="1">
        <f>[61]All!K$9</f>
        <v>2.046941992239641</v>
      </c>
      <c r="O62" s="1">
        <f>[61]All!L$9</f>
        <v>2.7240088658208075</v>
      </c>
      <c r="Q62" s="1">
        <f>[61]All!N$9</f>
        <v>2.3842406655915598</v>
      </c>
      <c r="R62" s="1">
        <f>[61]All!O$9</f>
        <v>2.3291610489866277</v>
      </c>
      <c r="S62" s="1">
        <f>[61]All!P$9</f>
        <v>2.3116607643535958</v>
      </c>
      <c r="U62" s="1">
        <f>'[61]Prof (MC)'!$B$4</f>
        <v>2.3689571046467868</v>
      </c>
      <c r="V62" s="1">
        <f>'[61]Prof (MC)'!$C$4</f>
        <v>2.4050415218785677</v>
      </c>
      <c r="W62" s="1">
        <f>'[61]Prof (MC)'!$W$80</f>
        <v>1.6014086521251787</v>
      </c>
      <c r="X62" s="1">
        <f>'[61]Prof (MC)'!$Z$80</f>
        <v>3.3539120998891301</v>
      </c>
    </row>
    <row r="63" spans="1:24" x14ac:dyDescent="0.2">
      <c r="A63" t="s">
        <v>79</v>
      </c>
      <c r="B63" t="s">
        <v>434</v>
      </c>
      <c r="C63">
        <v>1900</v>
      </c>
      <c r="E63" s="1">
        <f>[62]All!B$9</f>
        <v>3.8119258983445432</v>
      </c>
      <c r="F63" s="1">
        <f>[62]All!C$9</f>
        <v>0.20579569407349885</v>
      </c>
      <c r="G63" s="1">
        <f>[62]All!D$9</f>
        <v>5.2926029036833553</v>
      </c>
      <c r="H63" s="1">
        <f>[62]All!E$9</f>
        <v>0.29486357929479917</v>
      </c>
      <c r="I63" s="1">
        <f>[62]All!F$9</f>
        <v>6.2501533640740714</v>
      </c>
      <c r="J63" s="1">
        <f>[62]All!G$9</f>
        <v>0.71623175534185413</v>
      </c>
      <c r="K63" s="1">
        <f>[62]All!H$9</f>
        <v>2.3307684330087852</v>
      </c>
      <c r="L63" s="1">
        <f>[62]All!I$9</f>
        <v>3.1640962199011717</v>
      </c>
      <c r="M63" s="1">
        <f>[62]All!J$9</f>
        <v>8.4381442407468121</v>
      </c>
      <c r="N63" s="1">
        <f>[62]All!K$9</f>
        <v>3.9481290235737596</v>
      </c>
      <c r="O63" s="1">
        <f>[62]All!L$9</f>
        <v>4.622732108950274E-2</v>
      </c>
      <c r="Q63" s="1">
        <f>[62]All!N$9</f>
        <v>3.7140878140209939</v>
      </c>
      <c r="R63" s="1">
        <f>[62]All!O$9</f>
        <v>3.1362671302847414</v>
      </c>
      <c r="S63" s="1">
        <f>[62]All!P$9</f>
        <v>3.1640962199011717</v>
      </c>
      <c r="U63" s="1">
        <f>'[62]Prof (MC)'!$B$4</f>
        <v>3.3125907845590907</v>
      </c>
      <c r="V63" s="1">
        <f>'[62]Prof (MC)'!$C$4</f>
        <v>3.3418171836607629</v>
      </c>
      <c r="W63" s="1">
        <f>'[62]Prof (MC)'!$W$98</f>
        <v>8.582149097848949E-6</v>
      </c>
      <c r="X63" s="1">
        <f>'[62]Prof (MC)'!$Z$98</f>
        <v>6.9005278639792857</v>
      </c>
    </row>
    <row r="64" spans="1:24" x14ac:dyDescent="0.2">
      <c r="A64" t="s">
        <v>80</v>
      </c>
      <c r="B64" t="s">
        <v>434</v>
      </c>
      <c r="C64">
        <v>1900</v>
      </c>
      <c r="E64" s="1">
        <f>[63]All!B$9</f>
        <v>7.1838711505627897</v>
      </c>
      <c r="F64" s="1">
        <f>[63]All!C$9</f>
        <v>5.2955292945160757</v>
      </c>
      <c r="G64" s="1">
        <f>[63]All!D$9</f>
        <v>5.072704775070096</v>
      </c>
      <c r="H64" s="1">
        <f>[63]All!E$9</f>
        <v>8.4067756833400296</v>
      </c>
      <c r="I64" s="1">
        <f>[63]All!F$9</f>
        <v>6.9608206995504531</v>
      </c>
      <c r="J64" s="1">
        <f>[63]All!G$9</f>
        <v>5.3796467852111096</v>
      </c>
      <c r="K64" s="1">
        <f>[63]All!H$9</f>
        <v>6.5994063181923588</v>
      </c>
      <c r="L64" s="1">
        <f>[63]All!I$9</f>
        <v>5.3254817131620102</v>
      </c>
      <c r="M64" s="1">
        <f>[63]All!J$9</f>
        <v>7.5183621196341148</v>
      </c>
      <c r="N64" s="1">
        <f>[63]All!K$9</f>
        <v>11.339590939987175</v>
      </c>
      <c r="O64" s="1">
        <f>[63]All!L$9</f>
        <v>8.6253163148846159</v>
      </c>
      <c r="Q64" s="1">
        <f>[63]All!N$9</f>
        <v>6.7028365774836542</v>
      </c>
      <c r="R64" s="1">
        <f>[63]All!O$9</f>
        <v>7.064318708555529</v>
      </c>
      <c r="S64" s="1">
        <f>[63]All!P$9</f>
        <v>6.9608206995504531</v>
      </c>
      <c r="U64" s="1">
        <f>'[63]Prof (MC)'!$B$4</f>
        <v>6.9354380923049934</v>
      </c>
      <c r="V64" s="1">
        <f>'[63]Prof (MC)'!$C$4</f>
        <v>7.1986169517361125</v>
      </c>
      <c r="W64" s="1">
        <f>'[63]Prof (MC)'!$W$124</f>
        <v>1.590965202499196</v>
      </c>
      <c r="X64" s="1">
        <f>'[63]Prof (MC)'!$Z$124</f>
        <v>15.252613780789176</v>
      </c>
    </row>
    <row r="65" spans="1:24" x14ac:dyDescent="0.2">
      <c r="A65" t="s">
        <v>81</v>
      </c>
      <c r="B65" t="s">
        <v>435</v>
      </c>
      <c r="C65">
        <v>1900</v>
      </c>
      <c r="E65" s="1">
        <f>[64]All!B$9</f>
        <v>4.6610609056406851</v>
      </c>
      <c r="F65" s="1">
        <f>[64]All!C$9</f>
        <v>0.47834004877085484</v>
      </c>
      <c r="G65" s="1">
        <f>[64]All!D$9</f>
        <v>6.4251578179189721</v>
      </c>
      <c r="H65" s="1">
        <f>[64]All!E$9</f>
        <v>5.0572167931541374</v>
      </c>
      <c r="I65" s="1">
        <f>[64]All!F$9</f>
        <v>6.7353633606615428</v>
      </c>
      <c r="J65" s="1">
        <f>[64]All!G$9</f>
        <v>6.8361766508383273</v>
      </c>
      <c r="K65" s="1">
        <f>[64]All!H$9</f>
        <v>4.8001510912922702</v>
      </c>
      <c r="L65" s="1">
        <f>[64]All!I$9</f>
        <v>0</v>
      </c>
      <c r="M65" s="1">
        <f>[64]All!J$9</f>
        <v>8.7439347603038406</v>
      </c>
      <c r="N65" s="1">
        <f>[64]All!K$9</f>
        <v>6.6267555097401605</v>
      </c>
      <c r="O65" s="1">
        <f>[64]All!L$9</f>
        <v>6.0981921386933449</v>
      </c>
      <c r="Q65" s="1">
        <f>[64]All!N$9</f>
        <v>6.3295617161364381</v>
      </c>
      <c r="R65" s="1">
        <f>[64]All!O$9</f>
        <v>5.6462349077014133</v>
      </c>
      <c r="S65" s="1">
        <f>[64]All!P$9</f>
        <v>6.2616749783061589</v>
      </c>
      <c r="U65" s="1">
        <f>'[64]Prof (MC)'!$B$4</f>
        <v>6.1802199031713645</v>
      </c>
      <c r="V65" s="1">
        <f>'[64]Prof (MC)'!$C$4</f>
        <v>6.3757434758307285</v>
      </c>
      <c r="W65" s="1">
        <f>'[64]Prof (MC)'!$W$124</f>
        <v>3.1424391421367268</v>
      </c>
      <c r="X65" s="1">
        <f>'[64]Prof (MC)'!$Z$124</f>
        <v>11.878382520479851</v>
      </c>
    </row>
    <row r="66" spans="1:24" x14ac:dyDescent="0.2">
      <c r="A66" t="s">
        <v>82</v>
      </c>
      <c r="B66" t="s">
        <v>434</v>
      </c>
      <c r="C66">
        <v>2050</v>
      </c>
      <c r="E66" s="1">
        <f>[65]All!B$9</f>
        <v>11.430051896870557</v>
      </c>
      <c r="F66" s="1">
        <f>[65]All!C$9</f>
        <v>10.069067631478447</v>
      </c>
      <c r="G66" s="1">
        <f>[65]All!D$9</f>
        <v>13.105897212325306</v>
      </c>
      <c r="H66" s="1">
        <f>[65]All!E$9</f>
        <v>11.400690713767567</v>
      </c>
      <c r="I66" s="1">
        <f>[65]All!F$9</f>
        <v>10.150448141393849</v>
      </c>
      <c r="J66" s="1">
        <f>[65]All!G$9</f>
        <v>10.384782897381042</v>
      </c>
      <c r="K66" s="1">
        <f>[65]All!H$9</f>
        <v>12.365654670001705</v>
      </c>
      <c r="L66" s="1">
        <f>[65]All!I$9</f>
        <v>12.242382160886221</v>
      </c>
      <c r="M66" s="1">
        <f>[65]All!J$9</f>
        <v>9.5247422896441591</v>
      </c>
      <c r="N66" s="1">
        <f>[65]All!K$9</f>
        <v>13.019594610833604</v>
      </c>
      <c r="O66" s="1">
        <f>[65]All!L$9</f>
        <v>10.456858059656824</v>
      </c>
      <c r="Q66" s="1">
        <f>[65]All!N$9</f>
        <v>11.267587631253685</v>
      </c>
      <c r="R66" s="1">
        <f>[65]All!O$9</f>
        <v>11.286379116749027</v>
      </c>
      <c r="S66" s="1">
        <f>[65]All!P$9</f>
        <v>11.400690713767567</v>
      </c>
      <c r="U66" s="1">
        <f>'[65]Prof (MC)'!$B$4</f>
        <v>11.304621632998785</v>
      </c>
      <c r="V66" s="1">
        <f>'[65]Prof (MC)'!$C$4</f>
        <v>11.335650851994364</v>
      </c>
      <c r="W66" s="1">
        <f>'[65]Prof (MC)'!$W$142</f>
        <v>9.4612256494098084</v>
      </c>
      <c r="X66" s="1">
        <f>'[65]Prof (MC)'!$Z$142</f>
        <v>13.291553296880595</v>
      </c>
    </row>
    <row r="67" spans="1:24" x14ac:dyDescent="0.2">
      <c r="A67" t="s">
        <v>83</v>
      </c>
      <c r="B67" t="s">
        <v>435</v>
      </c>
      <c r="C67">
        <v>2050</v>
      </c>
      <c r="E67" s="1">
        <f>[66]All!B$9</f>
        <v>6.2608812339629702</v>
      </c>
      <c r="F67" s="1">
        <f>[66]All!C$9</f>
        <v>6.1649256388494296</v>
      </c>
      <c r="G67" s="1">
        <f>[66]All!D$9</f>
        <v>6.6485699974551542</v>
      </c>
      <c r="H67" s="1">
        <f>[66]All!E$9</f>
        <v>6.0630141659172434</v>
      </c>
      <c r="I67" s="1">
        <f>[66]All!F$9</f>
        <v>5.7913049972487771</v>
      </c>
      <c r="J67" s="1">
        <f>[66]All!G$9</f>
        <v>6.1050364186175949</v>
      </c>
      <c r="K67" s="1">
        <f>[66]All!H$9</f>
        <v>5.8529475516477563</v>
      </c>
      <c r="L67" s="1">
        <f>[66]All!I$9</f>
        <v>5.6860206803063518</v>
      </c>
      <c r="M67" s="1">
        <f>[66]All!J$9</f>
        <v>6.4693055948322984</v>
      </c>
      <c r="N67" s="1">
        <f>[66]All!K$9</f>
        <v>6.9409755003347184</v>
      </c>
      <c r="O67" s="1">
        <f>[66]All!L$9</f>
        <v>6.1569090715754395</v>
      </c>
      <c r="Q67" s="1">
        <f>[66]All!N$9</f>
        <v>6.2167599019822237</v>
      </c>
      <c r="R67" s="1">
        <f>[66]All!O$9</f>
        <v>6.1945355318861575</v>
      </c>
      <c r="S67" s="1">
        <f>[66]All!P$9</f>
        <v>6.1569090715754395</v>
      </c>
      <c r="U67" s="1">
        <f>'[66]Prof (MC)'!$B$4</f>
        <v>6.1661114000000001</v>
      </c>
      <c r="V67" s="1">
        <f>'[66]Prof (MC)'!$C$4</f>
        <v>6.1760029910826573</v>
      </c>
      <c r="W67" s="1">
        <f>'[66]Prof (MC)'!$W$118</f>
        <v>5.1195883115218654</v>
      </c>
      <c r="X67" s="1">
        <f>'[66]Prof (MC)'!$Z$118</f>
        <v>7.2533535950621975</v>
      </c>
    </row>
    <row r="68" spans="1:24" x14ac:dyDescent="0.2">
      <c r="A68" t="s">
        <v>84</v>
      </c>
      <c r="B68" t="s">
        <v>435</v>
      </c>
      <c r="C68">
        <v>2050</v>
      </c>
      <c r="E68" s="1">
        <f>[67]All!B$9</f>
        <v>4.4690347933707883</v>
      </c>
      <c r="F68" s="1">
        <f>[67]All!C$9</f>
        <v>4.9241584184161589</v>
      </c>
      <c r="G68" s="1">
        <f>[67]All!D$9</f>
        <v>5.6589417697698892</v>
      </c>
      <c r="H68" s="1">
        <f>[67]All!E$9</f>
        <v>4.8400693307864096</v>
      </c>
      <c r="I68" s="1">
        <f>[67]All!F$9</f>
        <v>5.7663407724204037</v>
      </c>
      <c r="J68" s="1">
        <f>[67]All!G$9</f>
        <v>6.5249210433703251</v>
      </c>
      <c r="K68" s="1">
        <f>[67]All!H$9</f>
        <v>5.2638918659731955</v>
      </c>
      <c r="L68" s="1">
        <f>[67]All!I$9</f>
        <v>3.8110835347640282</v>
      </c>
      <c r="M68" s="1">
        <f>[67]All!J$9</f>
        <v>4.9150548349323042</v>
      </c>
      <c r="N68" s="1">
        <f>[67]All!K$9</f>
        <v>3.3847399037328585</v>
      </c>
      <c r="O68" s="1">
        <f>[67]All!L$9</f>
        <v>5.3611648342743869</v>
      </c>
      <c r="Q68" s="1">
        <f>[67]All!N$9</f>
        <v>4.9858735966780214</v>
      </c>
      <c r="R68" s="1">
        <f>[67]All!O$9</f>
        <v>4.9926728274373406</v>
      </c>
      <c r="S68" s="1">
        <f>[67]All!P$9</f>
        <v>4.9241584184161589</v>
      </c>
      <c r="U68" s="1">
        <f>'[67]Prof (MC)'!$B$4</f>
        <v>5.106684908908826</v>
      </c>
      <c r="V68" s="1">
        <f>'[67]Prof (MC)'!$C$4</f>
        <v>5.1616009961071017</v>
      </c>
      <c r="W68" s="1">
        <f>'[67]Prof (MC)'!$W$106</f>
        <v>3.4461265763738207</v>
      </c>
      <c r="X68" s="1">
        <f>'[67]Prof (MC)'!$Z$106</f>
        <v>7.3725261567117668</v>
      </c>
    </row>
    <row r="69" spans="1:24" x14ac:dyDescent="0.2">
      <c r="A69" t="s">
        <v>85</v>
      </c>
      <c r="B69" t="s">
        <v>435</v>
      </c>
      <c r="C69">
        <v>2050</v>
      </c>
      <c r="E69" s="1">
        <f>[68]All!B$9</f>
        <v>1.0621558332146281</v>
      </c>
      <c r="F69" s="1">
        <f>[68]All!C$9</f>
        <v>1.9214245820266125</v>
      </c>
      <c r="G69" s="1">
        <f>[68]All!D$9</f>
        <v>1.1317275</v>
      </c>
      <c r="H69" s="1">
        <f>[68]All!E$9</f>
        <v>0.88703673000000005</v>
      </c>
      <c r="I69" s="1">
        <f>[68]All!F$9</f>
        <v>1.1664354508540751</v>
      </c>
      <c r="J69" s="1">
        <f>[68]All!G$9</f>
        <v>1.4807662529089918</v>
      </c>
      <c r="K69" s="1">
        <f>[68]All!H$9</f>
        <v>0.17261204999999999</v>
      </c>
      <c r="L69" s="1">
        <f>[68]All!I$9</f>
        <v>1.1736169642992629</v>
      </c>
      <c r="M69" s="1">
        <f>[68]All!J$9</f>
        <v>1.5532581000000001</v>
      </c>
      <c r="N69" s="1">
        <f>[68]All!K$9</f>
        <v>1.4510981999999999</v>
      </c>
      <c r="O69" s="1">
        <f>[68]All!L$9</f>
        <v>1.4547643394239882</v>
      </c>
      <c r="Q69" s="1">
        <f>[68]All!N$9</f>
        <v>1.3976061</v>
      </c>
      <c r="R69" s="1">
        <f>[68]All!O$9</f>
        <v>1.2231723638843237</v>
      </c>
      <c r="S69" s="1">
        <f>[68]All!P$9</f>
        <v>1.1736169642992629</v>
      </c>
      <c r="U69" s="1">
        <f>'[68]Prof (MC)'!$B$4</f>
        <v>1.3410004617402085</v>
      </c>
      <c r="V69" s="1">
        <f>'[68]Prof (MC)'!$C$4</f>
        <v>1.3417990659745969</v>
      </c>
      <c r="W69" s="1">
        <f>'[68]Prof (MC)'!$W$90</f>
        <v>0.24864072106409199</v>
      </c>
      <c r="X69" s="1">
        <f>'[68]Prof (MC)'!$Z$90</f>
        <v>2.473984714133469</v>
      </c>
    </row>
    <row r="70" spans="1:24" x14ac:dyDescent="0.2">
      <c r="A70" t="s">
        <v>86</v>
      </c>
      <c r="B70" t="s">
        <v>434</v>
      </c>
      <c r="C70">
        <v>2100</v>
      </c>
      <c r="E70" s="1">
        <f>[69]All!B$9</f>
        <v>5.1745944548852556</v>
      </c>
      <c r="F70" s="1">
        <f>[69]All!C$9</f>
        <v>5.0167142512239007</v>
      </c>
      <c r="G70" s="1">
        <f>[69]All!D$9</f>
        <v>6.0128501353939114</v>
      </c>
      <c r="H70" s="1">
        <f>[69]All!E$9</f>
        <v>6.5074229366800296</v>
      </c>
      <c r="I70" s="1">
        <f>[69]All!F$9</f>
        <v>6.5779838261109829</v>
      </c>
      <c r="J70" s="1">
        <f>[69]All!G$9</f>
        <v>6.0841182122337942</v>
      </c>
      <c r="K70" s="1">
        <f>[69]All!H$9</f>
        <v>5.4784053494982121</v>
      </c>
      <c r="L70" s="1">
        <f>[69]All!I$9</f>
        <v>4.5746108994698238</v>
      </c>
      <c r="M70" s="1">
        <f>[69]All!J$9</f>
        <v>5.1214438441533545</v>
      </c>
      <c r="N70" s="1">
        <f>[69]All!K$9</f>
        <v>4.096439037500299</v>
      </c>
      <c r="O70" s="1">
        <f>[69]All!L$9</f>
        <v>4.9031078019484493</v>
      </c>
      <c r="Q70" s="1">
        <f>[69]All!N$9</f>
        <v>5.4363592917555783</v>
      </c>
      <c r="R70" s="1">
        <f>[69]All!O$9</f>
        <v>5.4134264317361831</v>
      </c>
      <c r="S70" s="1">
        <f>[69]All!P$9</f>
        <v>5.1745944548852556</v>
      </c>
      <c r="U70" s="1">
        <f>'[69]Prof (MC)'!$B$4</f>
        <v>5.3603784871503866</v>
      </c>
      <c r="V70" s="1">
        <f>'[69]Prof (MC)'!$C$4</f>
        <v>5.371387534530478</v>
      </c>
      <c r="W70" s="1">
        <f>'[69]Prof (MC)'!$W$116</f>
        <v>4.5445546744933942</v>
      </c>
      <c r="X70" s="1">
        <f>'[69]Prof (MC)'!$Z$116</f>
        <v>6.322774059050098</v>
      </c>
    </row>
    <row r="71" spans="1:24" x14ac:dyDescent="0.2">
      <c r="A71" t="s">
        <v>87</v>
      </c>
      <c r="B71" t="s">
        <v>435</v>
      </c>
      <c r="C71">
        <v>2100</v>
      </c>
      <c r="E71" s="1">
        <f>[70]All!B$9</f>
        <v>1.039750666994675</v>
      </c>
      <c r="F71" s="1">
        <f>[70]All!C$9</f>
        <v>1.1676163648825628</v>
      </c>
      <c r="G71" s="1">
        <f>[70]All!D$9</f>
        <v>1.8342213658580937</v>
      </c>
      <c r="H71" s="1">
        <f>[70]All!E$9</f>
        <v>1.8244516525644374</v>
      </c>
      <c r="I71" s="1">
        <f>[70]All!F$9</f>
        <v>1.6290288638669297</v>
      </c>
      <c r="J71" s="1">
        <f>[70]All!G$9</f>
        <v>1.3865722394323001</v>
      </c>
      <c r="K71" s="1">
        <f>[70]All!H$9</f>
        <v>1.4685767902936959</v>
      </c>
      <c r="L71" s="1">
        <f>[70]All!I$9</f>
        <v>1.6040951134940848</v>
      </c>
      <c r="M71" s="1">
        <f>[70]All!J$9</f>
        <v>1.7270873394007655</v>
      </c>
      <c r="N71" s="1">
        <f>[70]All!K$9</f>
        <v>1.4075675444221456</v>
      </c>
      <c r="O71" s="1">
        <f>[70]All!L$9</f>
        <v>1.5936986450981203</v>
      </c>
      <c r="Q71" s="1">
        <f>[70]All!N$9</f>
        <v>1.5385023109124998</v>
      </c>
      <c r="R71" s="1">
        <f>[70]All!O$9</f>
        <v>1.51660605330071</v>
      </c>
      <c r="S71" s="1">
        <f>[70]All!P$9</f>
        <v>1.5936986450981203</v>
      </c>
      <c r="U71" s="1">
        <f>'[70]Prof (MC)'!$B$4</f>
        <v>1.5276402187324372</v>
      </c>
      <c r="V71" s="1">
        <f>'[70]Prof (MC)'!$C$4</f>
        <v>1.485535348721537</v>
      </c>
      <c r="W71" s="1">
        <f>'[70]Prof (MC)'!$W$98</f>
        <v>0.58156571125041556</v>
      </c>
      <c r="X71" s="1">
        <f>'[70]Prof (MC)'!$Z$98</f>
        <v>2.131191650118208</v>
      </c>
    </row>
    <row r="72" spans="1:24" x14ac:dyDescent="0.2">
      <c r="A72" t="s">
        <v>88</v>
      </c>
      <c r="B72" t="s">
        <v>435</v>
      </c>
      <c r="C72">
        <v>2100</v>
      </c>
      <c r="E72" s="1">
        <f>[71]All!B$9</f>
        <v>1.6919008152130963</v>
      </c>
      <c r="F72" s="1">
        <f>[71]All!C$9</f>
        <v>0.60869727918440075</v>
      </c>
      <c r="G72" s="1">
        <f>[71]All!D$9</f>
        <v>2.4137482589043624</v>
      </c>
      <c r="H72" s="1">
        <f>[71]All!E$9</f>
        <v>1.9731789791261984</v>
      </c>
      <c r="I72" s="1">
        <f>[71]All!F$9</f>
        <v>0.81743284621663437</v>
      </c>
      <c r="J72" s="1">
        <f>[71]All!G$9</f>
        <v>0.88829677817673991</v>
      </c>
      <c r="K72" s="1">
        <f>[71]All!H$9</f>
        <v>1.0336212613671156</v>
      </c>
      <c r="L72" s="1">
        <f>[71]All!I$9</f>
        <v>3.4901230922407938</v>
      </c>
      <c r="M72" s="1">
        <f>[71]All!J$9</f>
        <v>2.5344927055394093</v>
      </c>
      <c r="N72" s="1">
        <f>[71]All!K$9</f>
        <v>1.6856089460141435</v>
      </c>
      <c r="O72" s="1">
        <f>[71]All!L$9</f>
        <v>2.4496515069588254</v>
      </c>
      <c r="Q72" s="1">
        <f>[71]All!N$9</f>
        <v>1.9511576664101258</v>
      </c>
      <c r="R72" s="1">
        <f>[71]All!O$9</f>
        <v>1.7806138608128839</v>
      </c>
      <c r="S72" s="1">
        <f>[71]All!P$9</f>
        <v>1.6919008152130963</v>
      </c>
      <c r="U72" s="1">
        <f>'[71]Prof (MC)'!$B$4</f>
        <v>1.8349084104606246</v>
      </c>
      <c r="V72" s="1">
        <f>'[71]Prof (MC)'!$C$4</f>
        <v>1.7719449701883432</v>
      </c>
      <c r="W72" s="1">
        <f>'[71]Prof (MC)'!$W$80</f>
        <v>0.25135240180378748</v>
      </c>
      <c r="X72" s="1">
        <f>'[71]Prof (MC)'!$Z$80</f>
        <v>3.1372358416028723</v>
      </c>
    </row>
    <row r="73" spans="1:24" x14ac:dyDescent="0.2">
      <c r="A73" t="s">
        <v>89</v>
      </c>
      <c r="B73" t="s">
        <v>435</v>
      </c>
      <c r="C73">
        <v>2100</v>
      </c>
      <c r="E73" s="1">
        <f>[72]All!B$9</f>
        <v>1.4519154425517358</v>
      </c>
      <c r="F73" s="1">
        <f>[72]All!C$9</f>
        <v>3.3187266117052183</v>
      </c>
      <c r="G73" s="1">
        <f>[72]All!D$9</f>
        <v>1.6912196979817071</v>
      </c>
      <c r="H73" s="1">
        <f>[72]All!E$9</f>
        <v>4.6011454436186687</v>
      </c>
      <c r="I73" s="1">
        <f>[72]All!F$9</f>
        <v>4.0092483070684528</v>
      </c>
      <c r="J73" s="1">
        <f>[72]All!G$9</f>
        <v>4.0021608325354086</v>
      </c>
      <c r="K73" s="1">
        <f>[72]All!H$9</f>
        <v>3.7581530319094663</v>
      </c>
      <c r="L73" s="1">
        <f>[72]All!I$9</f>
        <v>7.2349843668065645</v>
      </c>
      <c r="M73" s="1">
        <f>[72]All!J$9</f>
        <v>4.5229222514243439</v>
      </c>
      <c r="N73" s="1">
        <f>[72]All!K$9</f>
        <v>1.9543152047672858</v>
      </c>
      <c r="O73" s="1">
        <f>[72]All!L$9</f>
        <v>1.5657645755084448</v>
      </c>
      <c r="Q73" s="1">
        <f>[72]All!N$9</f>
        <v>3.3268436726132427</v>
      </c>
      <c r="R73" s="1">
        <f>[72]All!O$9</f>
        <v>3.4645959787161185</v>
      </c>
      <c r="S73" s="1">
        <f>[72]All!P$9</f>
        <v>3.7581530319094663</v>
      </c>
      <c r="U73" s="1">
        <f>'[72]Prof (MC)'!$B$4</f>
        <v>3.2099770243553669</v>
      </c>
      <c r="V73" s="1">
        <f>'[72]Prof (MC)'!$C$4</f>
        <v>3.4216713618709829</v>
      </c>
      <c r="W73" s="1">
        <f>'[72]Prof (MC)'!$W$90</f>
        <v>0.68815228302375253</v>
      </c>
      <c r="X73" s="1">
        <f>'[72]Prof (MC)'!$Z$90</f>
        <v>6.6150637062745208</v>
      </c>
    </row>
    <row r="74" spans="1:24" x14ac:dyDescent="0.2">
      <c r="A74" t="s">
        <v>90</v>
      </c>
      <c r="B74" t="s">
        <v>434</v>
      </c>
      <c r="C74">
        <v>1900</v>
      </c>
      <c r="E74" s="1">
        <f>[73]All!B$9</f>
        <v>2.9696726283104056</v>
      </c>
      <c r="F74" s="1">
        <f>[73]All!C$9</f>
        <v>3.4239837871105259</v>
      </c>
      <c r="G74" s="1">
        <f>[73]All!D$9</f>
        <v>4.1751860623750581</v>
      </c>
      <c r="H74" s="1">
        <f>[73]All!E$9</f>
        <v>3.0727639361606696</v>
      </c>
      <c r="I74" s="1">
        <f>[73]All!F$9</f>
        <v>5.4370790049156099</v>
      </c>
      <c r="J74" s="1">
        <f>[73]All!G$9</f>
        <v>3.2539908055859903</v>
      </c>
      <c r="K74" s="1">
        <f>[73]All!H$9</f>
        <v>4.538937302439936</v>
      </c>
      <c r="L74" s="1">
        <f>[73]All!I$9</f>
        <v>3.8376414398740919</v>
      </c>
      <c r="M74" s="1">
        <f>[73]All!J$9</f>
        <v>4.7375270681627866</v>
      </c>
      <c r="N74" s="1">
        <f>[73]All!K$9</f>
        <v>4.0059681857756839</v>
      </c>
      <c r="O74" s="1">
        <f>[73]All!L$9</f>
        <v>3.8612383889160737</v>
      </c>
      <c r="Q74" s="1">
        <f>[73]All!N$9</f>
        <v>3.8891662792404009</v>
      </c>
      <c r="R74" s="1">
        <f>[73]All!O$9</f>
        <v>3.9376353281478931</v>
      </c>
      <c r="S74" s="1">
        <f>[73]All!P$9</f>
        <v>3.8612383889160737</v>
      </c>
      <c r="U74" s="1">
        <f>'[73]Prof (MC)'!$B$4</f>
        <v>3.7988138474953006</v>
      </c>
      <c r="V74" s="1">
        <f>'[73]Prof (MC)'!$C$4</f>
        <v>3.7801523523910912</v>
      </c>
      <c r="W74" s="1">
        <f>'[73]Prof (MC)'!$W$94</f>
        <v>1.7154115414680777</v>
      </c>
      <c r="X74" s="1">
        <f>'[73]Prof (MC)'!$Z$94</f>
        <v>5.8511337465515387</v>
      </c>
    </row>
    <row r="75" spans="1:24" x14ac:dyDescent="0.2">
      <c r="A75" t="s">
        <v>91</v>
      </c>
      <c r="B75" t="s">
        <v>435</v>
      </c>
      <c r="C75">
        <v>1900</v>
      </c>
      <c r="E75" s="1">
        <f>[74]All!B$9</f>
        <v>2.8961398597461034</v>
      </c>
      <c r="F75" s="1">
        <f>[74]All!C$9</f>
        <v>2.6084048660496566</v>
      </c>
      <c r="G75" s="1">
        <f>[74]All!D$9</f>
        <v>2.2633032926459347</v>
      </c>
      <c r="H75" s="1">
        <f>[74]All!E$9</f>
        <v>2.9914512023680082</v>
      </c>
      <c r="I75" s="1">
        <f>[74]All!F$9</f>
        <v>2.3596796807336142</v>
      </c>
      <c r="J75" s="1">
        <f>[74]All!G$9</f>
        <v>2.3293724832465275</v>
      </c>
      <c r="K75" s="1">
        <f>[74]All!H$9</f>
        <v>2.1042127830404254</v>
      </c>
      <c r="L75" s="1">
        <f>[74]All!I$9</f>
        <v>3.0083491170394177</v>
      </c>
      <c r="M75" s="1">
        <f>[74]All!J$9</f>
        <v>3.2044345847468767</v>
      </c>
      <c r="N75" s="1">
        <f>[74]All!K$9</f>
        <v>2.9987528109927108</v>
      </c>
      <c r="O75" s="1">
        <f>[74]All!L$9</f>
        <v>2.6866235840732178</v>
      </c>
      <c r="Q75" s="1">
        <f>[74]All!N$9</f>
        <v>2.7000573512205719</v>
      </c>
      <c r="R75" s="1">
        <f>[74]All!O$9</f>
        <v>2.6773385695165901</v>
      </c>
      <c r="S75" s="1">
        <f>[74]All!P$9</f>
        <v>2.6866235840732178</v>
      </c>
      <c r="U75" s="1">
        <f>'[74]Prof (MC)'!$B$4</f>
        <v>2.7007381507515653</v>
      </c>
      <c r="V75" s="1">
        <f>'[74]Prof (MC)'!$C$4</f>
        <v>2.7304012860044429</v>
      </c>
      <c r="W75" s="1">
        <f>'[74]Prof (MC)'!$W$90</f>
        <v>1.8750180432254335</v>
      </c>
      <c r="X75" s="1">
        <f>'[74]Prof (MC)'!$Z$90</f>
        <v>3.7601936202127186</v>
      </c>
    </row>
    <row r="76" spans="1:24" x14ac:dyDescent="0.2">
      <c r="A76" t="s">
        <v>92</v>
      </c>
      <c r="B76" t="s">
        <v>435</v>
      </c>
      <c r="C76">
        <v>1900</v>
      </c>
      <c r="E76" s="1">
        <f>[75]All!B$9</f>
        <v>2.2591837322152482</v>
      </c>
      <c r="F76" s="1">
        <f>[75]All!C$9</f>
        <v>1.5695676060168264</v>
      </c>
      <c r="G76" s="1">
        <f>[75]All!D$9</f>
        <v>0.26522568000000002</v>
      </c>
      <c r="H76" s="1">
        <f>[75]All!E$9</f>
        <v>1.827647188267445</v>
      </c>
      <c r="I76" s="1">
        <f>[75]All!F$9</f>
        <v>1.7260180545238155</v>
      </c>
      <c r="J76" s="1">
        <f>[75]All!G$9</f>
        <v>2.1853118999999999</v>
      </c>
      <c r="K76" s="1">
        <f>[75]All!H$9</f>
        <v>1.142492E-2</v>
      </c>
      <c r="L76" s="1">
        <f>[75]All!I$9</f>
        <v>0.85505379999999997</v>
      </c>
      <c r="M76" s="1">
        <f>[75]All!J$9</f>
        <v>1.1036336968254854</v>
      </c>
      <c r="N76" s="1">
        <f>[75]All!K$9</f>
        <v>1.0749934214299839</v>
      </c>
      <c r="O76" s="1">
        <f>[75]All!L$9</f>
        <v>2.2665989157491038</v>
      </c>
      <c r="Q76" s="1">
        <f>[75]All!N$9</f>
        <v>1.7162628406851483</v>
      </c>
      <c r="R76" s="1">
        <f>[75]All!O$9</f>
        <v>1.3767871740934461</v>
      </c>
      <c r="S76" s="1">
        <f>[75]All!P$9</f>
        <v>1.5695676060168264</v>
      </c>
      <c r="U76" s="1">
        <f>'[75]Prof (MC)'!$B$4</f>
        <v>1.6361783644342409</v>
      </c>
      <c r="V76" s="1">
        <f>'[75]Prof (MC)'!$C$4</f>
        <v>1.5851791160902136</v>
      </c>
      <c r="W76" s="1">
        <f>'[75]Prof (MC)'!$W$94</f>
        <v>4.2038238745267728E-3</v>
      </c>
      <c r="X76" s="1">
        <f>'[75]Prof (MC)'!$Z$94</f>
        <v>2.9526847663118825</v>
      </c>
    </row>
    <row r="77" spans="1:24" x14ac:dyDescent="0.2">
      <c r="A77" t="s">
        <v>93</v>
      </c>
      <c r="B77" t="s">
        <v>435</v>
      </c>
      <c r="C77">
        <v>1900</v>
      </c>
      <c r="E77" s="1">
        <f>[76]All!B$9</f>
        <v>1.925661170832907</v>
      </c>
      <c r="F77" s="1">
        <f>[76]All!C$9</f>
        <v>2.5549788847054189</v>
      </c>
      <c r="G77" s="1">
        <f>[76]All!D$9</f>
        <v>2.0635553575289372</v>
      </c>
      <c r="H77" s="1">
        <f>[76]All!E$9</f>
        <v>1.3028902596348773</v>
      </c>
      <c r="I77" s="1">
        <f>[76]All!F$9</f>
        <v>1.961773852335071</v>
      </c>
      <c r="J77" s="1">
        <f>[76]All!G$9</f>
        <v>2.2741025847340408</v>
      </c>
      <c r="K77" s="1">
        <f>[76]All!H$9</f>
        <v>3.259512275950442</v>
      </c>
      <c r="L77" s="1">
        <f>[76]All!I$9</f>
        <v>2.2553771135678766</v>
      </c>
      <c r="M77" s="1">
        <f>[76]All!J$9</f>
        <v>0.80950646989900099</v>
      </c>
      <c r="N77" s="1">
        <f>[76]All!K$9</f>
        <v>2.1229259412616841</v>
      </c>
      <c r="O77" s="1">
        <f>[76]All!L$9</f>
        <v>1.6369692852867246</v>
      </c>
      <c r="Q77" s="1">
        <f>[76]All!N$9</f>
        <v>2.247885700905687</v>
      </c>
      <c r="R77" s="1">
        <f>[76]All!O$9</f>
        <v>2.0152048359760895</v>
      </c>
      <c r="S77" s="1">
        <f>[76]All!P$9</f>
        <v>2.0635553575289372</v>
      </c>
      <c r="U77" s="1">
        <f>'[76]Prof (MC)'!$B$4</f>
        <v>2.1357491787499927</v>
      </c>
      <c r="V77" s="1">
        <f>'[76]Prof (MC)'!$C$4</f>
        <v>2.1733556828453966</v>
      </c>
      <c r="W77" s="1">
        <f>'[76]Prof (MC)'!$W$84</f>
        <v>0.27376208756137893</v>
      </c>
      <c r="X77" s="1">
        <f>'[76]Prof (MC)'!$Z$84</f>
        <v>4.4041261396923641</v>
      </c>
    </row>
    <row r="78" spans="1:24" x14ac:dyDescent="0.2">
      <c r="A78" t="s">
        <v>94</v>
      </c>
      <c r="B78" t="s">
        <v>435</v>
      </c>
      <c r="C78">
        <v>1900</v>
      </c>
      <c r="E78" s="1">
        <f>[77]All!B$9</f>
        <v>1.1301442923236464</v>
      </c>
      <c r="F78" s="1">
        <f>[77]All!C$9</f>
        <v>0.21146343823798039</v>
      </c>
      <c r="G78" s="1">
        <f>[77]All!D$9</f>
        <v>0.1147260191786096</v>
      </c>
      <c r="H78" s="1">
        <f>[77]All!E$9</f>
        <v>1.2646678462742846</v>
      </c>
      <c r="I78" s="1">
        <f>[77]All!F$9</f>
        <v>0.85260150386323197</v>
      </c>
      <c r="J78" s="1">
        <f>[77]All!G$9</f>
        <v>0.70253503169560549</v>
      </c>
      <c r="K78" s="1">
        <f>[77]All!H$9</f>
        <v>1.1264373135574213</v>
      </c>
      <c r="L78" s="1">
        <f>[77]All!I$9</f>
        <v>0.24687561288831861</v>
      </c>
      <c r="M78" s="1">
        <f>[77]All!J$9</f>
        <v>2.1374083192558166</v>
      </c>
      <c r="N78" s="1">
        <f>[77]All!K$9</f>
        <v>1.1676509118380827</v>
      </c>
      <c r="O78" s="1">
        <f>[77]All!L$9</f>
        <v>1.2769442037145418</v>
      </c>
      <c r="Q78" s="1">
        <f>[77]All!N$9</f>
        <v>1.2336068328438141</v>
      </c>
      <c r="R78" s="1">
        <f>[77]All!O$9</f>
        <v>0.9301322266206854</v>
      </c>
      <c r="S78" s="1">
        <f>[77]All!P$9</f>
        <v>1.1264373135574213</v>
      </c>
      <c r="U78" s="1">
        <f>'[77]Prof (MC)'!$B$4</f>
        <v>1.0788553785901756</v>
      </c>
      <c r="V78" s="1">
        <f>'[77]Prof (MC)'!$C$4</f>
        <v>1.0840220151285451</v>
      </c>
      <c r="W78" s="1">
        <f>'[77]Prof (MC)'!$W$88</f>
        <v>0.15030480596423279</v>
      </c>
      <c r="X78" s="1">
        <f>'[77]Prof (MC)'!$Z$88</f>
        <v>2.7184964078092948</v>
      </c>
    </row>
    <row r="79" spans="1:24" x14ac:dyDescent="0.2">
      <c r="A79" t="s">
        <v>95</v>
      </c>
      <c r="B79" t="s">
        <v>435</v>
      </c>
      <c r="C79">
        <v>1900</v>
      </c>
      <c r="E79" s="1">
        <f>[78]All!B$9</f>
        <v>0.669148241480919</v>
      </c>
      <c r="F79" s="1">
        <f>[78]All!C$9</f>
        <v>1.2593947945653876</v>
      </c>
      <c r="G79" s="1">
        <f>[78]All!D$9</f>
        <v>0.7800171053345708</v>
      </c>
      <c r="H79" s="1">
        <f>[78]All!E$9</f>
        <v>0.99496761822473168</v>
      </c>
      <c r="I79" s="1">
        <f>[78]All!F$9</f>
        <v>0.99126021470104109</v>
      </c>
      <c r="J79" s="1">
        <f>[78]All!G$9</f>
        <v>1.01012688978882</v>
      </c>
      <c r="K79" s="1">
        <f>[78]All!H$9</f>
        <v>0.70082501557120724</v>
      </c>
      <c r="L79" s="1">
        <f>[78]All!I$9</f>
        <v>1.4641364521953157</v>
      </c>
      <c r="M79" s="1">
        <f>[78]All!J$9</f>
        <v>1.1158353878551663</v>
      </c>
      <c r="N79" s="1">
        <f>[78]All!K$9</f>
        <v>1.0809356597226043</v>
      </c>
      <c r="O79" s="1">
        <f>[78]All!L$9</f>
        <v>0.75630380843969036</v>
      </c>
      <c r="Q79" s="1">
        <f>[78]All!N$9</f>
        <v>1.0703804080672457</v>
      </c>
      <c r="R79" s="1">
        <f>[78]All!O$9</f>
        <v>0.98390465344358669</v>
      </c>
      <c r="S79" s="1">
        <f>[78]All!P$9</f>
        <v>0.99496761822473168</v>
      </c>
      <c r="U79" s="1">
        <f>'[78]Prof (MC)'!$B$4</f>
        <v>0.93114049129382503</v>
      </c>
      <c r="V79" s="1">
        <f>'[78]Prof (MC)'!$C$4</f>
        <v>0.92931248787811416</v>
      </c>
      <c r="W79" s="1">
        <f>'[78]Prof (MC)'!$W$88</f>
        <v>0.10422730813997816</v>
      </c>
      <c r="X79" s="1">
        <f>'[78]Prof (MC)'!$Z$88</f>
        <v>1.7452612610661573</v>
      </c>
    </row>
    <row r="80" spans="1:24" x14ac:dyDescent="0.2">
      <c r="A80" t="s">
        <v>96</v>
      </c>
      <c r="B80" t="s">
        <v>434</v>
      </c>
      <c r="C80">
        <v>2400</v>
      </c>
      <c r="E80" s="1">
        <f>[79]All!B$9</f>
        <v>0</v>
      </c>
      <c r="F80" s="1">
        <f>[79]All!C$9</f>
        <v>1.6464638412922288</v>
      </c>
      <c r="G80" s="1">
        <f>[79]All!D$9</f>
        <v>6.0389263504033348</v>
      </c>
      <c r="H80" s="1">
        <f>[79]All!E$9</f>
        <v>3.1333702685411238</v>
      </c>
      <c r="I80" s="1">
        <f>[79]All!F$9</f>
        <v>0.15199628188221168</v>
      </c>
      <c r="J80" s="1">
        <f>[79]All!G$9</f>
        <v>1.0410210886654456</v>
      </c>
      <c r="K80" s="1">
        <f>[79]All!H$9</f>
        <v>0.38032938141958988</v>
      </c>
      <c r="L80" s="1">
        <f>[79]All!I$9</f>
        <v>5.453061429698967</v>
      </c>
      <c r="M80" s="1">
        <f>[79]All!J$9</f>
        <v>3.375041106758903</v>
      </c>
      <c r="N80" s="1">
        <f>[79]All!K$9</f>
        <v>2.1698617596008805</v>
      </c>
      <c r="O80" s="1">
        <f>[79]All!L$9</f>
        <v>0.41180958103212101</v>
      </c>
      <c r="Q80" s="1">
        <f>[79]All!N$9</f>
        <v>3.1442816711845403</v>
      </c>
      <c r="R80" s="1">
        <f>[79]All!O$9</f>
        <v>2.3801881089294805</v>
      </c>
      <c r="S80" s="1">
        <f>[79]All!P$9</f>
        <v>1.9081628004465547</v>
      </c>
      <c r="U80" s="1">
        <f>'[79]Prof (MC)'!$B$4</f>
        <v>3.3433628177742318</v>
      </c>
      <c r="V80" s="1">
        <f>'[79]Prof (MC)'!$C$4</f>
        <v>10.672473146697257</v>
      </c>
      <c r="W80" s="1">
        <f>'[79]Prof (MC)'!$W$112</f>
        <v>3.7420361906433386E-2</v>
      </c>
      <c r="X80" s="1">
        <f>'[79]Prof (MC)'!$Z$112</f>
        <v>64.205046196246641</v>
      </c>
    </row>
    <row r="81" spans="1:24" x14ac:dyDescent="0.2">
      <c r="A81" t="s">
        <v>97</v>
      </c>
      <c r="B81" t="s">
        <v>434</v>
      </c>
      <c r="C81">
        <v>2400</v>
      </c>
      <c r="E81" s="1">
        <f>[80]All!B$9</f>
        <v>3.8919191722239659</v>
      </c>
      <c r="F81" s="1">
        <f>[80]All!C$9</f>
        <v>3.7503417946406579</v>
      </c>
      <c r="G81" s="1">
        <f>[80]All!D$9</f>
        <v>4.8859778959550315</v>
      </c>
      <c r="H81" s="1">
        <f>[80]All!E$9</f>
        <v>5.486719733749152</v>
      </c>
      <c r="I81" s="1">
        <f>[80]All!F$9</f>
        <v>4.2199817432715134</v>
      </c>
      <c r="J81" s="1">
        <f>[80]All!G$9</f>
        <v>5.1004440775254105</v>
      </c>
      <c r="K81" s="1">
        <f>[80]All!H$9</f>
        <v>2.9537829963454936</v>
      </c>
      <c r="L81" s="1">
        <f>[80]All!I$9</f>
        <v>5.1431158902356353</v>
      </c>
      <c r="M81" s="1">
        <f>[80]All!J$9</f>
        <v>5.1797594212220464</v>
      </c>
      <c r="N81" s="1">
        <f>[80]All!K$9</f>
        <v>7.5439297975958288</v>
      </c>
      <c r="O81" s="1">
        <f>[80]All!L$9</f>
        <v>6.0971475591441529</v>
      </c>
      <c r="Q81" s="1">
        <f>[80]All!N$9</f>
        <v>4.9733792657210563</v>
      </c>
      <c r="R81" s="1">
        <f>[80]All!O$9</f>
        <v>4.9321018256280809</v>
      </c>
      <c r="S81" s="1">
        <f>[80]All!P$9</f>
        <v>5.1004440775254105</v>
      </c>
      <c r="U81" s="1">
        <f>'[80]Prof (MC)'!$B$4</f>
        <v>4.8669285044446005</v>
      </c>
      <c r="V81" s="1">
        <f>'[80]Prof (MC)'!$C$4</f>
        <v>4.8523748104729467</v>
      </c>
      <c r="W81" s="1">
        <f>'[80]Prof (MC)'!$W$106</f>
        <v>2.7005035060469007</v>
      </c>
      <c r="X81" s="1">
        <f>'[80]Prof (MC)'!$Z$106</f>
        <v>6.816772968668543</v>
      </c>
    </row>
    <row r="82" spans="1:24" x14ac:dyDescent="0.2">
      <c r="A82" t="s">
        <v>98</v>
      </c>
      <c r="B82" t="s">
        <v>435</v>
      </c>
      <c r="C82">
        <v>2400</v>
      </c>
      <c r="E82" s="1">
        <f>[81]All!B$9</f>
        <v>4.3310040521870237</v>
      </c>
      <c r="F82" s="1">
        <f>[81]All!C$9</f>
        <v>3.0629432475060239</v>
      </c>
      <c r="G82" s="1">
        <f>[81]All!D$9</f>
        <v>3.7949397224756991</v>
      </c>
      <c r="H82" s="1">
        <f>[81]All!E$9</f>
        <v>3.8765762453232879</v>
      </c>
      <c r="I82" s="1">
        <f>[81]All!F$9</f>
        <v>4.5224618623279298</v>
      </c>
      <c r="J82" s="1">
        <f>[81]All!G$9</f>
        <v>4.0589471765714196</v>
      </c>
      <c r="K82" s="1">
        <f>[81]All!H$9</f>
        <v>4.6752489144978551</v>
      </c>
      <c r="L82" s="1">
        <f>[81]All!I$9</f>
        <v>4.8402703669851226</v>
      </c>
      <c r="M82" s="1">
        <f>[81]All!J$9</f>
        <v>4.8978158796326765</v>
      </c>
      <c r="N82" s="1">
        <f>[81]All!K$9</f>
        <v>4.4622950244946331</v>
      </c>
      <c r="O82" s="1">
        <f>[81]All!L$9</f>
        <v>7.17493021845993</v>
      </c>
      <c r="Q82" s="1">
        <f>[81]All!N$9</f>
        <v>4.3795767118223941</v>
      </c>
      <c r="R82" s="1">
        <f>[81]All!O$9</f>
        <v>4.5179484282237814</v>
      </c>
      <c r="S82" s="1">
        <f>[81]All!P$9</f>
        <v>4.4622950244946331</v>
      </c>
      <c r="U82" s="1">
        <f>'[81]Prof (MC)'!$B$4</f>
        <v>4.399269340029857</v>
      </c>
      <c r="V82" s="1">
        <f>'[81]Prof (MC)'!$C$4</f>
        <v>4.4407549761102736</v>
      </c>
      <c r="W82" s="1">
        <f>'[81]Prof (MC)'!$W$80</f>
        <v>2.3152105259233835</v>
      </c>
      <c r="X82" s="1">
        <f>'[81]Prof (MC)'!$Z$80</f>
        <v>6.7919889526346715</v>
      </c>
    </row>
    <row r="83" spans="1:24" x14ac:dyDescent="0.2">
      <c r="A83" t="s">
        <v>99</v>
      </c>
      <c r="B83" t="s">
        <v>435</v>
      </c>
      <c r="C83">
        <v>2400</v>
      </c>
      <c r="E83" s="1">
        <f>[82]All!B$9</f>
        <v>2.5274984103098577</v>
      </c>
      <c r="F83" s="1">
        <f>[82]All!C$9</f>
        <v>2.7305258636247758</v>
      </c>
      <c r="G83" s="1">
        <f>[82]All!D$9</f>
        <v>2.137452157828724</v>
      </c>
      <c r="H83" s="1">
        <f>[82]All!E$9</f>
        <v>3.3047597010953331</v>
      </c>
      <c r="I83" s="1">
        <f>[82]All!F$9</f>
        <v>3.5997255790211713</v>
      </c>
      <c r="J83" s="1">
        <f>[82]All!G$9</f>
        <v>3.1122016449150371</v>
      </c>
      <c r="K83" s="1">
        <f>[82]All!H$9</f>
        <v>3.2364883191998937</v>
      </c>
      <c r="L83" s="1">
        <f>[82]All!I$9</f>
        <v>2.9666233192852083</v>
      </c>
      <c r="M83" s="1">
        <f>[82]All!J$9</f>
        <v>3.0042992617344657</v>
      </c>
      <c r="N83" s="1">
        <f>[82]All!K$9</f>
        <v>2.7929356700503685</v>
      </c>
      <c r="O83" s="1">
        <f>[82]All!L$9</f>
        <v>2.3500306633799357</v>
      </c>
      <c r="Q83" s="1">
        <f>[82]All!N$9</f>
        <v>2.9964866458058337</v>
      </c>
      <c r="R83" s="1">
        <f>[82]All!O$9</f>
        <v>2.8875036900404338</v>
      </c>
      <c r="S83" s="1">
        <f>[82]All!P$9</f>
        <v>2.9666233192852083</v>
      </c>
      <c r="U83" s="1">
        <f>'[82]Prof (MC)'!$B$4</f>
        <v>2.8809356738366061</v>
      </c>
      <c r="V83" s="1">
        <f>'[82]Prof (MC)'!$C$4</f>
        <v>2.8201330933515196</v>
      </c>
      <c r="W83" s="1">
        <f>'[82]Prof (MC)'!$W$82</f>
        <v>1.5418824059423588</v>
      </c>
      <c r="X83" s="1">
        <f>'[82]Prof (MC)'!$Z$82</f>
        <v>3.9362205411706914</v>
      </c>
    </row>
    <row r="84" spans="1:24" x14ac:dyDescent="0.2">
      <c r="A84" t="s">
        <v>100</v>
      </c>
      <c r="B84" t="s">
        <v>435</v>
      </c>
      <c r="C84">
        <v>2400</v>
      </c>
      <c r="E84" s="1">
        <f>[83]All!B$9</f>
        <v>2.2646455422156029</v>
      </c>
      <c r="F84" s="1">
        <f>[83]All!C$9</f>
        <v>2.1507906352024442</v>
      </c>
      <c r="G84" s="1">
        <f>[83]All!D$9</f>
        <v>3.0133107546293334</v>
      </c>
      <c r="H84" s="1">
        <f>[83]All!E$9</f>
        <v>2.3725102697651943</v>
      </c>
      <c r="I84" s="1">
        <f>[83]All!F$9</f>
        <v>2.404826085541083</v>
      </c>
      <c r="J84" s="1">
        <f>[83]All!G$9</f>
        <v>2.0528188943693535</v>
      </c>
      <c r="K84" s="1">
        <f>[83]All!H$9</f>
        <v>1.4321768460289608</v>
      </c>
      <c r="L84" s="1">
        <f>[83]All!I$9</f>
        <v>1.7182446472203654</v>
      </c>
      <c r="M84" s="1">
        <f>[83]All!J$9</f>
        <v>2.0513023986368228</v>
      </c>
      <c r="N84" s="1">
        <f>[83]All!K$9</f>
        <v>1.9640673345287947</v>
      </c>
      <c r="O84" s="1">
        <f>[83]All!L$9</f>
        <v>2.0341491390518716</v>
      </c>
      <c r="Q84" s="1">
        <f>[83]All!N$9</f>
        <v>2.2178294160642982</v>
      </c>
      <c r="R84" s="1">
        <f>[83]All!O$9</f>
        <v>2.1326220497445303</v>
      </c>
      <c r="S84" s="1">
        <f>[83]All!P$9</f>
        <v>2.0528188943693535</v>
      </c>
      <c r="U84" s="1">
        <f>'[83]Prof (MC)'!$B$4</f>
        <v>2.210868888761393</v>
      </c>
      <c r="V84" s="1">
        <f>'[83]Prof (MC)'!$C$4</f>
        <v>2.1713900864768383</v>
      </c>
      <c r="W84" s="1">
        <f>'[83]Prof (MC)'!$W$72</f>
        <v>0.69725386002994982</v>
      </c>
      <c r="X84" s="1">
        <f>'[83]Prof (MC)'!$Z$72</f>
        <v>3.2919048729891447</v>
      </c>
    </row>
    <row r="85" spans="1:24" x14ac:dyDescent="0.2">
      <c r="A85" t="s">
        <v>101</v>
      </c>
      <c r="B85" t="s">
        <v>434</v>
      </c>
      <c r="C85">
        <v>2100</v>
      </c>
      <c r="E85" s="1">
        <f>[84]All!B$9</f>
        <v>12.47338793190651</v>
      </c>
      <c r="F85" s="1">
        <f>[84]All!C$9</f>
        <v>14.472066273161321</v>
      </c>
      <c r="G85" s="1">
        <f>[84]All!D$9</f>
        <v>13.796094</v>
      </c>
      <c r="H85" s="1">
        <f>[84]All!E$9</f>
        <v>14.608487</v>
      </c>
      <c r="I85" s="1">
        <f>[84]All!F$9</f>
        <v>13.714370000000001</v>
      </c>
      <c r="J85" s="1">
        <f>[84]All!G$9</f>
        <v>13.40271885051866</v>
      </c>
      <c r="K85" s="1">
        <f>[84]All!H$9</f>
        <v>13.718902006971099</v>
      </c>
      <c r="L85" s="1">
        <f>[84]All!I$9</f>
        <v>13.601547</v>
      </c>
      <c r="M85" s="1">
        <f>[84]All!J$9</f>
        <v>13.543787</v>
      </c>
      <c r="N85" s="1">
        <f>[84]All!K$9</f>
        <v>13.694094</v>
      </c>
      <c r="O85" s="1">
        <f>[84]All!L$9</f>
        <v>14.092610000000001</v>
      </c>
      <c r="Q85" s="1">
        <f>[84]All!N$9</f>
        <v>13.736767</v>
      </c>
      <c r="R85" s="1">
        <f>[84]All!O$9</f>
        <v>13.738005823868871</v>
      </c>
      <c r="S85" s="1">
        <f>[84]All!P$9</f>
        <v>13.714370000000001</v>
      </c>
      <c r="U85" s="1">
        <f>'[84]Prof (MC)'!$B$4</f>
        <v>13.703846425589624</v>
      </c>
      <c r="V85" s="1">
        <f>'[84]Prof (MC)'!$C$4</f>
        <v>13.684981064007497</v>
      </c>
      <c r="W85" s="1">
        <f>'[84]Prof (MC)'!$W$200</f>
        <v>12.627116894775181</v>
      </c>
      <c r="X85" s="1">
        <f>'[84]Prof (MC)'!$Z$200</f>
        <v>14.941658023822196</v>
      </c>
    </row>
    <row r="86" spans="1:24" x14ac:dyDescent="0.2">
      <c r="A86" t="s">
        <v>102</v>
      </c>
      <c r="B86" t="s">
        <v>434</v>
      </c>
      <c r="C86">
        <v>2100</v>
      </c>
      <c r="E86" s="1">
        <f>[85]All!B$9</f>
        <v>6.0004036999999997</v>
      </c>
      <c r="F86" s="1">
        <f>[85]All!C$9</f>
        <v>5.5819348</v>
      </c>
      <c r="G86" s="1">
        <f>[85]All!D$9</f>
        <v>5.8067770999999997</v>
      </c>
      <c r="H86" s="1">
        <f>[85]All!E$9</f>
        <v>5.8986070000000002</v>
      </c>
      <c r="I86" s="1">
        <f>[85]All!F$9</f>
        <v>7.0252485</v>
      </c>
      <c r="J86" s="1">
        <f>[85]All!G$9</f>
        <v>6.1219295999999996</v>
      </c>
      <c r="K86" s="1">
        <f>[85]All!H$9</f>
        <v>6.2452201000000001</v>
      </c>
      <c r="L86" s="1">
        <f>[85]All!I$9</f>
        <v>6.1512061999999998</v>
      </c>
      <c r="M86" s="1">
        <f>[85]All!J$9</f>
        <v>5.7427843000000003</v>
      </c>
      <c r="N86" s="1">
        <f>[85]All!K$9</f>
        <v>6.4352210000000003</v>
      </c>
      <c r="O86" s="1">
        <f>[85]All!L$9</f>
        <v>7.0188810000000004</v>
      </c>
      <c r="Q86" s="1">
        <f>[85]All!N$9</f>
        <v>6.1883131999999996</v>
      </c>
      <c r="R86" s="1">
        <f>[85]All!O$9</f>
        <v>6.1843830272727249</v>
      </c>
      <c r="S86" s="1">
        <f>[85]All!P$9</f>
        <v>6.1219295999999996</v>
      </c>
      <c r="U86" s="1">
        <f>'[85]Prof (MC)'!$B$4</f>
        <v>6.1917908002819448</v>
      </c>
      <c r="V86" s="1">
        <f>'[85]Prof (MC)'!$C$4</f>
        <v>6.2264696131099404</v>
      </c>
      <c r="W86" s="1">
        <f>'[85]Prof (MC)'!$W$132</f>
        <v>5.480264350755859</v>
      </c>
      <c r="X86" s="1">
        <f>'[85]Prof (MC)'!$Z$132</f>
        <v>7.1893156402397684</v>
      </c>
    </row>
    <row r="87" spans="1:24" x14ac:dyDescent="0.2">
      <c r="A87" t="s">
        <v>103</v>
      </c>
      <c r="B87" t="s">
        <v>434</v>
      </c>
      <c r="C87">
        <v>2100</v>
      </c>
      <c r="E87" s="1">
        <f>[86]All!B$9</f>
        <v>7.7670544129980454</v>
      </c>
      <c r="F87" s="1">
        <f>[86]All!C$9</f>
        <v>8.2268291793359047</v>
      </c>
      <c r="G87" s="1">
        <f>[86]All!D$9</f>
        <v>8.6714106823296486</v>
      </c>
      <c r="H87" s="1">
        <f>[86]All!E$9</f>
        <v>8.6451932445251423</v>
      </c>
      <c r="I87" s="1">
        <f>[86]All!F$9</f>
        <v>7.6276775835222539</v>
      </c>
      <c r="J87" s="1">
        <f>[86]All!G$9</f>
        <v>5.7626991098957872</v>
      </c>
      <c r="K87" s="1">
        <f>[86]All!H$9</f>
        <v>6.9743947858459894</v>
      </c>
      <c r="L87" s="1">
        <f>[86]All!I$9</f>
        <v>4.9534828094225265</v>
      </c>
      <c r="M87" s="1">
        <f>[86]All!J$9</f>
        <v>4.0246894741349033</v>
      </c>
      <c r="N87" s="1">
        <f>[86]All!K$9</f>
        <v>6.9570487612017358</v>
      </c>
      <c r="O87" s="1">
        <f>[86]All!L$9</f>
        <v>5.941990703041605</v>
      </c>
      <c r="Q87" s="1">
        <f>[86]All!N$9</f>
        <v>7.0915250853509395</v>
      </c>
      <c r="R87" s="1">
        <f>[86]All!O$9</f>
        <v>6.8684064314775952</v>
      </c>
      <c r="S87" s="1">
        <f>[86]All!P$9</f>
        <v>6.9743947858459894</v>
      </c>
      <c r="U87" s="1">
        <f>'[86]Prof (MC)'!$B$4</f>
        <v>7.0747442190361092</v>
      </c>
      <c r="V87" s="1">
        <f>'[86]Prof (MC)'!$C$4</f>
        <v>7.1112052744609091</v>
      </c>
      <c r="W87" s="1">
        <f>'[86]Prof (MC)'!$W$118</f>
        <v>4.7567470548615054</v>
      </c>
      <c r="X87" s="1">
        <f>'[86]Prof (MC)'!$Z$118</f>
        <v>9.6352702809602206</v>
      </c>
    </row>
    <row r="88" spans="1:24" x14ac:dyDescent="0.2">
      <c r="A88" t="s">
        <v>104</v>
      </c>
      <c r="B88" t="s">
        <v>435</v>
      </c>
      <c r="C88">
        <v>2100</v>
      </c>
      <c r="E88" s="1">
        <f>[87]All!B$9</f>
        <v>3.2362387983384</v>
      </c>
      <c r="F88" s="1">
        <f>[87]All!C$9</f>
        <v>3.484106925715901</v>
      </c>
      <c r="G88" s="1">
        <f>[87]All!D$9</f>
        <v>3.2848540243624824</v>
      </c>
      <c r="H88" s="1">
        <f>[87]All!E$9</f>
        <v>2.9363889295659797</v>
      </c>
      <c r="I88" s="1">
        <f>[87]All!F$9</f>
        <v>3.9655331239560763</v>
      </c>
      <c r="J88" s="1">
        <f>[87]All!G$9</f>
        <v>4.1584980630220834</v>
      </c>
      <c r="K88" s="1">
        <f>[87]All!H$9</f>
        <v>3.3869435266272769</v>
      </c>
      <c r="L88" s="1">
        <f>[87]All!I$9</f>
        <v>3.4760829106669453</v>
      </c>
      <c r="M88" s="1">
        <f>[87]All!J$9</f>
        <v>3.4146533028551111</v>
      </c>
      <c r="N88" s="1">
        <f>[87]All!K$9</f>
        <v>4.083359458671679</v>
      </c>
      <c r="O88" s="1">
        <f>[87]All!L$9</f>
        <v>3.6101598349911099</v>
      </c>
      <c r="Q88" s="1">
        <f>[87]All!N$9</f>
        <v>3.5858745699232855</v>
      </c>
      <c r="R88" s="1">
        <f>[87]All!O$9</f>
        <v>3.5488017180702771</v>
      </c>
      <c r="S88" s="1">
        <f>[87]All!P$9</f>
        <v>3.4760829106669453</v>
      </c>
      <c r="U88" s="1">
        <f>'[87]Prof (MC)'!$B$4</f>
        <v>3.554034264686647</v>
      </c>
      <c r="V88" s="1">
        <f>'[87]Prof (MC)'!$C$4</f>
        <v>3.5668128927656522</v>
      </c>
      <c r="W88" s="1">
        <f>'[87]Prof (MC)'!$W$98</f>
        <v>2.775530916987794</v>
      </c>
      <c r="X88" s="1">
        <f>'[87]Prof (MC)'!$Z$98</f>
        <v>4.3111383957608691</v>
      </c>
    </row>
    <row r="89" spans="1:24" x14ac:dyDescent="0.2">
      <c r="A89" t="s">
        <v>105</v>
      </c>
      <c r="B89" t="s">
        <v>435</v>
      </c>
      <c r="C89">
        <v>2100</v>
      </c>
      <c r="E89" s="1">
        <f>[88]All!B$9</f>
        <v>2.5804830628783377</v>
      </c>
      <c r="F89" s="1">
        <f>[88]All!C$9</f>
        <v>2.5440724397913774</v>
      </c>
      <c r="G89" s="1">
        <f>[88]All!D$9</f>
        <v>1.1419101332956085</v>
      </c>
      <c r="H89" s="1">
        <f>[88]All!E$9</f>
        <v>2.3903793510009517</v>
      </c>
      <c r="I89" s="1">
        <f>[88]All!F$9</f>
        <v>2.5917598056238433</v>
      </c>
      <c r="J89" s="1">
        <f>[88]All!G$9</f>
        <v>3.3084668642116108</v>
      </c>
      <c r="K89" s="1">
        <f>[88]All!H$9</f>
        <v>3.247272715272457</v>
      </c>
      <c r="L89" s="1">
        <f>[88]All!I$9</f>
        <v>2.5623235559811017</v>
      </c>
      <c r="M89" s="1">
        <f>[88]All!J$9</f>
        <v>2.4169409486573543</v>
      </c>
      <c r="N89" s="1">
        <f>[88]All!K$9</f>
        <v>3.3995013337258606</v>
      </c>
      <c r="O89" s="1">
        <f>[88]All!L$9</f>
        <v>2.8022036481374544</v>
      </c>
      <c r="Q89" s="1">
        <f>[88]All!N$9</f>
        <v>2.755111750451873</v>
      </c>
      <c r="R89" s="1">
        <f>[88]All!O$9</f>
        <v>2.6350285325978144</v>
      </c>
      <c r="S89" s="1">
        <f>[88]All!P$9</f>
        <v>2.5804830628783377</v>
      </c>
      <c r="U89" s="1">
        <f>'[88]Prof (MC)'!$B$4</f>
        <v>2.6718610909219254</v>
      </c>
      <c r="V89" s="1">
        <f>'[88]Prof (MC)'!$C$4</f>
        <v>2.6763407453240844</v>
      </c>
      <c r="W89" s="1">
        <f>'[88]Prof (MC)'!$W$88</f>
        <v>1.1008479186259879</v>
      </c>
      <c r="X89" s="1">
        <f>'[88]Prof (MC)'!$Z$88</f>
        <v>4.5869775078282045</v>
      </c>
    </row>
    <row r="90" spans="1:24" x14ac:dyDescent="0.2">
      <c r="A90" t="s">
        <v>106</v>
      </c>
      <c r="B90" t="s">
        <v>435</v>
      </c>
      <c r="C90">
        <v>2100</v>
      </c>
      <c r="E90" s="1">
        <f>[89]All!B$9</f>
        <v>0.87461341656410008</v>
      </c>
      <c r="F90" s="1">
        <f>[89]All!C$9</f>
        <v>0.23310353614024326</v>
      </c>
      <c r="G90" s="1">
        <f>[89]All!D$9</f>
        <v>1.9191056797564563</v>
      </c>
      <c r="H90" s="1">
        <f>[89]All!E$9</f>
        <v>3.4733160403687319E-2</v>
      </c>
      <c r="I90" s="1">
        <f>[89]All!F$9</f>
        <v>2.5429464058775877</v>
      </c>
      <c r="J90" s="1">
        <f>[89]All!G$9</f>
        <v>0.77236147921224063</v>
      </c>
      <c r="K90" s="1">
        <f>[89]All!H$9</f>
        <v>2.4616418095862054</v>
      </c>
      <c r="L90" s="1">
        <f>[89]All!I$9</f>
        <v>2.0913379930978979</v>
      </c>
      <c r="M90" s="1">
        <f>[89]All!J$9</f>
        <v>0.94168610468389791</v>
      </c>
      <c r="N90" s="1">
        <f>[89]All!K$9</f>
        <v>2.9865439135783363</v>
      </c>
      <c r="O90" s="1">
        <f>[89]All!L$9</f>
        <v>3.2195887944532342</v>
      </c>
      <c r="Q90" s="1">
        <f>[89]All!N$9</f>
        <v>1.9048287757799165</v>
      </c>
      <c r="R90" s="1">
        <f>[89]All!O$9</f>
        <v>1.6434238448503533</v>
      </c>
      <c r="S90" s="1">
        <f>[89]All!P$9</f>
        <v>1.9191056797564563</v>
      </c>
      <c r="U90" s="1">
        <f>'[89]Prof (MC)'!$B$4</f>
        <v>1.6247512436520521</v>
      </c>
      <c r="V90" s="1">
        <f>'[89]Prof (MC)'!$C$4</f>
        <v>1.6814966510667804</v>
      </c>
      <c r="W90" s="1">
        <f>'[89]Prof (MC)'!$W$78</f>
        <v>9.0862826341043201E-2</v>
      </c>
      <c r="X90" s="1">
        <f>'[89]Prof (MC)'!$Z$78</f>
        <v>4.1017940508078929</v>
      </c>
    </row>
    <row r="91" spans="1:24" x14ac:dyDescent="0.2">
      <c r="A91" t="s">
        <v>107</v>
      </c>
      <c r="B91" t="s">
        <v>435</v>
      </c>
      <c r="C91">
        <v>2300</v>
      </c>
      <c r="E91" s="1">
        <f>[90]All!B$9</f>
        <v>5.0492523208008331</v>
      </c>
      <c r="F91" s="1">
        <f>[90]All!C$9</f>
        <v>5.3841760340714675</v>
      </c>
      <c r="G91" s="1">
        <f>[90]All!D$9</f>
        <v>5.5650251664892956</v>
      </c>
      <c r="H91" s="1">
        <f>[90]All!E$9</f>
        <v>5.464335436241524</v>
      </c>
      <c r="I91" s="1">
        <f>[90]All!F$9</f>
        <v>4.6576180234348366</v>
      </c>
      <c r="J91" s="1">
        <f>[90]All!G$9</f>
        <v>5.2375810935355975</v>
      </c>
      <c r="K91" s="1">
        <f>[90]All!H$9</f>
        <v>4.7312518372953685</v>
      </c>
      <c r="L91" s="1">
        <f>[90]All!I$9</f>
        <v>5.0629883950509873</v>
      </c>
      <c r="M91" s="1">
        <f>[90]All!J$9</f>
        <v>4.9648061540797839</v>
      </c>
      <c r="N91" s="1">
        <f>[90]All!K$9</f>
        <v>4.7322999041852327</v>
      </c>
      <c r="O91" s="1">
        <f>[90]All!L$9</f>
        <v>4.6707203109193065</v>
      </c>
      <c r="Q91" s="1">
        <f>[90]All!N$9</f>
        <v>5.0458112853947217</v>
      </c>
      <c r="R91" s="1">
        <f>[90]All!O$9</f>
        <v>5.0472776978276572</v>
      </c>
      <c r="S91" s="1">
        <f>[90]All!P$9</f>
        <v>5.0492523208008331</v>
      </c>
      <c r="U91" s="1">
        <f>'[90]Prof (MC)'!$B$4</f>
        <v>5.0234182712947257</v>
      </c>
      <c r="V91" s="1">
        <f>'[90]Prof (MC)'!$C$4</f>
        <v>4.9998043038855062</v>
      </c>
      <c r="W91" s="1">
        <f>'[90]Prof (MC)'!$W$114</f>
        <v>4.3834052750929349</v>
      </c>
      <c r="X91" s="1">
        <f>'[90]Prof (MC)'!$Z$114</f>
        <v>5.7009525951159858</v>
      </c>
    </row>
    <row r="92" spans="1:24" x14ac:dyDescent="0.2">
      <c r="A92" t="s">
        <v>108</v>
      </c>
      <c r="B92" t="s">
        <v>435</v>
      </c>
      <c r="C92">
        <v>2300</v>
      </c>
      <c r="E92" s="1">
        <f>[91]All!B$9</f>
        <v>3.6074408644058806</v>
      </c>
      <c r="F92" s="1">
        <f>[91]All!C$9</f>
        <v>5.1844818686132639</v>
      </c>
      <c r="G92" s="1">
        <f>[91]All!D$9</f>
        <v>5.4661001017543276</v>
      </c>
      <c r="H92" s="1">
        <f>[91]All!E$9</f>
        <v>3.0150417339280464</v>
      </c>
      <c r="I92" s="1">
        <f>[91]All!F$9</f>
        <v>4.4581353726731567</v>
      </c>
      <c r="J92" s="1">
        <f>[91]All!G$9</f>
        <v>4.6238813885094068</v>
      </c>
      <c r="K92" s="1">
        <f>[91]All!H$9</f>
        <v>4.4140925355619185</v>
      </c>
      <c r="L92" s="1">
        <f>[91]All!I$9</f>
        <v>5.4427521293534094</v>
      </c>
      <c r="M92" s="1">
        <f>[91]All!J$9</f>
        <v>6.4801044710759808</v>
      </c>
      <c r="N92" s="1">
        <f>[91]All!K$9</f>
        <v>5.5693399894750577</v>
      </c>
      <c r="O92" s="1">
        <f>[91]All!L$9</f>
        <v>5.2778928135094647</v>
      </c>
      <c r="Q92" s="1">
        <f>[91]All!N$9</f>
        <v>4.8608216265641104</v>
      </c>
      <c r="R92" s="1">
        <f>[91]All!O$9</f>
        <v>4.8672057517145371</v>
      </c>
      <c r="S92" s="1">
        <f>[91]All!P$9</f>
        <v>5.1844818686132639</v>
      </c>
      <c r="U92" s="1">
        <f>'[91]Prof (MC)'!$B$4</f>
        <v>4.8420932720534244</v>
      </c>
      <c r="V92" s="1">
        <f>'[91]Prof (MC)'!$C$4</f>
        <v>4.8574782904987197</v>
      </c>
      <c r="W92" s="1">
        <f>'[91]Prof (MC)'!$W$94</f>
        <v>3.2736918610384338</v>
      </c>
      <c r="X92" s="1">
        <f>'[91]Prof (MC)'!$Z$94</f>
        <v>6.5827018719484593</v>
      </c>
    </row>
    <row r="93" spans="1:24" x14ac:dyDescent="0.2">
      <c r="A93" t="s">
        <v>109</v>
      </c>
      <c r="B93" t="s">
        <v>435</v>
      </c>
      <c r="C93">
        <v>2300</v>
      </c>
      <c r="E93" s="1">
        <f>[92]All!B$9</f>
        <v>1.6857121550533263</v>
      </c>
      <c r="F93" s="1">
        <f>[92]All!C$9</f>
        <v>1.7023604673376609</v>
      </c>
      <c r="G93" s="1">
        <f>[92]All!D$9</f>
        <v>1.8321283369750061</v>
      </c>
      <c r="H93" s="1">
        <f>[92]All!E$9</f>
        <v>1.2799953028452606</v>
      </c>
      <c r="I93" s="1">
        <f>[92]All!F$9</f>
        <v>1.512112380895186</v>
      </c>
      <c r="J93" s="1">
        <f>[92]All!G$9</f>
        <v>1.7733424358807275</v>
      </c>
      <c r="K93" s="1">
        <f>[92]All!H$9</f>
        <v>1.7861926546876055</v>
      </c>
      <c r="L93" s="1">
        <f>[92]All!I$9</f>
        <v>1.7985441297843563</v>
      </c>
      <c r="M93" s="1">
        <f>[92]All!J$9</f>
        <v>2.0028967868246692</v>
      </c>
      <c r="N93" s="1">
        <f>[92]All!K$9</f>
        <v>1.5308934535266723</v>
      </c>
      <c r="O93" s="1">
        <f>[92]All!L$9</f>
        <v>1.8248196371094061</v>
      </c>
      <c r="Q93" s="1">
        <f>[92]All!N$9</f>
        <v>1.7039137635528432</v>
      </c>
      <c r="R93" s="1">
        <f>[92]All!O$9</f>
        <v>1.7026361582654432</v>
      </c>
      <c r="S93" s="1">
        <f>[92]All!P$9</f>
        <v>1.7733424358807275</v>
      </c>
      <c r="U93" s="1">
        <f>'[92]Prof (MC)'!$B$4</f>
        <v>1.6819897209192396</v>
      </c>
      <c r="V93" s="1">
        <f>'[92]Prof (MC)'!$C$4</f>
        <v>1.6865865422050437</v>
      </c>
      <c r="W93" s="1">
        <f>'[92]Prof (MC)'!$W$88</f>
        <v>1.3455402857087624</v>
      </c>
      <c r="X93" s="1">
        <f>'[92]Prof (MC)'!$Z$88</f>
        <v>2.0566908076766253</v>
      </c>
    </row>
    <row r="94" spans="1:24" x14ac:dyDescent="0.2">
      <c r="A94" t="s">
        <v>110</v>
      </c>
      <c r="B94" t="s">
        <v>435</v>
      </c>
      <c r="C94">
        <v>2300</v>
      </c>
      <c r="E94" s="1">
        <f>[93]All!B$9</f>
        <v>1.5283562483462814</v>
      </c>
      <c r="F94" s="1">
        <f>[93]All!C$9</f>
        <v>0.7201980389837439</v>
      </c>
      <c r="G94" s="1">
        <f>[93]All!D$9</f>
        <v>1.395801368976697</v>
      </c>
      <c r="H94" s="1">
        <f>[93]All!E$9</f>
        <v>0.14887863000000001</v>
      </c>
      <c r="I94" s="1">
        <f>[93]All!F$9</f>
        <v>1.2209307520358748</v>
      </c>
      <c r="J94" s="1">
        <f>[93]All!G$9</f>
        <v>1.2260367789782789</v>
      </c>
      <c r="K94" s="1">
        <f>[93]All!H$9</f>
        <v>0.85501418434455856</v>
      </c>
      <c r="L94" s="1">
        <f>[93]All!I$9</f>
        <v>1.1173713361814788</v>
      </c>
      <c r="M94" s="1">
        <f>[93]All!J$9</f>
        <v>1.0155171212566749</v>
      </c>
      <c r="N94" s="1">
        <f>[93]All!K$9</f>
        <v>1.2235983758523077</v>
      </c>
      <c r="O94" s="1">
        <f>[93]All!L$9</f>
        <v>0.97849390594945396</v>
      </c>
      <c r="Q94" s="1">
        <f>[93]All!N$9</f>
        <v>1.2080115453037237</v>
      </c>
      <c r="R94" s="1">
        <f>[93]All!O$9</f>
        <v>1.0391087946277593</v>
      </c>
      <c r="S94" s="1">
        <f>[93]All!P$9</f>
        <v>1.1173713361814788</v>
      </c>
      <c r="U94" s="1">
        <f>'[93]Prof (MC)'!$B$4</f>
        <v>1.1500015003480031</v>
      </c>
      <c r="V94" s="1">
        <f>'[93]Prof (MC)'!$C$4</f>
        <v>1.1196000963185988</v>
      </c>
      <c r="W94" s="1">
        <f>'[93]Prof (MC)'!$W$86</f>
        <v>0.18727433434443497</v>
      </c>
      <c r="X94" s="1">
        <f>'[93]Prof (MC)'!$Z$86</f>
        <v>2.2143932105740762</v>
      </c>
    </row>
    <row r="95" spans="1:24" x14ac:dyDescent="0.2">
      <c r="A95" t="s">
        <v>111</v>
      </c>
      <c r="B95" t="s">
        <v>435</v>
      </c>
      <c r="C95">
        <v>2700</v>
      </c>
      <c r="E95" s="1">
        <f>[94]All!B$9</f>
        <v>4.769187927921366</v>
      </c>
      <c r="F95" s="1">
        <f>[94]All!C$9</f>
        <v>5.8559825501847254</v>
      </c>
      <c r="G95" s="1">
        <f>[94]All!D$9</f>
        <v>2.1474271106010461</v>
      </c>
      <c r="H95" s="1">
        <f>[94]All!E$9</f>
        <v>3.2068892566581364</v>
      </c>
      <c r="I95" s="1">
        <f>[94]All!F$9</f>
        <v>4.4419621172402648</v>
      </c>
      <c r="J95" s="1">
        <f>[94]All!G$9</f>
        <v>4.0984885986656199</v>
      </c>
      <c r="K95" s="1">
        <f>[94]All!H$9</f>
        <v>1.9266038596097859</v>
      </c>
      <c r="L95" s="1">
        <f>[94]All!I$9</f>
        <v>1.7135406996081324</v>
      </c>
      <c r="M95" s="1">
        <f>[94]All!J$9</f>
        <v>4.0572804212598399</v>
      </c>
      <c r="N95" s="1">
        <f>[94]All!K$9</f>
        <v>3.2245113184960998</v>
      </c>
      <c r="O95" s="1">
        <f>[94]All!L$9</f>
        <v>3.5464880274856858</v>
      </c>
      <c r="Q95" s="1">
        <f>[94]All!N$9</f>
        <v>3.7847850279341646</v>
      </c>
      <c r="R95" s="1">
        <f>[94]All!O$9</f>
        <v>3.544396535248246</v>
      </c>
      <c r="S95" s="1">
        <f>[94]All!P$9</f>
        <v>3.5464880274856858</v>
      </c>
      <c r="U95" s="1">
        <f>'[94]Prof (MC)'!$B$4</f>
        <v>3.8066850472523006</v>
      </c>
      <c r="V95" s="1">
        <f>'[94]Prof (MC)'!$C$4</f>
        <v>3.8156690115961371</v>
      </c>
      <c r="W95" s="1">
        <f>'[94]Prof (MC)'!$W$120</f>
        <v>1.2672613789448732</v>
      </c>
      <c r="X95" s="1">
        <f>'[94]Prof (MC)'!$Z$120</f>
        <v>6.379051053122784</v>
      </c>
    </row>
    <row r="96" spans="1:24" x14ac:dyDescent="0.2">
      <c r="A96" t="s">
        <v>112</v>
      </c>
      <c r="B96" t="s">
        <v>435</v>
      </c>
      <c r="C96">
        <v>2700</v>
      </c>
      <c r="E96" s="1">
        <f>[95]All!B$9</f>
        <v>4.1754876365339477</v>
      </c>
      <c r="F96" s="1">
        <f>[95]All!C$9</f>
        <v>3.8170403159213535</v>
      </c>
      <c r="G96" s="1">
        <f>[95]All!D$9</f>
        <v>5.6169679045583507</v>
      </c>
      <c r="H96" s="1">
        <f>[95]All!E$9</f>
        <v>8.0843564263170933</v>
      </c>
      <c r="I96" s="1">
        <f>[95]All!F$9</f>
        <v>4.3130823475748086</v>
      </c>
      <c r="J96" s="1">
        <f>[95]All!G$9</f>
        <v>6.0538861861884126</v>
      </c>
      <c r="K96" s="1">
        <f>[95]All!H$9</f>
        <v>3.7770211972187973</v>
      </c>
      <c r="L96" s="1">
        <f>[95]All!I$9</f>
        <v>4.0736008173950768</v>
      </c>
      <c r="M96" s="1">
        <f>[95]All!J$9</f>
        <v>4.8106415253587267</v>
      </c>
      <c r="N96" s="1">
        <f>[95]All!K$9</f>
        <v>3.9911988685269124</v>
      </c>
      <c r="O96" s="1">
        <f>[95]All!L$9</f>
        <v>4.3402032538888262</v>
      </c>
      <c r="Q96" s="1">
        <f>[95]All!N$9</f>
        <v>4.6590014219956659</v>
      </c>
      <c r="R96" s="1">
        <f>[95]All!O$9</f>
        <v>4.8230442254074823</v>
      </c>
      <c r="S96" s="1">
        <f>[95]All!P$9</f>
        <v>4.3130823475748086</v>
      </c>
      <c r="U96" s="1">
        <f>'[95]Prof (MC)'!$B$4</f>
        <v>4.574419718119076</v>
      </c>
      <c r="V96" s="1">
        <f>'[95]Prof (MC)'!$C$4</f>
        <v>4.7711458005617633</v>
      </c>
      <c r="W96" s="1">
        <f>'[95]Prof (MC)'!$W$102</f>
        <v>2.9341093291319043</v>
      </c>
      <c r="X96" s="1">
        <f>'[95]Prof (MC)'!$Z$102</f>
        <v>8.2265853447161597</v>
      </c>
    </row>
    <row r="97" spans="1:24" x14ac:dyDescent="0.2">
      <c r="A97" t="s">
        <v>113</v>
      </c>
      <c r="B97" t="s">
        <v>435</v>
      </c>
      <c r="C97">
        <v>2700</v>
      </c>
      <c r="E97" s="1">
        <f>[96]All!B$9</f>
        <v>4.5136440211750601</v>
      </c>
      <c r="F97" s="1">
        <f>[96]All!C$9</f>
        <v>3.8004025827479708</v>
      </c>
      <c r="G97" s="1">
        <f>[96]All!D$9</f>
        <v>4.8449519953821545</v>
      </c>
      <c r="H97" s="1">
        <f>[96]All!E$9</f>
        <v>4.7519381999999997</v>
      </c>
      <c r="I97" s="1">
        <f>[96]All!F$9</f>
        <v>5.5992538999999999</v>
      </c>
      <c r="J97" s="1">
        <f>[96]All!G$9</f>
        <v>2.720172069243485</v>
      </c>
      <c r="K97" s="1">
        <f>[96]All!H$9</f>
        <v>2.6964227759535309</v>
      </c>
      <c r="L97" s="1">
        <f>[96]All!I$9</f>
        <v>2.3258285100398957</v>
      </c>
      <c r="M97" s="1">
        <f>[96]All!J$9</f>
        <v>2.8647124978881671</v>
      </c>
      <c r="N97" s="1">
        <f>[96]All!K$9</f>
        <v>5.5150269999999999</v>
      </c>
      <c r="O97" s="1">
        <f>[96]All!L$9</f>
        <v>4.6479894936493089</v>
      </c>
      <c r="Q97" s="1">
        <f>[96]All!N$9</f>
        <v>4.2340632478536815</v>
      </c>
      <c r="R97" s="1">
        <f>[96]All!O$9</f>
        <v>4.0254857314617789</v>
      </c>
      <c r="S97" s="1">
        <f>[96]All!P$9</f>
        <v>4.5136440211750601</v>
      </c>
      <c r="U97" s="1">
        <f>'[96]Prof (MC)'!$B$4</f>
        <v>4.1737781116629051</v>
      </c>
      <c r="V97" s="1">
        <f>'[96]Prof (MC)'!$C$4</f>
        <v>4.3388632154873372</v>
      </c>
      <c r="W97" s="1">
        <f>'[96]Prof (MC)'!$W$98</f>
        <v>1.7376042163626226</v>
      </c>
      <c r="X97" s="1">
        <f>'[96]Prof (MC)'!$Z$98</f>
        <v>7.4236752506555952</v>
      </c>
    </row>
    <row r="98" spans="1:24" x14ac:dyDescent="0.2">
      <c r="A98" t="s">
        <v>114</v>
      </c>
      <c r="B98" t="s">
        <v>433</v>
      </c>
      <c r="C98">
        <v>2700</v>
      </c>
      <c r="E98" s="1">
        <f>[97]All!B$9</f>
        <v>1.2292635847243953</v>
      </c>
      <c r="F98" s="1">
        <f>[97]All!C$9</f>
        <v>1.2401409217686368</v>
      </c>
      <c r="G98" s="1">
        <f>[97]All!D$9</f>
        <v>1.3925207564870057</v>
      </c>
      <c r="H98" s="1">
        <f>[97]All!E$9</f>
        <v>1.3560721483428884</v>
      </c>
      <c r="I98" s="1">
        <f>[97]All!F$9</f>
        <v>1.5820980773969937</v>
      </c>
      <c r="J98" s="1">
        <f>[97]All!G$9</f>
        <v>1.5640911659493599</v>
      </c>
      <c r="K98" s="1">
        <f>[97]All!H$9</f>
        <v>1.3364427156940955</v>
      </c>
      <c r="L98" s="1">
        <f>[97]All!I$9</f>
        <v>1.1115426177920988</v>
      </c>
      <c r="M98" s="1">
        <f>[97]All!J$9</f>
        <v>1.2916962062876347</v>
      </c>
      <c r="N98" s="1">
        <f>[97]All!K$9</f>
        <v>1.4773762628009488</v>
      </c>
      <c r="O98" s="1">
        <f>[97]All!L$9</f>
        <v>1.5716029005341079</v>
      </c>
      <c r="Q98" s="1">
        <f>[97]All!N$9</f>
        <v>1.4924866203316833</v>
      </c>
      <c r="R98" s="1">
        <f>[97]All!O$9</f>
        <v>1.3775315779798332</v>
      </c>
      <c r="S98" s="1">
        <f>[97]All!P$9</f>
        <v>1.3560721483428884</v>
      </c>
      <c r="U98" s="1">
        <f>'[97]Prof (MC)'!$B$4</f>
        <v>1.4472817616167384</v>
      </c>
      <c r="V98" s="1">
        <f>'[97]Prof (MC)'!$C$4</f>
        <v>1.428254520244594</v>
      </c>
      <c r="W98" s="1">
        <f>'[97]Prof (MC)'!$W$88</f>
        <v>0.36399227833944603</v>
      </c>
      <c r="X98" s="1">
        <f>'[97]Prof (MC)'!$Z$88</f>
        <v>2.053828448130449</v>
      </c>
    </row>
    <row r="99" spans="1:24" x14ac:dyDescent="0.2">
      <c r="A99" t="s">
        <v>115</v>
      </c>
      <c r="B99" t="s">
        <v>434</v>
      </c>
      <c r="C99">
        <v>1500</v>
      </c>
      <c r="E99" s="1">
        <f>[98]All!B$9</f>
        <v>3.1403111905476946</v>
      </c>
      <c r="F99" s="1">
        <f>[98]All!C$9</f>
        <v>3.0734834453648112</v>
      </c>
      <c r="G99" s="1">
        <f>[98]All!D$9</f>
        <v>1.6002562967471485</v>
      </c>
      <c r="H99" s="1">
        <f>[98]All!E$9</f>
        <v>1.5603178289848934</v>
      </c>
      <c r="I99" s="1">
        <f>[98]All!F$9</f>
        <v>2.5284557859365604</v>
      </c>
      <c r="J99" s="1">
        <f>[98]All!G$9</f>
        <v>2.4898964758185618</v>
      </c>
      <c r="K99" s="1">
        <f>[98]All!H$9</f>
        <v>4.9017768899000735</v>
      </c>
      <c r="L99" s="1">
        <f>[98]All!I$9</f>
        <v>4.9918750949035173</v>
      </c>
      <c r="M99" s="1">
        <f>[98]All!J$9</f>
        <v>5.9604263982990435</v>
      </c>
      <c r="N99" s="1">
        <f>[98]All!K$9</f>
        <v>4.1464115070171168</v>
      </c>
      <c r="O99" s="1">
        <f>[98]All!L$9</f>
        <v>3.3497230791901864</v>
      </c>
      <c r="Q99" s="1">
        <f>[98]All!N$9</f>
        <v>3.3445289691775515</v>
      </c>
      <c r="R99" s="1">
        <f>[98]All!O$9</f>
        <v>3.4311758175190552</v>
      </c>
      <c r="S99" s="1">
        <f>[98]All!P$9</f>
        <v>3.1403111905476946</v>
      </c>
      <c r="U99" s="1">
        <f>'[98]Prof (MC)'!$B$4</f>
        <v>3.2826428586536722</v>
      </c>
      <c r="V99" s="1">
        <f>'[98]Prof (MC)'!$C$4</f>
        <v>3.4428280191645473</v>
      </c>
      <c r="W99" s="1">
        <f>'[98]Prof (MC)'!$W$86</f>
        <v>1.614602205555145</v>
      </c>
      <c r="X99" s="1">
        <f>'[98]Prof (MC)'!$Z$86</f>
        <v>6.3299165656945799</v>
      </c>
    </row>
    <row r="100" spans="1:24" x14ac:dyDescent="0.2">
      <c r="A100" t="s">
        <v>116</v>
      </c>
      <c r="B100" t="s">
        <v>436</v>
      </c>
      <c r="C100">
        <v>1500</v>
      </c>
      <c r="E100" s="1">
        <f>[99]All!B$9</f>
        <v>3.9306608624400607</v>
      </c>
      <c r="F100" s="1">
        <f>[99]All!C$9</f>
        <v>1.9595622621815871</v>
      </c>
      <c r="G100" s="1">
        <f>[99]All!D$9</f>
        <v>6.4785387628451518</v>
      </c>
      <c r="H100" s="1">
        <f>[99]All!E$9</f>
        <v>3.111196432368744</v>
      </c>
      <c r="I100" s="1">
        <f>[99]All!F$9</f>
        <v>0.88828751666608907</v>
      </c>
      <c r="J100" s="1">
        <f>[99]All!G$9</f>
        <v>9.1728858223534804</v>
      </c>
      <c r="K100" s="1">
        <f>[99]All!H$9</f>
        <v>3.4839514020376212</v>
      </c>
      <c r="L100" s="1">
        <f>[99]All!I$9</f>
        <v>6.031443076933539</v>
      </c>
      <c r="M100" s="1">
        <f>[99]All!J$9</f>
        <v>6.3236178167621606</v>
      </c>
      <c r="N100" s="1">
        <f>[99]All!K$9</f>
        <v>6.1704925352962823</v>
      </c>
      <c r="O100" s="1">
        <f>[99]All!L$9</f>
        <v>3.9855331254755635</v>
      </c>
      <c r="Q100" s="1">
        <f>[99]All!N$9</f>
        <v>4.4262782393188687</v>
      </c>
      <c r="R100" s="1">
        <f>[99]All!O$9</f>
        <v>4.6851063286691161</v>
      </c>
      <c r="S100" s="1">
        <f>[99]All!P$9</f>
        <v>3.9855331254755635</v>
      </c>
      <c r="U100" s="1">
        <f>'[99]Prof (MC)'!$B$4</f>
        <v>4.4828954756357344</v>
      </c>
      <c r="V100" s="1">
        <f>'[99]Prof (MC)'!$C$4</f>
        <v>4.3731380206651389</v>
      </c>
      <c r="W100" s="1">
        <f>'[99]Prof (MC)'!$W$102</f>
        <v>0.21117129762535022</v>
      </c>
      <c r="X100" s="1">
        <f>'[99]Prof (MC)'!$Z$102</f>
        <v>9.4645764826269794</v>
      </c>
    </row>
    <row r="101" spans="1:24" x14ac:dyDescent="0.2">
      <c r="A101" t="s">
        <v>117</v>
      </c>
      <c r="B101" t="s">
        <v>435</v>
      </c>
      <c r="C101">
        <v>1500</v>
      </c>
      <c r="E101" s="1">
        <f>[100]All!B$9</f>
        <v>3.9368414750799783</v>
      </c>
      <c r="F101" s="1">
        <f>[100]All!C$9</f>
        <v>5.6825359482466808</v>
      </c>
      <c r="G101" s="1">
        <f>[100]All!D$9</f>
        <v>3.8475131540535408</v>
      </c>
      <c r="H101" s="1">
        <f>[100]All!E$9</f>
        <v>4.6218083146274651</v>
      </c>
      <c r="I101" s="1">
        <f>[100]All!F$9</f>
        <v>4.7574024767907206</v>
      </c>
      <c r="J101" s="1">
        <f>[100]All!G$9</f>
        <v>4.208724245792471</v>
      </c>
      <c r="K101" s="1">
        <f>[100]All!H$9</f>
        <v>8.4018584678262069</v>
      </c>
      <c r="L101" s="1">
        <f>[100]All!I$9</f>
        <v>5.9592668337504735</v>
      </c>
      <c r="M101" s="1">
        <f>[100]All!J$9</f>
        <v>6.4876876018079512</v>
      </c>
      <c r="N101" s="1">
        <f>[100]All!K$9</f>
        <v>6.8141255839771731</v>
      </c>
      <c r="O101" s="1">
        <f>[100]All!L$9</f>
        <v>4.5320322937939306</v>
      </c>
      <c r="Q101" s="1">
        <f>[100]All!N$9</f>
        <v>5.2668345367836578</v>
      </c>
      <c r="R101" s="1">
        <f>[100]All!O$9</f>
        <v>5.386345126886054</v>
      </c>
      <c r="S101" s="1">
        <f>[100]All!P$9</f>
        <v>4.7574024767907206</v>
      </c>
      <c r="U101" s="1">
        <f>'[100]Prof (MC)'!$B$4</f>
        <v>5.3457528211217955</v>
      </c>
      <c r="V101" s="1">
        <f>'[100]Prof (MC)'!$C$4</f>
        <v>5.2400603956747194</v>
      </c>
      <c r="W101" s="1">
        <f>'[100]Prof (MC)'!$W$102</f>
        <v>2.9614183145085562</v>
      </c>
      <c r="X101" s="1">
        <f>'[100]Prof (MC)'!$Z$102</f>
        <v>7.3318407915153321</v>
      </c>
    </row>
    <row r="102" spans="1:24" x14ac:dyDescent="0.2">
      <c r="A102" t="s">
        <v>118</v>
      </c>
      <c r="B102" t="s">
        <v>435</v>
      </c>
      <c r="C102">
        <v>1500</v>
      </c>
      <c r="E102" s="1">
        <f>[101]All!B$9</f>
        <v>4.7905480000000004E-3</v>
      </c>
      <c r="F102" s="1">
        <f>[101]All!C$9</f>
        <v>0.40573186635381997</v>
      </c>
      <c r="G102" s="1">
        <f>[101]All!D$9</f>
        <v>0.54687494639395784</v>
      </c>
      <c r="H102" s="1">
        <f>[101]All!E$9</f>
        <v>2.0387587696662952</v>
      </c>
      <c r="I102" s="1">
        <f>[101]All!F$9</f>
        <v>1.7524759085104864</v>
      </c>
      <c r="J102" s="1">
        <f>[101]All!G$9</f>
        <v>2.4161894455734947</v>
      </c>
      <c r="K102" s="1">
        <f>[101]All!H$9</f>
        <v>1.4139653437029414</v>
      </c>
      <c r="L102" s="1">
        <f>[101]All!I$9</f>
        <v>0.94662308861016675</v>
      </c>
      <c r="M102" s="1">
        <f>[101]All!J$9</f>
        <v>5.0696668389672711E-3</v>
      </c>
      <c r="N102" s="1">
        <f>[101]All!K$9</f>
        <v>2.8803989829470353</v>
      </c>
      <c r="O102" s="1">
        <f>[101]All!L$9</f>
        <v>3.542549782023876</v>
      </c>
      <c r="Q102" s="1">
        <f>[101]All!N$9</f>
        <v>2.2984028718832774</v>
      </c>
      <c r="R102" s="1">
        <f>[101]All!O$9</f>
        <v>1.4503116680564583</v>
      </c>
      <c r="S102" s="1">
        <f>[101]All!P$9</f>
        <v>1.4139653437029414</v>
      </c>
      <c r="U102" s="1">
        <f>'[101]Prof (MC)'!$B$4</f>
        <v>1.9318771412860891</v>
      </c>
      <c r="V102" s="1">
        <f>'[101]Prof (MC)'!$C$4</f>
        <v>1.8700039968966207</v>
      </c>
      <c r="W102" s="1">
        <f>'[101]Prof (MC)'!$W$84</f>
        <v>6.6516077271504714E-2</v>
      </c>
      <c r="X102" s="1">
        <f>'[101]Prof (MC)'!$Z$84</f>
        <v>4.0219666006380832</v>
      </c>
    </row>
    <row r="103" spans="1:24" x14ac:dyDescent="0.2">
      <c r="A103" t="s">
        <v>119</v>
      </c>
      <c r="B103" t="s">
        <v>433</v>
      </c>
      <c r="C103">
        <v>1500</v>
      </c>
      <c r="E103" s="1">
        <f>[102]All!B$9</f>
        <v>1.3675669432807391</v>
      </c>
      <c r="F103" s="1">
        <f>[102]All!C$9</f>
        <v>1.0546453045729236</v>
      </c>
      <c r="G103" s="1">
        <f>[102]All!D$9</f>
        <v>1.2508269379673926</v>
      </c>
      <c r="H103" s="1">
        <f>[102]All!E$9</f>
        <v>1.0142064632824348</v>
      </c>
      <c r="I103" s="1">
        <f>[102]All!F$9</f>
        <v>0.80805864701890939</v>
      </c>
      <c r="J103" s="1">
        <f>[102]All!G$9</f>
        <v>0.70343949252768534</v>
      </c>
      <c r="K103" s="1">
        <f>[102]All!H$9</f>
        <v>0.94649229796120071</v>
      </c>
      <c r="L103" s="1">
        <f>[102]All!I$9</f>
        <v>0.93887172443313616</v>
      </c>
      <c r="M103" s="1">
        <f>[102]All!J$9</f>
        <v>0.63935765317361215</v>
      </c>
      <c r="N103" s="1">
        <f>[102]All!K$9</f>
        <v>1.1936895110332764</v>
      </c>
      <c r="O103" s="1">
        <f>[102]All!L$9</f>
        <v>0.92876161424826853</v>
      </c>
      <c r="Q103" s="1">
        <f>[102]All!N$9</f>
        <v>1.049216961962127</v>
      </c>
      <c r="R103" s="1">
        <f>[102]All!O$9</f>
        <v>0.98599241722723441</v>
      </c>
      <c r="S103" s="1">
        <f>[102]All!P$9</f>
        <v>0.94649229796120071</v>
      </c>
      <c r="U103" s="1">
        <f>'[102]Prof (MC)'!$B$4</f>
        <v>1.0351869823952984</v>
      </c>
      <c r="V103" s="1">
        <f>'[102]Prof (MC)'!$C$4</f>
        <v>1.0428509632687475</v>
      </c>
      <c r="W103" s="1">
        <f>'[102]Prof (MC)'!$W$92</f>
        <v>0.22624602173047298</v>
      </c>
      <c r="X103" s="1">
        <f>'[102]Prof (MC)'!$Z$92</f>
        <v>1.7123167651233542</v>
      </c>
    </row>
    <row r="104" spans="1:24" x14ac:dyDescent="0.2">
      <c r="A104" t="s">
        <v>120</v>
      </c>
      <c r="B104" t="s">
        <v>434</v>
      </c>
      <c r="C104">
        <v>2400</v>
      </c>
      <c r="E104" s="1">
        <f>[103]All!B$9</f>
        <v>8.3893115764866764</v>
      </c>
      <c r="F104" s="1">
        <f>[103]All!C$9</f>
        <v>6.5723724989420704</v>
      </c>
      <c r="G104" s="1">
        <f>[103]All!D$9</f>
        <v>5.8889128624598381</v>
      </c>
      <c r="H104" s="1">
        <f>[103]All!E$9</f>
        <v>9.7099414460684645</v>
      </c>
      <c r="I104" s="1">
        <f>[103]All!F$9</f>
        <v>6.5658184811605631</v>
      </c>
      <c r="J104" s="1">
        <f>[103]All!G$9</f>
        <v>5.6806055236570456</v>
      </c>
      <c r="K104" s="1">
        <f>[103]All!H$9</f>
        <v>0.21885597422307898</v>
      </c>
      <c r="L104" s="1">
        <f>[103]All!I$9</f>
        <v>0.26838302456143137</v>
      </c>
      <c r="M104" s="1">
        <f>[103]All!J$9</f>
        <v>6.5380091561031959</v>
      </c>
      <c r="N104" s="1">
        <f>[103]All!K$9</f>
        <v>4.9227377230025704</v>
      </c>
      <c r="O104" s="1">
        <f>[103]All!L$9</f>
        <v>3.049827913356816</v>
      </c>
      <c r="Q104" s="1">
        <f>[103]All!N$9</f>
        <v>6.8905623973118502</v>
      </c>
      <c r="R104" s="1">
        <f>[103]All!O$9</f>
        <v>5.2549796527292489</v>
      </c>
      <c r="S104" s="1">
        <f>[103]All!P$9</f>
        <v>5.8889128624598381</v>
      </c>
      <c r="U104" s="1">
        <f>'[103]Prof (MC)'!$B$4</f>
        <v>6.600447</v>
      </c>
      <c r="V104" s="1">
        <f>'[103]Prof (MC)'!$C$4</f>
        <v>6.8210885961029417</v>
      </c>
      <c r="W104" s="1">
        <f>'[103]Prof (MC)'!$W$136</f>
        <v>1.6468680452943056</v>
      </c>
      <c r="X104" s="1">
        <f>'[103]Prof (MC)'!$Z$136</f>
        <v>12.172886984581341</v>
      </c>
    </row>
    <row r="105" spans="1:24" x14ac:dyDescent="0.2">
      <c r="A105" t="s">
        <v>121</v>
      </c>
      <c r="B105" t="s">
        <v>434</v>
      </c>
      <c r="C105">
        <v>2400</v>
      </c>
      <c r="E105" s="1">
        <f>[104]All!B$9</f>
        <v>10.63835272709121</v>
      </c>
      <c r="F105" s="1">
        <f>[104]All!C$9</f>
        <v>3.7138216439402991</v>
      </c>
      <c r="G105" s="1">
        <f>[104]All!D$9</f>
        <v>7.2200893820247263</v>
      </c>
      <c r="H105" s="1">
        <f>[104]All!E$9</f>
        <v>3.9451891767458598</v>
      </c>
      <c r="I105" s="1">
        <f>[104]All!F$9</f>
        <v>0</v>
      </c>
      <c r="J105" s="1">
        <f>[104]All!G$9</f>
        <v>8.312633805981875</v>
      </c>
      <c r="K105" s="1">
        <f>[104]All!H$9</f>
        <v>0.63843363439141376</v>
      </c>
      <c r="L105" s="1">
        <f>[104]All!I$9</f>
        <v>0.28198679042793068</v>
      </c>
      <c r="M105" s="1">
        <f>[104]All!J$9</f>
        <v>7.9018818000000005E-2</v>
      </c>
      <c r="N105" s="1">
        <f>[104]All!K$9</f>
        <v>5.9308572193977236</v>
      </c>
      <c r="O105" s="1">
        <f>[104]All!L$9</f>
        <v>0.24399395273235949</v>
      </c>
      <c r="Q105" s="1">
        <f>[104]All!N$9</f>
        <v>5.6555568692914742</v>
      </c>
      <c r="R105" s="1">
        <f>[104]All!O$9</f>
        <v>4.1004377150733387</v>
      </c>
      <c r="S105" s="1">
        <f>[104]All!P$9</f>
        <v>3.8295054103430797</v>
      </c>
      <c r="U105" s="1">
        <f>'[104]Prof (MC)'!$B$4</f>
        <v>4.4482877202693345</v>
      </c>
      <c r="V105" s="1">
        <f>'[104]Prof (MC)'!$C$4</f>
        <v>4.6217396244590718</v>
      </c>
      <c r="W105" s="1">
        <f>'[104]Prof (MC)'!$W$136</f>
        <v>0.23220362939372957</v>
      </c>
      <c r="X105" s="1">
        <f>'[104]Prof (MC)'!$Z$136</f>
        <v>10.110936187506521</v>
      </c>
    </row>
    <row r="106" spans="1:24" x14ac:dyDescent="0.2">
      <c r="A106" t="s">
        <v>122</v>
      </c>
      <c r="B106" t="s">
        <v>435</v>
      </c>
      <c r="C106">
        <v>2400</v>
      </c>
      <c r="E106" s="1">
        <f>[105]All!B$9</f>
        <v>2.0927451118490294</v>
      </c>
      <c r="F106" s="1">
        <f>[105]All!C$9</f>
        <v>2.1831135582712591</v>
      </c>
      <c r="G106" s="1">
        <f>[105]All!D$9</f>
        <v>2.7806438794057238</v>
      </c>
      <c r="H106" s="1">
        <f>[105]All!E$9</f>
        <v>2.3956905689231882</v>
      </c>
      <c r="I106" s="1">
        <f>[105]All!F$9</f>
        <v>2.3926032842060883</v>
      </c>
      <c r="J106" s="1">
        <f>[105]All!G$9</f>
        <v>1.4648420581258677</v>
      </c>
      <c r="K106" s="1">
        <f>[105]All!H$9</f>
        <v>2.9336781581571794</v>
      </c>
      <c r="L106" s="1">
        <f>[105]All!I$9</f>
        <v>2.9517600938331987</v>
      </c>
      <c r="M106" s="1">
        <f>[105]All!J$9</f>
        <v>2.2818811198382729</v>
      </c>
      <c r="N106" s="1">
        <f>[105]All!K$9</f>
        <v>1.4111239369355375</v>
      </c>
      <c r="O106" s="1">
        <f>[105]All!L$9</f>
        <v>2.7861095756196002</v>
      </c>
      <c r="Q106" s="1">
        <f>[105]All!N$9</f>
        <v>2.2540870324440347</v>
      </c>
      <c r="R106" s="1">
        <f>[105]All!O$9</f>
        <v>2.3340173950149952</v>
      </c>
      <c r="S106" s="1">
        <f>[105]All!P$9</f>
        <v>2.3926032842060883</v>
      </c>
      <c r="U106" s="1">
        <f>'[105]Prof (MC)'!$B$4</f>
        <v>2.2696452820435304</v>
      </c>
      <c r="V106" s="1">
        <f>'[105]Prof (MC)'!$C$4</f>
        <v>2.3093639123351024</v>
      </c>
      <c r="W106" s="1">
        <f>'[105]Prof (MC)'!$W$114</f>
        <v>1.3712535011111382</v>
      </c>
      <c r="X106" s="1">
        <f>'[105]Prof (MC)'!$Z$114</f>
        <v>3.5758034119821933</v>
      </c>
    </row>
    <row r="107" spans="1:24" x14ac:dyDescent="0.2">
      <c r="A107" t="s">
        <v>123</v>
      </c>
      <c r="B107" t="s">
        <v>435</v>
      </c>
      <c r="C107">
        <v>2400</v>
      </c>
      <c r="E107" s="1">
        <f>[106]All!B$9</f>
        <v>0.22831768929800286</v>
      </c>
      <c r="F107" s="1">
        <f>[106]All!C$9</f>
        <v>0.15908064428859309</v>
      </c>
      <c r="G107" s="1">
        <f>[106]All!D$9</f>
        <v>0.26441329157474108</v>
      </c>
      <c r="H107" s="1">
        <f>[106]All!E$9</f>
        <v>0.51860378557668318</v>
      </c>
      <c r="I107" s="1">
        <f>[106]All!F$9</f>
        <v>6.2094222071936218E-2</v>
      </c>
      <c r="J107" s="1">
        <f>[106]All!G$9</f>
        <v>2.8880439312273296</v>
      </c>
      <c r="K107" s="1">
        <f>[106]All!H$9</f>
        <v>2.5074698126697932</v>
      </c>
      <c r="L107" s="1">
        <f>[106]All!I$9</f>
        <v>2.0071248987155221</v>
      </c>
      <c r="M107" s="1">
        <f>[106]All!J$9</f>
        <v>0.27690282949111006</v>
      </c>
      <c r="N107" s="1">
        <f>[106]All!K$9</f>
        <v>8.7858198355566589E-3</v>
      </c>
      <c r="O107" s="1">
        <f>[106]All!L$9</f>
        <v>0.3138985077765522</v>
      </c>
      <c r="Q107" s="1">
        <f>[106]All!N$9</f>
        <v>0.34911211631464006</v>
      </c>
      <c r="R107" s="1">
        <f>[106]All!O$9</f>
        <v>0.8395214029568927</v>
      </c>
      <c r="S107" s="1">
        <f>[106]All!P$9</f>
        <v>0.27690282949111006</v>
      </c>
      <c r="U107" s="1">
        <f>'[106]Prof (MC)'!$B$4</f>
        <v>0.3306908025760773</v>
      </c>
      <c r="V107" s="1">
        <f>'[106]Prof (MC)'!$C$4</f>
        <v>0.54508673568577126</v>
      </c>
      <c r="W107" s="1">
        <f>'[106]Prof (MC)'!$W$76</f>
        <v>0.10391707838250701</v>
      </c>
      <c r="X107" s="1">
        <f>'[106]Prof (MC)'!$Z$76</f>
        <v>3.6285191840347504</v>
      </c>
    </row>
    <row r="108" spans="1:24" x14ac:dyDescent="0.2">
      <c r="A108" t="s">
        <v>124</v>
      </c>
      <c r="B108" t="s">
        <v>435</v>
      </c>
      <c r="C108">
        <v>2800</v>
      </c>
      <c r="E108" s="1">
        <f>[107]All!B$9</f>
        <v>3.8314853976370329</v>
      </c>
      <c r="F108" s="1">
        <f>[107]All!C$9</f>
        <v>3.6102060476342097</v>
      </c>
      <c r="G108" s="1">
        <f>[107]All!D$9</f>
        <v>4.6308841006363792</v>
      </c>
      <c r="H108" s="1">
        <f>[107]All!E$9</f>
        <v>3.5330184021346693</v>
      </c>
      <c r="I108" s="1">
        <f>[107]All!F$9</f>
        <v>0.21105520956411228</v>
      </c>
      <c r="J108" s="1">
        <f>[107]All!G$9</f>
        <v>5.0418762104600283</v>
      </c>
      <c r="K108" s="1">
        <f>[107]All!H$9</f>
        <v>3.6527685437613293</v>
      </c>
      <c r="L108" s="1">
        <f>[107]All!I$9</f>
        <v>2.884129186475402</v>
      </c>
      <c r="M108" s="1">
        <f>[107]All!J$9</f>
        <v>4.6113156186707229</v>
      </c>
      <c r="N108" s="1">
        <f>[107]All!K$9</f>
        <v>4.0612451058449643</v>
      </c>
      <c r="O108" s="1">
        <f>[107]All!L$9</f>
        <v>2.8501257195051091</v>
      </c>
      <c r="Q108" s="1">
        <f>[107]All!N$9</f>
        <v>3.7919763328187277</v>
      </c>
      <c r="R108" s="1">
        <f>[107]All!O$9</f>
        <v>3.5380099583930869</v>
      </c>
      <c r="S108" s="1">
        <f>[107]All!P$9</f>
        <v>3.6527685437613293</v>
      </c>
      <c r="U108" s="1">
        <f>'[107]Prof (MC)'!$B$4</f>
        <v>3.6791708375095862</v>
      </c>
      <c r="V108" s="1">
        <f>'[107]Prof (MC)'!$C$4</f>
        <v>3.658014159220889</v>
      </c>
      <c r="W108" s="1">
        <f>'[107]Prof (MC)'!$W$98</f>
        <v>0.69276468444306083</v>
      </c>
      <c r="X108" s="1">
        <f>'[107]Prof (MC)'!$Z$98</f>
        <v>6.4421729192599591</v>
      </c>
    </row>
    <row r="109" spans="1:24" x14ac:dyDescent="0.2">
      <c r="A109" t="s">
        <v>125</v>
      </c>
      <c r="B109" t="s">
        <v>435</v>
      </c>
      <c r="C109">
        <v>2800</v>
      </c>
      <c r="E109" s="1">
        <f>[108]All!B$9</f>
        <v>2.5214179617786194</v>
      </c>
      <c r="F109" s="1">
        <f>[108]All!C$9</f>
        <v>4.0636718549996758</v>
      </c>
      <c r="G109" s="1">
        <f>[108]All!D$9</f>
        <v>0.14390868332611081</v>
      </c>
      <c r="H109" s="1">
        <f>[108]All!E$9</f>
        <v>8.4345938999999995E-2</v>
      </c>
      <c r="I109" s="1">
        <f>[108]All!F$9</f>
        <v>2.1085647860127046</v>
      </c>
      <c r="J109" s="1">
        <f>[108]All!G$9</f>
        <v>1.2124488647362077</v>
      </c>
      <c r="K109" s="1">
        <f>[108]All!H$9</f>
        <v>1.8838840565856649</v>
      </c>
      <c r="L109" s="1">
        <f>[108]All!I$9</f>
        <v>0.18398477532123839</v>
      </c>
      <c r="M109" s="1">
        <f>[108]All!J$9</f>
        <v>3.8312576007258183</v>
      </c>
      <c r="N109" s="1">
        <f>[108]All!K$9</f>
        <v>4.0357031624388453</v>
      </c>
      <c r="O109" s="1">
        <f>[108]All!L$9</f>
        <v>1.3045215751396555</v>
      </c>
      <c r="Q109" s="1">
        <f>[108]All!N$9</f>
        <v>2.8204334136478488</v>
      </c>
      <c r="R109" s="1">
        <f>[108]All!O$9</f>
        <v>1.9430644781876858</v>
      </c>
      <c r="S109" s="1">
        <f>[108]All!P$9</f>
        <v>1.8838840565856649</v>
      </c>
      <c r="U109" s="1">
        <f>'[108]Prof (MC)'!$B$4</f>
        <v>2.877214838740926</v>
      </c>
      <c r="V109" s="1">
        <f>'[108]Prof (MC)'!$C$4</f>
        <v>3.0741857156584675</v>
      </c>
      <c r="W109" s="1">
        <f>'[108]Prof (MC)'!$W$92</f>
        <v>0.22485533763321339</v>
      </c>
      <c r="X109" s="1">
        <f>'[108]Prof (MC)'!$Z$92</f>
        <v>7.6535409338289213</v>
      </c>
    </row>
    <row r="110" spans="1:24" x14ac:dyDescent="0.2">
      <c r="A110" t="s">
        <v>126</v>
      </c>
      <c r="B110" t="s">
        <v>435</v>
      </c>
      <c r="C110">
        <v>2800</v>
      </c>
      <c r="E110" s="1">
        <f>[109]All!B$9</f>
        <v>3.4943063194017037</v>
      </c>
      <c r="F110" s="1">
        <f>[109]All!C$9</f>
        <v>1.3807024910263064</v>
      </c>
      <c r="G110" s="1">
        <f>[109]All!D$9</f>
        <v>0.89704944774808104</v>
      </c>
      <c r="H110" s="1">
        <f>[109]All!E$9</f>
        <v>2.5010114607029212</v>
      </c>
      <c r="I110" s="1">
        <f>[109]All!F$9</f>
        <v>1.8190442508048763</v>
      </c>
      <c r="J110" s="1">
        <f>[109]All!G$9</f>
        <v>1.7939467332502854</v>
      </c>
      <c r="K110" s="1">
        <f>[109]All!H$9</f>
        <v>1.9720412330801635</v>
      </c>
      <c r="L110" s="1">
        <f>[109]All!I$9</f>
        <v>2.040341690798043</v>
      </c>
      <c r="M110" s="1">
        <f>[109]All!J$9</f>
        <v>2.3998440033644375</v>
      </c>
      <c r="N110" s="1">
        <f>[109]All!K$9</f>
        <v>1.885755869957281</v>
      </c>
      <c r="O110" s="1">
        <f>[109]All!L$9</f>
        <v>2.3875081017900972</v>
      </c>
      <c r="Q110" s="1">
        <f>[109]All!N$9</f>
        <v>1.7356913268782488</v>
      </c>
      <c r="R110" s="1">
        <f>[109]All!O$9</f>
        <v>2.0519592365385635</v>
      </c>
      <c r="S110" s="1">
        <f>[109]All!P$9</f>
        <v>1.9720412330801635</v>
      </c>
      <c r="U110" s="1">
        <f>'[109]Prof (MC)'!$B$4</f>
        <v>1.6838949829922139</v>
      </c>
      <c r="V110" s="1">
        <f>'[109]Prof (MC)'!$C$4</f>
        <v>1.6870603532529276</v>
      </c>
      <c r="W110" s="1">
        <f>'[109]Prof (MC)'!$W$82</f>
        <v>0.76430771633953176</v>
      </c>
      <c r="X110" s="1">
        <f>'[109]Prof (MC)'!$Z$82</f>
        <v>2.7329189392292035</v>
      </c>
    </row>
    <row r="111" spans="1:24" x14ac:dyDescent="0.2">
      <c r="A111" t="s">
        <v>127</v>
      </c>
      <c r="B111" t="s">
        <v>435</v>
      </c>
      <c r="C111">
        <v>2800</v>
      </c>
      <c r="E111" s="1">
        <f>[110]All!B$9</f>
        <v>5.510330232655695E-3</v>
      </c>
      <c r="F111" s="1">
        <f>[110]All!C$9</f>
        <v>0.7275774391049612</v>
      </c>
      <c r="G111" s="1">
        <f>[110]All!D$9</f>
        <v>2.3123545307665578</v>
      </c>
      <c r="H111" s="1">
        <f>[110]All!E$9</f>
        <v>3.1193869059759725</v>
      </c>
      <c r="I111" s="1">
        <f>[110]All!F$9</f>
        <v>0.63476857752027172</v>
      </c>
      <c r="J111" s="1">
        <f>[110]All!G$9</f>
        <v>0.539118742847008</v>
      </c>
      <c r="K111" s="1">
        <f>[110]All!H$9</f>
        <v>0.65502170244478852</v>
      </c>
      <c r="L111" s="1">
        <f>[110]All!I$9</f>
        <v>4.7438458000000003E-2</v>
      </c>
      <c r="M111" s="1">
        <f>[110]All!J$9</f>
        <v>0.19068644462129475</v>
      </c>
      <c r="N111" s="1">
        <f>[110]All!K$9</f>
        <v>0.83852427211500158</v>
      </c>
      <c r="O111" s="1">
        <f>[110]All!L$9</f>
        <v>1.2159831764558757</v>
      </c>
      <c r="Q111" s="1">
        <f>[110]All!N$9</f>
        <v>0.21192285139679803</v>
      </c>
      <c r="R111" s="1">
        <f>[110]All!O$9</f>
        <v>0.93512459818948979</v>
      </c>
      <c r="S111" s="1">
        <f>[110]All!P$9</f>
        <v>0.65502170244478852</v>
      </c>
      <c r="U111" s="1">
        <f>'[110]Prof (MC)'!$B$4</f>
        <v>0.20321153521456592</v>
      </c>
      <c r="V111" s="1">
        <f>'[110]Prof (MC)'!$C$4</f>
        <v>0.54998450454962688</v>
      </c>
      <c r="W111" s="1">
        <f>'[110]Prof (MC)'!$W$78</f>
        <v>5.0635504749208045E-8</v>
      </c>
      <c r="X111" s="1">
        <f>'[110]Prof (MC)'!$Z$78</f>
        <v>4.9534017305841855</v>
      </c>
    </row>
    <row r="112" spans="1:24" x14ac:dyDescent="0.2">
      <c r="A112" t="s">
        <v>128</v>
      </c>
      <c r="B112" t="s">
        <v>435</v>
      </c>
      <c r="C112">
        <v>2700</v>
      </c>
      <c r="E112" s="1">
        <f>[111]All!B$9</f>
        <v>3.3218520677284468E-8</v>
      </c>
      <c r="F112" s="1">
        <f>[111]All!C$9</f>
        <v>0.10129275546865003</v>
      </c>
      <c r="G112" s="1">
        <f>[111]All!D$9</f>
        <v>1.4348255171054889</v>
      </c>
      <c r="H112" s="1">
        <f>[111]All!E$9</f>
        <v>3.4282959578569701</v>
      </c>
      <c r="I112" s="1">
        <f>[111]All!F$9</f>
        <v>4.0219408999999998E-2</v>
      </c>
      <c r="J112" s="1">
        <f>[111]All!G$9</f>
        <v>1.1974469304973292</v>
      </c>
      <c r="K112" s="1">
        <f>[111]All!H$9</f>
        <v>0.24430057547748971</v>
      </c>
      <c r="L112" s="1">
        <f>[111]All!I$9</f>
        <v>2.5768296458734827E-2</v>
      </c>
      <c r="M112" s="1">
        <f>[111]All!J$9</f>
        <v>1.0764300058423546</v>
      </c>
      <c r="N112" s="1">
        <f>[111]All!K$9</f>
        <v>1.6484615037531327</v>
      </c>
      <c r="O112" s="1">
        <f>[111]All!L$9</f>
        <v>2.3138966870301871</v>
      </c>
      <c r="Q112" s="1">
        <f>[111]All!N$9</f>
        <v>1.1496420015226658</v>
      </c>
      <c r="R112" s="1">
        <f>[111]All!O$9</f>
        <v>1.0464488792462598</v>
      </c>
      <c r="S112" s="1">
        <f>[111]All!P$9</f>
        <v>1.0764300058423546</v>
      </c>
      <c r="U112" s="1">
        <f>'[111]Prof (MC)'!$B$4</f>
        <v>0.48863408165563682</v>
      </c>
      <c r="V112" s="1">
        <f>'[111]Prof (MC)'!$C$4</f>
        <v>0.89257207753140255</v>
      </c>
      <c r="W112" s="1">
        <f>'[111]Prof (MC)'!$W$74</f>
        <v>8.4541584783669976E-8</v>
      </c>
      <c r="X112" s="1">
        <f>'[111]Prof (MC)'!$Z$74</f>
        <v>3.1980411388265728</v>
      </c>
    </row>
    <row r="113" spans="1:24" x14ac:dyDescent="0.2">
      <c r="A113" t="s">
        <v>129</v>
      </c>
      <c r="B113" t="s">
        <v>435</v>
      </c>
      <c r="C113">
        <v>2700</v>
      </c>
      <c r="E113" s="1">
        <f>[112]All!B$9</f>
        <v>4.1485077431795867</v>
      </c>
      <c r="F113" s="1">
        <f>[112]All!C$9</f>
        <v>9.0716125613106815</v>
      </c>
      <c r="G113" s="1">
        <f>[112]All!D$9</f>
        <v>1.7140594125476527</v>
      </c>
      <c r="H113" s="1">
        <f>[112]All!E$9</f>
        <v>8.0262722535143531</v>
      </c>
      <c r="I113" s="1">
        <f>[112]All!F$9</f>
        <v>4.396948130232043</v>
      </c>
      <c r="J113" s="1">
        <f>[112]All!G$9</f>
        <v>6.0145737585897674</v>
      </c>
      <c r="K113" s="1">
        <f>[112]All!H$9</f>
        <v>2.5604198858698446</v>
      </c>
      <c r="L113" s="1">
        <f>[112]All!I$9</f>
        <v>7.9234337592445963</v>
      </c>
      <c r="M113" s="1">
        <f>[112]All!J$9</f>
        <v>1.7755645362891568</v>
      </c>
      <c r="N113" s="1">
        <f>[112]All!K$9</f>
        <v>7.1195058897135901</v>
      </c>
      <c r="O113" s="1">
        <f>[112]All!L$9</f>
        <v>4.7598817777068776</v>
      </c>
      <c r="Q113" s="1">
        <f>[112]All!N$9</f>
        <v>4.813900435281135</v>
      </c>
      <c r="R113" s="1">
        <f>[112]All!O$9</f>
        <v>5.228252700745287</v>
      </c>
      <c r="S113" s="1">
        <f>[112]All!P$9</f>
        <v>4.7598817777068776</v>
      </c>
      <c r="U113" s="1">
        <f>'[112]Prof (MC)'!$B$4</f>
        <v>4.7013842551891774</v>
      </c>
      <c r="V113" s="1">
        <f>'[112]Prof (MC)'!$C$4</f>
        <v>4.716330228825302</v>
      </c>
      <c r="W113" s="1">
        <f>'[112]Prof (MC)'!$W$114</f>
        <v>1.3700481012706598</v>
      </c>
      <c r="X113" s="1">
        <f>'[112]Prof (MC)'!$Z$114</f>
        <v>8.0467276152877503</v>
      </c>
    </row>
    <row r="114" spans="1:24" x14ac:dyDescent="0.2">
      <c r="A114" t="s">
        <v>130</v>
      </c>
      <c r="B114" t="s">
        <v>435</v>
      </c>
      <c r="C114">
        <v>2700</v>
      </c>
      <c r="E114" s="1">
        <f>[113]All!B$9</f>
        <v>7.6682412792521628</v>
      </c>
      <c r="F114" s="1">
        <f>[113]All!C$9</f>
        <v>6.1841686634794488</v>
      </c>
      <c r="G114" s="1">
        <f>[113]All!D$9</f>
        <v>6.0318335754975685</v>
      </c>
      <c r="H114" s="1">
        <f>[113]All!E$9</f>
        <v>3.2032861932375241</v>
      </c>
      <c r="I114" s="1">
        <f>[113]All!F$9</f>
        <v>3.7363431008412444</v>
      </c>
      <c r="J114" s="1">
        <f>[113]All!G$9</f>
        <v>7.2587649694449539</v>
      </c>
      <c r="K114" s="1">
        <f>[113]All!H$9</f>
        <v>5.4382467562640437</v>
      </c>
      <c r="L114" s="1">
        <f>[113]All!I$9</f>
        <v>5.9022337526209476</v>
      </c>
      <c r="M114" s="1">
        <f>[113]All!J$9</f>
        <v>5.7053386778981965</v>
      </c>
      <c r="N114" s="1">
        <f>[113]All!K$9</f>
        <v>2.3567463932418007</v>
      </c>
      <c r="O114" s="1">
        <f>[113]All!L$9</f>
        <v>1.8236408477379087</v>
      </c>
      <c r="Q114" s="1">
        <f>[113]All!N$9</f>
        <v>5.0983536520586243</v>
      </c>
      <c r="R114" s="1">
        <f>[113]All!O$9</f>
        <v>5.0280767463196172</v>
      </c>
      <c r="S114" s="1">
        <f>[113]All!P$9</f>
        <v>5.7053386778981965</v>
      </c>
      <c r="U114" s="1">
        <f>'[113]Prof (MC)'!$B$4</f>
        <v>5.2982410736136529</v>
      </c>
      <c r="V114" s="1">
        <f>'[113]Prof (MC)'!$C$4</f>
        <v>5.3056690020230599</v>
      </c>
      <c r="W114" s="1">
        <f>'[113]Prof (MC)'!$W$108</f>
        <v>1.6915936079986826</v>
      </c>
      <c r="X114" s="1">
        <f>'[113]Prof (MC)'!$Z$108</f>
        <v>8.7001095368120769</v>
      </c>
    </row>
    <row r="115" spans="1:24" x14ac:dyDescent="0.2">
      <c r="A115" t="s">
        <v>131</v>
      </c>
      <c r="B115" t="s">
        <v>434</v>
      </c>
      <c r="C115">
        <v>1450</v>
      </c>
      <c r="E115" s="1">
        <f>[114]All!B$9</f>
        <v>3.605215869615285</v>
      </c>
      <c r="F115" s="1">
        <f>[114]All!C$9</f>
        <v>3.5331025266667053</v>
      </c>
      <c r="G115" s="1">
        <f>[114]All!D$9</f>
        <v>3.9435633164361676</v>
      </c>
      <c r="H115" s="1">
        <f>[114]All!E$9</f>
        <v>2.5211513632040186</v>
      </c>
      <c r="I115" s="1">
        <f>[114]All!F$9</f>
        <v>4.3651560330016421</v>
      </c>
      <c r="J115" s="1">
        <f>[114]All!G$9</f>
        <v>3.756459014544566</v>
      </c>
      <c r="K115" s="1">
        <f>[114]All!H$9</f>
        <v>2.7783212017501451</v>
      </c>
      <c r="L115" s="1">
        <f>[114]All!I$9</f>
        <v>2.8328374354247359</v>
      </c>
      <c r="M115" s="1">
        <f>[114]All!J$9</f>
        <v>1.1534412102982232</v>
      </c>
      <c r="N115" s="1">
        <f>[114]All!K$9</f>
        <v>2.6291424632903286</v>
      </c>
      <c r="O115" s="1">
        <f>[114]All!L$9</f>
        <v>2.6502578091087794</v>
      </c>
      <c r="Q115" s="1">
        <f>[114]All!N$9</f>
        <v>3.0505618960648837</v>
      </c>
      <c r="R115" s="1">
        <f>[114]All!O$9</f>
        <v>3.0698771130309628</v>
      </c>
      <c r="S115" s="1">
        <f>[114]All!P$9</f>
        <v>2.8328374354247359</v>
      </c>
      <c r="U115" s="1">
        <f>'[114]Prof (MC)'!$B$4</f>
        <v>2.9433472395598144</v>
      </c>
      <c r="V115" s="1">
        <f>'[114]Prof (MC)'!$C$4</f>
        <v>2.9188570996566336</v>
      </c>
      <c r="W115" s="1">
        <f>'[114]Prof (MC)'!$W$108</f>
        <v>1.1688683888114082</v>
      </c>
      <c r="X115" s="1">
        <f>'[114]Prof (MC)'!$Z$108</f>
        <v>4.3133133338811485</v>
      </c>
    </row>
    <row r="116" spans="1:24" x14ac:dyDescent="0.2">
      <c r="A116" t="s">
        <v>132</v>
      </c>
      <c r="B116" t="s">
        <v>435</v>
      </c>
      <c r="C116">
        <v>1450</v>
      </c>
      <c r="E116" s="1">
        <f>[115]All!B$9</f>
        <v>4.4103127892757525</v>
      </c>
      <c r="F116" s="1">
        <f>[115]All!C$9</f>
        <v>2.6994703154571305</v>
      </c>
      <c r="G116" s="1">
        <f>[115]All!D$9</f>
        <v>3.0335690719167796</v>
      </c>
      <c r="H116" s="1">
        <f>[115]All!E$9</f>
        <v>1.0780548823944911</v>
      </c>
      <c r="I116" s="1">
        <f>[115]All!F$9</f>
        <v>3.0978610282120536</v>
      </c>
      <c r="J116" s="1">
        <f>[115]All!G$9</f>
        <v>3.7542585851726855</v>
      </c>
      <c r="K116" s="1">
        <f>[115]All!H$9</f>
        <v>4.8663553661453589</v>
      </c>
      <c r="L116" s="1">
        <f>[115]All!I$9</f>
        <v>2.868106624618461</v>
      </c>
      <c r="M116" s="1">
        <f>[115]All!J$9</f>
        <v>0.27467805730672112</v>
      </c>
      <c r="N116" s="1">
        <f>[115]All!K$9</f>
        <v>2.5435829116601782</v>
      </c>
      <c r="O116" s="1">
        <f>[115]All!L$9</f>
        <v>2.0319650966673248</v>
      </c>
      <c r="Q116" s="1">
        <f>[115]All!N$9</f>
        <v>2.8657956625750627</v>
      </c>
      <c r="R116" s="1">
        <f>[115]All!O$9</f>
        <v>2.7871104298933576</v>
      </c>
      <c r="S116" s="1">
        <f>[115]All!P$9</f>
        <v>2.868106624618461</v>
      </c>
      <c r="U116" s="1">
        <f>'[115]Prof (MC)'!$B$4</f>
        <v>2.7905339957423356</v>
      </c>
      <c r="V116" s="1">
        <f>'[115]Prof (MC)'!$C$4</f>
        <v>2.9128303884117712</v>
      </c>
      <c r="W116" s="1">
        <f>'[115]Prof (MC)'!$W$86</f>
        <v>0.65460605009756145</v>
      </c>
      <c r="X116" s="1">
        <f>'[115]Prof (MC)'!$Z$86</f>
        <v>6.4173726603332897</v>
      </c>
    </row>
    <row r="117" spans="1:24" x14ac:dyDescent="0.2">
      <c r="A117" t="s">
        <v>133</v>
      </c>
      <c r="B117" t="s">
        <v>435</v>
      </c>
      <c r="C117">
        <v>1450</v>
      </c>
      <c r="E117" s="1">
        <f>[116]All!B$9</f>
        <v>3.8415849146661909</v>
      </c>
      <c r="F117" s="1">
        <f>[116]All!C$9</f>
        <v>3.0313479744654814</v>
      </c>
      <c r="G117" s="1">
        <f>[116]All!D$9</f>
        <v>2.6524828601215682</v>
      </c>
      <c r="H117" s="1">
        <f>[116]All!E$9</f>
        <v>1.4204829225030258</v>
      </c>
      <c r="I117" s="1">
        <f>[116]All!F$9</f>
        <v>0.99745274256647232</v>
      </c>
      <c r="J117" s="1">
        <f>[116]All!G$9</f>
        <v>2.7122419798906812</v>
      </c>
      <c r="K117" s="1">
        <f>[116]All!H$9</f>
        <v>2.235309504329813</v>
      </c>
      <c r="L117" s="1">
        <f>[116]All!I$9</f>
        <v>2.1844699227891677</v>
      </c>
      <c r="M117" s="1">
        <f>[116]All!J$9</f>
        <v>4.0638556137466813</v>
      </c>
      <c r="N117" s="1">
        <f>[116]All!K$9</f>
        <v>2.5959198225807461</v>
      </c>
      <c r="O117" s="1">
        <f>[116]All!L$9</f>
        <v>1.274661451652497</v>
      </c>
      <c r="Q117" s="1">
        <f>[116]All!N$9</f>
        <v>2.542705786579972</v>
      </c>
      <c r="R117" s="1">
        <f>[116]All!O$9</f>
        <v>2.4554372463011207</v>
      </c>
      <c r="S117" s="1">
        <f>[116]All!P$9</f>
        <v>2.5959198225807461</v>
      </c>
      <c r="U117" s="1">
        <f>'[116]Prof (MC)'!$B$4</f>
        <v>2.6188955521558182</v>
      </c>
      <c r="V117" s="1">
        <f>'[116]Prof (MC)'!$C$4</f>
        <v>2.6220152527587133</v>
      </c>
      <c r="W117" s="1">
        <f>'[116]Prof (MC)'!$W$88</f>
        <v>0.7333974724230895</v>
      </c>
      <c r="X117" s="1">
        <f>'[116]Prof (MC)'!$Z$88</f>
        <v>4.522641821890244</v>
      </c>
    </row>
    <row r="118" spans="1:24" x14ac:dyDescent="0.2">
      <c r="A118" t="s">
        <v>134</v>
      </c>
      <c r="B118" t="s">
        <v>437</v>
      </c>
      <c r="C118">
        <v>1450</v>
      </c>
      <c r="E118" s="1">
        <f>[117]All!B$9</f>
        <v>2.0028951983361138</v>
      </c>
      <c r="F118" s="1">
        <f>[117]All!C$9</f>
        <v>1.6274998217251411</v>
      </c>
      <c r="G118" s="1">
        <f>[117]All!D$9</f>
        <v>1.6299131683199242</v>
      </c>
      <c r="H118" s="1">
        <f>[117]All!E$9</f>
        <v>1.6920122326172624</v>
      </c>
      <c r="I118" s="1">
        <f>[117]All!F$9</f>
        <v>1.2500647451504783</v>
      </c>
      <c r="J118" s="1">
        <f>[117]All!G$9</f>
        <v>1.6656083169885842</v>
      </c>
      <c r="K118" s="1">
        <f>[117]All!H$9</f>
        <v>1.7067159966572407</v>
      </c>
      <c r="L118" s="1">
        <f>[117]All!I$9</f>
        <v>2.1393284204043281</v>
      </c>
      <c r="M118" s="1">
        <f>[117]All!J$9</f>
        <v>2.4445426562376724</v>
      </c>
      <c r="N118" s="1">
        <f>[117]All!K$9</f>
        <v>2.4225906403517787</v>
      </c>
      <c r="O118" s="1">
        <f>[117]All!L$9</f>
        <v>1.6168701025963452</v>
      </c>
      <c r="Q118" s="1">
        <f>[117]All!N$9</f>
        <v>1.8482046905999368</v>
      </c>
      <c r="R118" s="1">
        <f>[117]All!O$9</f>
        <v>1.8361855726713516</v>
      </c>
      <c r="S118" s="1">
        <f>[117]All!P$9</f>
        <v>1.6920122326172624</v>
      </c>
      <c r="U118" s="1">
        <f>'[117]Prof (MC)'!$B$4</f>
        <v>1.8673629676823651</v>
      </c>
      <c r="V118" s="1">
        <f>'[117]Prof (MC)'!$C$4</f>
        <v>1.8322726221100976</v>
      </c>
      <c r="W118" s="1">
        <f>'[117]Prof (MC)'!$W$78</f>
        <v>0.71317233637370048</v>
      </c>
      <c r="X118" s="1">
        <f>'[117]Prof (MC)'!$Z$78</f>
        <v>2.6829791352329684</v>
      </c>
    </row>
    <row r="119" spans="1:24" x14ac:dyDescent="0.2">
      <c r="A119" t="s">
        <v>135</v>
      </c>
      <c r="B119" t="s">
        <v>434</v>
      </c>
      <c r="C119">
        <v>1900</v>
      </c>
      <c r="E119" s="1">
        <f>[118]All!B$9</f>
        <v>7.1754227242292723</v>
      </c>
      <c r="F119" s="1">
        <f>[118]All!C$9</f>
        <v>9.6274554824577212</v>
      </c>
      <c r="G119" s="1">
        <f>[118]All!D$9</f>
        <v>12.268338450676186</v>
      </c>
      <c r="H119" s="1">
        <f>[118]All!E$9</f>
        <v>12.418591850297869</v>
      </c>
      <c r="I119" s="1">
        <f>[118]All!F$9</f>
        <v>9.9080962598057774</v>
      </c>
      <c r="J119" s="1">
        <f>[118]All!G$9</f>
        <v>11.433068357558584</v>
      </c>
      <c r="K119" s="1">
        <f>[118]All!H$9</f>
        <v>12.105460878004687</v>
      </c>
      <c r="L119" s="1">
        <f>[118]All!I$9</f>
        <v>7.8080884096452348</v>
      </c>
      <c r="M119" s="1">
        <f>[118]All!J$9</f>
        <v>11.658657720330135</v>
      </c>
      <c r="N119" s="1">
        <f>[118]All!K$9</f>
        <v>10.410762056479438</v>
      </c>
      <c r="O119" s="1">
        <f>[118]All!L$9</f>
        <v>6.5535123962702464</v>
      </c>
      <c r="Q119" s="1">
        <f>[118]All!N$9</f>
        <v>10.206797811510189</v>
      </c>
      <c r="R119" s="1">
        <f>[118]All!O$9</f>
        <v>10.124314053250471</v>
      </c>
      <c r="S119" s="1">
        <f>[118]All!P$9</f>
        <v>10.410762056479438</v>
      </c>
      <c r="U119" s="1">
        <f>'[118]Prof (MC)'!$B$4</f>
        <v>9.7960229771930756</v>
      </c>
      <c r="V119" s="1">
        <f>'[118]Prof (MC)'!$C$4</f>
        <v>10.083021032035257</v>
      </c>
      <c r="W119" s="1">
        <f>'[118]Prof (MC)'!$W$140</f>
        <v>6.3839884761224361</v>
      </c>
      <c r="X119" s="1">
        <f>'[118]Prof (MC)'!$Z$140</f>
        <v>15.076217563646994</v>
      </c>
    </row>
    <row r="120" spans="1:24" x14ac:dyDescent="0.2">
      <c r="A120" t="s">
        <v>136</v>
      </c>
      <c r="B120" t="s">
        <v>435</v>
      </c>
      <c r="C120">
        <v>1900</v>
      </c>
      <c r="E120" s="1">
        <f>[119]All!B$9</f>
        <v>7.5408378030817333</v>
      </c>
      <c r="F120" s="1">
        <f>[119]All!C$9</f>
        <v>5.7970619545932012</v>
      </c>
      <c r="G120" s="1">
        <f>[119]All!D$9</f>
        <v>5.7172513949283541</v>
      </c>
      <c r="H120" s="1">
        <f>[119]All!E$9</f>
        <v>5.5014853926575968</v>
      </c>
      <c r="I120" s="1">
        <f>[119]All!F$9</f>
        <v>7.363936632492261</v>
      </c>
      <c r="J120" s="1">
        <f>[119]All!G$9</f>
        <v>6.0456852090702577</v>
      </c>
      <c r="K120" s="1">
        <f>[119]All!H$9</f>
        <v>6.3108884269399104</v>
      </c>
      <c r="L120" s="1">
        <f>[119]All!I$9</f>
        <v>6.4825051361209054</v>
      </c>
      <c r="M120" s="1">
        <f>[119]All!J$9</f>
        <v>5.4022590044013272</v>
      </c>
      <c r="N120" s="1">
        <f>[119]All!K$9</f>
        <v>4.7839134734317126</v>
      </c>
      <c r="O120" s="1">
        <f>[119]All!L$9</f>
        <v>5.8809082616422037</v>
      </c>
      <c r="Q120" s="1">
        <f>[119]All!N$9</f>
        <v>6.0403615842845939</v>
      </c>
      <c r="R120" s="1">
        <f>[119]All!O$9</f>
        <v>6.075157517214496</v>
      </c>
      <c r="S120" s="1">
        <f>[119]All!P$9</f>
        <v>5.8809082616422037</v>
      </c>
      <c r="U120" s="1">
        <f>'[119]Prof (MC)'!$B$4</f>
        <v>5.9541238922223609</v>
      </c>
      <c r="V120" s="1">
        <f>'[119]Prof (MC)'!$C$4</f>
        <v>6.0406843416611222</v>
      </c>
      <c r="W120" s="1">
        <f>'[119]Prof (MC)'!$W$114</f>
        <v>4.4846970713641028</v>
      </c>
      <c r="X120" s="1">
        <f>'[119]Prof (MC)'!$Z$114</f>
        <v>7.6573561250275484</v>
      </c>
    </row>
    <row r="121" spans="1:24" x14ac:dyDescent="0.2">
      <c r="A121" t="s">
        <v>137</v>
      </c>
      <c r="B121" t="s">
        <v>435</v>
      </c>
      <c r="C121">
        <v>1900</v>
      </c>
      <c r="E121" s="1">
        <f>[120]All!B$9</f>
        <v>10.198181528802252</v>
      </c>
      <c r="F121" s="1">
        <f>[120]All!C$9</f>
        <v>5.1566729219430618</v>
      </c>
      <c r="G121" s="1">
        <f>[120]All!D$9</f>
        <v>6.2400655234665825</v>
      </c>
      <c r="H121" s="1">
        <f>[120]All!E$9</f>
        <v>6.7438523059479207</v>
      </c>
      <c r="I121" s="1">
        <f>[120]All!F$9</f>
        <v>1.9663020676529568</v>
      </c>
      <c r="J121" s="1">
        <f>[120]All!G$9</f>
        <v>6.4259193717763328</v>
      </c>
      <c r="K121" s="1">
        <f>[120]All!H$9</f>
        <v>6.2362094865418456</v>
      </c>
      <c r="L121" s="1">
        <f>[120]All!I$9</f>
        <v>5.6781628212252846</v>
      </c>
      <c r="M121" s="1">
        <f>[120]All!J$9</f>
        <v>9.2079958496046519</v>
      </c>
      <c r="N121" s="1">
        <f>[120]All!K$9</f>
        <v>6.6382272117943879</v>
      </c>
      <c r="O121" s="1">
        <f>[120]All!L$9</f>
        <v>4.3109623364963161</v>
      </c>
      <c r="Q121" s="1">
        <f>[120]All!N$9</f>
        <v>6.5172436076366687</v>
      </c>
      <c r="R121" s="1">
        <f>[120]All!O$9</f>
        <v>6.2547774022955993</v>
      </c>
      <c r="S121" s="1">
        <f>[120]All!P$9</f>
        <v>6.2400655234665825</v>
      </c>
      <c r="U121" s="1">
        <f>'[120]Prof (MC)'!$B$4</f>
        <v>6.4207789538292221</v>
      </c>
      <c r="V121" s="1">
        <f>'[120]Prof (MC)'!$C$4</f>
        <v>7.5700493484655871</v>
      </c>
      <c r="W121" s="1">
        <f>'[120]Prof (MC)'!$W$112</f>
        <v>2.1305230502494852</v>
      </c>
      <c r="X121" s="1">
        <f>'[120]Prof (MC)'!$Z$112</f>
        <v>17.1106032304147</v>
      </c>
    </row>
    <row r="122" spans="1:24" x14ac:dyDescent="0.2">
      <c r="A122" t="s">
        <v>138</v>
      </c>
      <c r="B122" t="s">
        <v>435</v>
      </c>
      <c r="C122">
        <v>1900</v>
      </c>
      <c r="E122" s="1">
        <f>[121]All!B$9</f>
        <v>0.30559838401519457</v>
      </c>
      <c r="F122" s="1">
        <f>[121]All!C$9</f>
        <v>0.27297910652533658</v>
      </c>
      <c r="G122" s="1">
        <f>[121]All!D$9</f>
        <v>3.5419810655787352</v>
      </c>
      <c r="H122" s="1">
        <f>[121]All!E$9</f>
        <v>2.6810339899925011</v>
      </c>
      <c r="I122" s="1">
        <f>[121]All!F$9</f>
        <v>1.8093303214909393</v>
      </c>
      <c r="J122" s="1">
        <f>[121]All!G$9</f>
        <v>4.8619506137472603</v>
      </c>
      <c r="K122" s="1">
        <f>[121]All!H$9</f>
        <v>0.75573931182874532</v>
      </c>
      <c r="L122" s="1">
        <f>[121]All!I$9</f>
        <v>3.6512023128254776</v>
      </c>
      <c r="M122" s="1">
        <f>[121]All!J$9</f>
        <v>2.9967275666903359</v>
      </c>
      <c r="N122" s="1">
        <f>[121]All!K$9</f>
        <v>5.927148957325282</v>
      </c>
      <c r="O122" s="1">
        <f>[121]All!L$9</f>
        <v>6.2078738340034691</v>
      </c>
      <c r="Q122" s="1">
        <f>[121]All!N$9</f>
        <v>3.2180066168605022</v>
      </c>
      <c r="R122" s="1">
        <f>[121]All!O$9</f>
        <v>3.0010514058202982</v>
      </c>
      <c r="S122" s="1">
        <f>[121]All!P$9</f>
        <v>2.9967275666903359</v>
      </c>
      <c r="U122" s="1">
        <f>'[121]Prof (MC)'!$B$4</f>
        <v>3.0579695285168675</v>
      </c>
      <c r="V122" s="1">
        <f>'[121]Prof (MC)'!$C$4</f>
        <v>3.0682109134361251</v>
      </c>
      <c r="W122" s="1">
        <f>'[121]Prof (MC)'!$W$88</f>
        <v>8.0730847566340108E-2</v>
      </c>
      <c r="X122" s="1">
        <f>'[121]Prof (MC)'!$Z$88</f>
        <v>7.6142268360850762</v>
      </c>
    </row>
    <row r="123" spans="1:24" x14ac:dyDescent="0.2">
      <c r="A123" t="s">
        <v>139</v>
      </c>
      <c r="B123" t="s">
        <v>435</v>
      </c>
      <c r="C123">
        <v>1900</v>
      </c>
      <c r="E123" s="1">
        <f>[122]All!B$9</f>
        <v>5.1942410724372827</v>
      </c>
      <c r="F123" s="1">
        <f>[122]All!C$9</f>
        <v>5.5835493543346253</v>
      </c>
      <c r="G123" s="1">
        <f>[122]All!D$9</f>
        <v>2.1858882223936886</v>
      </c>
      <c r="H123" s="1">
        <f>[122]All!E$9</f>
        <v>3.5771124739473876</v>
      </c>
      <c r="I123" s="1">
        <f>[122]All!F$9</f>
        <v>4.6446910862198099</v>
      </c>
      <c r="J123" s="1">
        <f>[122]All!G$9</f>
        <v>5.5976659551468178</v>
      </c>
      <c r="K123" s="1">
        <f>[122]All!H$9</f>
        <v>3.7432538793822081</v>
      </c>
      <c r="L123" s="1">
        <f>[122]All!I$9</f>
        <v>2.0760656078219841</v>
      </c>
      <c r="M123" s="1">
        <f>[122]All!J$9</f>
        <v>4.9537227169347524</v>
      </c>
      <c r="N123" s="1">
        <f>[122]All!K$9</f>
        <v>3.9378485784777841</v>
      </c>
      <c r="O123" s="1">
        <f>[122]All!L$9</f>
        <v>5.5845346651426846</v>
      </c>
      <c r="Q123" s="1">
        <f>[122]All!N$9</f>
        <v>4.5778988095118969</v>
      </c>
      <c r="R123" s="1">
        <f>[122]All!O$9</f>
        <v>4.2798703283853659</v>
      </c>
      <c r="S123" s="1">
        <f>[122]All!P$9</f>
        <v>4.6446910862198099</v>
      </c>
      <c r="U123" s="1">
        <f>'[122]Prof (MC)'!$B$4</f>
        <v>4.3934700548899848</v>
      </c>
      <c r="V123" s="1">
        <f>'[122]Prof (MC)'!$C$4</f>
        <v>4.0773384123801319</v>
      </c>
      <c r="W123" s="1">
        <f>'[122]Prof (MC)'!$W$120</f>
        <v>0.12140034157154729</v>
      </c>
      <c r="X123" s="1">
        <f>'[122]Prof (MC)'!$Z$120</f>
        <v>7.7859044332777483</v>
      </c>
    </row>
    <row r="124" spans="1:24" x14ac:dyDescent="0.2">
      <c r="A124" t="s">
        <v>140</v>
      </c>
      <c r="B124" t="s">
        <v>435</v>
      </c>
      <c r="C124">
        <v>1900</v>
      </c>
      <c r="E124" s="1">
        <f>[123]All!B$9</f>
        <v>3.5024880117531021</v>
      </c>
      <c r="F124" s="1">
        <f>[123]All!C$9</f>
        <v>1.6031365388173864</v>
      </c>
      <c r="G124" s="1">
        <f>[123]All!D$9</f>
        <v>1.1746530421996406</v>
      </c>
      <c r="H124" s="1">
        <f>[123]All!E$9</f>
        <v>5.6947702447700159</v>
      </c>
      <c r="I124" s="1">
        <f>[123]All!F$9</f>
        <v>4.1449877250501617</v>
      </c>
      <c r="J124" s="1">
        <f>[123]All!G$9</f>
        <v>2.2777173807643467</v>
      </c>
      <c r="K124" s="1">
        <f>[123]All!H$9</f>
        <v>1.9360823725579628</v>
      </c>
      <c r="L124" s="1">
        <f>[123]All!I$9</f>
        <v>1.0621223311488726</v>
      </c>
      <c r="M124" s="1">
        <f>[123]All!J$9</f>
        <v>0.69859910375753809</v>
      </c>
      <c r="N124" s="1">
        <f>[123]All!K$9</f>
        <v>3.2201239321715689</v>
      </c>
      <c r="O124" s="1">
        <f>[123]All!L$9</f>
        <v>3.633988666357796</v>
      </c>
      <c r="Q124" s="1">
        <f>[123]All!N$9</f>
        <v>3.1015530116376198</v>
      </c>
      <c r="R124" s="1">
        <f>[123]All!O$9</f>
        <v>2.6316972135771266</v>
      </c>
      <c r="S124" s="1">
        <f>[123]All!P$9</f>
        <v>2.2777173807643467</v>
      </c>
      <c r="U124" s="1">
        <f>'[123]Prof (MC)'!$B$4</f>
        <v>2.9185846213462163</v>
      </c>
      <c r="V124" s="1">
        <f>'[123]Prof (MC)'!$C$4</f>
        <v>2.7330841455138715</v>
      </c>
      <c r="W124" s="1">
        <f>'[123]Prof (MC)'!$W$104</f>
        <v>6.6371893771676654E-2</v>
      </c>
      <c r="X124" s="1">
        <f>'[123]Prof (MC)'!$Z$104</f>
        <v>5.8252112160043099</v>
      </c>
    </row>
    <row r="125" spans="1:24" x14ac:dyDescent="0.2">
      <c r="A125" t="s">
        <v>141</v>
      </c>
      <c r="B125" t="s">
        <v>435</v>
      </c>
      <c r="C125">
        <v>1900</v>
      </c>
      <c r="E125" s="1">
        <f>[124]All!B$9</f>
        <v>8.0540158438170835</v>
      </c>
      <c r="F125" s="1">
        <f>[124]All!C$9</f>
        <v>6.8714445882665762</v>
      </c>
      <c r="G125" s="1">
        <f>[124]All!D$9</f>
        <v>13.138769082229814</v>
      </c>
      <c r="H125" s="1">
        <f>[124]All!E$9</f>
        <v>10.992774298876482</v>
      </c>
      <c r="I125" s="1">
        <f>[124]All!F$9</f>
        <v>9.2285655772366368</v>
      </c>
      <c r="J125" s="1">
        <f>[124]All!G$9</f>
        <v>6.2915829714689826</v>
      </c>
      <c r="K125" s="1">
        <f>[124]All!H$9</f>
        <v>9.9184707667784195</v>
      </c>
      <c r="L125" s="1">
        <f>[124]All!I$9</f>
        <v>11.719746960844327</v>
      </c>
      <c r="M125" s="1">
        <f>[124]All!J$9</f>
        <v>4.7745286602054682</v>
      </c>
      <c r="N125" s="1">
        <f>[124]All!K$9</f>
        <v>10.466118011459871</v>
      </c>
      <c r="O125" s="1">
        <f>[124]All!L$9</f>
        <v>7.3170578696690711</v>
      </c>
      <c r="Q125" s="1">
        <f>[124]All!N$9</f>
        <v>8.6436721590905439</v>
      </c>
      <c r="R125" s="1">
        <f>[124]All!O$9</f>
        <v>8.9793704209866121</v>
      </c>
      <c r="S125" s="1">
        <f>[124]All!P$9</f>
        <v>9.2285655772366368</v>
      </c>
      <c r="U125" s="1">
        <f>'[124]Prof (MC)'!$B$4</f>
        <v>8.1578816200421471</v>
      </c>
      <c r="V125" s="1">
        <f>'[124]Prof (MC)'!$C$4</f>
        <v>8.7722510084828702</v>
      </c>
      <c r="W125" s="1">
        <f>'[124]Prof (MC)'!$W$140</f>
        <v>2.3398913763425089</v>
      </c>
      <c r="X125" s="1">
        <f>'[124]Prof (MC)'!$Z$140</f>
        <v>18.142588437118288</v>
      </c>
    </row>
    <row r="126" spans="1:24" x14ac:dyDescent="0.2">
      <c r="A126" t="s">
        <v>142</v>
      </c>
      <c r="B126" t="s">
        <v>435</v>
      </c>
      <c r="C126">
        <v>1900</v>
      </c>
      <c r="E126" s="1">
        <f>[125]All!B$9</f>
        <v>6.7100765676795824</v>
      </c>
      <c r="F126" s="1">
        <f>[125]All!C$9</f>
        <v>10.438236962020008</v>
      </c>
      <c r="G126" s="1">
        <f>[125]All!D$9</f>
        <v>5.7902276546972349</v>
      </c>
      <c r="H126" s="1">
        <f>[125]All!E$9</f>
        <v>5.1655752633707719</v>
      </c>
      <c r="I126" s="1">
        <f>[125]All!F$9</f>
        <v>5.9429086236820643</v>
      </c>
      <c r="J126" s="1">
        <f>[125]All!G$9</f>
        <v>1.5919982015420997E-3</v>
      </c>
      <c r="K126" s="1">
        <f>[125]All!H$9</f>
        <v>8.8311998628046045</v>
      </c>
      <c r="L126" s="1">
        <f>[125]All!I$9</f>
        <v>4.5464005042102436</v>
      </c>
      <c r="M126" s="1">
        <f>[125]All!J$9</f>
        <v>0.24332096175879125</v>
      </c>
      <c r="N126" s="1">
        <f>[125]All!K$9</f>
        <v>7.4215921066238169</v>
      </c>
      <c r="O126" s="1">
        <f>[125]All!L$9</f>
        <v>9.4992096034756486</v>
      </c>
      <c r="Q126" s="1">
        <f>[125]All!N$9</f>
        <v>6.7680520942936955</v>
      </c>
      <c r="R126" s="1">
        <f>[125]All!O$9</f>
        <v>5.8718491007749378</v>
      </c>
      <c r="S126" s="1">
        <f>[125]All!P$9</f>
        <v>5.9429086236820643</v>
      </c>
      <c r="U126" s="1">
        <f>'[125]Prof (MC)'!$B$4</f>
        <v>6.4781443923435393</v>
      </c>
      <c r="V126" s="1">
        <f>'[125]Prof (MC)'!$C$4</f>
        <v>6.8787598244020796</v>
      </c>
      <c r="W126" s="1">
        <f>'[125]Prof (MC)'!$W$118</f>
        <v>0.62471592551983346</v>
      </c>
      <c r="X126" s="1">
        <f>'[125]Prof (MC)'!$Z$118</f>
        <v>18.405003308884041</v>
      </c>
    </row>
    <row r="127" spans="1:24" x14ac:dyDescent="0.2">
      <c r="A127" t="s">
        <v>143</v>
      </c>
      <c r="B127" t="s">
        <v>435</v>
      </c>
      <c r="C127">
        <v>1900</v>
      </c>
      <c r="E127" s="1">
        <f>[126]All!B$9</f>
        <v>7.4362246029997285</v>
      </c>
      <c r="F127" s="1">
        <f>[126]All!C$9</f>
        <v>9.2347466505677165</v>
      </c>
      <c r="G127" s="1">
        <f>[126]All!D$9</f>
        <v>4.0143594526768949</v>
      </c>
      <c r="H127" s="1">
        <f>[126]All!E$9</f>
        <v>5.2696969751243499</v>
      </c>
      <c r="I127" s="1">
        <f>[126]All!F$9</f>
        <v>7.1963765288847794</v>
      </c>
      <c r="J127" s="1">
        <f>[126]All!G$9</f>
        <v>4.5010762850723722</v>
      </c>
      <c r="K127" s="1">
        <f>[126]All!H$9</f>
        <v>7.6354731101501807</v>
      </c>
      <c r="L127" s="1">
        <f>[126]All!I$9</f>
        <v>10.184939049518936</v>
      </c>
      <c r="M127" s="1">
        <f>[126]All!J$9</f>
        <v>5.3285243279962655</v>
      </c>
      <c r="N127" s="1">
        <f>[126]All!K$9</f>
        <v>4.1840329584122114E-3</v>
      </c>
      <c r="O127" s="1">
        <f>[126]All!L$9</f>
        <v>7.4676982606669542</v>
      </c>
      <c r="Q127" s="1">
        <f>[126]All!N$9</f>
        <v>6.5377401476465922</v>
      </c>
      <c r="R127" s="1">
        <f>[126]All!O$9</f>
        <v>6.2066635706015072</v>
      </c>
      <c r="S127" s="1">
        <f>[126]All!P$9</f>
        <v>7.1963765288847794</v>
      </c>
      <c r="U127" s="1">
        <f>'[126]Prof (MC)'!$B$4</f>
        <v>6.4740256655583304</v>
      </c>
      <c r="V127" s="1">
        <f>'[126]Prof (MC)'!$C$4</f>
        <v>6.6023577186580029</v>
      </c>
      <c r="W127" s="1">
        <f>'[126]Prof (MC)'!$W$114</f>
        <v>1.7903010065419767</v>
      </c>
      <c r="X127" s="1">
        <f>'[126]Prof (MC)'!$Z$114</f>
        <v>11.756675558901929</v>
      </c>
    </row>
    <row r="128" spans="1:24" x14ac:dyDescent="0.2">
      <c r="A128" t="s">
        <v>144</v>
      </c>
      <c r="B128" t="s">
        <v>435</v>
      </c>
      <c r="C128">
        <v>2050</v>
      </c>
      <c r="E128" s="1">
        <f>[127]All!B$9</f>
        <v>2.6420833105903827</v>
      </c>
      <c r="F128" s="1">
        <f>[127]All!C$9</f>
        <v>3.2442438505949784</v>
      </c>
      <c r="G128" s="1">
        <f>[127]All!D$9</f>
        <v>2.295328695815043</v>
      </c>
      <c r="H128" s="1">
        <f>[127]All!E$9</f>
        <v>1.3900885640897434</v>
      </c>
      <c r="I128" s="1">
        <f>[127]All!F$9</f>
        <v>2.5180324037619339</v>
      </c>
      <c r="J128" s="1">
        <f>[127]All!G$9</f>
        <v>1.7881030066297745</v>
      </c>
      <c r="K128" s="1">
        <f>[127]All!H$9</f>
        <v>1.4914334232385515</v>
      </c>
      <c r="L128" s="1">
        <f>[127]All!I$9</f>
        <v>1.3853120858832346</v>
      </c>
      <c r="M128" s="1">
        <f>[127]All!J$9</f>
        <v>1.3861699084550045</v>
      </c>
      <c r="N128" s="1">
        <f>[127]All!K$9</f>
        <v>1.0940839182878428</v>
      </c>
      <c r="O128" s="1">
        <f>[127]All!L$9</f>
        <v>1.4915082869649814</v>
      </c>
      <c r="Q128" s="1">
        <f>[127]All!N$9</f>
        <v>1.9139018780299613</v>
      </c>
      <c r="R128" s="1">
        <f>[127]All!O$9</f>
        <v>1.8842170413010431</v>
      </c>
      <c r="S128" s="1">
        <f>[127]All!P$9</f>
        <v>1.4915082869649814</v>
      </c>
      <c r="U128" s="1">
        <f>'[127]Prof (MC)'!$B$4</f>
        <v>1.7832201031720356</v>
      </c>
      <c r="V128" s="1">
        <f>'[127]Prof (MC)'!$C$4</f>
        <v>1.766308930387412</v>
      </c>
      <c r="W128" s="1">
        <f>'[127]Prof (MC)'!$W$114</f>
        <v>0.63653807935584539</v>
      </c>
      <c r="X128" s="1">
        <f>'[127]Prof (MC)'!$Z$114</f>
        <v>2.9724391075916694</v>
      </c>
    </row>
    <row r="129" spans="1:24" x14ac:dyDescent="0.2">
      <c r="A129" t="s">
        <v>145</v>
      </c>
      <c r="B129" t="s">
        <v>435</v>
      </c>
      <c r="C129">
        <v>2050</v>
      </c>
      <c r="E129" s="1">
        <f>[128]All!B$9</f>
        <v>2.3142563262441791</v>
      </c>
      <c r="F129" s="1">
        <f>[128]All!C$9</f>
        <v>1.7084346799208994</v>
      </c>
      <c r="G129" s="1">
        <f>[128]All!D$9</f>
        <v>2.0165877832524126</v>
      </c>
      <c r="H129" s="1">
        <f>[128]All!E$9</f>
        <v>1.8507695173151919</v>
      </c>
      <c r="I129" s="1">
        <f>[128]All!F$9</f>
        <v>1.5616204881321167</v>
      </c>
      <c r="J129" s="1">
        <f>[128]All!G$9</f>
        <v>1.3117275381715479</v>
      </c>
      <c r="K129" s="1">
        <f>[128]All!H$9</f>
        <v>1.8802130775488353</v>
      </c>
      <c r="L129" s="1">
        <f>[128]All!I$9</f>
        <v>1.3360027845519504</v>
      </c>
      <c r="M129" s="1">
        <f>[128]All!J$9</f>
        <v>2.7928476266445017</v>
      </c>
      <c r="N129" s="1">
        <f>[128]All!K$9</f>
        <v>1.7088221880790531</v>
      </c>
      <c r="O129" s="1">
        <f>[128]All!L$9</f>
        <v>2.578554163668981</v>
      </c>
      <c r="Q129" s="1">
        <f>[128]All!N$9</f>
        <v>1.956544526449945</v>
      </c>
      <c r="R129" s="1">
        <f>[128]All!O$9</f>
        <v>1.9145305612299699</v>
      </c>
      <c r="S129" s="1">
        <f>[128]All!P$9</f>
        <v>1.8507695173151919</v>
      </c>
      <c r="U129" s="1">
        <f>'[128]Prof (MC)'!$B$4</f>
        <v>1.8542504037087881</v>
      </c>
      <c r="V129" s="1">
        <f>'[128]Prof (MC)'!$C$4</f>
        <v>1.8646552091672879</v>
      </c>
      <c r="W129" s="1">
        <f>'[128]Prof (MC)'!$W$78</f>
        <v>0.73426747229855616</v>
      </c>
      <c r="X129" s="1">
        <f>'[128]Prof (MC)'!$Z$78</f>
        <v>3.275208264793779</v>
      </c>
    </row>
    <row r="130" spans="1:24" x14ac:dyDescent="0.2">
      <c r="A130" t="s">
        <v>146</v>
      </c>
      <c r="B130" t="s">
        <v>435</v>
      </c>
      <c r="C130">
        <v>2000</v>
      </c>
      <c r="E130" s="1">
        <f>[129]All!B$9</f>
        <v>3.8545632416762765</v>
      </c>
      <c r="F130" s="1">
        <f>[129]All!C$9</f>
        <v>3.3357290755218503</v>
      </c>
      <c r="G130" s="1">
        <f>[129]All!D$9</f>
        <v>3.0645366412006432</v>
      </c>
      <c r="H130" s="1">
        <f>[129]All!E$9</f>
        <v>3.4373991581862788</v>
      </c>
      <c r="I130" s="1">
        <f>[129]All!F$9</f>
        <v>3.4455375073783201</v>
      </c>
      <c r="J130" s="1">
        <f>[129]All!G$9</f>
        <v>3.2565433164888411</v>
      </c>
      <c r="K130" s="1">
        <f>[129]All!H$9</f>
        <v>3.0901456508522029</v>
      </c>
      <c r="L130" s="1">
        <f>[129]All!I$9</f>
        <v>3.1724276811716199</v>
      </c>
      <c r="M130" s="1">
        <f>[129]All!J$9</f>
        <v>3.3901217376358059</v>
      </c>
      <c r="N130" s="1">
        <f>[129]All!K$9</f>
        <v>3.6261939001147923</v>
      </c>
      <c r="O130" s="1">
        <f>[129]All!L$9</f>
        <v>3.0650199047242577</v>
      </c>
      <c r="Q130" s="1">
        <f>[129]All!N$9</f>
        <v>3.3893157525492916</v>
      </c>
      <c r="R130" s="1">
        <f>[129]All!O$9</f>
        <v>3.3398379831773539</v>
      </c>
      <c r="S130" s="1">
        <f>[129]All!P$9</f>
        <v>3.3357290755218503</v>
      </c>
      <c r="U130" s="1">
        <f>'[129]Prof (MC)'!$B$4</f>
        <v>3.3162452829742897</v>
      </c>
      <c r="V130" s="1">
        <f>'[129]Prof (MC)'!$C$4</f>
        <v>3.3395866440248381</v>
      </c>
      <c r="W130" s="1">
        <f>'[129]Prof (MC)'!$W$116</f>
        <v>2.3833308271022515</v>
      </c>
      <c r="X130" s="1">
        <f>'[129]Prof (MC)'!$Z$116</f>
        <v>4.3175795141290401</v>
      </c>
    </row>
    <row r="131" spans="1:24" x14ac:dyDescent="0.2">
      <c r="A131" t="s">
        <v>147</v>
      </c>
      <c r="B131" t="s">
        <v>435</v>
      </c>
      <c r="C131">
        <v>2000</v>
      </c>
      <c r="E131" s="1">
        <f>[130]All!B$9</f>
        <v>3.713493437324388</v>
      </c>
      <c r="F131" s="1">
        <f>[130]All!C$9</f>
        <v>2.632619430923322</v>
      </c>
      <c r="G131" s="1">
        <f>[130]All!D$9</f>
        <v>3.3661850542416252</v>
      </c>
      <c r="H131" s="1">
        <f>[130]All!E$9</f>
        <v>3.3094623166841388</v>
      </c>
      <c r="I131" s="1">
        <f>[130]All!F$9</f>
        <v>3.008738674845914</v>
      </c>
      <c r="J131" s="1">
        <f>[130]All!G$9</f>
        <v>3.5238779626839833</v>
      </c>
      <c r="K131" s="1">
        <f>[130]All!H$9</f>
        <v>3.9973997845893581</v>
      </c>
      <c r="L131" s="1">
        <f>[130]All!I$9</f>
        <v>3.23374541843285</v>
      </c>
      <c r="M131" s="1">
        <f>[130]All!J$9</f>
        <v>3.3777988673902155</v>
      </c>
      <c r="N131" s="1">
        <f>[130]All!K$9</f>
        <v>3.1048004761813308</v>
      </c>
      <c r="O131" s="1">
        <f>[130]All!L$9</f>
        <v>3.1405987146673726</v>
      </c>
      <c r="Q131" s="1">
        <f>[130]All!N$9</f>
        <v>3.2990397410558603</v>
      </c>
      <c r="R131" s="1">
        <f>[130]All!O$9</f>
        <v>3.309883648905863</v>
      </c>
      <c r="S131" s="1">
        <f>[130]All!P$9</f>
        <v>3.3094623166841388</v>
      </c>
      <c r="U131" s="1">
        <f>'[130]Prof (MC)'!$B$4</f>
        <v>3.3152291270585019</v>
      </c>
      <c r="V131" s="1">
        <f>'[130]Prof (MC)'!$C$4</f>
        <v>3.332865201090915</v>
      </c>
      <c r="W131" s="1">
        <f>'[130]Prof (MC)'!$W$106</f>
        <v>2.4982195342015441</v>
      </c>
      <c r="X131" s="1">
        <f>'[130]Prof (MC)'!$Z$106</f>
        <v>4.3160161067471625</v>
      </c>
    </row>
    <row r="132" spans="1:24" x14ac:dyDescent="0.2">
      <c r="A132" t="s">
        <v>148</v>
      </c>
      <c r="B132" t="s">
        <v>434</v>
      </c>
      <c r="C132">
        <v>1800</v>
      </c>
      <c r="E132" s="1">
        <f>[131]All!B$9</f>
        <v>3.6316556802432678</v>
      </c>
      <c r="F132" s="1">
        <f>[131]All!C$9</f>
        <v>3.9298904393561185</v>
      </c>
      <c r="G132" s="1">
        <f>[131]All!D$9</f>
        <v>3.972700676303671</v>
      </c>
      <c r="H132" s="1">
        <f>[131]All!E$9</f>
        <v>3.9547882370138843</v>
      </c>
      <c r="I132" s="1">
        <f>[131]All!F$9</f>
        <v>3.9038687889538326</v>
      </c>
      <c r="J132" s="1">
        <f>[131]All!G$9</f>
        <v>3.8233723407293114</v>
      </c>
      <c r="K132" s="1">
        <f>[131]All!H$9</f>
        <v>3.931145227523849</v>
      </c>
      <c r="L132" s="1">
        <f>[131]All!I$9</f>
        <v>3.7531372870173181</v>
      </c>
      <c r="M132" s="1">
        <f>[131]All!J$9</f>
        <v>4.0149157528975294</v>
      </c>
      <c r="N132" s="1">
        <f>[131]All!K$9</f>
        <v>3.847554518879909</v>
      </c>
      <c r="O132" s="1">
        <f>[131]All!L$9</f>
        <v>3.7647246461590202</v>
      </c>
      <c r="Q132" s="1">
        <f>[131]All!N$9</f>
        <v>3.8765159489718282</v>
      </c>
      <c r="R132" s="1">
        <f>[131]All!O$9</f>
        <v>3.8661594177343375</v>
      </c>
      <c r="S132" s="1">
        <f>[131]All!P$9</f>
        <v>3.9038687889538326</v>
      </c>
      <c r="U132" s="1">
        <f>'[131]Prof (MC)'!$B$4</f>
        <v>3.8737049269346664</v>
      </c>
      <c r="V132" s="1">
        <f>'[131]Prof (MC)'!$C$4</f>
        <v>3.8867830276986011</v>
      </c>
      <c r="W132" s="1">
        <f>'[131]Prof (MC)'!$W$132</f>
        <v>3.3025904533766686</v>
      </c>
      <c r="X132" s="1">
        <f>'[131]Prof (MC)'!$Z$132</f>
        <v>4.4408921318614283</v>
      </c>
    </row>
    <row r="133" spans="1:24" x14ac:dyDescent="0.2">
      <c r="A133" t="s">
        <v>149</v>
      </c>
      <c r="B133" t="s">
        <v>435</v>
      </c>
      <c r="C133">
        <v>1800</v>
      </c>
      <c r="E133" s="1">
        <f>[132]All!B$9</f>
        <v>2.0283553471721678</v>
      </c>
      <c r="F133" s="1">
        <f>[132]All!C$9</f>
        <v>2.6171559003960807</v>
      </c>
      <c r="G133" s="1">
        <f>[132]All!D$9</f>
        <v>3.0263313250340893</v>
      </c>
      <c r="H133" s="1">
        <f>[132]All!E$9</f>
        <v>1.942084770207418</v>
      </c>
      <c r="I133" s="1">
        <f>[132]All!F$9</f>
        <v>3.026345560294216</v>
      </c>
      <c r="J133" s="1">
        <f>[132]All!G$9</f>
        <v>3.0358636105310692</v>
      </c>
      <c r="K133" s="1">
        <f>[132]All!H$9</f>
        <v>2.2744221217970479</v>
      </c>
      <c r="L133" s="1">
        <f>[132]All!I$9</f>
        <v>2.7810279689455371</v>
      </c>
      <c r="M133" s="1">
        <f>[132]All!J$9</f>
        <v>2.6149977469219823</v>
      </c>
      <c r="N133" s="1">
        <f>[132]All!K$9</f>
        <v>2.7875245854667696</v>
      </c>
      <c r="O133" s="1">
        <f>[132]All!L$9</f>
        <v>2.9396817898667593</v>
      </c>
      <c r="Q133" s="1">
        <f>[132]All!N$9</f>
        <v>2.7677427488627235</v>
      </c>
      <c r="R133" s="1">
        <f>[132]All!O$9</f>
        <v>2.6430718842393763</v>
      </c>
      <c r="S133" s="1">
        <f>[132]All!P$9</f>
        <v>2.7810279689455371</v>
      </c>
      <c r="U133" s="1">
        <f>'[132]Prof (MC)'!$B$4</f>
        <v>2.6380777206721735</v>
      </c>
      <c r="V133" s="1">
        <f>'[132]Prof (MC)'!$C$4</f>
        <v>2.6650269396468884</v>
      </c>
      <c r="W133" s="1">
        <f>'[132]Prof (MC)'!$W$92</f>
        <v>1.7569899567153886</v>
      </c>
      <c r="X133" s="1">
        <f>'[132]Prof (MC)'!$Z$92</f>
        <v>3.5446062937327474</v>
      </c>
    </row>
    <row r="134" spans="1:24" x14ac:dyDescent="0.2">
      <c r="A134" t="s">
        <v>150</v>
      </c>
      <c r="B134" t="s">
        <v>435</v>
      </c>
      <c r="C134">
        <v>1800</v>
      </c>
      <c r="E134" s="1">
        <f>[133]All!B$9</f>
        <v>2.8210005729845475</v>
      </c>
      <c r="F134" s="1">
        <f>[133]All!C$9</f>
        <v>2.8770889315513219</v>
      </c>
      <c r="G134" s="1">
        <f>[133]All!D$9</f>
        <v>3.6964042729608773</v>
      </c>
      <c r="H134" s="1">
        <f>[133]All!E$9</f>
        <v>1.8563632420337928</v>
      </c>
      <c r="I134" s="1">
        <f>[133]All!F$9</f>
        <v>1.4636491623171564</v>
      </c>
      <c r="J134" s="1">
        <f>[133]All!G$9</f>
        <v>2.246683158680657</v>
      </c>
      <c r="K134" s="1">
        <f>[133]All!H$9</f>
        <v>2.5437012661003719</v>
      </c>
      <c r="L134" s="1">
        <f>[133]All!I$9</f>
        <v>2.5505600792194003</v>
      </c>
      <c r="M134" s="1">
        <f>[133]All!J$9</f>
        <v>2.8291879393370456</v>
      </c>
      <c r="N134" s="1">
        <f>[133]All!K$9</f>
        <v>1.3547482711159831</v>
      </c>
      <c r="O134" s="1">
        <f>[133]All!L$9</f>
        <v>2.4101109030815411</v>
      </c>
      <c r="Q134" s="1">
        <f>[133]All!N$9</f>
        <v>2.4309795829802265</v>
      </c>
      <c r="R134" s="1">
        <f>[133]All!O$9</f>
        <v>2.4226816181256998</v>
      </c>
      <c r="S134" s="1">
        <f>[133]All!P$9</f>
        <v>2.5437012661003719</v>
      </c>
      <c r="U134" s="1">
        <f>'[133]Prof (MC)'!$B$4</f>
        <v>2.3682684747913236</v>
      </c>
      <c r="V134" s="1">
        <f>'[133]Prof (MC)'!$C$4</f>
        <v>2.3692669139619924</v>
      </c>
      <c r="W134" s="1">
        <f>'[133]Prof (MC)'!$W$104</f>
        <v>1.414479428983356</v>
      </c>
      <c r="X134" s="1">
        <f>'[133]Prof (MC)'!$Z$104</f>
        <v>3.5897156764066662</v>
      </c>
    </row>
    <row r="135" spans="1:24" x14ac:dyDescent="0.2">
      <c r="A135" t="s">
        <v>151</v>
      </c>
      <c r="B135" t="s">
        <v>433</v>
      </c>
      <c r="C135">
        <v>1800</v>
      </c>
      <c r="E135" s="1">
        <f>[134]All!B$9</f>
        <v>1.8678382194738261</v>
      </c>
      <c r="F135" s="1">
        <f>[134]All!C$9</f>
        <v>0.89453917662537363</v>
      </c>
      <c r="G135" s="1">
        <f>[134]All!D$9</f>
        <v>0.50323172967687868</v>
      </c>
      <c r="H135" s="1">
        <f>[134]All!E$9</f>
        <v>1.3651079958354229</v>
      </c>
      <c r="I135" s="1">
        <f>[134]All!F$9</f>
        <v>0.88762702407351968</v>
      </c>
      <c r="J135" s="1">
        <f>[134]All!G$9</f>
        <v>0.26318536216289412</v>
      </c>
      <c r="K135" s="1">
        <f>[134]All!H$9</f>
        <v>0.66905603930513036</v>
      </c>
      <c r="L135" s="1">
        <f>[134]All!I$9</f>
        <v>0.81338945578734767</v>
      </c>
      <c r="M135" s="1">
        <f>[134]All!J$9</f>
        <v>0.53861219125562243</v>
      </c>
      <c r="N135" s="1">
        <f>[134]All!K$9</f>
        <v>1.1501083765356968</v>
      </c>
      <c r="O135" s="1">
        <f>[134]All!L$9</f>
        <v>0.53581478021539319</v>
      </c>
      <c r="Q135" s="1">
        <f>[134]All!N$9</f>
        <v>0.83160167373961558</v>
      </c>
      <c r="R135" s="1">
        <f>[134]All!O$9</f>
        <v>0.8625918500861004</v>
      </c>
      <c r="S135" s="1">
        <f>[134]All!P$9</f>
        <v>0.81338945578734767</v>
      </c>
      <c r="U135" s="1">
        <f>'[134]Prof (MC)'!$B$4</f>
        <v>0.84533853002796222</v>
      </c>
      <c r="V135" s="1">
        <f>'[134]Prof (MC)'!$C$4</f>
        <v>0.94811736518235568</v>
      </c>
      <c r="W135" s="1">
        <f>'[134]Prof (MC)'!$W$82</f>
        <v>1.6470412426401179E-2</v>
      </c>
      <c r="X135" s="1">
        <f>'[134]Prof (MC)'!$Z$82</f>
        <v>2.1981844664090926</v>
      </c>
    </row>
    <row r="136" spans="1:24" x14ac:dyDescent="0.2">
      <c r="A136" t="s">
        <v>152</v>
      </c>
      <c r="B136" t="s">
        <v>435</v>
      </c>
      <c r="C136">
        <v>1800</v>
      </c>
      <c r="E136" s="1">
        <f>[135]All!B$9</f>
        <v>4.6208051232604559</v>
      </c>
      <c r="F136" s="1">
        <f>[135]All!C$9</f>
        <v>2.9574880576460765</v>
      </c>
      <c r="G136" s="1">
        <f>[135]All!D$9</f>
        <v>2.8576519732717962</v>
      </c>
      <c r="H136" s="1">
        <f>[135]All!E$9</f>
        <v>5.3240101891280833</v>
      </c>
      <c r="I136" s="1">
        <f>[135]All!F$9</f>
        <v>6.1077816045953792</v>
      </c>
      <c r="J136" s="1">
        <f>[135]All!G$9</f>
        <v>7.2472050444420741</v>
      </c>
      <c r="K136" s="1">
        <f>[135]All!H$9</f>
        <v>4.5102287291881806</v>
      </c>
      <c r="L136" s="1">
        <f>[135]All!I$9</f>
        <v>3.7692549406278677</v>
      </c>
      <c r="M136" s="1">
        <f>[135]All!J$9</f>
        <v>5.3752920690811701</v>
      </c>
      <c r="N136" s="1">
        <f>[135]All!K$9</f>
        <v>1.0660791590127332</v>
      </c>
      <c r="O136" s="1">
        <f>[135]All!L$9</f>
        <v>1.2824189623013882</v>
      </c>
      <c r="Q136" s="1">
        <f>[135]All!N$9</f>
        <v>4.2381255626919954</v>
      </c>
      <c r="R136" s="1">
        <f>[135]All!O$9</f>
        <v>4.1016559865959268</v>
      </c>
      <c r="S136" s="1">
        <f>[135]All!P$9</f>
        <v>4.5102287291881806</v>
      </c>
      <c r="U136" s="1">
        <f>'[135]Prof (MC)'!$B$4</f>
        <v>4.0327509237893846</v>
      </c>
      <c r="V136" s="1">
        <f>'[135]Prof (MC)'!$C$4</f>
        <v>4.2691690009592556</v>
      </c>
      <c r="W136" s="1">
        <f>'[135]Prof (MC)'!$W$110</f>
        <v>1.1031323501979959</v>
      </c>
      <c r="X136" s="1">
        <f>'[135]Prof (MC)'!$Z$110</f>
        <v>8.3994286731182157</v>
      </c>
    </row>
    <row r="137" spans="1:24" x14ac:dyDescent="0.2">
      <c r="A137" t="s">
        <v>153</v>
      </c>
      <c r="B137" t="s">
        <v>435</v>
      </c>
      <c r="C137">
        <v>1800</v>
      </c>
      <c r="E137" s="1">
        <f>[136]All!B$9</f>
        <v>2.368545964605838</v>
      </c>
      <c r="F137" s="1">
        <f>[136]All!C$9</f>
        <v>1.5278288071264119</v>
      </c>
      <c r="G137" s="1">
        <f>[136]All!D$9</f>
        <v>2.910862152334718</v>
      </c>
      <c r="H137" s="1">
        <f>[136]All!E$9</f>
        <v>2.9075521377368534</v>
      </c>
      <c r="I137" s="1">
        <f>[136]All!F$9</f>
        <v>2.8867547620263632</v>
      </c>
      <c r="J137" s="1">
        <f>[136]All!G$9</f>
        <v>5.2526963471458732</v>
      </c>
      <c r="K137" s="1">
        <f>[136]All!H$9</f>
        <v>2.89684368947839</v>
      </c>
      <c r="L137" s="1">
        <f>[136]All!I$9</f>
        <v>5.7115053999369323</v>
      </c>
      <c r="M137" s="1">
        <f>[136]All!J$9</f>
        <v>6.0027267636921264</v>
      </c>
      <c r="N137" s="1">
        <f>[136]All!K$9</f>
        <v>7.1686552535976684</v>
      </c>
      <c r="O137" s="1">
        <f>[136]All!L$9</f>
        <v>7.7148566327315447</v>
      </c>
      <c r="Q137" s="1">
        <f>[136]All!N$9</f>
        <v>4.3076552569759885</v>
      </c>
      <c r="R137" s="1">
        <f>[136]All!O$9</f>
        <v>4.3044389009466109</v>
      </c>
      <c r="S137" s="1">
        <f>[136]All!P$9</f>
        <v>2.910862152334718</v>
      </c>
      <c r="U137" s="1">
        <f>'[136]Prof (MC)'!$B$4</f>
        <v>4.4956931578790105</v>
      </c>
      <c r="V137" s="1">
        <f>'[136]Prof (MC)'!$C$4</f>
        <v>4.7403254604146277</v>
      </c>
      <c r="W137" s="1">
        <f>'[136]Prof (MC)'!$W$108</f>
        <v>1.9009175925897792</v>
      </c>
      <c r="X137" s="1">
        <f>'[136]Prof (MC)'!$Z$108</f>
        <v>9.2712258761644257</v>
      </c>
    </row>
    <row r="138" spans="1:24" x14ac:dyDescent="0.2">
      <c r="A138" t="s">
        <v>154</v>
      </c>
      <c r="B138" t="s">
        <v>435</v>
      </c>
      <c r="C138">
        <v>1800</v>
      </c>
      <c r="E138" s="1">
        <f>[137]All!B$9</f>
        <v>0.15491588289418667</v>
      </c>
      <c r="F138" s="1">
        <f>[137]All!C$9</f>
        <v>0.61659687909917138</v>
      </c>
      <c r="G138" s="1">
        <f>[137]All!D$9</f>
        <v>1.1213529486719271</v>
      </c>
      <c r="H138" s="1">
        <f>[137]All!E$9</f>
        <v>0.17969497000000001</v>
      </c>
      <c r="I138" s="1">
        <f>[137]All!F$9</f>
        <v>0.44012978709808503</v>
      </c>
      <c r="J138" s="1">
        <f>[137]All!G$9</f>
        <v>0.19289856999999999</v>
      </c>
      <c r="K138" s="1">
        <f>[137]All!H$9</f>
        <v>1.1263278461576753</v>
      </c>
      <c r="L138" s="1">
        <f>[137]All!I$9</f>
        <v>1.005053569368844</v>
      </c>
      <c r="M138" s="1">
        <f>[137]All!J$9</f>
        <v>0.60680771612457685</v>
      </c>
      <c r="N138" s="1">
        <f>[137]All!K$9</f>
        <v>0.99061381530060511</v>
      </c>
      <c r="O138" s="1">
        <f>[137]All!L$9</f>
        <v>0.69297049719196113</v>
      </c>
      <c r="Q138" s="1">
        <f>[137]All!N$9</f>
        <v>0.90189211891408827</v>
      </c>
      <c r="R138" s="1">
        <f>[137]All!O$9</f>
        <v>0.64794204380973031</v>
      </c>
      <c r="S138" s="1">
        <f>[137]All!P$9</f>
        <v>0.61659687909917138</v>
      </c>
      <c r="U138" s="1">
        <f>'[137]Prof (MC)'!$B$4</f>
        <v>0.78393843119031748</v>
      </c>
      <c r="V138" s="1">
        <f>'[137]Prof (MC)'!$C$4</f>
        <v>0.77607472965612478</v>
      </c>
      <c r="W138" s="1">
        <f>'[137]Prof (MC)'!$W$102</f>
        <v>0.18513588916451099</v>
      </c>
      <c r="X138" s="1">
        <f>'[137]Prof (MC)'!$Z$102</f>
        <v>1.8073815181956578</v>
      </c>
    </row>
    <row r="139" spans="1:24" x14ac:dyDescent="0.2">
      <c r="A139" t="s">
        <v>155</v>
      </c>
      <c r="B139" t="s">
        <v>433</v>
      </c>
      <c r="C139">
        <v>1800</v>
      </c>
      <c r="E139" s="1">
        <f>[138]All!B$9</f>
        <v>0.41714752863535037</v>
      </c>
      <c r="F139" s="1">
        <f>[138]All!C$9</f>
        <v>1.0807506641139319</v>
      </c>
      <c r="G139" s="1">
        <f>[138]All!D$9</f>
        <v>0.23007855993566703</v>
      </c>
      <c r="H139" s="1">
        <f>[138]All!E$9</f>
        <v>1.164067398020483</v>
      </c>
      <c r="I139" s="1">
        <f>[138]All!F$9</f>
        <v>0.93709281159552182</v>
      </c>
      <c r="J139" s="1">
        <f>[138]All!G$9</f>
        <v>0.19232396841981941</v>
      </c>
      <c r="K139" s="1">
        <f>[138]All!H$9</f>
        <v>0.20725006985487074</v>
      </c>
      <c r="L139" s="1">
        <f>[138]All!I$9</f>
        <v>0.26832364586087354</v>
      </c>
      <c r="M139" s="1">
        <f>[138]All!J$9</f>
        <v>0.73401700258087832</v>
      </c>
      <c r="N139" s="1">
        <f>[138]All!K$9</f>
        <v>2.8227842999999999E-2</v>
      </c>
      <c r="O139" s="1">
        <f>[138]All!L$9</f>
        <v>0.24028352713045273</v>
      </c>
      <c r="Q139" s="1">
        <f>[138]All!N$9</f>
        <v>0.36771654275934074</v>
      </c>
      <c r="R139" s="1">
        <f>[138]All!O$9</f>
        <v>0.49996027446798624</v>
      </c>
      <c r="S139" s="1">
        <f>[138]All!P$9</f>
        <v>0.26832364586087354</v>
      </c>
      <c r="U139" s="1">
        <f>'[138]Prof (MC)'!$B$4</f>
        <v>0.39403462589831939</v>
      </c>
      <c r="V139" s="1">
        <f>'[138]Prof (MC)'!$C$4</f>
        <v>0.56860644648580927</v>
      </c>
      <c r="W139" s="1">
        <f>'[138]Prof (MC)'!$W$76</f>
        <v>1.0803348217651134E-2</v>
      </c>
      <c r="X139" s="1">
        <f>'[138]Prof (MC)'!$Z$76</f>
        <v>1.7309998604109245</v>
      </c>
    </row>
    <row r="140" spans="1:24" x14ac:dyDescent="0.2">
      <c r="A140" t="s">
        <v>156</v>
      </c>
      <c r="B140" t="s">
        <v>434</v>
      </c>
      <c r="C140">
        <v>1700</v>
      </c>
      <c r="E140" s="1">
        <f>[139]All!B$9</f>
        <v>2.5295299231324999</v>
      </c>
      <c r="F140" s="1">
        <f>[139]All!C$9</f>
        <v>3.4260603167012316</v>
      </c>
      <c r="G140" s="1">
        <f>[139]All!D$9</f>
        <v>4.798773559949618</v>
      </c>
      <c r="H140" s="1">
        <f>[139]All!E$9</f>
        <v>5.6038917256508674</v>
      </c>
      <c r="I140" s="1">
        <f>[139]All!F$9</f>
        <v>2.3009867996539657</v>
      </c>
      <c r="J140" s="1">
        <f>[139]All!G$9</f>
        <v>3.1435435165772367</v>
      </c>
      <c r="K140" s="1">
        <f>[139]All!H$9</f>
        <v>4.9800563646405971</v>
      </c>
      <c r="L140" s="1">
        <f>[139]All!I$9</f>
        <v>7.1960016570350458</v>
      </c>
      <c r="M140" s="1">
        <f>[139]All!J$9</f>
        <v>6.9021456712587277</v>
      </c>
      <c r="N140" s="1">
        <f>[139]All!K$9</f>
        <v>4.2334758546210942</v>
      </c>
      <c r="O140" s="1">
        <f>[139]All!L$9</f>
        <v>2.0555621114198135</v>
      </c>
      <c r="Q140" s="1">
        <f>[139]All!N$9</f>
        <v>4.2464910690029871</v>
      </c>
      <c r="R140" s="1">
        <f>[139]All!O$9</f>
        <v>4.288184318240063</v>
      </c>
      <c r="S140" s="1">
        <f>[139]All!P$9</f>
        <v>4.2334758546210942</v>
      </c>
      <c r="U140" s="1">
        <f>'[139]Prof (MC)'!$B$4</f>
        <v>4.3681561355378165</v>
      </c>
      <c r="V140" s="1">
        <f>'[139]Prof (MC)'!$C$4</f>
        <v>4.3438753393875524</v>
      </c>
      <c r="W140" s="1">
        <f>'[139]Prof (MC)'!$W$100</f>
        <v>1.4929259213704364</v>
      </c>
      <c r="X140" s="1">
        <f>'[139]Prof (MC)'!$Z$100</f>
        <v>7.7074171184328906</v>
      </c>
    </row>
    <row r="141" spans="1:24" x14ac:dyDescent="0.2">
      <c r="A141" t="s">
        <v>157</v>
      </c>
      <c r="B141" t="s">
        <v>435</v>
      </c>
      <c r="C141">
        <v>1700</v>
      </c>
      <c r="E141" s="1">
        <f>[140]All!B$9</f>
        <v>1.1447946364412716</v>
      </c>
      <c r="F141" s="1">
        <f>[140]All!C$9</f>
        <v>1.0753709446013087</v>
      </c>
      <c r="G141" s="1">
        <f>[140]All!D$9</f>
        <v>0.5439726007342176</v>
      </c>
      <c r="H141" s="1">
        <f>[140]All!E$9</f>
        <v>7.2549898000000002E-2</v>
      </c>
      <c r="I141" s="1">
        <f>[140]All!F$9</f>
        <v>0.80526501672825279</v>
      </c>
      <c r="J141" s="1">
        <f>[140]All!G$9</f>
        <v>0.26832049707767297</v>
      </c>
      <c r="K141" s="1">
        <f>[140]All!H$9</f>
        <v>0.99635005787932263</v>
      </c>
      <c r="L141" s="1">
        <f>[140]All!I$9</f>
        <v>0.32317649002882243</v>
      </c>
      <c r="M141" s="1">
        <f>[140]All!J$9</f>
        <v>0.25080299647133958</v>
      </c>
      <c r="N141" s="1">
        <f>[140]All!K$9</f>
        <v>0.88726679681496334</v>
      </c>
      <c r="O141" s="1">
        <f>[140]All!L$9</f>
        <v>1.2345138892065159</v>
      </c>
      <c r="Q141" s="1">
        <f>[140]All!N$9</f>
        <v>0.26680500055476331</v>
      </c>
      <c r="R141" s="1">
        <f>[140]All!O$9</f>
        <v>0.69112580218033515</v>
      </c>
      <c r="S141" s="1">
        <f>[140]All!P$9</f>
        <v>0.80526501672825279</v>
      </c>
      <c r="U141" s="1">
        <f>'[140]Prof (MC)'!$B$4</f>
        <v>0.2834166357117493</v>
      </c>
      <c r="V141" s="1">
        <f>'[140]Prof (MC)'!$C$4</f>
        <v>0.64526370176068881</v>
      </c>
      <c r="W141" s="1">
        <f>'[140]Prof (MC)'!$W$82</f>
        <v>6.1749468516384853E-2</v>
      </c>
      <c r="X141" s="1">
        <f>'[140]Prof (MC)'!$Z$82</f>
        <v>2.0840771202902801</v>
      </c>
    </row>
    <row r="142" spans="1:24" x14ac:dyDescent="0.2">
      <c r="A142" t="s">
        <v>158</v>
      </c>
      <c r="B142" t="s">
        <v>433</v>
      </c>
      <c r="C142">
        <v>1700</v>
      </c>
      <c r="E142" s="1">
        <f>[141]All!B$9</f>
        <v>3.2234803672077912</v>
      </c>
      <c r="F142" s="1">
        <f>[141]All!C$9</f>
        <v>2.402373370696254</v>
      </c>
      <c r="G142" s="1">
        <f>[141]All!D$9</f>
        <v>3.1115564890011278</v>
      </c>
      <c r="H142" s="1">
        <f>[141]All!E$9</f>
        <v>3.1438013167485139</v>
      </c>
      <c r="I142" s="1">
        <f>[141]All!F$9</f>
        <v>3.6148277000151681</v>
      </c>
      <c r="J142" s="1">
        <f>[141]All!G$9</f>
        <v>3.5766760934546786</v>
      </c>
      <c r="K142" s="1">
        <f>[141]All!H$9</f>
        <v>3.4503645745106128</v>
      </c>
      <c r="L142" s="1">
        <f>[141]All!I$9</f>
        <v>3.6321687009068948</v>
      </c>
      <c r="M142" s="1">
        <f>[141]All!J$9</f>
        <v>3.7919456116282642</v>
      </c>
      <c r="N142" s="1">
        <f>[141]All!K$9</f>
        <v>3.8760470365498456</v>
      </c>
      <c r="O142" s="1">
        <f>[141]All!L$9</f>
        <v>2.8249106692809316</v>
      </c>
      <c r="Q142" s="1">
        <f>[141]All!N$9</f>
        <v>3.4191434351786163</v>
      </c>
      <c r="R142" s="1">
        <f>[141]All!O$9</f>
        <v>3.3316501754545529</v>
      </c>
      <c r="S142" s="1">
        <f>[141]All!P$9</f>
        <v>3.4503645745106128</v>
      </c>
      <c r="U142" s="1">
        <f>'[141]Prof (MC)'!$B$4</f>
        <v>3.3673214643768503</v>
      </c>
      <c r="V142" s="1">
        <f>'[141]Prof (MC)'!$C$4</f>
        <v>3.352826261203008</v>
      </c>
      <c r="W142" s="1">
        <f>'[141]Prof (MC)'!$W$90</f>
        <v>2.0416779604268402</v>
      </c>
      <c r="X142" s="1">
        <f>'[141]Prof (MC)'!$Z$90</f>
        <v>4.4507169920044056</v>
      </c>
    </row>
    <row r="143" spans="1:24" x14ac:dyDescent="0.2">
      <c r="A143" t="s">
        <v>159</v>
      </c>
      <c r="B143" t="s">
        <v>434</v>
      </c>
      <c r="C143">
        <v>1150</v>
      </c>
      <c r="E143" s="1">
        <f>[142]All!B$9</f>
        <v>42.797820686289171</v>
      </c>
      <c r="F143" s="1">
        <f>[142]All!C$9</f>
        <v>0</v>
      </c>
      <c r="G143" s="1">
        <f>[142]All!D$9</f>
        <v>2.6654544195778858</v>
      </c>
      <c r="H143" s="1">
        <f>[142]All!E$9</f>
        <v>1.9514692594241883</v>
      </c>
      <c r="I143" s="1">
        <f>[142]All!F$9</f>
        <v>2.877302632066753</v>
      </c>
      <c r="J143" s="1">
        <f>[142]All!G$9</f>
        <v>2.450716142657785</v>
      </c>
      <c r="K143" s="1">
        <f>[142]All!H$9</f>
        <v>3.0530554147067739</v>
      </c>
      <c r="L143" s="1">
        <f>[142]All!I$9</f>
        <v>2.4110406922315195</v>
      </c>
      <c r="M143" s="1">
        <f>[142]All!J$9</f>
        <v>1.8539543576013722</v>
      </c>
      <c r="N143" s="1">
        <f>[142]All!K$9</f>
        <v>2.3164687272853759</v>
      </c>
      <c r="O143" s="1">
        <f>[142]All!L$9</f>
        <v>3.1742185353206329</v>
      </c>
      <c r="Q143" s="1">
        <f>[142]All!N$9</f>
        <v>2.7704300804874147</v>
      </c>
      <c r="R143" s="1">
        <f>[142]All!O$9</f>
        <v>6.5551500867161447</v>
      </c>
      <c r="S143" s="1">
        <f>[142]All!P$9</f>
        <v>2.5580852811178354</v>
      </c>
      <c r="U143" s="1">
        <f>'[142]Prof (MC)'!$B$4</f>
        <v>2.6442068827958636</v>
      </c>
      <c r="V143" s="1">
        <f>'[142]Prof (MC)'!$C$4</f>
        <v>2.8600811042331578</v>
      </c>
      <c r="W143" s="1">
        <f>'[142]Prof (MC)'!$W$86</f>
        <v>0.34066558956338022</v>
      </c>
      <c r="X143" s="1">
        <f>'[142]Prof (MC)'!$Z$86</f>
        <v>5.3182123861755359</v>
      </c>
    </row>
    <row r="144" spans="1:24" x14ac:dyDescent="0.2">
      <c r="A144" t="s">
        <v>160</v>
      </c>
      <c r="B144" t="s">
        <v>434</v>
      </c>
      <c r="C144">
        <v>1150</v>
      </c>
      <c r="E144" s="1">
        <f>[143]All!B$9</f>
        <v>3.2636070228506893</v>
      </c>
      <c r="F144" s="1">
        <f>[143]All!C$9</f>
        <v>3.8088498683960985</v>
      </c>
      <c r="G144" s="1">
        <f>[143]All!D$9</f>
        <v>3.9082119886543589</v>
      </c>
      <c r="H144" s="1">
        <f>[143]All!E$9</f>
        <v>3.2294311921495642</v>
      </c>
      <c r="I144" s="1">
        <f>[143]All!F$9</f>
        <v>3.5360805683600636</v>
      </c>
      <c r="J144" s="1">
        <f>[143]All!G$9</f>
        <v>3.9073873525635121</v>
      </c>
      <c r="K144" s="1">
        <f>[143]All!H$9</f>
        <v>4.9862250447471093</v>
      </c>
      <c r="L144" s="1">
        <f>[143]All!I$9</f>
        <v>4.1435058260992248</v>
      </c>
      <c r="M144" s="1">
        <f>[143]All!J$9</f>
        <v>2.9537882757156098</v>
      </c>
      <c r="N144" s="1">
        <f>[143]All!K$9</f>
        <v>3.1589154864769853</v>
      </c>
      <c r="O144" s="1">
        <f>[143]All!L$9</f>
        <v>3.6467623112041814</v>
      </c>
      <c r="Q144" s="1">
        <f>[143]All!N$9</f>
        <v>3.6418029222752635</v>
      </c>
      <c r="R144" s="1">
        <f>[143]All!O$9</f>
        <v>3.6857059033834001</v>
      </c>
      <c r="S144" s="1">
        <f>[143]All!P$9</f>
        <v>3.6467623112041814</v>
      </c>
      <c r="U144" s="1">
        <f>'[143]Prof (MC)'!$B$4</f>
        <v>3.597896600235309</v>
      </c>
      <c r="V144" s="1">
        <f>'[143]Prof (MC)'!$C$4</f>
        <v>3.6003134129172976</v>
      </c>
      <c r="W144" s="1">
        <f>'[143]Prof (MC)'!$W$88</f>
        <v>2.4648644491609604</v>
      </c>
      <c r="X144" s="1">
        <f>'[143]Prof (MC)'!$Z$88</f>
        <v>4.7745704473910848</v>
      </c>
    </row>
    <row r="145" spans="1:24" x14ac:dyDescent="0.2">
      <c r="A145" t="s">
        <v>161</v>
      </c>
      <c r="B145" t="s">
        <v>434</v>
      </c>
      <c r="C145">
        <v>1150</v>
      </c>
      <c r="E145" s="1">
        <f>[144]All!B$9</f>
        <v>6.4999252285279443</v>
      </c>
      <c r="F145" s="1">
        <f>[144]All!C$9</f>
        <v>5.1456087725178348</v>
      </c>
      <c r="G145" s="1">
        <f>[144]All!D$9</f>
        <v>7.3399814247743063</v>
      </c>
      <c r="H145" s="1">
        <f>[144]All!E$9</f>
        <v>6.4879158626599143</v>
      </c>
      <c r="I145" s="1">
        <f>[144]All!F$9</f>
        <v>6.6574110433558484</v>
      </c>
      <c r="J145" s="1">
        <f>[144]All!G$9</f>
        <v>7.9339648421637143</v>
      </c>
      <c r="K145" s="1">
        <f>[144]All!H$9</f>
        <v>7.430260009267224</v>
      </c>
      <c r="L145" s="1">
        <f>[144]All!I$9</f>
        <v>9.470554922725281</v>
      </c>
      <c r="M145" s="1">
        <f>[144]All!J$9</f>
        <v>8.5321571221156418</v>
      </c>
      <c r="N145" s="1">
        <f>[144]All!K$9</f>
        <v>9.5980446284081395</v>
      </c>
      <c r="O145" s="1">
        <f>[144]All!L$9</f>
        <v>8.3170009880223823</v>
      </c>
      <c r="Q145" s="1">
        <f>[144]All!N$9</f>
        <v>7.2452982886081765</v>
      </c>
      <c r="R145" s="1">
        <f>[144]All!O$9</f>
        <v>7.582984076776202</v>
      </c>
      <c r="S145" s="1">
        <f>[144]All!P$9</f>
        <v>7.430260009267224</v>
      </c>
      <c r="U145" s="1">
        <f>'[144]Prof (MC)'!$B$4</f>
        <v>7.5355520691396141</v>
      </c>
      <c r="V145" s="1">
        <f>'[144]Prof (MC)'!$C$4</f>
        <v>8.5735620554926921</v>
      </c>
      <c r="W145" s="1">
        <f>'[144]Prof (MC)'!$W$98</f>
        <v>4.0297384199719684</v>
      </c>
      <c r="X145" s="1">
        <f>'[144]Prof (MC)'!$Z$98</f>
        <v>13.358292073120408</v>
      </c>
    </row>
    <row r="146" spans="1:24" x14ac:dyDescent="0.2">
      <c r="A146" t="s">
        <v>162</v>
      </c>
      <c r="B146" t="s">
        <v>435</v>
      </c>
      <c r="C146">
        <v>1150</v>
      </c>
      <c r="E146" s="1">
        <f>[145]All!B$9</f>
        <v>3.326903468850702</v>
      </c>
      <c r="F146" s="1">
        <f>[145]All!C$9</f>
        <v>2.4837680884315723</v>
      </c>
      <c r="G146" s="1">
        <f>[145]All!D$9</f>
        <v>2.8961776155179493</v>
      </c>
      <c r="H146" s="1">
        <f>[145]All!E$9</f>
        <v>4.186813308192022</v>
      </c>
      <c r="I146" s="1">
        <f>[145]All!F$9</f>
        <v>4.0521881819806183</v>
      </c>
      <c r="J146" s="1">
        <f>[145]All!G$9</f>
        <v>3.4686387233629423</v>
      </c>
      <c r="K146" s="1">
        <f>[145]All!H$9</f>
        <v>3.5140572838022353</v>
      </c>
      <c r="L146" s="1">
        <f>[145]All!I$9</f>
        <v>2.4673315549841508</v>
      </c>
      <c r="M146" s="1">
        <f>[145]All!J$9</f>
        <v>2.9516537252322399</v>
      </c>
      <c r="N146" s="1">
        <f>[145]All!K$9</f>
        <v>3.0471424326650101</v>
      </c>
      <c r="O146" s="1">
        <f>[145]All!L$9</f>
        <v>2.7281775959838548</v>
      </c>
      <c r="Q146" s="1">
        <f>[145]All!N$9</f>
        <v>3.2209806177457416</v>
      </c>
      <c r="R146" s="1">
        <f>[145]All!O$9</f>
        <v>3.1929865435457545</v>
      </c>
      <c r="S146" s="1">
        <f>[145]All!P$9</f>
        <v>3.0471424326650101</v>
      </c>
      <c r="U146" s="1">
        <f>'[145]Prof (MC)'!$B$4</f>
        <v>3.2100612051262818</v>
      </c>
      <c r="V146" s="1">
        <f>'[145]Prof (MC)'!$C$4</f>
        <v>3.2216322550511682</v>
      </c>
      <c r="W146" s="1">
        <f>'[145]Prof (MC)'!$W$96</f>
        <v>2.1008277615165669</v>
      </c>
      <c r="X146" s="1">
        <f>'[145]Prof (MC)'!$Z$96</f>
        <v>4.3816287500324327</v>
      </c>
    </row>
    <row r="147" spans="1:24" x14ac:dyDescent="0.2">
      <c r="A147" t="s">
        <v>163</v>
      </c>
      <c r="B147" t="s">
        <v>435</v>
      </c>
      <c r="C147">
        <v>1150</v>
      </c>
      <c r="E147" s="1">
        <f>[146]All!B$9</f>
        <v>6.0042204794713463</v>
      </c>
      <c r="F147" s="1">
        <f>[146]All!C$9</f>
        <v>5.7208405394087958</v>
      </c>
      <c r="G147" s="1">
        <f>[146]All!D$9</f>
        <v>6.1969020362990639</v>
      </c>
      <c r="H147" s="1">
        <f>[146]All!E$9</f>
        <v>6.5025129119163552</v>
      </c>
      <c r="I147" s="1">
        <f>[146]All!F$9</f>
        <v>5.9088157066054317</v>
      </c>
      <c r="J147" s="1">
        <f>[146]All!G$9</f>
        <v>6.5838904783277332</v>
      </c>
      <c r="K147" s="1">
        <f>[146]All!H$9</f>
        <v>5.9361630735926898</v>
      </c>
      <c r="L147" s="1">
        <f>[146]All!I$9</f>
        <v>6.3393270697254129</v>
      </c>
      <c r="M147" s="1">
        <f>[146]All!J$9</f>
        <v>6.9005889776649036</v>
      </c>
      <c r="N147" s="1">
        <f>[146]All!K$9</f>
        <v>6.143517428820525</v>
      </c>
      <c r="O147" s="1">
        <f>[146]All!L$9</f>
        <v>6.2256761508166427</v>
      </c>
      <c r="Q147" s="1">
        <f>[146]All!N$9</f>
        <v>6.1938149282764607</v>
      </c>
      <c r="R147" s="1">
        <f>[146]All!O$9</f>
        <v>6.2238595320589898</v>
      </c>
      <c r="S147" s="1">
        <f>[146]All!P$9</f>
        <v>6.1969020362990639</v>
      </c>
      <c r="U147" s="1">
        <f>'[146]Prof (MC)'!$B$4</f>
        <v>6.151911449974377</v>
      </c>
      <c r="V147" s="1">
        <f>'[146]Prof (MC)'!$C$4</f>
        <v>6.2149153234914367</v>
      </c>
      <c r="W147" s="1">
        <f>'[146]Prof (MC)'!$W$104</f>
        <v>5.2443519401792127</v>
      </c>
      <c r="X147" s="1">
        <f>'[146]Prof (MC)'!$Z$104</f>
        <v>7.3751594724300267</v>
      </c>
    </row>
    <row r="148" spans="1:24" x14ac:dyDescent="0.2">
      <c r="A148" t="s">
        <v>164</v>
      </c>
      <c r="B148" t="s">
        <v>435</v>
      </c>
      <c r="C148">
        <v>1750</v>
      </c>
      <c r="E148" s="1">
        <f>[147]All!B$9</f>
        <v>12.050094090321039</v>
      </c>
      <c r="F148" s="1">
        <f>[147]All!C$9</f>
        <v>15.154184968940314</v>
      </c>
      <c r="G148" s="1">
        <f>[147]All!D$9</f>
        <v>13.953675035662542</v>
      </c>
      <c r="H148" s="1">
        <f>[147]All!E$9</f>
        <v>18.923014194349349</v>
      </c>
      <c r="I148" s="1">
        <f>[147]All!F$9</f>
        <v>16.258771967308245</v>
      </c>
      <c r="J148" s="1">
        <f>[147]All!G$9</f>
        <v>12.820238878108539</v>
      </c>
      <c r="K148" s="1">
        <f>[147]All!H$9</f>
        <v>6.7940321730216047</v>
      </c>
      <c r="L148" s="1">
        <f>[147]All!I$9</f>
        <v>8.1344210465692708</v>
      </c>
      <c r="M148" s="1">
        <f>[147]All!J$9</f>
        <v>6.6336478186298677</v>
      </c>
      <c r="N148" s="1">
        <f>[147]All!K$9</f>
        <v>8.7313961549977765</v>
      </c>
      <c r="O148" s="1">
        <f>[147]All!L$9</f>
        <v>7.4020452966749692</v>
      </c>
      <c r="Q148" s="1">
        <f>[147]All!N$9</f>
        <v>10.784268326383021</v>
      </c>
      <c r="R148" s="1">
        <f>[147]All!O$9</f>
        <v>11.532320147689411</v>
      </c>
      <c r="S148" s="1">
        <f>[147]All!P$9</f>
        <v>12.050094090321039</v>
      </c>
      <c r="U148" s="1">
        <f>'[147]Prof (MC)'!$B$4</f>
        <v>11.04909647566781</v>
      </c>
      <c r="V148" s="1">
        <f>'[147]Prof (MC)'!$C$4</f>
        <v>11.433216474185837</v>
      </c>
      <c r="W148" s="1">
        <f>'[147]Prof (MC)'!$W$120</f>
        <v>6.6720366398176107</v>
      </c>
      <c r="X148" s="1">
        <f>'[147]Prof (MC)'!$Z$120</f>
        <v>17.488643200976561</v>
      </c>
    </row>
    <row r="149" spans="1:24" x14ac:dyDescent="0.2">
      <c r="A149" t="s">
        <v>165</v>
      </c>
      <c r="B149" t="s">
        <v>435</v>
      </c>
      <c r="C149">
        <v>1750</v>
      </c>
      <c r="E149" s="1">
        <f>[148]All!B$9</f>
        <v>2.8627972481763839</v>
      </c>
      <c r="F149" s="1">
        <f>[148]All!C$9</f>
        <v>4.2348305059954017</v>
      </c>
      <c r="G149" s="1">
        <f>[148]All!D$9</f>
        <v>1.928321632892557</v>
      </c>
      <c r="H149" s="1">
        <f>[148]All!E$9</f>
        <v>3.5262866721652744</v>
      </c>
      <c r="I149" s="1">
        <f>[148]All!F$9</f>
        <v>4.7819677835839167</v>
      </c>
      <c r="J149" s="1">
        <f>[148]All!G$9</f>
        <v>4.1349285510157392</v>
      </c>
      <c r="K149" s="1">
        <f>[148]All!H$9</f>
        <v>4.8539445172748934</v>
      </c>
      <c r="L149" s="1">
        <f>[148]All!I$9</f>
        <v>3.1106734827710056</v>
      </c>
      <c r="M149" s="1">
        <f>[148]All!J$9</f>
        <v>4.2198412300451089</v>
      </c>
      <c r="N149" s="1">
        <f>[148]All!K$9</f>
        <v>3.1710163032059371</v>
      </c>
      <c r="O149" s="1">
        <f>[148]All!L$9</f>
        <v>3.5582558914386282</v>
      </c>
      <c r="Q149" s="1">
        <f>[148]All!N$9</f>
        <v>3.5880001644469766</v>
      </c>
      <c r="R149" s="1">
        <f>[148]All!O$9</f>
        <v>3.6711694380513493</v>
      </c>
      <c r="S149" s="1">
        <f>[148]All!P$9</f>
        <v>3.5582558914386282</v>
      </c>
      <c r="U149" s="1">
        <f>'[148]Prof (MC)'!$B$4</f>
        <v>3.5152452615444725</v>
      </c>
      <c r="V149" s="1">
        <f>'[148]Prof (MC)'!$C$4</f>
        <v>3.6356130776536317</v>
      </c>
      <c r="W149" s="1">
        <f>'[148]Prof (MC)'!$W$96</f>
        <v>1.9870319632447553</v>
      </c>
      <c r="X149" s="1">
        <f>'[148]Prof (MC)'!$Z$96</f>
        <v>6.239088531618572</v>
      </c>
    </row>
    <row r="150" spans="1:24" x14ac:dyDescent="0.2">
      <c r="A150" t="s">
        <v>166</v>
      </c>
      <c r="B150" t="s">
        <v>435</v>
      </c>
      <c r="C150">
        <v>1750</v>
      </c>
      <c r="E150" s="1">
        <f>[149]All!B$9</f>
        <v>1.9585874105590682</v>
      </c>
      <c r="F150" s="1">
        <f>[149]All!C$9</f>
        <v>2.0139289668174416</v>
      </c>
      <c r="G150" s="1">
        <f>[149]All!D$9</f>
        <v>1.2863286375004308</v>
      </c>
      <c r="H150" s="1">
        <f>[149]All!E$9</f>
        <v>2.2279388521700878</v>
      </c>
      <c r="I150" s="1">
        <f>[149]All!F$9</f>
        <v>2.3466692700761724</v>
      </c>
      <c r="J150" s="1">
        <f>[149]All!G$9</f>
        <v>1.8140197528162676</v>
      </c>
      <c r="K150" s="1">
        <f>[149]All!H$9</f>
        <v>2.2430042769495779</v>
      </c>
      <c r="L150" s="1">
        <f>[149]All!I$9</f>
        <v>1.9365247233980756</v>
      </c>
      <c r="M150" s="1">
        <f>[149]All!J$9</f>
        <v>1.6997663633039233</v>
      </c>
      <c r="N150" s="1">
        <f>[149]All!K$9</f>
        <v>1.4649244009274427</v>
      </c>
      <c r="O150" s="1">
        <f>[149]All!L$9</f>
        <v>1.7415450604714364</v>
      </c>
      <c r="Q150" s="1">
        <f>[149]All!N$9</f>
        <v>1.9055695915842159</v>
      </c>
      <c r="R150" s="1">
        <f>[149]All!O$9</f>
        <v>1.8848397922718114</v>
      </c>
      <c r="S150" s="1">
        <f>[149]All!P$9</f>
        <v>1.9365247233980756</v>
      </c>
      <c r="U150" s="1">
        <f>'[149]Prof (MC)'!$B$4</f>
        <v>1.9050922663436558</v>
      </c>
      <c r="V150" s="1">
        <f>'[149]Prof (MC)'!$C$4</f>
        <v>1.7991806011650042</v>
      </c>
      <c r="W150" s="1">
        <f>'[149]Prof (MC)'!$W$78</f>
        <v>0.23010113524242121</v>
      </c>
      <c r="X150" s="1">
        <f>'[149]Prof (MC)'!$Z$78</f>
        <v>2.8321414038543518</v>
      </c>
    </row>
    <row r="151" spans="1:24" x14ac:dyDescent="0.2">
      <c r="A151" t="s">
        <v>167</v>
      </c>
      <c r="B151" t="s">
        <v>434</v>
      </c>
      <c r="C151">
        <v>1750</v>
      </c>
      <c r="E151" s="1">
        <f>[150]All!B$9</f>
        <v>4.4029132049197734</v>
      </c>
      <c r="F151" s="1">
        <f>[150]All!C$9</f>
        <v>3.6398233485572611</v>
      </c>
      <c r="G151" s="1">
        <f>[150]All!D$9</f>
        <v>4.079614570898153</v>
      </c>
      <c r="H151" s="1">
        <f>[150]All!E$9</f>
        <v>3.5820023381347332</v>
      </c>
      <c r="I151" s="1">
        <f>[150]All!F$9</f>
        <v>2.9577260146106426</v>
      </c>
      <c r="J151" s="1">
        <f>[150]All!G$9</f>
        <v>4.8749438634929136</v>
      </c>
      <c r="K151" s="1">
        <f>[150]All!H$9</f>
        <v>3.5076186436444918</v>
      </c>
      <c r="L151" s="1">
        <f>[150]All!I$9</f>
        <v>3.7938699319927975</v>
      </c>
      <c r="M151" s="1">
        <f>[150]All!J$9</f>
        <v>4.0213015982424363</v>
      </c>
      <c r="N151" s="1">
        <f>[150]All!K$9</f>
        <v>3.1992316546651742</v>
      </c>
      <c r="O151" s="1">
        <f>[150]All!L$9</f>
        <v>3.3785227838206811</v>
      </c>
      <c r="Q151" s="1">
        <f>[150]All!N$9</f>
        <v>3.7227965890738668</v>
      </c>
      <c r="R151" s="1">
        <f>[150]All!O$9</f>
        <v>3.7670516320890055</v>
      </c>
      <c r="S151" s="1">
        <f>[150]All!P$9</f>
        <v>3.6398233485572611</v>
      </c>
      <c r="U151" s="1">
        <f>'[150]Prof (MC)'!$B$4</f>
        <v>3.7233325783122675</v>
      </c>
      <c r="V151" s="1">
        <f>'[150]Prof (MC)'!$C$4</f>
        <v>3.726008807165992</v>
      </c>
      <c r="W151" s="1">
        <f>'[150]Prof (MC)'!$W$110</f>
        <v>2.695639547168069</v>
      </c>
      <c r="X151" s="1">
        <f>'[150]Prof (MC)'!$Z$110</f>
        <v>4.6435434971538916</v>
      </c>
    </row>
    <row r="152" spans="1:24" x14ac:dyDescent="0.2">
      <c r="A152" t="s">
        <v>168</v>
      </c>
      <c r="B152" t="s">
        <v>434</v>
      </c>
      <c r="C152">
        <v>1750</v>
      </c>
      <c r="E152" s="1">
        <f>[151]All!B$9</f>
        <v>3.8316992555812135</v>
      </c>
      <c r="F152" s="1">
        <f>[151]All!C$9</f>
        <v>4.0788397515278891</v>
      </c>
      <c r="G152" s="1">
        <f>[151]All!D$9</f>
        <v>3.6979433125105485</v>
      </c>
      <c r="H152" s="1">
        <f>[151]All!E$9</f>
        <v>2.7494516068681678</v>
      </c>
      <c r="I152" s="1">
        <f>[151]All!F$9</f>
        <v>2.7522117027563833</v>
      </c>
      <c r="J152" s="1">
        <f>[151]All!G$9</f>
        <v>3.2814987097729191</v>
      </c>
      <c r="K152" s="1">
        <f>[151]All!H$9</f>
        <v>3.2246899826397888</v>
      </c>
      <c r="L152" s="1">
        <f>[151]All!I$9</f>
        <v>3.3581432806027744</v>
      </c>
      <c r="M152" s="1">
        <f>[151]All!J$9</f>
        <v>3.4682451708411146</v>
      </c>
      <c r="N152" s="1">
        <f>[151]All!K$9</f>
        <v>3.4634414768284332</v>
      </c>
      <c r="O152" s="1">
        <f>[151]All!L$9</f>
        <v>3.4297475866963532</v>
      </c>
      <c r="Q152" s="1">
        <f>[151]All!N$9</f>
        <v>3.4032191327987524</v>
      </c>
      <c r="R152" s="1">
        <f>[151]All!O$9</f>
        <v>3.3941738033295987</v>
      </c>
      <c r="S152" s="1">
        <f>[151]All!P$9</f>
        <v>3.4297475866963532</v>
      </c>
      <c r="U152" s="1">
        <f>'[151]Prof (MC)'!$B$4</f>
        <v>3.3692797156320742</v>
      </c>
      <c r="V152" s="1">
        <f>'[151]Prof (MC)'!$C$4</f>
        <v>3.3952378858297516</v>
      </c>
      <c r="W152" s="1">
        <f>'[151]Prof (MC)'!$W$96</f>
        <v>2.7415395730913792</v>
      </c>
      <c r="X152" s="1">
        <f>'[151]Prof (MC)'!$Z$96</f>
        <v>4.0966835300559774</v>
      </c>
    </row>
    <row r="153" spans="1:24" x14ac:dyDescent="0.2">
      <c r="A153" t="s">
        <v>169</v>
      </c>
      <c r="B153" t="s">
        <v>435</v>
      </c>
      <c r="C153">
        <v>1750</v>
      </c>
      <c r="E153" s="1">
        <f>[152]All!B$9</f>
        <v>2.8675261953357447</v>
      </c>
      <c r="F153" s="1">
        <f>[152]All!C$9</f>
        <v>1.5304973822509473</v>
      </c>
      <c r="G153" s="1">
        <f>[152]All!D$9</f>
        <v>1.8605162473129713</v>
      </c>
      <c r="H153" s="1">
        <f>[152]All!E$9</f>
        <v>2.2714873947016074</v>
      </c>
      <c r="I153" s="1">
        <f>[152]All!F$9</f>
        <v>1.475129732754854</v>
      </c>
      <c r="J153" s="1">
        <f>[152]All!G$9</f>
        <v>2.9276293986719475</v>
      </c>
      <c r="K153" s="1">
        <f>[152]All!H$9</f>
        <v>2.6336736401030159</v>
      </c>
      <c r="L153" s="1">
        <f>[152]All!I$9</f>
        <v>2.464531415001542</v>
      </c>
      <c r="M153" s="1">
        <f>[152]All!J$9</f>
        <v>2.455443853800082</v>
      </c>
      <c r="N153" s="1">
        <f>[152]All!K$9</f>
        <v>1.8414465967498805</v>
      </c>
      <c r="O153" s="1">
        <f>[152]All!L$9</f>
        <v>2.0320025460406912</v>
      </c>
      <c r="Q153" s="1">
        <f>[152]All!N$9</f>
        <v>2.1571358554289719</v>
      </c>
      <c r="R153" s="1">
        <f>[152]All!O$9</f>
        <v>2.2145349457021166</v>
      </c>
      <c r="S153" s="1">
        <f>[152]All!P$9</f>
        <v>2.2714873947016074</v>
      </c>
      <c r="U153" s="1">
        <f>'[152]Prof (MC)'!$B$4</f>
        <v>2.171748597315057</v>
      </c>
      <c r="V153" s="1">
        <f>'[152]Prof (MC)'!$C$4</f>
        <v>2.1505623250323591</v>
      </c>
      <c r="W153" s="1">
        <f>'[152]Prof (MC)'!$W$94</f>
        <v>1.2052638595763943</v>
      </c>
      <c r="X153" s="1">
        <f>'[152]Prof (MC)'!$Z$94</f>
        <v>3.0258332719956091</v>
      </c>
    </row>
    <row r="154" spans="1:24" x14ac:dyDescent="0.2">
      <c r="A154" t="s">
        <v>170</v>
      </c>
      <c r="B154" t="s">
        <v>435</v>
      </c>
      <c r="C154">
        <v>1750</v>
      </c>
      <c r="E154" s="1">
        <f>[153]All!B$9</f>
        <v>2.1776216855485391</v>
      </c>
      <c r="F154" s="1">
        <f>[153]All!C$9</f>
        <v>2.3176670643016162</v>
      </c>
      <c r="G154" s="1">
        <f>[153]All!D$9</f>
        <v>2.3130886441222471</v>
      </c>
      <c r="H154" s="1">
        <f>[153]All!E$9</f>
        <v>2.7866392676343388</v>
      </c>
      <c r="I154" s="1">
        <f>[153]All!F$9</f>
        <v>2.103800796502477</v>
      </c>
      <c r="J154" s="1">
        <f>[153]All!G$9</f>
        <v>2.1973484851521481</v>
      </c>
      <c r="K154" s="1">
        <f>[153]All!H$9</f>
        <v>2.5102208779572499</v>
      </c>
      <c r="L154" s="1">
        <f>[153]All!I$9</f>
        <v>2.5277204062838687</v>
      </c>
      <c r="M154" s="1">
        <f>[153]All!J$9</f>
        <v>2.5320836619955158</v>
      </c>
      <c r="N154" s="1">
        <f>[153]All!K$9</f>
        <v>2.2985953275736373</v>
      </c>
      <c r="O154" s="1">
        <f>[153]All!L$9</f>
        <v>2.2509697539049331</v>
      </c>
      <c r="Q154" s="1">
        <f>[153]All!N$9</f>
        <v>2.3957883091478389</v>
      </c>
      <c r="R154" s="1">
        <f>[153]All!O$9</f>
        <v>2.3650687246342335</v>
      </c>
      <c r="S154" s="1">
        <f>[153]All!P$9</f>
        <v>2.3130886441222471</v>
      </c>
      <c r="U154" s="1">
        <f>'[153]Prof (MC)'!$B$4</f>
        <v>2.3800059977214749</v>
      </c>
      <c r="V154" s="1">
        <f>'[153]Prof (MC)'!$C$4</f>
        <v>2.3739773477296073</v>
      </c>
      <c r="W154" s="1">
        <f>'[153]Prof (MC)'!$W$92</f>
        <v>1.7010121467581309</v>
      </c>
      <c r="X154" s="1">
        <f>'[153]Prof (MC)'!$Z$92</f>
        <v>3.0764734577480279</v>
      </c>
    </row>
    <row r="155" spans="1:24" x14ac:dyDescent="0.2">
      <c r="A155" t="s">
        <v>171</v>
      </c>
      <c r="B155" t="s">
        <v>435</v>
      </c>
      <c r="C155">
        <v>1750</v>
      </c>
      <c r="E155" s="1">
        <f>[154]All!B$9</f>
        <v>3.605994273613176</v>
      </c>
      <c r="F155" s="1">
        <f>[154]All!C$9</f>
        <v>3.6047522871652178</v>
      </c>
      <c r="G155" s="1">
        <f>[154]All!D$9</f>
        <v>4.7061910053534879</v>
      </c>
      <c r="H155" s="1">
        <f>[154]All!E$9</f>
        <v>2.5634050179413013</v>
      </c>
      <c r="I155" s="1">
        <f>[154]All!F$9</f>
        <v>4.5408059174727695</v>
      </c>
      <c r="J155" s="1">
        <f>[154]All!G$9</f>
        <v>3.4050382127238801</v>
      </c>
      <c r="K155" s="1">
        <f>[154]All!H$9</f>
        <v>4.1829572931755958</v>
      </c>
      <c r="L155" s="1">
        <f>[154]All!I$9</f>
        <v>5.319539006540686</v>
      </c>
      <c r="M155" s="1">
        <f>[154]All!J$9</f>
        <v>4.0962085206709729</v>
      </c>
      <c r="N155" s="1">
        <f>[154]All!K$9</f>
        <v>2.828223043374535</v>
      </c>
      <c r="O155" s="1">
        <f>[154]All!L$9</f>
        <v>4.5976384661357201</v>
      </c>
      <c r="Q155" s="1">
        <f>[154]All!N$9</f>
        <v>3.9231783499471096</v>
      </c>
      <c r="R155" s="1">
        <f>[154]All!O$9</f>
        <v>3.9500684585606676</v>
      </c>
      <c r="S155" s="1">
        <f>[154]All!P$9</f>
        <v>4.0962085206709729</v>
      </c>
      <c r="U155" s="1">
        <f>'[154]Prof (MC)'!$B$4</f>
        <v>3.9411874421434643</v>
      </c>
      <c r="V155" s="1">
        <f>'[154]Prof (MC)'!$C$4</f>
        <v>3.9455756537107356</v>
      </c>
      <c r="W155" s="1">
        <f>'[154]Prof (MC)'!$W$92</f>
        <v>1.7959418691813764</v>
      </c>
      <c r="X155" s="1">
        <f>'[154]Prof (MC)'!$Z$92</f>
        <v>5.6765214990652408</v>
      </c>
    </row>
    <row r="156" spans="1:24" x14ac:dyDescent="0.2">
      <c r="A156" t="s">
        <v>172</v>
      </c>
      <c r="B156" t="s">
        <v>434</v>
      </c>
      <c r="C156">
        <v>1400</v>
      </c>
      <c r="E156" s="1">
        <f>[155]All!B$9</f>
        <v>3.7407797660821513</v>
      </c>
      <c r="F156" s="1">
        <f>[155]All!C$9</f>
        <v>4.0897759279632933</v>
      </c>
      <c r="G156" s="1">
        <f>[155]All!D$9</f>
        <v>5.3250769376294311</v>
      </c>
      <c r="H156" s="1">
        <f>[155]All!E$9</f>
        <v>4.7370075207667446</v>
      </c>
      <c r="I156" s="1">
        <f>[155]All!F$9</f>
        <v>3.3902668521340571</v>
      </c>
      <c r="J156" s="1">
        <f>[155]All!G$9</f>
        <v>5.1888779498754332</v>
      </c>
      <c r="K156" s="1">
        <f>[155]All!H$9</f>
        <v>6.3845449822484079</v>
      </c>
      <c r="L156" s="1">
        <f>[155]All!I$9</f>
        <v>5.1658114677566225</v>
      </c>
      <c r="M156" s="1">
        <f>[155]All!J$9</f>
        <v>5.7742832546999869</v>
      </c>
      <c r="N156" s="1">
        <f>[155]All!K$9</f>
        <v>6.7637706487249218</v>
      </c>
      <c r="O156" s="1">
        <f>[155]All!L$9</f>
        <v>5.083814779317489</v>
      </c>
      <c r="Q156" s="1">
        <f>[155]All!N$9</f>
        <v>5.0452360310034141</v>
      </c>
      <c r="R156" s="1">
        <f>[155]All!O$9</f>
        <v>5.0585463715635051</v>
      </c>
      <c r="S156" s="1">
        <f>[155]All!P$9</f>
        <v>5.1658114677566225</v>
      </c>
      <c r="U156" s="1">
        <f>'[155]Prof (MC)'!$B$4</f>
        <v>5.0062706490523956</v>
      </c>
      <c r="V156" s="1">
        <f>'[155]Prof (MC)'!$C$4</f>
        <v>5.0067934097326114</v>
      </c>
      <c r="W156" s="1">
        <f>'[155]Prof (MC)'!$W$102</f>
        <v>3.027025504212665</v>
      </c>
      <c r="X156" s="1">
        <f>'[155]Prof (MC)'!$Z$102</f>
        <v>7.2827968512282197</v>
      </c>
    </row>
    <row r="157" spans="1:24" x14ac:dyDescent="0.2">
      <c r="A157" t="s">
        <v>173</v>
      </c>
      <c r="B157" t="s">
        <v>435</v>
      </c>
      <c r="C157">
        <v>1400</v>
      </c>
      <c r="E157" s="1">
        <f>[156]All!B$9</f>
        <v>4.3367498762504848</v>
      </c>
      <c r="F157" s="1">
        <f>[156]All!C$9</f>
        <v>4.6040414599935477</v>
      </c>
      <c r="G157" s="1">
        <f>[156]All!D$9</f>
        <v>3.2542328090684602</v>
      </c>
      <c r="H157" s="1">
        <f>[156]All!E$9</f>
        <v>3.0026925606245238</v>
      </c>
      <c r="I157" s="1">
        <f>[156]All!F$9</f>
        <v>3.228086571461684</v>
      </c>
      <c r="J157" s="1">
        <f>[156]All!G$9</f>
        <v>3.6718670436926986</v>
      </c>
      <c r="K157" s="1">
        <f>[156]All!H$9</f>
        <v>3.9603269264535723</v>
      </c>
      <c r="L157" s="1">
        <f>[156]All!I$9</f>
        <v>3.9422940976691376</v>
      </c>
      <c r="M157" s="1">
        <f>[156]All!J$9</f>
        <v>5.0359852366545672</v>
      </c>
      <c r="N157" s="1">
        <f>[156]All!K$9</f>
        <v>2.2728654563922768</v>
      </c>
      <c r="O157" s="1">
        <f>[156]All!L$9</f>
        <v>6.0806009931153158</v>
      </c>
      <c r="Q157" s="1">
        <f>[156]All!N$9</f>
        <v>3.9859142967248431</v>
      </c>
      <c r="R157" s="1">
        <f>[156]All!O$9</f>
        <v>3.9445220937614791</v>
      </c>
      <c r="S157" s="1">
        <f>[156]All!P$9</f>
        <v>3.9422940976691376</v>
      </c>
      <c r="U157" s="1">
        <f>'[156]Prof (MC)'!$B$4</f>
        <v>4.1170104241528698</v>
      </c>
      <c r="V157" s="1">
        <f>'[156]Prof (MC)'!$C$4</f>
        <v>4.0967233327015817</v>
      </c>
      <c r="W157" s="1">
        <f>'[156]Prof (MC)'!$W$86</f>
        <v>1.8470857708503174</v>
      </c>
      <c r="X157" s="1">
        <f>'[156]Prof (MC)'!$Z$86</f>
        <v>6.7198491849009718</v>
      </c>
    </row>
    <row r="158" spans="1:24" x14ac:dyDescent="0.2">
      <c r="A158" t="s">
        <v>174</v>
      </c>
      <c r="B158" t="s">
        <v>435</v>
      </c>
      <c r="C158">
        <v>1400</v>
      </c>
      <c r="E158" s="1">
        <f>[157]All!B$9</f>
        <v>3.171213679874616</v>
      </c>
      <c r="F158" s="1">
        <f>[157]All!C$9</f>
        <v>5.404986176602403</v>
      </c>
      <c r="G158" s="1">
        <f>[157]All!D$9</f>
        <v>3.3155212118770065</v>
      </c>
      <c r="H158" s="1">
        <f>[157]All!E$9</f>
        <v>1.9063828215615624</v>
      </c>
      <c r="I158" s="1">
        <f>[157]All!F$9</f>
        <v>0.2365296056896079</v>
      </c>
      <c r="J158" s="1">
        <f>[157]All!G$9</f>
        <v>2.0762119671826462</v>
      </c>
      <c r="K158" s="1">
        <f>[157]All!H$9</f>
        <v>0.97684608394825978</v>
      </c>
      <c r="L158" s="1">
        <f>[157]All!I$9</f>
        <v>5.227840796134279</v>
      </c>
      <c r="M158" s="1">
        <f>[157]All!J$9</f>
        <v>3.0773648068036907</v>
      </c>
      <c r="N158" s="1">
        <f>[157]All!K$9</f>
        <v>0.88652144128451205</v>
      </c>
      <c r="O158" s="1">
        <f>[157]All!L$9</f>
        <v>3.5246685881095385</v>
      </c>
      <c r="Q158" s="1">
        <f>[157]All!N$9</f>
        <v>2.5675292063689832</v>
      </c>
      <c r="R158" s="1">
        <f>[157]All!O$9</f>
        <v>2.7094624708243749</v>
      </c>
      <c r="S158" s="1">
        <f>[157]All!P$9</f>
        <v>3.0773648068036907</v>
      </c>
      <c r="U158" s="1">
        <f>'[157]Prof (MC)'!$B$4</f>
        <v>2.4882228789995229</v>
      </c>
      <c r="V158" s="1">
        <f>'[157]Prof (MC)'!$C$4</f>
        <v>2.9249315611598909</v>
      </c>
      <c r="W158" s="1">
        <f>'[157]Prof (MC)'!$W$82</f>
        <v>0.24587675961009403</v>
      </c>
      <c r="X158" s="1">
        <f>'[157]Prof (MC)'!$Z$82</f>
        <v>8.7948395701846103</v>
      </c>
    </row>
    <row r="159" spans="1:24" x14ac:dyDescent="0.2">
      <c r="A159" t="s">
        <v>175</v>
      </c>
      <c r="B159" t="s">
        <v>435</v>
      </c>
      <c r="C159">
        <v>1400</v>
      </c>
      <c r="E159" s="1">
        <f>[158]All!B$9</f>
        <v>2.2811074813306518</v>
      </c>
      <c r="F159" s="1">
        <f>[158]All!C$9</f>
        <v>1.7530719935123356</v>
      </c>
      <c r="G159" s="1">
        <f>[158]All!D$9</f>
        <v>1.6447446865461177</v>
      </c>
      <c r="H159" s="1">
        <f>[158]All!E$9</f>
        <v>2.1820966273617937</v>
      </c>
      <c r="I159" s="1">
        <f>[158]All!F$9</f>
        <v>1.465040707772326</v>
      </c>
      <c r="J159" s="1">
        <f>[158]All!G$9</f>
        <v>1.5817439754491525</v>
      </c>
      <c r="K159" s="1">
        <f>[158]All!H$9</f>
        <v>1.5431493235650775</v>
      </c>
      <c r="L159" s="1">
        <f>[158]All!I$9</f>
        <v>2.3755752716270711</v>
      </c>
      <c r="M159" s="1">
        <f>[158]All!J$9</f>
        <v>1.474484860964226</v>
      </c>
      <c r="N159" s="1">
        <f>[158]All!K$9</f>
        <v>2.1067675438758031</v>
      </c>
      <c r="O159" s="1">
        <f>[158]All!L$9</f>
        <v>2.1268909476806739</v>
      </c>
      <c r="Q159" s="1">
        <f>[158]All!N$9</f>
        <v>1.9324613351720039</v>
      </c>
      <c r="R159" s="1">
        <f>[158]All!O$9</f>
        <v>1.8667884926986573</v>
      </c>
      <c r="S159" s="1">
        <f>[158]All!P$9</f>
        <v>1.7530719935123356</v>
      </c>
      <c r="U159" s="1">
        <f>'[158]Prof (MC)'!$B$4</f>
        <v>1.8942248774431856</v>
      </c>
      <c r="V159" s="1">
        <f>'[158]Prof (MC)'!$C$4</f>
        <v>1.885888584970786</v>
      </c>
      <c r="W159" s="1">
        <f>'[158]Prof (MC)'!$W$82</f>
        <v>0.92680091523938102</v>
      </c>
      <c r="X159" s="1">
        <f>'[158]Prof (MC)'!$Z$82</f>
        <v>2.9814206720453251</v>
      </c>
    </row>
    <row r="160" spans="1:24" x14ac:dyDescent="0.2">
      <c r="A160" t="s">
        <v>176</v>
      </c>
      <c r="B160" t="s">
        <v>435</v>
      </c>
      <c r="C160">
        <v>1500</v>
      </c>
      <c r="E160" s="1">
        <f>[159]All!B$9</f>
        <v>5.1493730694214443</v>
      </c>
      <c r="F160" s="1">
        <f>[159]All!C$9</f>
        <v>4.664205642645336</v>
      </c>
      <c r="G160" s="1">
        <f>[159]All!D$9</f>
        <v>5.0768875983660093</v>
      </c>
      <c r="H160" s="1">
        <f>[159]All!E$9</f>
        <v>3.5633023762701774</v>
      </c>
      <c r="I160" s="1">
        <f>[159]All!F$9</f>
        <v>4.9044286073074561</v>
      </c>
      <c r="J160" s="1">
        <f>[159]All!G$9</f>
        <v>4.5710495394129298</v>
      </c>
      <c r="K160" s="1">
        <f>[159]All!H$9</f>
        <v>3.6324302215673345</v>
      </c>
      <c r="L160" s="1">
        <f>[159]All!I$9</f>
        <v>3.4048551805211194</v>
      </c>
      <c r="M160" s="1">
        <f>[159]All!J$9</f>
        <v>5.6794374447952256</v>
      </c>
      <c r="N160" s="1">
        <f>[159]All!K$9</f>
        <v>3.4265367522517587</v>
      </c>
      <c r="O160" s="1">
        <f>[159]All!L$9</f>
        <v>4.0815790673247578</v>
      </c>
      <c r="Q160" s="1">
        <f>[159]All!N$9</f>
        <v>4.3431807796340101</v>
      </c>
      <c r="R160" s="1">
        <f>[159]All!O$9</f>
        <v>4.3776441363530489</v>
      </c>
      <c r="S160" s="1">
        <f>[159]All!P$9</f>
        <v>4.5710495394129298</v>
      </c>
      <c r="U160" s="1">
        <f>'[159]Prof (MC)'!$B$4</f>
        <v>4.3141607225646172</v>
      </c>
      <c r="V160" s="1">
        <f>'[159]Prof (MC)'!$C$4</f>
        <v>4.3562605678916713</v>
      </c>
      <c r="W160" s="1">
        <f>'[159]Prof (MC)'!$W$110</f>
        <v>2.9368813918123107</v>
      </c>
      <c r="X160" s="1">
        <f>'[159]Prof (MC)'!$Z$110</f>
        <v>6.2016791248784422</v>
      </c>
    </row>
    <row r="161" spans="1:24" x14ac:dyDescent="0.2">
      <c r="A161" t="s">
        <v>177</v>
      </c>
      <c r="B161" t="s">
        <v>435</v>
      </c>
      <c r="C161">
        <v>1500</v>
      </c>
      <c r="E161" s="1">
        <f>[160]All!B$9</f>
        <v>4.1007696172547474</v>
      </c>
      <c r="F161" s="1">
        <f>[160]All!C$9</f>
        <v>5.2264897279964933</v>
      </c>
      <c r="G161" s="1">
        <f>[160]All!D$9</f>
        <v>5.3979922320477511</v>
      </c>
      <c r="H161" s="1">
        <f>[160]All!E$9</f>
        <v>4.0380124070668568</v>
      </c>
      <c r="I161" s="1">
        <f>[160]All!F$9</f>
        <v>4.7242617863197509</v>
      </c>
      <c r="J161" s="1">
        <f>[160]All!G$9</f>
        <v>3.1169274016512607</v>
      </c>
      <c r="K161" s="1">
        <f>[160]All!H$9</f>
        <v>3.1920647516715581</v>
      </c>
      <c r="L161" s="1">
        <f>[160]All!I$9</f>
        <v>3.0102682786828341</v>
      </c>
      <c r="M161" s="1">
        <f>[160]All!J$9</f>
        <v>3.6296708514680769</v>
      </c>
      <c r="N161" s="1">
        <f>[160]All!K$9</f>
        <v>4.3317514878893721</v>
      </c>
      <c r="O161" s="1">
        <f>[160]All!L$9</f>
        <v>4.2078628286234263</v>
      </c>
      <c r="Q161" s="1">
        <f>[160]All!N$9</f>
        <v>4.1547854560884536</v>
      </c>
      <c r="R161" s="1">
        <f>[160]All!O$9</f>
        <v>4.0887337609701939</v>
      </c>
      <c r="S161" s="1">
        <f>[160]All!P$9</f>
        <v>4.1007696172547474</v>
      </c>
      <c r="U161" s="1">
        <f>'[160]Prof (MC)'!$B$4</f>
        <v>4.0472289102763517</v>
      </c>
      <c r="V161" s="1">
        <f>'[160]Prof (MC)'!$C$4</f>
        <v>4.0858907776710423</v>
      </c>
      <c r="W161" s="1">
        <f>'[160]Prof (MC)'!$W$90</f>
        <v>2.9418411630474064</v>
      </c>
      <c r="X161" s="1">
        <f>'[160]Prof (MC)'!$Z$90</f>
        <v>5.6528971581011147</v>
      </c>
    </row>
    <row r="162" spans="1:24" x14ac:dyDescent="0.2">
      <c r="A162" t="s">
        <v>178</v>
      </c>
      <c r="B162" t="s">
        <v>435</v>
      </c>
      <c r="C162">
        <v>1500</v>
      </c>
      <c r="E162" s="1">
        <f>[161]All!B$9</f>
        <v>0</v>
      </c>
      <c r="F162" s="1">
        <f>[161]All!C$9</f>
        <v>3.7615206949436297</v>
      </c>
      <c r="G162" s="1">
        <f>[161]All!D$9</f>
        <v>3.8544149592770691</v>
      </c>
      <c r="H162" s="1">
        <f>[161]All!E$9</f>
        <v>3.5592459035383399</v>
      </c>
      <c r="I162" s="1">
        <f>[161]All!F$9</f>
        <v>2.7792340336051167</v>
      </c>
      <c r="J162" s="1">
        <f>[161]All!G$9</f>
        <v>4.2660329478545611</v>
      </c>
      <c r="K162" s="1">
        <f>[161]All!H$9</f>
        <v>3.9955809841690004</v>
      </c>
      <c r="L162" s="1">
        <f>[161]All!I$9</f>
        <v>4.3506665545002621</v>
      </c>
      <c r="M162" s="1">
        <f>[161]All!J$9</f>
        <v>2.2908136727179573</v>
      </c>
      <c r="N162" s="1">
        <f>[161]All!K$9</f>
        <v>3.2499350771866973</v>
      </c>
      <c r="O162" s="1">
        <f>[161]All!L$9</f>
        <v>4.6509326753063815</v>
      </c>
      <c r="Q162" s="1">
        <f>[161]All!N$9</f>
        <v>3.9502753588696917</v>
      </c>
      <c r="R162" s="1">
        <f>[161]All!O$9</f>
        <v>3.6758377503099013</v>
      </c>
      <c r="S162" s="1">
        <f>[161]All!P$9</f>
        <v>3.8079678271103496</v>
      </c>
      <c r="U162" s="1">
        <f>'[161]Prof (MC)'!$B$4</f>
        <v>3.6802642868850923</v>
      </c>
      <c r="V162" s="1">
        <f>'[161]Prof (MC)'!$C$4</f>
        <v>3.6019864792560981</v>
      </c>
      <c r="W162" s="1">
        <f>'[161]Prof (MC)'!$W$92</f>
        <v>2.0742872156957706</v>
      </c>
      <c r="X162" s="1">
        <f>'[161]Prof (MC)'!$Z$92</f>
        <v>4.9436993643942042</v>
      </c>
    </row>
    <row r="163" spans="1:24" x14ac:dyDescent="0.2">
      <c r="A163" t="s">
        <v>179</v>
      </c>
      <c r="B163" t="s">
        <v>435</v>
      </c>
      <c r="C163">
        <v>1500</v>
      </c>
      <c r="E163" s="1">
        <f>[162]All!B$9</f>
        <v>3.1033807028513389</v>
      </c>
      <c r="F163" s="1">
        <f>[162]All!C$9</f>
        <v>1.7322159353115385</v>
      </c>
      <c r="G163" s="1">
        <f>[162]All!D$9</f>
        <v>2.1908297560898036</v>
      </c>
      <c r="H163" s="1">
        <f>[162]All!E$9</f>
        <v>0.11754441668447206</v>
      </c>
      <c r="I163" s="1">
        <f>[162]All!F$9</f>
        <v>0.88658158660333197</v>
      </c>
      <c r="J163" s="1">
        <f>[162]All!G$9</f>
        <v>3.4817927030349395E-2</v>
      </c>
      <c r="K163" s="1">
        <f>[162]All!H$9</f>
        <v>1.9570486087563796</v>
      </c>
      <c r="L163" s="1">
        <f>[162]All!I$9</f>
        <v>0.84462691221201502</v>
      </c>
      <c r="M163" s="1">
        <f>[162]All!J$9</f>
        <v>1.8044746601086707</v>
      </c>
      <c r="N163" s="1">
        <f>[162]All!K$9</f>
        <v>0.24103875648708223</v>
      </c>
      <c r="O163" s="1">
        <f>[162]All!L$9</f>
        <v>0.25440501138392413</v>
      </c>
      <c r="Q163" s="1">
        <f>[162]All!N$9</f>
        <v>1.7401297324309601</v>
      </c>
      <c r="R163" s="1">
        <f>[162]All!O$9</f>
        <v>1.1969967521380822</v>
      </c>
      <c r="S163" s="1">
        <f>[162]All!P$9</f>
        <v>0.88658158660333197</v>
      </c>
      <c r="U163" s="1">
        <f>'[162]Prof (MC)'!$B$4</f>
        <v>1.5158702541917279</v>
      </c>
      <c r="V163" s="1">
        <f>'[162]Prof (MC)'!$C$4</f>
        <v>1.5088532194611814</v>
      </c>
      <c r="W163" s="1">
        <f>'[162]Prof (MC)'!$W$88</f>
        <v>2.5931393226676581E-2</v>
      </c>
      <c r="X163" s="1">
        <f>'[162]Prof (MC)'!$Z$88</f>
        <v>4.0176343611743368</v>
      </c>
    </row>
    <row r="164" spans="1:24" x14ac:dyDescent="0.2">
      <c r="A164" t="s">
        <v>180</v>
      </c>
      <c r="B164" t="s">
        <v>435</v>
      </c>
      <c r="C164">
        <v>1500</v>
      </c>
      <c r="E164" s="1">
        <f>[163]All!B$9</f>
        <v>0.57766100636200823</v>
      </c>
      <c r="F164" s="1">
        <f>[163]All!C$9</f>
        <v>2.3718815880148312</v>
      </c>
      <c r="G164" s="1">
        <f>[163]All!D$9</f>
        <v>1.3824917042164899</v>
      </c>
      <c r="H164" s="1">
        <f>[163]All!E$9</f>
        <v>2.9694947810946735</v>
      </c>
      <c r="I164" s="1">
        <f>[163]All!F$9</f>
        <v>2.173752366852117</v>
      </c>
      <c r="J164" s="1">
        <f>[163]All!G$9</f>
        <v>1.9857104648602748</v>
      </c>
      <c r="K164" s="1">
        <f>[163]All!H$9</f>
        <v>2.6116917482366042</v>
      </c>
      <c r="L164" s="1">
        <f>[163]All!I$9</f>
        <v>4.2963928580194644</v>
      </c>
      <c r="M164" s="1">
        <f>[163]All!J$9</f>
        <v>0</v>
      </c>
      <c r="N164" s="1">
        <f>[163]All!K$9</f>
        <v>0.36088126017689598</v>
      </c>
      <c r="O164" s="1">
        <f>[163]All!L$9</f>
        <v>2.0415505725776044</v>
      </c>
      <c r="Q164" s="1">
        <f>[163]All!N$9</f>
        <v>2.5009602046957999</v>
      </c>
      <c r="R164" s="1">
        <f>[163]All!O$9</f>
        <v>2.0771508350410963</v>
      </c>
      <c r="S164" s="1">
        <f>[163]All!P$9</f>
        <v>2.1076514697148605</v>
      </c>
      <c r="U164" s="1">
        <f>'[163]Prof (MC)'!$B$4</f>
        <v>2.1281345882327054</v>
      </c>
      <c r="V164" s="1">
        <f>'[163]Prof (MC)'!$C$4</f>
        <v>2.1043639016945561</v>
      </c>
      <c r="W164" s="1">
        <f>'[163]Prof (MC)'!$W$70</f>
        <v>0.31127932438471762</v>
      </c>
      <c r="X164" s="1">
        <f>'[163]Prof (MC)'!$Z$70</f>
        <v>4.4190120931290595</v>
      </c>
    </row>
    <row r="165" spans="1:24" x14ac:dyDescent="0.2">
      <c r="A165" t="s">
        <v>181</v>
      </c>
      <c r="B165" t="s">
        <v>434</v>
      </c>
      <c r="C165">
        <v>2000</v>
      </c>
      <c r="E165" s="1">
        <f>[164]All!B$9</f>
        <v>5.0685769392078965</v>
      </c>
      <c r="F165" s="1">
        <f>[164]All!C$9</f>
        <v>5.4376492200012132</v>
      </c>
      <c r="G165" s="1">
        <f>[164]All!D$9</f>
        <v>5.9937886174932418</v>
      </c>
      <c r="H165" s="1">
        <f>[164]All!E$9</f>
        <v>4.7358099798019948</v>
      </c>
      <c r="I165" s="1">
        <f>[164]All!F$9</f>
        <v>0</v>
      </c>
      <c r="J165" s="1">
        <f>[164]All!G$9</f>
        <v>3.3903976628421768</v>
      </c>
      <c r="K165" s="1">
        <f>[164]All!H$9</f>
        <v>1.2999327972732568</v>
      </c>
      <c r="L165" s="1">
        <f>[164]All!I$9</f>
        <v>0</v>
      </c>
      <c r="M165" s="1">
        <f>[164]All!J$9</f>
        <v>3.9085513732637982</v>
      </c>
      <c r="N165" s="1">
        <f>[164]All!K$9</f>
        <v>4.7139283504060208</v>
      </c>
      <c r="O165" s="1">
        <f>[164]All!L$9</f>
        <v>0.26684511178410814</v>
      </c>
      <c r="Q165" s="1">
        <f>[164]All!N$9</f>
        <v>5.5869454667365801</v>
      </c>
      <c r="R165" s="1">
        <f>[164]All!O$9</f>
        <v>3.8683866724526337</v>
      </c>
      <c r="S165" s="1">
        <f>[164]All!P$9</f>
        <v>4.7139283504060208</v>
      </c>
      <c r="U165" s="1">
        <f>'[164]Prof (MC)'!$B$4</f>
        <v>4.8665395556352919</v>
      </c>
      <c r="V165" s="1">
        <f>'[164]Prof (MC)'!$C$4</f>
        <v>6.0679911197686227</v>
      </c>
      <c r="W165" s="1">
        <f>'[164]Prof (MC)'!$W$102</f>
        <v>1.4939699197272928E-2</v>
      </c>
      <c r="X165" s="1">
        <f>'[164]Prof (MC)'!$Z$102</f>
        <v>18.53447262793436</v>
      </c>
    </row>
    <row r="166" spans="1:24" x14ac:dyDescent="0.2">
      <c r="A166" t="s">
        <v>182</v>
      </c>
      <c r="B166" t="s">
        <v>435</v>
      </c>
      <c r="C166">
        <v>2000</v>
      </c>
      <c r="E166" s="1">
        <f>[165]All!B$9</f>
        <v>1.7378062880206093</v>
      </c>
      <c r="F166" s="1">
        <f>[165]All!C$9</f>
        <v>1.828030222254871</v>
      </c>
      <c r="G166" s="1">
        <f>[165]All!D$9</f>
        <v>0.96356891365174557</v>
      </c>
      <c r="H166" s="1">
        <f>[165]All!E$9</f>
        <v>6.1837916230750034</v>
      </c>
      <c r="I166" s="1">
        <f>[165]All!F$9</f>
        <v>4.1748689348734978</v>
      </c>
      <c r="J166" s="1">
        <f>[165]All!G$9</f>
        <v>4.3536695308066449</v>
      </c>
      <c r="K166" s="1">
        <f>[165]All!H$9</f>
        <v>3.5472105216028083</v>
      </c>
      <c r="L166" s="1">
        <f>[165]All!I$9</f>
        <v>3.5655257630258599</v>
      </c>
      <c r="M166" s="1">
        <f>[165]All!J$9</f>
        <v>4.3962492508801754</v>
      </c>
      <c r="N166" s="1">
        <f>[165]All!K$9</f>
        <v>1.4479433687650725</v>
      </c>
      <c r="O166" s="1">
        <f>[165]All!L$9</f>
        <v>2.5702183525732631</v>
      </c>
      <c r="Q166" s="1">
        <f>[165]All!N$9</f>
        <v>3.3379874216181382</v>
      </c>
      <c r="R166" s="1">
        <f>[165]All!O$9</f>
        <v>3.1608075245026863</v>
      </c>
      <c r="S166" s="1">
        <f>[165]All!P$9</f>
        <v>3.5472105216028083</v>
      </c>
      <c r="U166" s="1">
        <f>'[165]Prof (MC)'!$B$4</f>
        <v>3.324726815216545</v>
      </c>
      <c r="V166" s="1">
        <f>'[165]Prof (MC)'!$C$4</f>
        <v>3.2475822078760785</v>
      </c>
      <c r="W166" s="1">
        <f>'[165]Prof (MC)'!$W$114</f>
        <v>1.203389484653993</v>
      </c>
      <c r="X166" s="1">
        <f>'[165]Prof (MC)'!$Z$114</f>
        <v>5.432569554141244</v>
      </c>
    </row>
    <row r="167" spans="1:24" x14ac:dyDescent="0.2">
      <c r="A167" t="s">
        <v>183</v>
      </c>
      <c r="B167" t="s">
        <v>435</v>
      </c>
      <c r="C167">
        <v>2000</v>
      </c>
      <c r="E167" s="1">
        <f>[166]All!B$9</f>
        <v>4.023683614868518</v>
      </c>
      <c r="F167" s="1">
        <f>[166]All!C$9</f>
        <v>3.0852836120615703</v>
      </c>
      <c r="G167" s="1">
        <f>[166]All!D$9</f>
        <v>3.8500441147466113</v>
      </c>
      <c r="H167" s="1">
        <f>[166]All!E$9</f>
        <v>2.2375493840391596</v>
      </c>
      <c r="I167" s="1">
        <f>[166]All!F$9</f>
        <v>3.2064510197815452</v>
      </c>
      <c r="J167" s="1">
        <f>[166]All!G$9</f>
        <v>2.5578270326004535</v>
      </c>
      <c r="K167" s="1">
        <f>[166]All!H$9</f>
        <v>5.1995374868137461</v>
      </c>
      <c r="L167" s="1">
        <f>[166]All!I$9</f>
        <v>3.5602060185417215</v>
      </c>
      <c r="M167" s="1">
        <f>[166]All!J$9</f>
        <v>3.528145031710511</v>
      </c>
      <c r="N167" s="1">
        <f>[166]All!K$9</f>
        <v>3.2987444658866107</v>
      </c>
      <c r="O167" s="1">
        <f>[166]All!L$9</f>
        <v>4.2066130828910513</v>
      </c>
      <c r="Q167" s="1">
        <f>[166]All!N$9</f>
        <v>3.530852365449813</v>
      </c>
      <c r="R167" s="1">
        <f>[166]All!O$9</f>
        <v>3.5230986239946818</v>
      </c>
      <c r="S167" s="1">
        <f>[166]All!P$9</f>
        <v>3.528145031710511</v>
      </c>
      <c r="U167" s="1">
        <f>'[166]Prof (MC)'!$B$4</f>
        <v>3.57519935574161</v>
      </c>
      <c r="V167" s="1">
        <f>'[166]Prof (MC)'!$C$4</f>
        <v>3.6044538779155402</v>
      </c>
      <c r="W167" s="1">
        <f>'[166]Prof (MC)'!$W$114</f>
        <v>1.8144980741593666</v>
      </c>
      <c r="X167" s="1">
        <f>'[166]Prof (MC)'!$Z$114</f>
        <v>5.7448745744616883</v>
      </c>
    </row>
    <row r="168" spans="1:24" x14ac:dyDescent="0.2">
      <c r="A168" t="s">
        <v>184</v>
      </c>
      <c r="B168" t="s">
        <v>435</v>
      </c>
      <c r="C168">
        <v>2000</v>
      </c>
      <c r="E168" s="1">
        <f>[167]All!B$9</f>
        <v>1.7344052084733828</v>
      </c>
      <c r="F168" s="1">
        <f>[167]All!C$9</f>
        <v>1.1648345448501716</v>
      </c>
      <c r="G168" s="1">
        <f>[167]All!D$9</f>
        <v>0.17256987378125047</v>
      </c>
      <c r="H168" s="1">
        <f>[167]All!E$9</f>
        <v>1.6050604644082862</v>
      </c>
      <c r="I168" s="1">
        <f>[167]All!F$9</f>
        <v>1.2495051383495246</v>
      </c>
      <c r="J168" s="1">
        <f>[167]All!G$9</f>
        <v>1.4275525620633649</v>
      </c>
      <c r="K168" s="1">
        <f>[167]All!H$9</f>
        <v>0.32195002120314198</v>
      </c>
      <c r="L168" s="1">
        <f>[167]All!I$9</f>
        <v>1.4800458168733657</v>
      </c>
      <c r="M168" s="1">
        <f>[167]All!J$9</f>
        <v>4.0583231884537287</v>
      </c>
      <c r="N168" s="1">
        <f>[167]All!K$9</f>
        <v>0.24680142924064652</v>
      </c>
      <c r="O168" s="1">
        <f>[167]All!L$9</f>
        <v>2.4214445425782709</v>
      </c>
      <c r="Q168" s="1">
        <f>[167]All!N$9</f>
        <v>1.3925449851055962</v>
      </c>
      <c r="R168" s="1">
        <f>[167]All!O$9</f>
        <v>1.4438629809341033</v>
      </c>
      <c r="S168" s="1">
        <f>[167]All!P$9</f>
        <v>1.4275525620633649</v>
      </c>
      <c r="U168" s="1">
        <f>'[167]Prof (MC)'!$B$4</f>
        <v>1.1858575002613398</v>
      </c>
      <c r="V168" s="1">
        <f>'[167]Prof (MC)'!$C$4</f>
        <v>1.4374994906465819</v>
      </c>
      <c r="W168" s="1">
        <f>'[167]Prof (MC)'!$W$82</f>
        <v>2.1269116437499347E-2</v>
      </c>
      <c r="X168" s="1">
        <f>'[167]Prof (MC)'!$Z$82</f>
        <v>5.262628816216032</v>
      </c>
    </row>
    <row r="169" spans="1:24" x14ac:dyDescent="0.2">
      <c r="A169" t="s">
        <v>185</v>
      </c>
      <c r="B169" t="s">
        <v>433</v>
      </c>
      <c r="C169">
        <v>2000</v>
      </c>
      <c r="E169" s="1">
        <f>[168]All!B$9</f>
        <v>1.9367354014576412</v>
      </c>
      <c r="F169" s="1">
        <f>[168]All!C$9</f>
        <v>2.8872383919685589</v>
      </c>
      <c r="G169" s="1">
        <f>[168]All!D$9</f>
        <v>1.9878685642070115</v>
      </c>
      <c r="H169" s="1">
        <f>[168]All!E$9</f>
        <v>2.7196017719582559</v>
      </c>
      <c r="I169" s="1">
        <f>[168]All!F$9</f>
        <v>1.7660475099710173</v>
      </c>
      <c r="J169" s="1">
        <f>[168]All!G$9</f>
        <v>2.4244782180936379</v>
      </c>
      <c r="K169" s="1">
        <f>[168]All!H$9</f>
        <v>2.1561327020685623</v>
      </c>
      <c r="L169" s="1">
        <f>[168]All!I$9</f>
        <v>2.886576831704788</v>
      </c>
      <c r="M169" s="1">
        <f>[168]All!J$9</f>
        <v>1.8753672690790071</v>
      </c>
      <c r="N169" s="1">
        <f>[168]All!K$9</f>
        <v>2.56286771110801</v>
      </c>
      <c r="O169" s="1">
        <f>[168]All!L$9</f>
        <v>2.0845228428497191</v>
      </c>
      <c r="Q169" s="1">
        <f>[168]All!N$9</f>
        <v>2.3493539933207295</v>
      </c>
      <c r="R169" s="1">
        <f>[168]All!O$9</f>
        <v>2.2988579285878368</v>
      </c>
      <c r="S169" s="1">
        <f>[168]All!P$9</f>
        <v>2.1561327020685623</v>
      </c>
      <c r="U169" s="1">
        <f>'[168]Prof (MC)'!$B$4</f>
        <v>2.2503929437958954</v>
      </c>
      <c r="V169" s="1">
        <f>'[168]Prof (MC)'!$C$4</f>
        <v>2.2595802083571277</v>
      </c>
      <c r="W169" s="1">
        <f>'[168]Prof (MC)'!$W$80</f>
        <v>1.2441749981611832</v>
      </c>
      <c r="X169" s="1">
        <f>'[168]Prof (MC)'!$Z$80</f>
        <v>3.2972085579167749</v>
      </c>
    </row>
    <row r="170" spans="1:24" x14ac:dyDescent="0.2">
      <c r="A170" t="s">
        <v>186</v>
      </c>
      <c r="B170" t="s">
        <v>435</v>
      </c>
      <c r="C170">
        <v>1200</v>
      </c>
      <c r="E170" s="1">
        <f>[169]All!B$9</f>
        <v>4.4794977227254655</v>
      </c>
      <c r="F170" s="1">
        <f>[169]All!C$9</f>
        <v>2.8071866737597562</v>
      </c>
      <c r="G170" s="1">
        <f>[169]All!D$9</f>
        <v>3.7249923050722304</v>
      </c>
      <c r="H170" s="1">
        <f>[169]All!E$9</f>
        <v>2.9916853372521772</v>
      </c>
      <c r="I170" s="1">
        <f>[169]All!F$9</f>
        <v>3.3015873668831257</v>
      </c>
      <c r="J170" s="1">
        <f>[169]All!G$9</f>
        <v>2.6431154127866332</v>
      </c>
      <c r="K170" s="1">
        <f>[169]All!H$9</f>
        <v>3.6504191969383815</v>
      </c>
      <c r="L170" s="1">
        <f>[169]All!I$9</f>
        <v>4.2820742659044999</v>
      </c>
      <c r="M170" s="1">
        <f>[169]All!J$9</f>
        <v>3.3903068211040139</v>
      </c>
      <c r="N170" s="1">
        <f>[169]All!K$9</f>
        <v>4.0983578503974094</v>
      </c>
      <c r="O170" s="1">
        <f>[169]All!L$9</f>
        <v>4.5479678367683869</v>
      </c>
      <c r="Q170" s="1">
        <f>[169]All!N$9</f>
        <v>3.6711590560714931</v>
      </c>
      <c r="R170" s="1">
        <f>[169]All!O$9</f>
        <v>3.6288355263265526</v>
      </c>
      <c r="S170" s="1">
        <f>[169]All!P$9</f>
        <v>3.6504191969383815</v>
      </c>
      <c r="U170" s="1">
        <f>'[169]Prof (MC)'!$B$4</f>
        <v>3.6053650732494367</v>
      </c>
      <c r="V170" s="1">
        <f>'[169]Prof (MC)'!$C$4</f>
        <v>3.7044095028033661</v>
      </c>
      <c r="W170" s="1">
        <f>'[169]Prof (MC)'!$W$94</f>
        <v>2.0212937370959576</v>
      </c>
      <c r="X170" s="1">
        <f>'[169]Prof (MC)'!$Z$94</f>
        <v>5.7625257658801088</v>
      </c>
    </row>
    <row r="171" spans="1:24" x14ac:dyDescent="0.2">
      <c r="A171" t="s">
        <v>187</v>
      </c>
      <c r="B171" t="s">
        <v>435</v>
      </c>
      <c r="C171">
        <v>1200</v>
      </c>
      <c r="E171" s="1">
        <f>[170]All!B$9</f>
        <v>1.3727719395694531</v>
      </c>
      <c r="F171" s="1">
        <f>[170]All!C$9</f>
        <v>1.2258876942129575</v>
      </c>
      <c r="G171" s="1">
        <f>[170]All!D$9</f>
        <v>0.82047155462861177</v>
      </c>
      <c r="H171" s="1">
        <f>[170]All!E$9</f>
        <v>0.2036080377017401</v>
      </c>
      <c r="I171" s="1">
        <f>[170]All!F$9</f>
        <v>0.82159262289516122</v>
      </c>
      <c r="J171" s="1">
        <f>[170]All!G$9</f>
        <v>1.8175722465072546</v>
      </c>
      <c r="K171" s="1">
        <f>[170]All!H$9</f>
        <v>1.1481449213782996E-2</v>
      </c>
      <c r="L171" s="1">
        <f>[170]All!I$9</f>
        <v>3.5998018102205109</v>
      </c>
      <c r="M171" s="1">
        <f>[170]All!J$9</f>
        <v>1.8167958540571241</v>
      </c>
      <c r="N171" s="1">
        <f>[170]All!K$9</f>
        <v>2.6281795006602766</v>
      </c>
      <c r="O171" s="1">
        <f>[170]All!L$9</f>
        <v>0.65880452538689016</v>
      </c>
      <c r="Q171" s="1">
        <f>[170]All!N$9</f>
        <v>1.6411517668096383</v>
      </c>
      <c r="R171" s="1">
        <f>[170]All!O$9</f>
        <v>1.3615424759139785</v>
      </c>
      <c r="S171" s="1">
        <f>[170]All!P$9</f>
        <v>1.2258876942129575</v>
      </c>
      <c r="U171" s="1">
        <f>'[170]Prof (MC)'!$B$4</f>
        <v>1.679722304806246</v>
      </c>
      <c r="V171" s="1">
        <f>'[170]Prof (MC)'!$C$4</f>
        <v>1.7036012617145133</v>
      </c>
      <c r="W171" s="1">
        <f>'[170]Prof (MC)'!$W$92</f>
        <v>7.6338646180990594E-2</v>
      </c>
      <c r="X171" s="1">
        <f>'[170]Prof (MC)'!$Z$92</f>
        <v>4.5302220270563787</v>
      </c>
    </row>
    <row r="172" spans="1:24" x14ac:dyDescent="0.2">
      <c r="A172" t="s">
        <v>188</v>
      </c>
      <c r="B172" t="s">
        <v>435</v>
      </c>
      <c r="C172">
        <v>1200</v>
      </c>
      <c r="E172" s="1">
        <f>[171]All!B$9</f>
        <v>2.4160598074342676</v>
      </c>
      <c r="F172" s="1">
        <f>[171]All!C$9</f>
        <v>2.2290105504916333</v>
      </c>
      <c r="G172" s="1">
        <f>[171]All!D$9</f>
        <v>1.4481144895351525</v>
      </c>
      <c r="H172" s="1">
        <f>[171]All!E$9</f>
        <v>2.3206431746174596</v>
      </c>
      <c r="I172" s="1">
        <f>[171]All!F$9</f>
        <v>3.3568905069418413</v>
      </c>
      <c r="J172" s="1">
        <f>[171]All!G$9</f>
        <v>2.0479017954496883</v>
      </c>
      <c r="K172" s="1">
        <f>[171]All!H$9</f>
        <v>2.2347298934371467</v>
      </c>
      <c r="L172" s="1">
        <f>[171]All!I$9</f>
        <v>1.5692579722311768</v>
      </c>
      <c r="M172" s="1">
        <f>[171]All!J$9</f>
        <v>1.962501587551466</v>
      </c>
      <c r="N172" s="1">
        <f>[171]All!K$9</f>
        <v>2.0937665664388843</v>
      </c>
      <c r="O172" s="1">
        <f>[171]All!L$9</f>
        <v>2.5758716658691023</v>
      </c>
      <c r="Q172" s="1">
        <f>[171]All!N$9</f>
        <v>2.1552732422993954</v>
      </c>
      <c r="R172" s="1">
        <f>[171]All!O$9</f>
        <v>2.2049770918179834</v>
      </c>
      <c r="S172" s="1">
        <f>[171]All!P$9</f>
        <v>2.2290105504916333</v>
      </c>
      <c r="U172" s="1">
        <f>'[171]Prof (MC)'!$B$4</f>
        <v>2.1860144609837926</v>
      </c>
      <c r="V172" s="1">
        <f>'[171]Prof (MC)'!$C$4</f>
        <v>2.1909312886268673</v>
      </c>
      <c r="W172" s="1">
        <f>'[171]Prof (MC)'!$W$94</f>
        <v>0.91625059386524688</v>
      </c>
      <c r="X172" s="1">
        <f>'[171]Prof (MC)'!$Z$94</f>
        <v>3.754428822674921</v>
      </c>
    </row>
    <row r="173" spans="1:24" x14ac:dyDescent="0.2">
      <c r="A173" t="s">
        <v>189</v>
      </c>
      <c r="B173" t="s">
        <v>433</v>
      </c>
      <c r="C173">
        <v>1200</v>
      </c>
      <c r="E173" s="1">
        <f>[172]All!B$9</f>
        <v>0.46907646316546736</v>
      </c>
      <c r="F173" s="1">
        <f>[172]All!C$9</f>
        <v>2.4308685036646476</v>
      </c>
      <c r="G173" s="1">
        <f>[172]All!D$9</f>
        <v>2.6193129603932634</v>
      </c>
      <c r="H173" s="1">
        <f>[172]All!E$9</f>
        <v>1.1061792440648082</v>
      </c>
      <c r="I173" s="1">
        <f>[172]All!F$9</f>
        <v>1.9793234706454432</v>
      </c>
      <c r="J173" s="1">
        <f>[172]All!G$9</f>
        <v>1.4599087047649406</v>
      </c>
      <c r="K173" s="1">
        <f>[172]All!H$9</f>
        <v>1.9909913702734012</v>
      </c>
      <c r="L173" s="1">
        <f>[172]All!I$9</f>
        <v>2.6682438463013893</v>
      </c>
      <c r="M173" s="1">
        <f>[172]All!J$9</f>
        <v>2.4903181413975219</v>
      </c>
      <c r="N173" s="1">
        <f>[172]All!K$9</f>
        <v>3.3523456E-2</v>
      </c>
      <c r="O173" s="1">
        <f>[172]All!L$9</f>
        <v>0.99245541421783989</v>
      </c>
      <c r="Q173" s="1">
        <f>[172]All!N$9</f>
        <v>1.7196820927478558</v>
      </c>
      <c r="R173" s="1">
        <f>[172]All!O$9</f>
        <v>1.6582001431717024</v>
      </c>
      <c r="S173" s="1">
        <f>[172]All!P$9</f>
        <v>1.9793234706454432</v>
      </c>
      <c r="U173" s="1">
        <f>'[172]Prof (MC)'!$B$4</f>
        <v>1.4841977647033129</v>
      </c>
      <c r="V173" s="1">
        <f>'[172]Prof (MC)'!$C$4</f>
        <v>1.6346297527132725</v>
      </c>
      <c r="W173" s="1">
        <f>'[172]Prof (MC)'!$W$86</f>
        <v>1.1282603062220783E-6</v>
      </c>
      <c r="X173" s="1">
        <f>'[172]Prof (MC)'!$Z$86</f>
        <v>4.6711962339633191</v>
      </c>
    </row>
    <row r="174" spans="1:24" x14ac:dyDescent="0.2">
      <c r="A174" t="s">
        <v>190</v>
      </c>
      <c r="B174" t="s">
        <v>434</v>
      </c>
      <c r="C174">
        <v>2300</v>
      </c>
      <c r="E174" s="1">
        <f>[173]All!B$9</f>
        <v>2.2087403591492016</v>
      </c>
      <c r="F174" s="1">
        <f>[173]All!C$9</f>
        <v>5.5978538942720233</v>
      </c>
      <c r="G174" s="1">
        <f>[173]All!D$9</f>
        <v>3.0744704696302452</v>
      </c>
      <c r="H174" s="1">
        <f>[173]All!E$9</f>
        <v>3.3149824195607978</v>
      </c>
      <c r="I174" s="1">
        <f>[173]All!F$9</f>
        <v>6.2541936847458821</v>
      </c>
      <c r="J174" s="1">
        <f>[173]All!G$9</f>
        <v>4.70162412752323</v>
      </c>
      <c r="K174" s="1">
        <f>[173]All!H$9</f>
        <v>3.5369162203676154</v>
      </c>
      <c r="L174" s="1">
        <f>[173]All!I$9</f>
        <v>2.93070292284344</v>
      </c>
      <c r="M174" s="1">
        <f>[173]All!J$9</f>
        <v>3.4578690207003957</v>
      </c>
      <c r="N174" s="1">
        <f>[173]All!K$9</f>
        <v>3.6472316887592515</v>
      </c>
      <c r="O174" s="1">
        <f>[173]All!L$9</f>
        <v>3.2594746084203714</v>
      </c>
      <c r="Q174" s="1">
        <f>[173]All!N$9</f>
        <v>3.929208332415465</v>
      </c>
      <c r="R174" s="1">
        <f>[173]All!O$9</f>
        <v>3.8167326741793137</v>
      </c>
      <c r="S174" s="1">
        <f>[173]All!P$9</f>
        <v>3.4578690207003957</v>
      </c>
      <c r="U174" s="1">
        <f>'[173]Prof (MC)'!$B$4</f>
        <v>3.6549555267686369</v>
      </c>
      <c r="V174" s="1">
        <f>'[173]Prof (MC)'!$C$4</f>
        <v>3.6370129867623131</v>
      </c>
      <c r="W174" s="1">
        <f>'[173]Prof (MC)'!$W$94</f>
        <v>0.68746968969627942</v>
      </c>
      <c r="X174" s="1">
        <f>'[173]Prof (MC)'!$Z$94</f>
        <v>6.2819313610017637</v>
      </c>
    </row>
    <row r="175" spans="1:24" x14ac:dyDescent="0.2">
      <c r="A175" t="s">
        <v>191</v>
      </c>
      <c r="B175" t="s">
        <v>434</v>
      </c>
      <c r="C175">
        <v>2300</v>
      </c>
      <c r="E175" s="1">
        <f>[174]All!B$9</f>
        <v>5.1408178794729595</v>
      </c>
      <c r="F175" s="1">
        <f>[174]All!C$9</f>
        <v>4.5713514141266511</v>
      </c>
      <c r="G175" s="1">
        <f>[174]All!D$9</f>
        <v>5.6059520529597622</v>
      </c>
      <c r="H175" s="1">
        <f>[174]All!E$9</f>
        <v>5.3002829656137065</v>
      </c>
      <c r="I175" s="1">
        <f>[174]All!F$9</f>
        <v>5.6570793929730598</v>
      </c>
      <c r="J175" s="1">
        <f>[174]All!G$9</f>
        <v>4.5934173676634913</v>
      </c>
      <c r="K175" s="1">
        <f>[174]All!H$9</f>
        <v>6.7208802405915282</v>
      </c>
      <c r="L175" s="1">
        <f>[174]All!I$9</f>
        <v>5.0643423508358012</v>
      </c>
      <c r="M175" s="1">
        <f>[174]All!J$9</f>
        <v>6.208291587496455</v>
      </c>
      <c r="N175" s="1">
        <f>[174]All!K$9</f>
        <v>5.4515006797394943</v>
      </c>
      <c r="O175" s="1">
        <f>[174]All!L$9</f>
        <v>5.7876785350927902</v>
      </c>
      <c r="Q175" s="1">
        <f>[174]All!N$9</f>
        <v>5.4794674293589587</v>
      </c>
      <c r="R175" s="1">
        <f>[174]All!O$9</f>
        <v>5.4637813151423362</v>
      </c>
      <c r="S175" s="1">
        <f>[174]All!P$9</f>
        <v>5.4515006797394943</v>
      </c>
      <c r="U175" s="1">
        <f>'[174]Prof (MC)'!$B$4</f>
        <v>5.4699316516482268</v>
      </c>
      <c r="V175" s="1">
        <f>'[174]Prof (MC)'!$C$4</f>
        <v>5.5233757572231923</v>
      </c>
      <c r="W175" s="1">
        <f>'[174]Prof (MC)'!$W$96</f>
        <v>4.2529188206539175</v>
      </c>
      <c r="X175" s="1">
        <f>'[174]Prof (MC)'!$Z$96</f>
        <v>6.966566066434555</v>
      </c>
    </row>
    <row r="176" spans="1:24" x14ac:dyDescent="0.2">
      <c r="A176" t="s">
        <v>192</v>
      </c>
      <c r="B176" t="s">
        <v>435</v>
      </c>
      <c r="C176">
        <v>2300</v>
      </c>
      <c r="E176" s="1">
        <f>[175]All!B$9</f>
        <v>4.6855845915474941</v>
      </c>
      <c r="F176" s="1">
        <f>[175]All!C$9</f>
        <v>4.9024629318693087</v>
      </c>
      <c r="G176" s="1">
        <f>[175]All!D$9</f>
        <v>6.3558907082851714</v>
      </c>
      <c r="H176" s="1">
        <f>[175]All!E$9</f>
        <v>4.3995063736744466</v>
      </c>
      <c r="I176" s="1">
        <f>[175]All!F$9</f>
        <v>3.8713654575206946</v>
      </c>
      <c r="J176" s="1">
        <f>[175]All!G$9</f>
        <v>3.7547946506507288</v>
      </c>
      <c r="K176" s="1">
        <f>[175]All!H$9</f>
        <v>5.4384873989074451</v>
      </c>
      <c r="L176" s="1">
        <f>[175]All!I$9</f>
        <v>3.2083705906822155</v>
      </c>
      <c r="M176" s="1">
        <f>[175]All!J$9</f>
        <v>5.5083128322138508</v>
      </c>
      <c r="N176" s="1">
        <f>[175]All!K$9</f>
        <v>4.4691712148321043</v>
      </c>
      <c r="O176" s="1">
        <f>[175]All!L$9</f>
        <v>6.0163725390576452</v>
      </c>
      <c r="Q176" s="1">
        <f>[175]All!N$9</f>
        <v>4.7840080471057469</v>
      </c>
      <c r="R176" s="1">
        <f>[175]All!O$9</f>
        <v>4.7827562990219183</v>
      </c>
      <c r="S176" s="1">
        <f>[175]All!P$9</f>
        <v>4.6855845915474941</v>
      </c>
      <c r="U176" s="1">
        <f>'[175]Prof (MC)'!$B$4</f>
        <v>4.7735666808436692</v>
      </c>
      <c r="V176" s="1">
        <f>'[175]Prof (MC)'!$C$4</f>
        <v>4.8660398556969096</v>
      </c>
      <c r="W176" s="1">
        <f>'[175]Prof (MC)'!$W$82</f>
        <v>2.7076521461772409</v>
      </c>
      <c r="X176" s="1">
        <f>'[175]Prof (MC)'!$Z$82</f>
        <v>7.4274093689549066</v>
      </c>
    </row>
    <row r="177" spans="1:24" x14ac:dyDescent="0.2">
      <c r="A177" t="s">
        <v>193</v>
      </c>
      <c r="B177" t="s">
        <v>435</v>
      </c>
      <c r="C177">
        <v>2300</v>
      </c>
      <c r="E177" s="1">
        <f>[176]All!B$9</f>
        <v>0</v>
      </c>
      <c r="F177" s="1">
        <f>[176]All!C$9</f>
        <v>4.2486988863472614</v>
      </c>
      <c r="G177" s="1">
        <f>[176]All!D$9</f>
        <v>5.6725894968210424</v>
      </c>
      <c r="H177" s="1">
        <f>[176]All!E$9</f>
        <v>5.0728701122411213</v>
      </c>
      <c r="I177" s="1">
        <f>[176]All!F$9</f>
        <v>5.1256922467754311</v>
      </c>
      <c r="J177" s="1">
        <f>[176]All!G$9</f>
        <v>2.906536319602953</v>
      </c>
      <c r="K177" s="1">
        <f>[176]All!H$9</f>
        <v>2.114997941120845</v>
      </c>
      <c r="L177" s="1">
        <f>[176]All!I$9</f>
        <v>5.0987303154393295</v>
      </c>
      <c r="M177" s="1">
        <f>[176]All!J$9</f>
        <v>0.91827967136518929</v>
      </c>
      <c r="N177" s="1">
        <f>[176]All!K$9</f>
        <v>5.5684552443185975</v>
      </c>
      <c r="O177" s="1">
        <f>[176]All!L$9</f>
        <v>5.5996705647176633E-2</v>
      </c>
      <c r="Q177" s="1">
        <f>[176]All!N$9</f>
        <v>4.6036906409299112</v>
      </c>
      <c r="R177" s="1">
        <f>[176]All!O$9</f>
        <v>3.6782846939678948</v>
      </c>
      <c r="S177" s="1">
        <f>[176]All!P$9</f>
        <v>4.6607844992941914</v>
      </c>
      <c r="U177" s="1">
        <f>'[176]Prof (MC)'!$B$4</f>
        <v>1.4863936259046122</v>
      </c>
      <c r="V177" s="1">
        <f>'[176]Prof (MC)'!$C$4</f>
        <v>2.6193098339302803</v>
      </c>
      <c r="W177" s="1">
        <f>'[176]Prof (MC)'!$W$100</f>
        <v>8.9682831725030939E-3</v>
      </c>
      <c r="X177" s="1">
        <f>'[176]Prof (MC)'!$Z$100</f>
        <v>9.6946113144772124</v>
      </c>
    </row>
    <row r="178" spans="1:24" x14ac:dyDescent="0.2">
      <c r="A178" t="s">
        <v>194</v>
      </c>
      <c r="B178" t="s">
        <v>435</v>
      </c>
      <c r="C178">
        <v>2300</v>
      </c>
      <c r="E178" s="1">
        <f>[177]All!B$9</f>
        <v>2.1045257039246796</v>
      </c>
      <c r="F178" s="1">
        <f>[177]All!C$9</f>
        <v>1.8374941158697971</v>
      </c>
      <c r="G178" s="1">
        <f>[177]All!D$9</f>
        <v>2.2734482280215338</v>
      </c>
      <c r="H178" s="1">
        <f>[177]All!E$9</f>
        <v>2.2210214315222006</v>
      </c>
      <c r="I178" s="1">
        <f>[177]All!F$9</f>
        <v>3.0368318051176466</v>
      </c>
      <c r="J178" s="1">
        <f>[177]All!G$9</f>
        <v>1.4544406153435008</v>
      </c>
      <c r="K178" s="1">
        <f>[177]All!H$9</f>
        <v>2.3116816680208796</v>
      </c>
      <c r="L178" s="1">
        <f>[177]All!I$9</f>
        <v>2.2986839402554464</v>
      </c>
      <c r="M178" s="1">
        <f>[177]All!J$9</f>
        <v>2.8377495022506385</v>
      </c>
      <c r="N178" s="1">
        <f>[177]All!K$9</f>
        <v>2.6500200507368814</v>
      </c>
      <c r="O178" s="1">
        <f>[177]All!L$9</f>
        <v>2.4527190186272607</v>
      </c>
      <c r="Q178" s="1">
        <f>[177]All!N$9</f>
        <v>2.3185790597278064</v>
      </c>
      <c r="R178" s="1">
        <f>[177]All!O$9</f>
        <v>2.3162378254264055</v>
      </c>
      <c r="S178" s="1">
        <f>[177]All!P$9</f>
        <v>2.2986839402554464</v>
      </c>
      <c r="U178" s="1">
        <f>'[177]Prof (MC)'!$B$4</f>
        <v>2.2166299772357547</v>
      </c>
      <c r="V178" s="1">
        <f>'[177]Prof (MC)'!$C$4</f>
        <v>2.2750333465829224</v>
      </c>
      <c r="W178" s="1">
        <f>'[177]Prof (MC)'!$W$70</f>
        <v>1.2337088587862173</v>
      </c>
      <c r="X178" s="1">
        <f>'[177]Prof (MC)'!$Z$70</f>
        <v>3.5882030159002625</v>
      </c>
    </row>
    <row r="179" spans="1:24" x14ac:dyDescent="0.2">
      <c r="A179" t="s">
        <v>195</v>
      </c>
      <c r="B179" t="s">
        <v>434</v>
      </c>
      <c r="C179">
        <v>2100</v>
      </c>
      <c r="E179" s="1">
        <f>[178]All!B$9</f>
        <v>5.2308354949993179</v>
      </c>
      <c r="F179" s="1">
        <f>[178]All!C$9</f>
        <v>4.0839545976996607</v>
      </c>
      <c r="G179" s="1">
        <f>[178]All!D$9</f>
        <v>4.4232442475482721</v>
      </c>
      <c r="H179" s="1">
        <f>[178]All!E$9</f>
        <v>4.7564934830893062</v>
      </c>
      <c r="I179" s="1">
        <f>[178]All!F$9</f>
        <v>4.3426906220109416</v>
      </c>
      <c r="J179" s="1">
        <f>[178]All!G$9</f>
        <v>4.3137743943897862</v>
      </c>
      <c r="K179" s="1">
        <f>[178]All!H$9</f>
        <v>4.4016201821983643</v>
      </c>
      <c r="L179" s="1">
        <f>[178]All!I$9</f>
        <v>5.5210285541702566</v>
      </c>
      <c r="M179" s="1">
        <f>[178]All!J$9</f>
        <v>5.3804608189005076</v>
      </c>
      <c r="N179" s="1">
        <f>[178]All!K$9</f>
        <v>4.4968229825955017</v>
      </c>
      <c r="O179" s="1">
        <f>[178]All!L$9</f>
        <v>4.1745445012082296</v>
      </c>
      <c r="Q179" s="1">
        <f>[178]All!N$9</f>
        <v>4.6687622455387272</v>
      </c>
      <c r="R179" s="1">
        <f>[178]All!O$9</f>
        <v>4.6477699889827404</v>
      </c>
      <c r="S179" s="1">
        <f>[178]All!P$9</f>
        <v>4.4232442475482721</v>
      </c>
      <c r="U179" s="1">
        <f>'[178]Prof (MC)'!$B$4</f>
        <v>4.6864711292708705</v>
      </c>
      <c r="V179" s="1">
        <f>'[178]Prof (MC)'!$C$4</f>
        <v>4.8214170221691504</v>
      </c>
      <c r="W179" s="1">
        <f>'[178]Prof (MC)'!$W$100</f>
        <v>3.6505489575775756</v>
      </c>
      <c r="X179" s="1">
        <f>'[178]Prof (MC)'!$Z$100</f>
        <v>6.5564623251860423</v>
      </c>
    </row>
    <row r="180" spans="1:24" x14ac:dyDescent="0.2">
      <c r="A180" t="s">
        <v>196</v>
      </c>
      <c r="B180" t="s">
        <v>435</v>
      </c>
      <c r="C180">
        <v>2100</v>
      </c>
      <c r="E180" s="1">
        <f>[179]All!B$9</f>
        <v>4.0623906304361714</v>
      </c>
      <c r="F180" s="1">
        <f>[179]All!C$9</f>
        <v>5.3450196699414008</v>
      </c>
      <c r="G180" s="1">
        <f>[179]All!D$9</f>
        <v>4.6084913607393787</v>
      </c>
      <c r="H180" s="1">
        <f>[179]All!E$9</f>
        <v>7.9430479266128833</v>
      </c>
      <c r="I180" s="1">
        <f>[179]All!F$9</f>
        <v>4.807027966637742</v>
      </c>
      <c r="J180" s="1">
        <f>[179]All!G$9</f>
        <v>5.5106631155374242</v>
      </c>
      <c r="K180" s="1">
        <f>[179]All!H$9</f>
        <v>4.9601277085117799</v>
      </c>
      <c r="L180" s="1">
        <f>[179]All!I$9</f>
        <v>4.7626724145226973</v>
      </c>
      <c r="M180" s="1">
        <f>[179]All!J$9</f>
        <v>5.9105371419483266</v>
      </c>
      <c r="N180" s="1">
        <f>[179]All!K$9</f>
        <v>5.0303306574195279</v>
      </c>
      <c r="O180" s="1">
        <f>[179]All!L$9</f>
        <v>4.3760412599259348</v>
      </c>
      <c r="Q180" s="1">
        <f>[179]All!N$9</f>
        <v>5.1139284910348382</v>
      </c>
      <c r="R180" s="1">
        <f>[179]All!O$9</f>
        <v>5.2105772592939328</v>
      </c>
      <c r="S180" s="1">
        <f>[179]All!P$9</f>
        <v>4.9601277085117799</v>
      </c>
      <c r="U180" s="1">
        <f>'[179]Prof (MC)'!$B$4</f>
        <v>5.1661145242774316</v>
      </c>
      <c r="V180" s="1">
        <f>'[179]Prof (MC)'!$C$4</f>
        <v>5.1120241214627056</v>
      </c>
      <c r="W180" s="1">
        <f>'[179]Prof (MC)'!$W$96</f>
        <v>3.6166312547717951</v>
      </c>
      <c r="X180" s="1">
        <f>'[179]Prof (MC)'!$Z$96</f>
        <v>6.8506147280610206</v>
      </c>
    </row>
    <row r="181" spans="1:24" x14ac:dyDescent="0.2">
      <c r="A181" t="s">
        <v>197</v>
      </c>
      <c r="B181" t="s">
        <v>435</v>
      </c>
      <c r="C181">
        <v>2100</v>
      </c>
      <c r="E181" s="1">
        <f>[180]All!B$9</f>
        <v>3.1756454311023958</v>
      </c>
      <c r="F181" s="1">
        <f>[180]All!C$9</f>
        <v>2.251880419637275</v>
      </c>
      <c r="G181" s="1">
        <f>[180]All!D$9</f>
        <v>2.6585920403832595</v>
      </c>
      <c r="H181" s="1">
        <f>[180]All!E$9</f>
        <v>2.1460826420158807</v>
      </c>
      <c r="I181" s="1">
        <f>[180]All!F$9</f>
        <v>3.0840450385039508</v>
      </c>
      <c r="J181" s="1">
        <f>[180]All!G$9</f>
        <v>2.829283103775539</v>
      </c>
      <c r="K181" s="1">
        <f>[180]All!H$9</f>
        <v>2.4129513828033762</v>
      </c>
      <c r="L181" s="1">
        <f>[180]All!I$9</f>
        <v>2.5351169835304899</v>
      </c>
      <c r="M181" s="1">
        <f>[180]All!J$9</f>
        <v>2.4639080769332615</v>
      </c>
      <c r="N181" s="1">
        <f>[180]All!K$9</f>
        <v>2.4824921215319717</v>
      </c>
      <c r="O181" s="1">
        <f>[180]All!L$9</f>
        <v>3.0684340014444178</v>
      </c>
      <c r="Q181" s="1">
        <f>[180]All!N$9</f>
        <v>2.6477386218407624</v>
      </c>
      <c r="R181" s="1">
        <f>[180]All!O$9</f>
        <v>2.6462210219692563</v>
      </c>
      <c r="S181" s="1">
        <f>[180]All!P$9</f>
        <v>2.5351169835304899</v>
      </c>
      <c r="U181" s="1">
        <f>'[180]Prof (MC)'!$B$4</f>
        <v>2.6432273355462099</v>
      </c>
      <c r="V181" s="1">
        <f>'[180]Prof (MC)'!$C$4</f>
        <v>2.6347152472503019</v>
      </c>
      <c r="W181" s="1">
        <f>'[180]Prof (MC)'!$W$84</f>
        <v>1.8716991294283079</v>
      </c>
      <c r="X181" s="1">
        <f>'[180]Prof (MC)'!$Z$84</f>
        <v>3.4696411548766384</v>
      </c>
    </row>
    <row r="182" spans="1:24" x14ac:dyDescent="0.2">
      <c r="A182" t="s">
        <v>198</v>
      </c>
      <c r="B182" t="s">
        <v>435</v>
      </c>
      <c r="C182">
        <v>2100</v>
      </c>
      <c r="E182" s="1">
        <f>[181]All!B$9</f>
        <v>1.5111581814802808</v>
      </c>
      <c r="F182" s="1">
        <f>[181]All!C$9</f>
        <v>1.3925894843109794</v>
      </c>
      <c r="G182" s="1">
        <f>[181]All!D$9</f>
        <v>1.3223963385763982</v>
      </c>
      <c r="H182" s="1">
        <f>[181]All!E$9</f>
        <v>1.327375637211138</v>
      </c>
      <c r="I182" s="1">
        <f>[181]All!F$9</f>
        <v>1.9603278094688379</v>
      </c>
      <c r="J182" s="1">
        <f>[181]All!G$9</f>
        <v>1.6156642989267069</v>
      </c>
      <c r="K182" s="1">
        <f>[181]All!H$9</f>
        <v>1.2881873295287949</v>
      </c>
      <c r="L182" s="1">
        <f>[181]All!I$9</f>
        <v>0.8877897952216588</v>
      </c>
      <c r="M182" s="1">
        <f>[181]All!J$9</f>
        <v>1.0623072778659428</v>
      </c>
      <c r="N182" s="1">
        <f>[181]All!K$9</f>
        <v>1.2253614716762844</v>
      </c>
      <c r="O182" s="1">
        <f>[181]All!L$9</f>
        <v>0.8089576552304294</v>
      </c>
      <c r="Q182" s="1">
        <f>[181]All!N$9</f>
        <v>1.4146576652086269</v>
      </c>
      <c r="R182" s="1">
        <f>[181]All!O$9</f>
        <v>1.3092832072270411</v>
      </c>
      <c r="S182" s="1">
        <f>[181]All!P$9</f>
        <v>1.3223963385763982</v>
      </c>
      <c r="U182" s="1">
        <f>'[181]Prof (MC)'!$B$4</f>
        <v>1.2359846326836277</v>
      </c>
      <c r="V182" s="1">
        <f>'[181]Prof (MC)'!$C$4</f>
        <v>1.1851125256239667</v>
      </c>
      <c r="W182" s="1">
        <f>'[181]Prof (MC)'!$W$82</f>
        <v>0.34299492717044067</v>
      </c>
      <c r="X182" s="1">
        <f>'[181]Prof (MC)'!$Z$82</f>
        <v>2.1027557932812844</v>
      </c>
    </row>
    <row r="183" spans="1:24" x14ac:dyDescent="0.2">
      <c r="A183" t="s">
        <v>199</v>
      </c>
      <c r="B183" t="s">
        <v>434</v>
      </c>
      <c r="C183">
        <v>1900</v>
      </c>
      <c r="E183" s="1">
        <f>[182]All!B$9</f>
        <v>5.9096731793033115</v>
      </c>
      <c r="F183" s="1">
        <f>[182]All!C$9</f>
        <v>4.9191015271702589</v>
      </c>
      <c r="G183" s="1">
        <f>[182]All!D$9</f>
        <v>5.4119355942773515</v>
      </c>
      <c r="H183" s="1">
        <f>[182]All!E$9</f>
        <v>5.4048018548996932</v>
      </c>
      <c r="I183" s="1">
        <f>[182]All!F$9</f>
        <v>5.5855069488275557</v>
      </c>
      <c r="J183" s="1">
        <f>[182]All!G$9</f>
        <v>5.7139933945650876</v>
      </c>
      <c r="K183" s="1">
        <f>[182]All!H$9</f>
        <v>5.5246735710784041</v>
      </c>
      <c r="L183" s="1">
        <f>[182]All!I$9</f>
        <v>5.5987471803755255</v>
      </c>
      <c r="M183" s="1">
        <f>[182]All!J$9</f>
        <v>5.3251782761684954</v>
      </c>
      <c r="N183" s="1">
        <f>[182]All!K$9</f>
        <v>5.6453279306090858</v>
      </c>
      <c r="O183" s="1">
        <f>[182]All!L$9</f>
        <v>5.3716003176414695</v>
      </c>
      <c r="Q183" s="1">
        <f>[182]All!N$9</f>
        <v>5.505872706437362</v>
      </c>
      <c r="R183" s="1">
        <f>[182]All!O$9</f>
        <v>5.491867252265112</v>
      </c>
      <c r="S183" s="1">
        <f>[182]All!P$9</f>
        <v>5.5246735710784041</v>
      </c>
      <c r="U183" s="1">
        <f>'[182]Prof (MC)'!$B$4</f>
        <v>5.4842984450380428</v>
      </c>
      <c r="V183" s="1">
        <f>'[182]Prof (MC)'!$C$4</f>
        <v>5.4880215737693296</v>
      </c>
      <c r="W183" s="1">
        <f>'[182]Prof (MC)'!$W$102</f>
        <v>4.5317924099903877</v>
      </c>
      <c r="X183" s="1">
        <f>'[182]Prof (MC)'!$Z$102</f>
        <v>6.4411852567830605</v>
      </c>
    </row>
    <row r="184" spans="1:24" x14ac:dyDescent="0.2">
      <c r="A184" t="s">
        <v>200</v>
      </c>
      <c r="B184" t="s">
        <v>434</v>
      </c>
      <c r="C184">
        <v>1900</v>
      </c>
      <c r="E184" s="1">
        <f>[183]All!B$9</f>
        <v>2.5891048218428647</v>
      </c>
      <c r="F184" s="1">
        <f>[183]All!C$9</f>
        <v>4.0566469272109353</v>
      </c>
      <c r="G184" s="1">
        <f>[183]All!D$9</f>
        <v>3.5393788135176631</v>
      </c>
      <c r="H184" s="1">
        <f>[183]All!E$9</f>
        <v>4.0396854552571186</v>
      </c>
      <c r="I184" s="1">
        <f>[183]All!F$9</f>
        <v>3.8024663367248905</v>
      </c>
      <c r="J184" s="1">
        <f>[183]All!G$9</f>
        <v>3.2527792475320987</v>
      </c>
      <c r="K184" s="1">
        <f>[183]All!H$9</f>
        <v>2.057399751389589</v>
      </c>
      <c r="L184" s="1">
        <f>[183]All!I$9</f>
        <v>3.7092032059733149</v>
      </c>
      <c r="M184" s="1">
        <f>[183]All!J$9</f>
        <v>3.5321604975834413</v>
      </c>
      <c r="N184" s="1">
        <f>[183]All!K$9</f>
        <v>3.3759749798978551</v>
      </c>
      <c r="O184" s="1">
        <f>[183]All!L$9</f>
        <v>3.6857448527278489</v>
      </c>
      <c r="Q184" s="1">
        <f>[183]All!N$9</f>
        <v>3.4458648481555141</v>
      </c>
      <c r="R184" s="1">
        <f>[183]All!O$9</f>
        <v>3.4218677172416019</v>
      </c>
      <c r="S184" s="1">
        <f>[183]All!P$9</f>
        <v>3.5393788135176631</v>
      </c>
      <c r="U184" s="1">
        <f>'[183]Prof (MC)'!$B$4</f>
        <v>3.3864468354208439</v>
      </c>
      <c r="V184" s="1">
        <f>'[183]Prof (MC)'!$C$4</f>
        <v>3.3445109496908221</v>
      </c>
      <c r="W184" s="1">
        <f>'[183]Prof (MC)'!$W$104</f>
        <v>2.2166380666560861</v>
      </c>
      <c r="X184" s="1">
        <f>'[183]Prof (MC)'!$Z$104</f>
        <v>4.5520385885944759</v>
      </c>
    </row>
    <row r="185" spans="1:24" x14ac:dyDescent="0.2">
      <c r="A185" t="s">
        <v>201</v>
      </c>
      <c r="B185" t="s">
        <v>435</v>
      </c>
      <c r="C185">
        <v>1900</v>
      </c>
      <c r="E185" s="1">
        <f>[184]All!B$9</f>
        <v>3.1811851406338807</v>
      </c>
      <c r="F185" s="1">
        <f>[184]All!C$9</f>
        <v>2.8569740752428712</v>
      </c>
      <c r="G185" s="1">
        <f>[184]All!D$9</f>
        <v>2.9162307579007503</v>
      </c>
      <c r="H185" s="1">
        <f>[184]All!E$9</f>
        <v>2.7974816901653798</v>
      </c>
      <c r="I185" s="1">
        <f>[184]All!F$9</f>
        <v>2.7254797140626059</v>
      </c>
      <c r="J185" s="1">
        <f>[184]All!G$9</f>
        <v>3.1095326519652109</v>
      </c>
      <c r="K185" s="1">
        <f>[184]All!H$9</f>
        <v>3.1469070186281427</v>
      </c>
      <c r="L185" s="1">
        <f>[184]All!I$9</f>
        <v>3.0604067490445668</v>
      </c>
      <c r="M185" s="1">
        <f>[184]All!J$9</f>
        <v>3.4171362267029011</v>
      </c>
      <c r="N185" s="1">
        <f>[184]All!K$9</f>
        <v>2.9269416527878254</v>
      </c>
      <c r="O185" s="1">
        <f>[184]All!L$9</f>
        <v>2.3458635353131143</v>
      </c>
      <c r="Q185" s="1">
        <f>[184]All!N$9</f>
        <v>2.9777428959635448</v>
      </c>
      <c r="R185" s="1">
        <f>[184]All!O$9</f>
        <v>2.9531035647679316</v>
      </c>
      <c r="S185" s="1">
        <f>[184]All!P$9</f>
        <v>2.9269416527878254</v>
      </c>
      <c r="U185" s="1">
        <f>'[184]Prof (MC)'!$B$4</f>
        <v>2.9612576874274792</v>
      </c>
      <c r="V185" s="1">
        <f>'[184]Prof (MC)'!$C$4</f>
        <v>2.9606165154458726</v>
      </c>
      <c r="W185" s="1">
        <f>'[184]Prof (MC)'!$W$102</f>
        <v>2.3720507356958729</v>
      </c>
      <c r="X185" s="1">
        <f>'[184]Prof (MC)'!$Z$102</f>
        <v>3.4601382546978789</v>
      </c>
    </row>
    <row r="186" spans="1:24" x14ac:dyDescent="0.2">
      <c r="A186" t="s">
        <v>202</v>
      </c>
      <c r="B186" t="s">
        <v>435</v>
      </c>
      <c r="C186">
        <v>1900</v>
      </c>
      <c r="E186" s="1">
        <f>[185]All!B$9</f>
        <v>1.7853810009956885</v>
      </c>
      <c r="F186" s="1">
        <f>[185]All!C$9</f>
        <v>2.0245548717142947</v>
      </c>
      <c r="G186" s="1">
        <f>[185]All!D$9</f>
        <v>2.2807067167678072</v>
      </c>
      <c r="H186" s="1">
        <f>[185]All!E$9</f>
        <v>2.0539403073785945</v>
      </c>
      <c r="I186" s="1">
        <f>[185]All!F$9</f>
        <v>2.4977009617286945</v>
      </c>
      <c r="J186" s="1">
        <f>[185]All!G$9</f>
        <v>1.6346796515433459</v>
      </c>
      <c r="K186" s="1">
        <f>[185]All!H$9</f>
        <v>2.0221132003769311</v>
      </c>
      <c r="L186" s="1">
        <f>[185]All!I$9</f>
        <v>2.3947104819212948</v>
      </c>
      <c r="M186" s="1">
        <f>[185]All!J$9</f>
        <v>1.6880894844024104</v>
      </c>
      <c r="N186" s="1">
        <f>[185]All!K$9</f>
        <v>1.7377295093709642</v>
      </c>
      <c r="O186" s="1">
        <f>[185]All!L$9</f>
        <v>1.8071714005734516</v>
      </c>
      <c r="Q186" s="1">
        <f>[185]All!N$9</f>
        <v>2.0115302931093821</v>
      </c>
      <c r="R186" s="1">
        <f>[185]All!O$9</f>
        <v>1.9933434169794071</v>
      </c>
      <c r="S186" s="1">
        <f>[185]All!P$9</f>
        <v>2.0221132003769311</v>
      </c>
      <c r="U186" s="1">
        <f>'[185]Prof (MC)'!$B$4</f>
        <v>1.9534951132615652</v>
      </c>
      <c r="V186" s="1">
        <f>'[185]Prof (MC)'!$C$4</f>
        <v>1.9765603269407948</v>
      </c>
      <c r="W186" s="1">
        <f>'[185]Prof (MC)'!$W$86</f>
        <v>1.3898851291359891</v>
      </c>
      <c r="X186" s="1">
        <f>'[185]Prof (MC)'!$Z$86</f>
        <v>2.6824855530832594</v>
      </c>
    </row>
    <row r="187" spans="1:24" x14ac:dyDescent="0.2">
      <c r="A187" t="s">
        <v>203</v>
      </c>
      <c r="B187" t="s">
        <v>433</v>
      </c>
      <c r="C187">
        <v>1900</v>
      </c>
      <c r="E187" s="1">
        <f>[186]All!B$9</f>
        <v>0.84040137094735223</v>
      </c>
      <c r="F187" s="1">
        <f>[186]All!C$9</f>
        <v>3.6573685115595719E-3</v>
      </c>
      <c r="G187" s="1">
        <f>[186]All!D$9</f>
        <v>0.5817956959820203</v>
      </c>
      <c r="H187" s="1">
        <f>[186]All!E$9</f>
        <v>1.4290071973701899</v>
      </c>
      <c r="I187" s="1">
        <f>[186]All!F$9</f>
        <v>0.19734310881469319</v>
      </c>
      <c r="J187" s="1">
        <f>[186]All!G$9</f>
        <v>0.22248702230389281</v>
      </c>
      <c r="K187" s="1">
        <f>[186]All!H$9</f>
        <v>0.93709020324604131</v>
      </c>
      <c r="L187" s="1">
        <f>[186]All!I$9</f>
        <v>0.26891757400461641</v>
      </c>
      <c r="M187" s="1">
        <f>[186]All!J$9</f>
        <v>0.16199891387736798</v>
      </c>
      <c r="N187" s="1">
        <f>[186]All!K$9</f>
        <v>0.18233808196164766</v>
      </c>
      <c r="O187" s="1">
        <f>[186]All!L$9</f>
        <v>0.183504722103488</v>
      </c>
      <c r="Q187" s="1">
        <f>[186]All!N$9</f>
        <v>0.72063752760594557</v>
      </c>
      <c r="R187" s="1">
        <f>[186]All!O$9</f>
        <v>0.45532193264753362</v>
      </c>
      <c r="S187" s="1">
        <f>[186]All!P$9</f>
        <v>0.22248702230389281</v>
      </c>
      <c r="U187" s="1">
        <f>'[186]Prof (MC)'!$B$4</f>
        <v>0.42721140822554582</v>
      </c>
      <c r="V187" s="1">
        <f>'[186]Prof (MC)'!$C$4</f>
        <v>0.54450212404552945</v>
      </c>
      <c r="W187" s="1">
        <f>'[186]Prof (MC)'!$W$84</f>
        <v>4.9150042638235622E-2</v>
      </c>
      <c r="X187" s="1">
        <f>'[186]Prof (MC)'!$Z$84</f>
        <v>1.4102863742890095</v>
      </c>
    </row>
    <row r="188" spans="1:24" x14ac:dyDescent="0.2">
      <c r="A188" t="s">
        <v>204</v>
      </c>
      <c r="B188" t="s">
        <v>434</v>
      </c>
      <c r="C188">
        <v>1700</v>
      </c>
      <c r="E188" s="1">
        <f>[187]All!B$9</f>
        <v>4.2928064487686557</v>
      </c>
      <c r="F188" s="1">
        <f>[187]All!C$9</f>
        <v>0.29854648556280283</v>
      </c>
      <c r="G188" s="1">
        <f>[187]All!D$9</f>
        <v>1.1176863192868924</v>
      </c>
      <c r="H188" s="1">
        <f>[187]All!E$9</f>
        <v>0.37079190191030559</v>
      </c>
      <c r="I188" s="1">
        <f>[187]All!F$9</f>
        <v>1.2111921982738074</v>
      </c>
      <c r="J188" s="1">
        <f>[187]All!G$9</f>
        <v>2.0961880017718846</v>
      </c>
      <c r="K188" s="1">
        <f>[187]All!H$9</f>
        <v>4.1811605496492081</v>
      </c>
      <c r="L188" s="1">
        <f>[187]All!I$9</f>
        <v>1.2814352362225119</v>
      </c>
      <c r="M188" s="1">
        <f>[187]All!J$9</f>
        <v>0.2687553329037688</v>
      </c>
      <c r="N188" s="1">
        <f>[187]All!K$9</f>
        <v>0.27061078</v>
      </c>
      <c r="O188" s="1">
        <f>[187]All!L$9</f>
        <v>0.98924656974635572</v>
      </c>
      <c r="Q188" s="1">
        <f>[187]All!N$9</f>
        <v>1.6098190443243943</v>
      </c>
      <c r="R188" s="1">
        <f>[187]All!O$9</f>
        <v>1.4889472567360178</v>
      </c>
      <c r="S188" s="1">
        <f>[187]All!P$9</f>
        <v>1.1176863192868924</v>
      </c>
      <c r="U188" s="1">
        <f>'[187]Prof (MC)'!$B$4</f>
        <v>1.4948727442467926</v>
      </c>
      <c r="V188" s="1">
        <f>'[187]Prof (MC)'!$C$4</f>
        <v>2.4250234560989377</v>
      </c>
      <c r="W188" s="1">
        <f>'[187]Prof (MC)'!$W$84</f>
        <v>4.6535973764365761E-3</v>
      </c>
      <c r="X188" s="1">
        <f>'[187]Prof (MC)'!$Z$84</f>
        <v>15.381410165922002</v>
      </c>
    </row>
    <row r="189" spans="1:24" x14ac:dyDescent="0.2">
      <c r="A189" t="s">
        <v>205</v>
      </c>
      <c r="B189" t="s">
        <v>434</v>
      </c>
      <c r="C189">
        <v>1700</v>
      </c>
      <c r="E189" s="1">
        <f>[188]All!B$9</f>
        <v>2.5386137625197471</v>
      </c>
      <c r="F189" s="1">
        <f>[188]All!C$9</f>
        <v>1.9960678326833305</v>
      </c>
      <c r="G189" s="1">
        <f>[188]All!D$9</f>
        <v>2.3643791467055233</v>
      </c>
      <c r="H189" s="1">
        <f>[188]All!E$9</f>
        <v>3.0371514412171008</v>
      </c>
      <c r="I189" s="1">
        <f>[188]All!F$9</f>
        <v>2.3258484778432043</v>
      </c>
      <c r="J189" s="1">
        <f>[188]All!G$9</f>
        <v>2.2443447817017099</v>
      </c>
      <c r="K189" s="1">
        <f>[188]All!H$9</f>
        <v>4.1522661827277298</v>
      </c>
      <c r="L189" s="1">
        <f>[188]All!I$9</f>
        <v>3.091019480865655</v>
      </c>
      <c r="M189" s="1">
        <f>[188]All!J$9</f>
        <v>2.5540491710216289</v>
      </c>
      <c r="N189" s="1">
        <f>[188]All!K$9</f>
        <v>1.444723608309026</v>
      </c>
      <c r="O189" s="1">
        <f>[188]All!L$9</f>
        <v>1.8403901983787805</v>
      </c>
      <c r="Q189" s="1">
        <f>[188]All!N$9</f>
        <v>2.4613024986262007</v>
      </c>
      <c r="R189" s="1">
        <f>[188]All!O$9</f>
        <v>2.5080776439975847</v>
      </c>
      <c r="S189" s="1">
        <f>[188]All!P$9</f>
        <v>2.3643791467055233</v>
      </c>
      <c r="U189" s="1">
        <f>'[188]Prof (MC)'!$B$4</f>
        <v>2.4877080061892469</v>
      </c>
      <c r="V189" s="1">
        <f>'[188]Prof (MC)'!$C$4</f>
        <v>2.4566899975247067</v>
      </c>
      <c r="W189" s="1">
        <f>'[188]Prof (MC)'!$W$72</f>
        <v>0.35629255441929614</v>
      </c>
      <c r="X189" s="1">
        <f>'[188]Prof (MC)'!$Z$72</f>
        <v>4.0451911624978942</v>
      </c>
    </row>
    <row r="190" spans="1:24" x14ac:dyDescent="0.2">
      <c r="A190" t="s">
        <v>206</v>
      </c>
      <c r="B190" t="s">
        <v>435</v>
      </c>
      <c r="C190">
        <v>1700</v>
      </c>
      <c r="E190" s="1">
        <f>[189]All!B$9</f>
        <v>3.6431882296417601</v>
      </c>
      <c r="F190" s="1">
        <f>[189]All!C$9</f>
        <v>3.5439169057321811</v>
      </c>
      <c r="G190" s="1">
        <f>[189]All!D$9</f>
        <v>3.6135344965683149</v>
      </c>
      <c r="H190" s="1">
        <f>[189]All!E$9</f>
        <v>3.9340692711873904</v>
      </c>
      <c r="I190" s="1">
        <f>[189]All!F$9</f>
        <v>4.0085586024778586</v>
      </c>
      <c r="J190" s="1">
        <f>[189]All!G$9</f>
        <v>3.4089193161945466</v>
      </c>
      <c r="K190" s="1">
        <f>[189]All!H$9</f>
        <v>4.3951337232800345</v>
      </c>
      <c r="L190" s="1">
        <f>[189]All!I$9</f>
        <v>3.7339194070266926</v>
      </c>
      <c r="M190" s="1">
        <f>[189]All!J$9</f>
        <v>3.694390407481531</v>
      </c>
      <c r="N190" s="1">
        <f>[189]All!K$9</f>
        <v>3.2444692188815529</v>
      </c>
      <c r="O190" s="1">
        <f>[189]All!L$9</f>
        <v>3.5350329922291026</v>
      </c>
      <c r="Q190" s="1">
        <f>[189]All!N$9</f>
        <v>3.7649382182149598</v>
      </c>
      <c r="R190" s="1">
        <f>[189]All!O$9</f>
        <v>3.7050120518819067</v>
      </c>
      <c r="S190" s="1">
        <f>[189]All!P$9</f>
        <v>3.6431882296417601</v>
      </c>
      <c r="U190" s="1">
        <f>'[189]Prof (MC)'!$B$4</f>
        <v>3.7070640560216663</v>
      </c>
      <c r="V190" s="1">
        <f>'[189]Prof (MC)'!$C$4</f>
        <v>3.7197637526430487</v>
      </c>
      <c r="W190" s="1">
        <f>'[189]Prof (MC)'!$W$114</f>
        <v>2.7565085347254716</v>
      </c>
      <c r="X190" s="1">
        <f>'[189]Prof (MC)'!$Z$114</f>
        <v>4.5706137388051511</v>
      </c>
    </row>
    <row r="191" spans="1:24" x14ac:dyDescent="0.2">
      <c r="A191" t="s">
        <v>207</v>
      </c>
      <c r="B191" t="s">
        <v>435</v>
      </c>
      <c r="C191">
        <v>1700</v>
      </c>
      <c r="E191" s="1">
        <f>[190]All!B$9</f>
        <v>2.0055386989450676</v>
      </c>
      <c r="F191" s="1">
        <f>[190]All!C$9</f>
        <v>5.2786271752868652</v>
      </c>
      <c r="G191" s="1">
        <f>[190]All!D$9</f>
        <v>4.5677599257602228</v>
      </c>
      <c r="H191" s="1">
        <f>[190]All!E$9</f>
        <v>1.8804785692273238</v>
      </c>
      <c r="I191" s="1">
        <f>[190]All!F$9</f>
        <v>2.7499842922615354</v>
      </c>
      <c r="J191" s="1">
        <f>[190]All!G$9</f>
        <v>1.2811662909694659</v>
      </c>
      <c r="K191" s="1">
        <f>[190]All!H$9</f>
        <v>1.4240849236602313</v>
      </c>
      <c r="L191" s="1">
        <f>[190]All!I$9</f>
        <v>4.3497841039343468E-2</v>
      </c>
      <c r="M191" s="1">
        <f>[190]All!J$9</f>
        <v>1.9842140172576772</v>
      </c>
      <c r="N191" s="1">
        <f>[190]All!K$9</f>
        <v>0.31462373276582589</v>
      </c>
      <c r="O191" s="1">
        <f>[190]All!L$9</f>
        <v>2.8559939529376583</v>
      </c>
      <c r="Q191" s="1">
        <f>[190]All!N$9</f>
        <v>1.65218385499934</v>
      </c>
      <c r="R191" s="1">
        <f>[190]All!O$9</f>
        <v>2.2169063109192013</v>
      </c>
      <c r="S191" s="1">
        <f>[190]All!P$9</f>
        <v>1.9842140172576772</v>
      </c>
      <c r="U191" s="1">
        <f>'[190]Prof (MC)'!$B$4</f>
        <v>1.7212543793463044</v>
      </c>
      <c r="V191" s="1">
        <f>'[190]Prof (MC)'!$C$4</f>
        <v>2.5282898328426917</v>
      </c>
      <c r="W191" s="1">
        <f>'[190]Prof (MC)'!$W$88</f>
        <v>0.33646764103553506</v>
      </c>
      <c r="X191" s="1">
        <f>'[190]Prof (MC)'!$Z$88</f>
        <v>8.0457243489168775</v>
      </c>
    </row>
    <row r="192" spans="1:24" x14ac:dyDescent="0.2">
      <c r="A192" t="s">
        <v>208</v>
      </c>
      <c r="B192" t="s">
        <v>433</v>
      </c>
      <c r="C192">
        <v>1700</v>
      </c>
      <c r="E192" s="1">
        <f>[191]All!B$9</f>
        <v>1.476126789776538</v>
      </c>
      <c r="F192" s="1">
        <f>[191]All!C$9</f>
        <v>1.9315588829159818</v>
      </c>
      <c r="G192" s="1">
        <f>[191]All!D$9</f>
        <v>1.2424280150771041</v>
      </c>
      <c r="H192" s="1">
        <f>[191]All!E$9</f>
        <v>1.7768240622613787</v>
      </c>
      <c r="I192" s="1">
        <f>[191]All!F$9</f>
        <v>2.1501145650781983</v>
      </c>
      <c r="J192" s="1">
        <f>[191]All!G$9</f>
        <v>1.1392184273157047</v>
      </c>
      <c r="K192" s="1">
        <f>[191]All!H$9</f>
        <v>1.5886411959542661</v>
      </c>
      <c r="L192" s="1">
        <f>[191]All!I$9</f>
        <v>1.3907261871949959</v>
      </c>
      <c r="M192" s="1">
        <f>[191]All!J$9</f>
        <v>1.0560470021380064</v>
      </c>
      <c r="N192" s="1">
        <f>[191]All!K$9</f>
        <v>1.1267150186825237</v>
      </c>
      <c r="O192" s="1">
        <f>[191]All!L$9</f>
        <v>1.5557284588739171</v>
      </c>
      <c r="Q192" s="1">
        <f>[191]All!N$9</f>
        <v>1.4615742276468118</v>
      </c>
      <c r="R192" s="1">
        <f>[191]All!O$9</f>
        <v>1.4940116913880559</v>
      </c>
      <c r="S192" s="1">
        <f>[191]All!P$9</f>
        <v>1.476126789776538</v>
      </c>
      <c r="U192" s="1">
        <f>'[191]Prof (MC)'!$B$4</f>
        <v>1.4196391962700801</v>
      </c>
      <c r="V192" s="1">
        <f>'[191]Prof (MC)'!$C$4</f>
        <v>1.4246247981419651</v>
      </c>
      <c r="W192" s="1">
        <f>'[191]Prof (MC)'!$W$80</f>
        <v>0.28245906925705705</v>
      </c>
      <c r="X192" s="1">
        <f>'[191]Prof (MC)'!$Z$80</f>
        <v>2.0819159822808224</v>
      </c>
    </row>
    <row r="193" spans="1:24" x14ac:dyDescent="0.2">
      <c r="A193" t="s">
        <v>209</v>
      </c>
      <c r="B193" t="s">
        <v>434</v>
      </c>
      <c r="C193">
        <v>2000</v>
      </c>
      <c r="E193" s="1">
        <f>[192]All!B$9</f>
        <v>6.9422754811380347</v>
      </c>
      <c r="F193" s="1">
        <f>[192]All!C$9</f>
        <v>4.1624650268398353</v>
      </c>
      <c r="G193" s="1">
        <f>[192]All!D$9</f>
        <v>4.9117467048495485</v>
      </c>
      <c r="H193" s="1">
        <f>[192]All!E$9</f>
        <v>5.5175422160462402</v>
      </c>
      <c r="I193" s="1">
        <f>[192]All!F$9</f>
        <v>6.1699069479646527</v>
      </c>
      <c r="J193" s="1">
        <f>[192]All!G$9</f>
        <v>7.0616350652846966</v>
      </c>
      <c r="K193" s="1">
        <f>[192]All!H$9</f>
        <v>5.262985844465252</v>
      </c>
      <c r="L193" s="1">
        <f>[192]All!I$9</f>
        <v>5.6881340005532239</v>
      </c>
      <c r="M193" s="1">
        <f>[192]All!J$9</f>
        <v>5.9356150128195369</v>
      </c>
      <c r="N193" s="1">
        <f>[192]All!K$9</f>
        <v>6.9373368831336499</v>
      </c>
      <c r="O193" s="1">
        <f>[192]All!L$9</f>
        <v>6.9394091452626752</v>
      </c>
      <c r="Q193" s="1">
        <f>[192]All!N$9</f>
        <v>5.9641640430467824</v>
      </c>
      <c r="R193" s="1">
        <f>[192]All!O$9</f>
        <v>5.9571865753052125</v>
      </c>
      <c r="S193" s="1">
        <f>[192]All!P$9</f>
        <v>5.9356150128195369</v>
      </c>
      <c r="U193" s="1">
        <f>'[192]Prof (MC)'!$B$4</f>
        <v>6.0010927184156575</v>
      </c>
      <c r="V193" s="1">
        <f>'[192]Prof (MC)'!$C$4</f>
        <v>5.9929308538135402</v>
      </c>
      <c r="W193" s="1">
        <f>'[192]Prof (MC)'!$W$118</f>
        <v>4.5509881662715568</v>
      </c>
      <c r="X193" s="1">
        <f>'[192]Prof (MC)'!$Z$118</f>
        <v>7.7977893806554706</v>
      </c>
    </row>
    <row r="194" spans="1:24" x14ac:dyDescent="0.2">
      <c r="A194" t="s">
        <v>210</v>
      </c>
      <c r="B194" t="s">
        <v>434</v>
      </c>
      <c r="C194">
        <v>2000</v>
      </c>
      <c r="E194" s="1">
        <f>[193]All!B$9</f>
        <v>3.6258671776069535</v>
      </c>
      <c r="F194" s="1">
        <f>[193]All!C$9</f>
        <v>2.5534012733901128</v>
      </c>
      <c r="G194" s="1">
        <f>[193]All!D$9</f>
        <v>1.7915183207771266</v>
      </c>
      <c r="H194" s="1">
        <f>[193]All!E$9</f>
        <v>2.0901383664198576</v>
      </c>
      <c r="I194" s="1">
        <f>[193]All!F$9</f>
        <v>2.79838821880834</v>
      </c>
      <c r="J194" s="1">
        <f>[193]All!G$9</f>
        <v>2.0119715804732996</v>
      </c>
      <c r="K194" s="1">
        <f>[193]All!H$9</f>
        <v>2.2412429420207465</v>
      </c>
      <c r="L194" s="1">
        <f>[193]All!I$9</f>
        <v>1.4971081720839208</v>
      </c>
      <c r="M194" s="1">
        <f>[193]All!J$9</f>
        <v>3.9864007987952701</v>
      </c>
      <c r="N194" s="1">
        <f>[193]All!K$9</f>
        <v>3.2592020563230011</v>
      </c>
      <c r="O194" s="1">
        <f>[193]All!L$9</f>
        <v>4.7969256922796895</v>
      </c>
      <c r="Q194" s="1">
        <f>[193]All!N$9</f>
        <v>2.7528623445927187</v>
      </c>
      <c r="R194" s="1">
        <f>[193]All!O$9</f>
        <v>2.7865604180889378</v>
      </c>
      <c r="S194" s="1">
        <f>[193]All!P$9</f>
        <v>2.5534012733901128</v>
      </c>
      <c r="U194" s="1">
        <f>'[193]Prof (MC)'!$B$4</f>
        <v>2.7849808440835497</v>
      </c>
      <c r="V194" s="1">
        <f>'[193]Prof (MC)'!$C$4</f>
        <v>2.7045983655773478</v>
      </c>
      <c r="W194" s="1">
        <f>'[193]Prof (MC)'!$W$90</f>
        <v>1.3738826969619271</v>
      </c>
      <c r="X194" s="1">
        <f>'[193]Prof (MC)'!$Z$90</f>
        <v>3.7842366957570284</v>
      </c>
    </row>
    <row r="195" spans="1:24" x14ac:dyDescent="0.2">
      <c r="A195" t="s">
        <v>211</v>
      </c>
      <c r="B195" t="s">
        <v>435</v>
      </c>
      <c r="C195">
        <v>2000</v>
      </c>
      <c r="E195" s="1">
        <f>[194]All!B$9</f>
        <v>1.473405420667262</v>
      </c>
      <c r="F195" s="1">
        <f>[194]All!C$9</f>
        <v>1.0104831983878719</v>
      </c>
      <c r="G195" s="1">
        <f>[194]All!D$9</f>
        <v>2.1188035998449641</v>
      </c>
      <c r="H195" s="1">
        <f>[194]All!E$9</f>
        <v>2.2324168854790178</v>
      </c>
      <c r="I195" s="1">
        <f>[194]All!F$9</f>
        <v>2.7358806770709498</v>
      </c>
      <c r="J195" s="1">
        <f>[194]All!G$9</f>
        <v>3.0340080274966161</v>
      </c>
      <c r="K195" s="1">
        <f>[194]All!H$9</f>
        <v>0.10003521</v>
      </c>
      <c r="L195" s="1">
        <f>[194]All!I$9</f>
        <v>1.1867874882027223</v>
      </c>
      <c r="M195" s="1">
        <f>[194]All!J$9</f>
        <v>2.3206004492558709</v>
      </c>
      <c r="N195" s="1">
        <f>[194]All!K$9</f>
        <v>0.42876851530274696</v>
      </c>
      <c r="O195" s="1">
        <f>[194]All!L$9</f>
        <v>1.1238684157400427</v>
      </c>
      <c r="Q195" s="1">
        <f>[194]All!N$9</f>
        <v>1.9506126273278115</v>
      </c>
      <c r="R195" s="1">
        <f>[194]All!O$9</f>
        <v>1.6150052624952784</v>
      </c>
      <c r="S195" s="1">
        <f>[194]All!P$9</f>
        <v>1.473405420667262</v>
      </c>
      <c r="U195" s="1">
        <f>'[194]Prof (MC)'!$B$4</f>
        <v>1.69589630016335</v>
      </c>
      <c r="V195" s="1">
        <f>'[194]Prof (MC)'!$C$4</f>
        <v>1.9323931543651887</v>
      </c>
      <c r="W195" s="1">
        <f>'[194]Prof (MC)'!$W$72</f>
        <v>0.14414124410692858</v>
      </c>
      <c r="X195" s="1">
        <f>'[194]Prof (MC)'!$Z$72</f>
        <v>5.8969622115348566</v>
      </c>
    </row>
    <row r="196" spans="1:24" x14ac:dyDescent="0.2">
      <c r="A196" t="s">
        <v>212</v>
      </c>
      <c r="B196" t="s">
        <v>435</v>
      </c>
      <c r="C196">
        <v>2000</v>
      </c>
      <c r="E196" s="1">
        <f>[195]All!B$9</f>
        <v>2.7382503780470127</v>
      </c>
      <c r="F196" s="1">
        <f>[195]All!C$9</f>
        <v>1.9035665240972406</v>
      </c>
      <c r="G196" s="1">
        <f>[195]All!D$9</f>
        <v>1.5757932326954902</v>
      </c>
      <c r="H196" s="1">
        <f>[195]All!E$9</f>
        <v>2.4051345406476345</v>
      </c>
      <c r="I196" s="1">
        <f>[195]All!F$9</f>
        <v>1.800315007645549</v>
      </c>
      <c r="J196" s="1">
        <f>[195]All!G$9</f>
        <v>1.8277234985892155</v>
      </c>
      <c r="K196" s="1">
        <f>[195]All!H$9</f>
        <v>1.786285164776114</v>
      </c>
      <c r="L196" s="1">
        <f>[195]All!I$9</f>
        <v>1.4606538628330601</v>
      </c>
      <c r="M196" s="1">
        <f>[195]All!J$9</f>
        <v>0.82012636078029055</v>
      </c>
      <c r="N196" s="1">
        <f>[195]All!K$9</f>
        <v>2.4301950192699415</v>
      </c>
      <c r="O196" s="1">
        <f>[195]All!L$9</f>
        <v>4.7193899153657179</v>
      </c>
      <c r="Q196" s="1">
        <f>[195]All!N$9</f>
        <v>1.7932071761685373</v>
      </c>
      <c r="R196" s="1">
        <f>[195]All!O$9</f>
        <v>2.1334030458861153</v>
      </c>
      <c r="S196" s="1">
        <f>[195]All!P$9</f>
        <v>1.8277234985892155</v>
      </c>
      <c r="U196" s="1">
        <f>'[195]Prof (MC)'!$B$4</f>
        <v>1.5855405668701643</v>
      </c>
      <c r="V196" s="1">
        <f>'[195]Prof (MC)'!$C$4</f>
        <v>1.6802927544984456</v>
      </c>
      <c r="W196" s="1">
        <f>'[195]Prof (MC)'!$W$102</f>
        <v>7.7244310345496933E-3</v>
      </c>
      <c r="X196" s="1">
        <f>'[195]Prof (MC)'!$Z$102</f>
        <v>3.9211140902264825</v>
      </c>
    </row>
    <row r="197" spans="1:24" x14ac:dyDescent="0.2">
      <c r="A197" t="s">
        <v>213</v>
      </c>
      <c r="B197" t="s">
        <v>434</v>
      </c>
      <c r="C197">
        <v>2000</v>
      </c>
      <c r="E197" s="1">
        <f>[196]All!B$9</f>
        <v>4.7107358334950549</v>
      </c>
      <c r="F197" s="1">
        <f>[196]All!C$9</f>
        <v>4.6306561349664834</v>
      </c>
      <c r="G197" s="1">
        <f>[196]All!D$9</f>
        <v>3.7876947959364284</v>
      </c>
      <c r="H197" s="1">
        <f>[196]All!E$9</f>
        <v>5.8467051762173332</v>
      </c>
      <c r="I197" s="1">
        <f>[196]All!F$9</f>
        <v>4.2997266725631125</v>
      </c>
      <c r="J197" s="1">
        <f>[196]All!G$9</f>
        <v>4.2555493606031565</v>
      </c>
      <c r="K197" s="1">
        <f>[196]All!H$9</f>
        <v>4.8659112712465715</v>
      </c>
      <c r="L197" s="1">
        <f>[196]All!I$9</f>
        <v>6.3321046950696127</v>
      </c>
      <c r="M197" s="1">
        <f>[196]All!J$9</f>
        <v>4.9527033501398048</v>
      </c>
      <c r="N197" s="1">
        <f>[196]All!K$9</f>
        <v>3.6717299383051558</v>
      </c>
      <c r="O197" s="1">
        <f>[196]All!L$9</f>
        <v>5.123195982096024</v>
      </c>
      <c r="Q197" s="1">
        <f>[196]All!N$9</f>
        <v>4.7264720963559723</v>
      </c>
      <c r="R197" s="1">
        <f>[196]All!O$9</f>
        <v>4.770610291876249</v>
      </c>
      <c r="S197" s="1">
        <f>[196]All!P$9</f>
        <v>4.7107358334950549</v>
      </c>
      <c r="U197" s="1">
        <f>'[196]Prof (MC)'!$B$4</f>
        <v>4.6634129251487506</v>
      </c>
      <c r="V197" s="1">
        <f>'[196]Prof (MC)'!$C$4</f>
        <v>4.7149792099800463</v>
      </c>
      <c r="W197" s="1">
        <f>'[196]Prof (MC)'!$W$92</f>
        <v>3.212836712037884</v>
      </c>
      <c r="X197" s="1">
        <f>'[196]Prof (MC)'!$Z$92</f>
        <v>6.6288681754058221</v>
      </c>
    </row>
    <row r="198" spans="1:24" x14ac:dyDescent="0.2">
      <c r="A198" t="s">
        <v>214</v>
      </c>
      <c r="B198" t="s">
        <v>434</v>
      </c>
      <c r="C198">
        <v>2000</v>
      </c>
      <c r="E198" s="1">
        <f>[197]All!B$9</f>
        <v>1.3943029904291686</v>
      </c>
      <c r="F198" s="1">
        <f>[197]All!C$9</f>
        <v>5.4196459896637021</v>
      </c>
      <c r="G198" s="1">
        <f>[197]All!D$9</f>
        <v>4.8342952605412188</v>
      </c>
      <c r="H198" s="1">
        <f>[197]All!E$9</f>
        <v>2.6567578526959061</v>
      </c>
      <c r="I198" s="1">
        <f>[197]All!F$9</f>
        <v>4.4031519985850105</v>
      </c>
      <c r="J198" s="1">
        <f>[197]All!G$9</f>
        <v>2.273480936565583</v>
      </c>
      <c r="K198" s="1">
        <f>[197]All!H$9</f>
        <v>2.8752287158231153</v>
      </c>
      <c r="L198" s="1">
        <f>[197]All!I$9</f>
        <v>4.8196283530074675</v>
      </c>
      <c r="M198" s="1">
        <f>[197]All!J$9</f>
        <v>1.7316843731295484</v>
      </c>
      <c r="N198" s="1">
        <f>[197]All!K$9</f>
        <v>2.8559299025002267</v>
      </c>
      <c r="O198" s="1">
        <f>[197]All!L$9</f>
        <v>2.0349668894447372</v>
      </c>
      <c r="Q198" s="1">
        <f>[197]All!N$9</f>
        <v>3.1115288335925722</v>
      </c>
      <c r="R198" s="1">
        <f>[197]All!O$9</f>
        <v>3.2090066602168807</v>
      </c>
      <c r="S198" s="1">
        <f>[197]All!P$9</f>
        <v>2.8559299025002267</v>
      </c>
      <c r="U198" s="1">
        <f>'[197]Prof (MC)'!$B$4</f>
        <v>3.1810182758385457</v>
      </c>
      <c r="V198" s="1">
        <f>'[197]Prof (MC)'!$C$4</f>
        <v>3.2947347229984598</v>
      </c>
      <c r="W198" s="1">
        <f>'[197]Prof (MC)'!$W$86</f>
        <v>1.1431795422942366</v>
      </c>
      <c r="X198" s="1">
        <f>'[197]Prof (MC)'!$Z$86</f>
        <v>6.0830734681168845</v>
      </c>
    </row>
    <row r="199" spans="1:24" x14ac:dyDescent="0.2">
      <c r="A199" t="s">
        <v>215</v>
      </c>
      <c r="B199" t="s">
        <v>435</v>
      </c>
      <c r="C199">
        <v>2000</v>
      </c>
      <c r="E199" s="1">
        <f>[198]All!B$9</f>
        <v>2.2642518200815935</v>
      </c>
      <c r="F199" s="1">
        <f>[198]All!C$9</f>
        <v>2.2894631670279524</v>
      </c>
      <c r="G199" s="1">
        <f>[198]All!D$9</f>
        <v>2.8883151938928497</v>
      </c>
      <c r="H199" s="1">
        <f>[198]All!E$9</f>
        <v>3.0523366973696224</v>
      </c>
      <c r="I199" s="1">
        <f>[198]All!F$9</f>
        <v>2.2929399027789605</v>
      </c>
      <c r="J199" s="1">
        <f>[198]All!G$9</f>
        <v>2.4786519446836786</v>
      </c>
      <c r="K199" s="1">
        <f>[198]All!H$9</f>
        <v>2.969019814007916</v>
      </c>
      <c r="L199" s="1">
        <f>[198]All!I$9</f>
        <v>2.9844991471905056</v>
      </c>
      <c r="M199" s="1">
        <f>[198]All!J$9</f>
        <v>2.1046379712840637</v>
      </c>
      <c r="N199" s="1">
        <f>[198]All!K$9</f>
        <v>2.1066117778591655</v>
      </c>
      <c r="O199" s="1">
        <f>[198]All!L$9</f>
        <v>3.6541620704470357</v>
      </c>
      <c r="Q199" s="1">
        <f>[198]All!N$9</f>
        <v>2.5943220878002515</v>
      </c>
      <c r="R199" s="1">
        <f>[198]All!O$9</f>
        <v>2.6440808642384854</v>
      </c>
      <c r="S199" s="1">
        <f>[198]All!P$9</f>
        <v>2.4786519446836786</v>
      </c>
      <c r="U199" s="1">
        <f>'[198]Prof (MC)'!$B$4</f>
        <v>2.4926872578285013</v>
      </c>
      <c r="V199" s="1">
        <f>'[198]Prof (MC)'!$C$4</f>
        <v>2.5812929556050017</v>
      </c>
      <c r="W199" s="1">
        <f>'[198]Prof (MC)'!$W$80</f>
        <v>1.6267562727427762</v>
      </c>
      <c r="X199" s="1">
        <f>'[198]Prof (MC)'!$Z$80</f>
        <v>3.8111694615449996</v>
      </c>
    </row>
    <row r="200" spans="1:24" x14ac:dyDescent="0.2">
      <c r="A200" t="s">
        <v>216</v>
      </c>
      <c r="B200" t="s">
        <v>435</v>
      </c>
      <c r="C200">
        <v>2000</v>
      </c>
      <c r="E200" s="1">
        <f>[199]All!B$9</f>
        <v>5.1580921618272653</v>
      </c>
      <c r="F200" s="1">
        <f>[199]All!C$9</f>
        <v>7.5669612932236356</v>
      </c>
      <c r="G200" s="1">
        <f>[199]All!D$9</f>
        <v>1.2813235961655731</v>
      </c>
      <c r="H200" s="1">
        <f>[199]All!E$9</f>
        <v>9.7390772019712522</v>
      </c>
      <c r="I200" s="1">
        <f>[199]All!F$9</f>
        <v>5.7847811011593517</v>
      </c>
      <c r="J200" s="1">
        <f>[199]All!G$9</f>
        <v>6.9513212456569473</v>
      </c>
      <c r="K200" s="1">
        <f>[199]All!H$9</f>
        <v>3.4272906496247306</v>
      </c>
      <c r="L200" s="1">
        <f>[199]All!I$9</f>
        <v>7.3352743192106118</v>
      </c>
      <c r="M200" s="1">
        <f>[199]All!J$9</f>
        <v>1.4769238517004044</v>
      </c>
      <c r="N200" s="1">
        <f>[199]All!K$9</f>
        <v>8.7286174943136956</v>
      </c>
      <c r="O200" s="1">
        <f>[199]All!L$9</f>
        <v>6.8702785412298617</v>
      </c>
      <c r="Q200" s="1">
        <f>[199]All!N$9</f>
        <v>6.4267139726937739</v>
      </c>
      <c r="R200" s="1">
        <f>[199]All!O$9</f>
        <v>5.8472674050984841</v>
      </c>
      <c r="S200" s="1">
        <f>[199]All!P$9</f>
        <v>6.8702785412298617</v>
      </c>
      <c r="U200" s="1">
        <f>'[199]Prof (MC)'!$B$4</f>
        <v>6.2012934785884548</v>
      </c>
      <c r="V200" s="1">
        <f>'[199]Prof (MC)'!$C$4</f>
        <v>6.0709046195800056</v>
      </c>
      <c r="W200" s="1">
        <f>'[199]Prof (MC)'!$W$126</f>
        <v>1.3833187446803816</v>
      </c>
      <c r="X200" s="1">
        <f>'[199]Prof (MC)'!$Z$126</f>
        <v>11.128569255211085</v>
      </c>
    </row>
    <row r="201" spans="1:24" x14ac:dyDescent="0.2">
      <c r="A201" t="s">
        <v>217</v>
      </c>
      <c r="B201" t="s">
        <v>433</v>
      </c>
      <c r="C201">
        <v>2000</v>
      </c>
      <c r="E201" s="1">
        <f>[200]All!B$9</f>
        <v>0.45219364205182799</v>
      </c>
      <c r="F201" s="1">
        <f>[200]All!C$9</f>
        <v>1.5921067676828118</v>
      </c>
      <c r="G201" s="1">
        <f>[200]All!D$9</f>
        <v>1.6540232486035047</v>
      </c>
      <c r="H201" s="1">
        <f>[200]All!E$9</f>
        <v>1.065018578374739</v>
      </c>
      <c r="I201" s="1">
        <f>[200]All!F$9</f>
        <v>1.5129352994262983</v>
      </c>
      <c r="J201" s="1">
        <f>[200]All!G$9</f>
        <v>1.7967058570771817</v>
      </c>
      <c r="K201" s="1">
        <f>[200]All!H$9</f>
        <v>1.5421818873965416</v>
      </c>
      <c r="L201" s="1">
        <f>[200]All!I$9</f>
        <v>3.4068802000000002E-2</v>
      </c>
      <c r="M201" s="1">
        <f>[200]All!J$9</f>
        <v>1.8098395978901478</v>
      </c>
      <c r="N201" s="1">
        <f>[200]All!K$9</f>
        <v>1.3897121722690291</v>
      </c>
      <c r="O201" s="1">
        <f>[200]All!L$9</f>
        <v>2.3600504822624275</v>
      </c>
      <c r="Q201" s="1">
        <f>[200]All!N$9</f>
        <v>1.6935729122470211</v>
      </c>
      <c r="R201" s="1">
        <f>[200]All!O$9</f>
        <v>1.3826214850031371</v>
      </c>
      <c r="S201" s="1">
        <f>[200]All!P$9</f>
        <v>1.5421818873965416</v>
      </c>
      <c r="U201" s="1">
        <f>'[200]Prof (MC)'!$B$4</f>
        <v>1.5444377377704623</v>
      </c>
      <c r="V201" s="1">
        <f>'[200]Prof (MC)'!$C$4</f>
        <v>1.5680502426551559</v>
      </c>
      <c r="W201" s="1">
        <f>'[200]Prof (MC)'!$W$102</f>
        <v>0.25027741700816991</v>
      </c>
      <c r="X201" s="1">
        <f>'[200]Prof (MC)'!$Z$102</f>
        <v>2.9104370248746032</v>
      </c>
    </row>
    <row r="202" spans="1:24" x14ac:dyDescent="0.2">
      <c r="A202" t="s">
        <v>218</v>
      </c>
      <c r="B202" t="s">
        <v>434</v>
      </c>
      <c r="C202">
        <v>1600</v>
      </c>
      <c r="E202" s="1">
        <f>[201]All!B$9</f>
        <v>6.9649918097013721</v>
      </c>
      <c r="F202" s="1">
        <f>[201]All!C$9</f>
        <v>5.6967416629718386</v>
      </c>
      <c r="G202" s="1">
        <f>[201]All!D$9</f>
        <v>4.0014805555458253</v>
      </c>
      <c r="H202" s="1">
        <f>[201]All!E$9</f>
        <v>10.514076916295263</v>
      </c>
      <c r="I202" s="1">
        <f>[201]All!F$9</f>
        <v>5.894989599511324</v>
      </c>
      <c r="J202" s="1">
        <f>[201]All!G$9</f>
        <v>1.6484981362306441</v>
      </c>
      <c r="K202" s="1">
        <f>[201]All!H$9</f>
        <v>7.1624136932401408</v>
      </c>
      <c r="L202" s="1">
        <f>[201]All!I$9</f>
        <v>7.4806286226097471</v>
      </c>
      <c r="M202" s="1">
        <f>[201]All!J$9</f>
        <v>8.8164657283466763</v>
      </c>
      <c r="N202" s="1">
        <f>[201]All!K$9</f>
        <v>3.921911080790609</v>
      </c>
      <c r="O202" s="1">
        <f>[201]All!L$9</f>
        <v>4.4457773128017744</v>
      </c>
      <c r="Q202" s="1">
        <f>[201]All!N$9</f>
        <v>6.0477531924812613</v>
      </c>
      <c r="R202" s="1">
        <f>[201]All!O$9</f>
        <v>6.0498159198222927</v>
      </c>
      <c r="S202" s="1">
        <f>[201]All!P$9</f>
        <v>5.894989599511324</v>
      </c>
      <c r="U202" s="1">
        <f>'[201]Prof (MC)'!$B$4</f>
        <v>5.3135992576311075</v>
      </c>
      <c r="V202" s="1">
        <f>'[201]Prof (MC)'!$C$4</f>
        <v>6.6281771085837464</v>
      </c>
      <c r="W202" s="1">
        <f>'[201]Prof (MC)'!$W$112</f>
        <v>2.6059960744269848</v>
      </c>
      <c r="X202" s="1">
        <f>'[201]Prof (MC)'!$Z$112</f>
        <v>16.988852988862369</v>
      </c>
    </row>
    <row r="203" spans="1:24" x14ac:dyDescent="0.2">
      <c r="A203" t="s">
        <v>219</v>
      </c>
      <c r="B203" t="s">
        <v>434</v>
      </c>
      <c r="C203">
        <v>1600</v>
      </c>
      <c r="E203" s="1">
        <f>[202]All!B$9</f>
        <v>7.7757519283474066</v>
      </c>
      <c r="F203" s="1">
        <f>[202]All!C$9</f>
        <v>8.5205089888351697</v>
      </c>
      <c r="G203" s="1">
        <f>[202]All!D$9</f>
        <v>6.721746180487254</v>
      </c>
      <c r="H203" s="1">
        <f>[202]All!E$9</f>
        <v>7.6343875335801448</v>
      </c>
      <c r="I203" s="1">
        <f>[202]All!F$9</f>
        <v>8.9716631677875736</v>
      </c>
      <c r="J203" s="1">
        <f>[202]All!G$9</f>
        <v>7.3723192423539183</v>
      </c>
      <c r="K203" s="1">
        <f>[202]All!H$9</f>
        <v>5.709227326856948</v>
      </c>
      <c r="L203" s="1">
        <f>[202]All!I$9</f>
        <v>5.2405830652736674</v>
      </c>
      <c r="M203" s="1">
        <f>[202]All!J$9</f>
        <v>4.5583693849086515</v>
      </c>
      <c r="N203" s="1">
        <f>[202]All!K$9</f>
        <v>3.5358561503267993</v>
      </c>
      <c r="O203" s="1">
        <f>[202]All!L$9</f>
        <v>4.3743498496553803</v>
      </c>
      <c r="Q203" s="1">
        <f>[202]All!N$9</f>
        <v>6.4075284677985405</v>
      </c>
      <c r="R203" s="1">
        <f>[202]All!O$9</f>
        <v>6.4013420744011738</v>
      </c>
      <c r="S203" s="1">
        <f>[202]All!P$9</f>
        <v>6.721746180487254</v>
      </c>
      <c r="U203" s="1">
        <f>'[202]Prof (MC)'!$B$4</f>
        <v>6.1895216276883813</v>
      </c>
      <c r="V203" s="1">
        <f>'[202]Prof (MC)'!$C$4</f>
        <v>6.1850538645171067</v>
      </c>
      <c r="W203" s="1">
        <f>'[202]Prof (MC)'!$W$116</f>
        <v>3.7250713827065636</v>
      </c>
      <c r="X203" s="1">
        <f>'[202]Prof (MC)'!$Z$116</f>
        <v>9.1484744857582374</v>
      </c>
    </row>
    <row r="204" spans="1:24" x14ac:dyDescent="0.2">
      <c r="A204" t="s">
        <v>220</v>
      </c>
      <c r="B204" t="s">
        <v>435</v>
      </c>
      <c r="C204">
        <v>1600</v>
      </c>
      <c r="E204" s="1">
        <f>[203]All!B$9</f>
        <v>3.3831306109986712</v>
      </c>
      <c r="F204" s="1">
        <f>[203]All!C$9</f>
        <v>2.4593856336182776</v>
      </c>
      <c r="G204" s="1">
        <f>[203]All!D$9</f>
        <v>2.783446636738196</v>
      </c>
      <c r="H204" s="1">
        <f>[203]All!E$9</f>
        <v>2.8876976132773575</v>
      </c>
      <c r="I204" s="1">
        <f>[203]All!F$9</f>
        <v>3.5543995705546276</v>
      </c>
      <c r="J204" s="1">
        <f>[203]All!G$9</f>
        <v>3.2894327320660532</v>
      </c>
      <c r="K204" s="1">
        <f>[203]All!H$9</f>
        <v>2.6914434350239129</v>
      </c>
      <c r="L204" s="1">
        <f>[203]All!I$9</f>
        <v>3.6999714622646724</v>
      </c>
      <c r="M204" s="1">
        <f>[203]All!J$9</f>
        <v>1.3481896600583847</v>
      </c>
      <c r="N204" s="1">
        <f>[203]All!K$9</f>
        <v>2.3660506360926741</v>
      </c>
      <c r="O204" s="1">
        <f>[203]All!L$9</f>
        <v>2.4565220495782985</v>
      </c>
      <c r="Q204" s="1">
        <f>[203]All!N$9</f>
        <v>2.7713693837683122</v>
      </c>
      <c r="R204" s="1">
        <f>[203]All!O$9</f>
        <v>2.8108790945701028</v>
      </c>
      <c r="S204" s="1">
        <f>[203]All!P$9</f>
        <v>2.783446636738196</v>
      </c>
      <c r="U204" s="1">
        <f>'[203]Prof (MC)'!$B$4</f>
        <v>2.7536748783088552</v>
      </c>
      <c r="V204" s="1">
        <f>'[203]Prof (MC)'!$C$4</f>
        <v>2.7673955279488216</v>
      </c>
      <c r="W204" s="1">
        <f>'[203]Prof (MC)'!$W$106</f>
        <v>1.7612857548045779</v>
      </c>
      <c r="X204" s="1">
        <f>'[203]Prof (MC)'!$Z$106</f>
        <v>3.7978428650094731</v>
      </c>
    </row>
    <row r="205" spans="1:24" x14ac:dyDescent="0.2">
      <c r="A205" t="s">
        <v>221</v>
      </c>
      <c r="B205" t="s">
        <v>435</v>
      </c>
      <c r="C205">
        <v>1600</v>
      </c>
      <c r="E205" s="1">
        <f>[204]All!B$9</f>
        <v>2.8213810644550197</v>
      </c>
      <c r="F205" s="1">
        <f>[204]All!C$9</f>
        <v>3.4107414794150155</v>
      </c>
      <c r="G205" s="1">
        <f>[204]All!D$9</f>
        <v>2.7488894260098382</v>
      </c>
      <c r="H205" s="1">
        <f>[204]All!E$9</f>
        <v>2.852530064192595</v>
      </c>
      <c r="I205" s="1">
        <f>[204]All!F$9</f>
        <v>3.4215803386280932</v>
      </c>
      <c r="J205" s="1">
        <f>[204]All!G$9</f>
        <v>2.3059766905526735</v>
      </c>
      <c r="K205" s="1">
        <f>[204]All!H$9</f>
        <v>4.1459254711401057</v>
      </c>
      <c r="L205" s="1">
        <f>[204]All!I$9</f>
        <v>1.876899374394408</v>
      </c>
      <c r="M205" s="1">
        <f>[204]All!J$9</f>
        <v>3.2868768361365697</v>
      </c>
      <c r="N205" s="1">
        <f>[204]All!K$9</f>
        <v>1.7884568774353486</v>
      </c>
      <c r="O205" s="1">
        <f>[204]All!L$9</f>
        <v>2.9660179953147399</v>
      </c>
      <c r="Q205" s="1">
        <f>[204]All!N$9</f>
        <v>2.9599905958824202</v>
      </c>
      <c r="R205" s="1">
        <f>[204]All!O$9</f>
        <v>2.8750250561522188</v>
      </c>
      <c r="S205" s="1">
        <f>[204]All!P$9</f>
        <v>2.852530064192595</v>
      </c>
      <c r="U205" s="1">
        <f>'[204]Prof (MC)'!$B$4</f>
        <v>2.898759177792591</v>
      </c>
      <c r="V205" s="1">
        <f>'[204]Prof (MC)'!$C$4</f>
        <v>2.8693527058246899</v>
      </c>
      <c r="W205" s="1">
        <f>'[204]Prof (MC)'!$W$98</f>
        <v>1.5647986701043872</v>
      </c>
      <c r="X205" s="1">
        <f>'[204]Prof (MC)'!$Z$98</f>
        <v>4.2908212992097363</v>
      </c>
    </row>
    <row r="206" spans="1:24" x14ac:dyDescent="0.2">
      <c r="A206" t="s">
        <v>222</v>
      </c>
      <c r="B206" t="s">
        <v>435</v>
      </c>
      <c r="C206">
        <v>1600</v>
      </c>
      <c r="E206" s="1">
        <f>[205]All!B$9</f>
        <v>0.85615023972282112</v>
      </c>
      <c r="F206" s="1">
        <f>[205]All!C$9</f>
        <v>1.2006610158827162</v>
      </c>
      <c r="G206" s="1">
        <f>[205]All!D$9</f>
        <v>1.1618729450830374</v>
      </c>
      <c r="H206" s="1">
        <f>[205]All!E$9</f>
        <v>1.0509804011860158</v>
      </c>
      <c r="I206" s="1">
        <f>[205]All!F$9</f>
        <v>1.5337346532678306</v>
      </c>
      <c r="J206" s="1">
        <f>[205]All!G$9</f>
        <v>0.92978587953604441</v>
      </c>
      <c r="K206" s="1">
        <f>[205]All!H$9</f>
        <v>2.1972443596149422</v>
      </c>
      <c r="L206" s="1">
        <f>[205]All!I$9</f>
        <v>1.6635095852617408</v>
      </c>
      <c r="M206" s="1">
        <f>[205]All!J$9</f>
        <v>2.0185993637948441</v>
      </c>
      <c r="N206" s="1">
        <f>[205]All!K$9</f>
        <v>1.0286608820441447</v>
      </c>
      <c r="O206" s="1">
        <f>[205]All!L$9</f>
        <v>9.7669900103655546E-2</v>
      </c>
      <c r="Q206" s="1">
        <f>[205]All!N$9</f>
        <v>1.4793486989260625</v>
      </c>
      <c r="R206" s="1">
        <f>[205]All!O$9</f>
        <v>1.2489881114088903</v>
      </c>
      <c r="S206" s="1">
        <f>[205]All!P$9</f>
        <v>1.1618729450830374</v>
      </c>
      <c r="U206" s="1">
        <f>'[205]Prof (MC)'!$B$4</f>
        <v>1.3929511756310455</v>
      </c>
      <c r="V206" s="1">
        <f>'[205]Prof (MC)'!$C$4</f>
        <v>1.4155028551731428</v>
      </c>
      <c r="W206" s="1">
        <f>'[205]Prof (MC)'!$W$72</f>
        <v>0.25956573586889037</v>
      </c>
      <c r="X206" s="1">
        <f>'[205]Prof (MC)'!$Z$72</f>
        <v>2.7267466377307277</v>
      </c>
    </row>
    <row r="207" spans="1:24" x14ac:dyDescent="0.2">
      <c r="A207" t="s">
        <v>223</v>
      </c>
      <c r="B207" t="s">
        <v>434</v>
      </c>
      <c r="C207">
        <v>1550</v>
      </c>
      <c r="E207" s="1">
        <f>[206]All!B$9</f>
        <v>11.229907791917656</v>
      </c>
      <c r="F207" s="1">
        <f>[206]All!C$9</f>
        <v>7.7742652910068717</v>
      </c>
      <c r="G207" s="1">
        <f>[206]All!D$9</f>
        <v>10.798504773758427</v>
      </c>
      <c r="H207" s="1">
        <f>[206]All!E$9</f>
        <v>6.7138874186297945</v>
      </c>
      <c r="I207" s="1">
        <f>[206]All!F$9</f>
        <v>7.314147764603943</v>
      </c>
      <c r="J207" s="1">
        <f>[206]All!G$9</f>
        <v>7.280643594855567</v>
      </c>
      <c r="K207" s="1">
        <f>[206]All!H$9</f>
        <v>6.5961792136527002</v>
      </c>
      <c r="L207" s="1">
        <f>[206]All!I$9</f>
        <v>5.9448145961832095</v>
      </c>
      <c r="M207" s="1">
        <f>[206]All!J$9</f>
        <v>6.2250697184225929</v>
      </c>
      <c r="N207" s="1">
        <f>[206]All!K$9</f>
        <v>6.5610089860336114</v>
      </c>
      <c r="O207" s="1">
        <f>[206]All!L$9</f>
        <v>7.5291551916652235</v>
      </c>
      <c r="Q207" s="1">
        <f>[206]All!N$9</f>
        <v>7.4582458777042291</v>
      </c>
      <c r="R207" s="1">
        <f>[206]All!O$9</f>
        <v>7.6334167582481456</v>
      </c>
      <c r="S207" s="1">
        <f>[206]All!P$9</f>
        <v>7.280643594855567</v>
      </c>
      <c r="U207" s="1">
        <f>'[206]Prof (MC)'!$B$4</f>
        <v>7.4043318890182928</v>
      </c>
      <c r="V207" s="1">
        <f>'[206]Prof (MC)'!$C$4</f>
        <v>7.464268981031613</v>
      </c>
      <c r="W207" s="1">
        <f>'[206]Prof (MC)'!$W$132</f>
        <v>5.7598087818569788</v>
      </c>
      <c r="X207" s="1">
        <f>'[206]Prof (MC)'!$Z$132</f>
        <v>9.4864854979578084</v>
      </c>
    </row>
    <row r="208" spans="1:24" x14ac:dyDescent="0.2">
      <c r="A208" t="s">
        <v>224</v>
      </c>
      <c r="B208" t="s">
        <v>435</v>
      </c>
      <c r="C208">
        <v>1550</v>
      </c>
      <c r="E208" s="1">
        <f>[207]All!B$9</f>
        <v>4.5114572787021308</v>
      </c>
      <c r="F208" s="1">
        <f>[207]All!C$9</f>
        <v>6.5230184985654018</v>
      </c>
      <c r="G208" s="1">
        <f>[207]All!D$9</f>
        <v>6.1817166866707138</v>
      </c>
      <c r="H208" s="1">
        <f>[207]All!E$9</f>
        <v>5.088126987573224</v>
      </c>
      <c r="I208" s="1">
        <f>[207]All!F$9</f>
        <v>5.6252761068669077</v>
      </c>
      <c r="J208" s="1">
        <f>[207]All!G$9</f>
        <v>7.032104449068866</v>
      </c>
      <c r="K208" s="1">
        <f>[207]All!H$9</f>
        <v>5.7559917566780445</v>
      </c>
      <c r="L208" s="1">
        <f>[207]All!I$9</f>
        <v>5.4818963071732254</v>
      </c>
      <c r="M208" s="1">
        <f>[207]All!J$9</f>
        <v>1.8190059050720946</v>
      </c>
      <c r="N208" s="1">
        <f>[207]All!K$9</f>
        <v>7.0488592620396986</v>
      </c>
      <c r="O208" s="1">
        <f>[207]All!L$9</f>
        <v>5.6367811322624739</v>
      </c>
      <c r="Q208" s="1">
        <f>[207]All!N$9</f>
        <v>5.7505761440009691</v>
      </c>
      <c r="R208" s="1">
        <f>[207]All!O$9</f>
        <v>5.5185667609702529</v>
      </c>
      <c r="S208" s="1">
        <f>[207]All!P$9</f>
        <v>5.6367811322624739</v>
      </c>
      <c r="U208" s="1">
        <f>'[207]Prof (MC)'!$B$4</f>
        <v>5.5809154496544711</v>
      </c>
      <c r="V208" s="1">
        <f>'[207]Prof (MC)'!$C$4</f>
        <v>5.6509897363104509</v>
      </c>
      <c r="W208" s="1">
        <f>'[207]Prof (MC)'!$W$112</f>
        <v>4.2300419918769032</v>
      </c>
      <c r="X208" s="1">
        <f>'[207]Prof (MC)'!$Z$112</f>
        <v>7.4614300724121208</v>
      </c>
    </row>
    <row r="209" spans="1:24" x14ac:dyDescent="0.2">
      <c r="A209" t="s">
        <v>225</v>
      </c>
      <c r="B209" t="s">
        <v>435</v>
      </c>
      <c r="C209">
        <v>1550</v>
      </c>
      <c r="E209" s="1">
        <f>[208]All!B$9</f>
        <v>3.1559386769856452</v>
      </c>
      <c r="F209" s="1">
        <f>[208]All!C$9</f>
        <v>2.4509961249667764</v>
      </c>
      <c r="G209" s="1">
        <f>[208]All!D$9</f>
        <v>2.4799569792744305</v>
      </c>
      <c r="H209" s="1">
        <f>[208]All!E$9</f>
        <v>2.5987704394816271</v>
      </c>
      <c r="I209" s="1">
        <f>[208]All!F$9</f>
        <v>3.5517911601811876</v>
      </c>
      <c r="J209" s="1">
        <f>[208]All!G$9</f>
        <v>3.5684521948241454</v>
      </c>
      <c r="K209" s="1">
        <f>[208]All!H$9</f>
        <v>3.2075071387558136</v>
      </c>
      <c r="L209" s="1">
        <f>[208]All!I$9</f>
        <v>3.3311303236760992</v>
      </c>
      <c r="M209" s="1">
        <f>[208]All!J$9</f>
        <v>2.8054639396695942</v>
      </c>
      <c r="N209" s="1">
        <f>[208]All!K$9</f>
        <v>3.3040172552328442</v>
      </c>
      <c r="O209" s="1">
        <f>[208]All!L$9</f>
        <v>2.9951732887171518</v>
      </c>
      <c r="Q209" s="1">
        <f>[208]All!N$9</f>
        <v>3.0401982295669359</v>
      </c>
      <c r="R209" s="1">
        <f>[208]All!O$9</f>
        <v>3.0408361383423013</v>
      </c>
      <c r="S209" s="1">
        <f>[208]All!P$9</f>
        <v>3.1559386769856452</v>
      </c>
      <c r="U209" s="1">
        <f>'[208]Prof (MC)'!$B$4</f>
        <v>2.9685955711658041</v>
      </c>
      <c r="V209" s="1">
        <f>'[208]Prof (MC)'!$C$4</f>
        <v>2.9745152816686469</v>
      </c>
      <c r="W209" s="1">
        <f>'[208]Prof (MC)'!$W$90</f>
        <v>2.2598834247016542</v>
      </c>
      <c r="X209" s="1">
        <f>'[208]Prof (MC)'!$Z$90</f>
        <v>3.8411037571384021</v>
      </c>
    </row>
    <row r="210" spans="1:24" x14ac:dyDescent="0.2">
      <c r="A210" t="s">
        <v>226</v>
      </c>
      <c r="B210" t="s">
        <v>434</v>
      </c>
      <c r="C210">
        <v>1800</v>
      </c>
      <c r="E210" s="1">
        <f>[209]All!B$9</f>
        <v>4.1039876219335634</v>
      </c>
      <c r="F210" s="1">
        <f>[209]All!C$9</f>
        <v>1.9822643286829251</v>
      </c>
      <c r="G210" s="1">
        <f>[209]All!D$9</f>
        <v>2.4091394630302432</v>
      </c>
      <c r="H210" s="1">
        <f>[209]All!E$9</f>
        <v>3.6990174979582737</v>
      </c>
      <c r="I210" s="1">
        <f>[209]All!F$9</f>
        <v>4.9270773893921245</v>
      </c>
      <c r="J210" s="1">
        <f>[209]All!G$9</f>
        <v>2.8989842991612003</v>
      </c>
      <c r="K210" s="1">
        <f>[209]All!H$9</f>
        <v>5.3260633406413387</v>
      </c>
      <c r="L210" s="1">
        <f>[209]All!I$9</f>
        <v>2.9029429868364263</v>
      </c>
      <c r="M210" s="1">
        <f>[209]All!J$9</f>
        <v>2.9538310472631584</v>
      </c>
      <c r="N210" s="1">
        <f>[209]All!K$9</f>
        <v>3.3705738689896432</v>
      </c>
      <c r="O210" s="1">
        <f>[209]All!L$9</f>
        <v>4.9264323932753129</v>
      </c>
      <c r="Q210" s="1">
        <f>[209]All!N$9</f>
        <v>3.3736064090534055</v>
      </c>
      <c r="R210" s="1">
        <f>[209]All!O$9</f>
        <v>3.5909376579240186</v>
      </c>
      <c r="S210" s="1">
        <f>[209]All!P$9</f>
        <v>3.3705738689896432</v>
      </c>
      <c r="U210" s="1">
        <f>'[209]Prof (MC)'!$B$4</f>
        <v>3.2238402156452528</v>
      </c>
      <c r="V210" s="1">
        <f>'[209]Prof (MC)'!$C$4</f>
        <v>3.4118003544863451</v>
      </c>
      <c r="W210" s="1">
        <f>'[209]Prof (MC)'!$W$102</f>
        <v>1.9541598520427523</v>
      </c>
      <c r="X210" s="1">
        <f>'[209]Prof (MC)'!$Z$102</f>
        <v>5.8945624606404801</v>
      </c>
    </row>
    <row r="211" spans="1:24" x14ac:dyDescent="0.2">
      <c r="A211" t="s">
        <v>227</v>
      </c>
      <c r="B211" t="s">
        <v>434</v>
      </c>
      <c r="C211">
        <v>1800</v>
      </c>
      <c r="E211" s="1">
        <f>[210]All!B$9</f>
        <v>2.501266553342866</v>
      </c>
      <c r="F211" s="1">
        <f>[210]All!C$9</f>
        <v>2.9743042947368359</v>
      </c>
      <c r="G211" s="1">
        <f>[210]All!D$9</f>
        <v>1.6006068059491103</v>
      </c>
      <c r="H211" s="1">
        <f>[210]All!E$9</f>
        <v>3.1926256015850067</v>
      </c>
      <c r="I211" s="1">
        <f>[210]All!F$9</f>
        <v>2.5261004277966785</v>
      </c>
      <c r="J211" s="1">
        <f>[210]All!G$9</f>
        <v>1.4139128791458584</v>
      </c>
      <c r="K211" s="1">
        <f>[210]All!H$9</f>
        <v>2.3592191051436138</v>
      </c>
      <c r="L211" s="1">
        <f>[210]All!I$9</f>
        <v>3.1092330094052905</v>
      </c>
      <c r="M211" s="1">
        <f>[210]All!J$9</f>
        <v>4.5536740706750969</v>
      </c>
      <c r="N211" s="1">
        <f>[210]All!K$9</f>
        <v>1.5936054396305788</v>
      </c>
      <c r="O211" s="1">
        <f>[210]All!L$9</f>
        <v>2.6254492555138258</v>
      </c>
      <c r="Q211" s="1">
        <f>[210]All!N$9</f>
        <v>2.5113879545485034</v>
      </c>
      <c r="R211" s="1">
        <f>[210]All!O$9</f>
        <v>2.5863634039022507</v>
      </c>
      <c r="S211" s="1">
        <f>[210]All!P$9</f>
        <v>2.5261004277966785</v>
      </c>
      <c r="U211" s="1">
        <f>'[210]Prof (MC)'!$B$4</f>
        <v>2.4447710441730237</v>
      </c>
      <c r="V211" s="1">
        <f>'[210]Prof (MC)'!$C$4</f>
        <v>2.4231058369605636</v>
      </c>
      <c r="W211" s="1">
        <f>'[210]Prof (MC)'!$W$90</f>
        <v>0.38560339054807091</v>
      </c>
      <c r="X211" s="1">
        <f>'[210]Prof (MC)'!$Z$90</f>
        <v>4.0802820672813649</v>
      </c>
    </row>
    <row r="212" spans="1:24" x14ac:dyDescent="0.2">
      <c r="A212" t="s">
        <v>228</v>
      </c>
      <c r="B212" t="s">
        <v>434</v>
      </c>
      <c r="C212">
        <v>1800</v>
      </c>
      <c r="E212" s="1">
        <f>[211]All!B$9</f>
        <v>2.7283995468868265</v>
      </c>
      <c r="F212" s="1">
        <f>[211]All!C$9</f>
        <v>3.6567331394829861</v>
      </c>
      <c r="G212" s="1">
        <f>[211]All!D$9</f>
        <v>3.814567315225049</v>
      </c>
      <c r="H212" s="1">
        <f>[211]All!E$9</f>
        <v>3.4779501597544882</v>
      </c>
      <c r="I212" s="1">
        <f>[211]All!F$9</f>
        <v>3.2687420832235472</v>
      </c>
      <c r="J212" s="1">
        <f>[211]All!G$9</f>
        <v>4.0949266936998239</v>
      </c>
      <c r="K212" s="1">
        <f>[211]All!H$9</f>
        <v>3.2746408317535334</v>
      </c>
      <c r="L212" s="1">
        <f>[211]All!I$9</f>
        <v>3.577498287072312</v>
      </c>
      <c r="M212" s="1">
        <f>[211]All!J$9</f>
        <v>2.7567370376271305</v>
      </c>
      <c r="N212" s="1">
        <f>[211]All!K$9</f>
        <v>2.8065206646327527</v>
      </c>
      <c r="O212" s="1">
        <f>[211]All!L$9</f>
        <v>3.3110779806471751</v>
      </c>
      <c r="Q212" s="1">
        <f>[211]All!N$9</f>
        <v>3.3954910131611573</v>
      </c>
      <c r="R212" s="1">
        <f>[211]All!O$9</f>
        <v>3.3425267036368753</v>
      </c>
      <c r="S212" s="1">
        <f>[211]All!P$9</f>
        <v>3.3110779806471751</v>
      </c>
      <c r="U212" s="1">
        <f>'[211]Prof (MC)'!$B$4</f>
        <v>3.3893530058746557</v>
      </c>
      <c r="V212" s="1">
        <f>'[211]Prof (MC)'!$C$4</f>
        <v>3.3904262734477673</v>
      </c>
      <c r="W212" s="1">
        <f>'[211]Prof (MC)'!$W$102</f>
        <v>2.487240612414094</v>
      </c>
      <c r="X212" s="1">
        <f>'[211]Prof (MC)'!$Z$102</f>
        <v>4.4309982494543068</v>
      </c>
    </row>
    <row r="213" spans="1:24" x14ac:dyDescent="0.2">
      <c r="A213" t="s">
        <v>229</v>
      </c>
      <c r="B213" t="s">
        <v>435</v>
      </c>
      <c r="C213">
        <v>1800</v>
      </c>
      <c r="E213" s="1">
        <f>[212]All!B$9</f>
        <v>2.1104363823053305</v>
      </c>
      <c r="F213" s="1">
        <f>[212]All!C$9</f>
        <v>2.4465980182114095</v>
      </c>
      <c r="G213" s="1">
        <f>[212]All!D$9</f>
        <v>2.2302050525700441</v>
      </c>
      <c r="H213" s="1">
        <f>[212]All!E$9</f>
        <v>1.7606384120015273</v>
      </c>
      <c r="I213" s="1">
        <f>[212]All!F$9</f>
        <v>2.1763094198438555</v>
      </c>
      <c r="J213" s="1">
        <f>[212]All!G$9</f>
        <v>2.1374608607199219</v>
      </c>
      <c r="K213" s="1">
        <f>[212]All!H$9</f>
        <v>2.6842665381152448</v>
      </c>
      <c r="L213" s="1">
        <f>[212]All!I$9</f>
        <v>2.4964330937674344</v>
      </c>
      <c r="M213" s="1">
        <f>[212]All!J$9</f>
        <v>0</v>
      </c>
      <c r="N213" s="1">
        <f>[212]All!K$9</f>
        <v>4.0058809631474279</v>
      </c>
      <c r="O213" s="1">
        <f>[212]All!L$9</f>
        <v>4.0008058041427494</v>
      </c>
      <c r="Q213" s="1">
        <f>[212]All!N$9</f>
        <v>2.7033840333291983</v>
      </c>
      <c r="R213" s="1">
        <f>[212]All!O$9</f>
        <v>2.6049034544824941</v>
      </c>
      <c r="S213" s="1">
        <f>[212]All!P$9</f>
        <v>2.3384015353907266</v>
      </c>
      <c r="U213" s="1">
        <f>'[212]Prof (MC)'!$B$4</f>
        <v>2.6529874187234661</v>
      </c>
      <c r="V213" s="1">
        <f>'[212]Prof (MC)'!$C$4</f>
        <v>2.6836672400725092</v>
      </c>
      <c r="W213" s="1">
        <f>'[212]Prof (MC)'!$W$90</f>
        <v>1.364691643386712</v>
      </c>
      <c r="X213" s="1">
        <f>'[212]Prof (MC)'!$Z$90</f>
        <v>4.0597903406983944</v>
      </c>
    </row>
    <row r="214" spans="1:24" x14ac:dyDescent="0.2">
      <c r="A214" t="s">
        <v>230</v>
      </c>
      <c r="B214" t="s">
        <v>435</v>
      </c>
      <c r="C214">
        <v>1800</v>
      </c>
      <c r="E214" s="1">
        <f>[213]All!B$9</f>
        <v>0.68677265362075468</v>
      </c>
      <c r="F214" s="1">
        <f>[213]All!C$9</f>
        <v>1.3403425766977617</v>
      </c>
      <c r="G214" s="1">
        <f>[213]All!D$9</f>
        <v>0.26482621451613719</v>
      </c>
      <c r="H214" s="1">
        <f>[213]All!E$9</f>
        <v>1.0649749099635037</v>
      </c>
      <c r="I214" s="1">
        <f>[213]All!F$9</f>
        <v>0.6545466041568796</v>
      </c>
      <c r="J214" s="1">
        <f>[213]All!G$9</f>
        <v>1.008512238653561</v>
      </c>
      <c r="K214" s="1">
        <f>[213]All!H$9</f>
        <v>1.5404638595495594</v>
      </c>
      <c r="L214" s="1">
        <f>[213]All!I$9</f>
        <v>1.2430248746846744</v>
      </c>
      <c r="M214" s="1">
        <f>[213]All!J$9</f>
        <v>0.78468001921068753</v>
      </c>
      <c r="N214" s="1">
        <f>[213]All!K$9</f>
        <v>1.2328468597255784</v>
      </c>
      <c r="O214" s="1">
        <f>[213]All!L$9</f>
        <v>1.176556211845448</v>
      </c>
      <c r="Q214" s="1">
        <f>[213]All!N$9</f>
        <v>1.0048963567539158</v>
      </c>
      <c r="R214" s="1">
        <f>[213]All!O$9</f>
        <v>0.99977700205677678</v>
      </c>
      <c r="S214" s="1">
        <f>[213]All!P$9</f>
        <v>1.0649749099635037</v>
      </c>
      <c r="U214" s="1">
        <f>'[213]Prof (MC)'!$B$4</f>
        <v>0.96469817557313386</v>
      </c>
      <c r="V214" s="1">
        <f>'[213]Prof (MC)'!$C$4</f>
        <v>0.96679430958298906</v>
      </c>
      <c r="W214" s="1">
        <f>'[213]Prof (MC)'!$W$90</f>
        <v>0.17320167934338004</v>
      </c>
      <c r="X214" s="1">
        <f>'[213]Prof (MC)'!$Z$90</f>
        <v>1.8807599578589325</v>
      </c>
    </row>
    <row r="215" spans="1:24" x14ac:dyDescent="0.2">
      <c r="A215" t="s">
        <v>231</v>
      </c>
      <c r="B215" t="s">
        <v>434</v>
      </c>
      <c r="C215">
        <v>2200</v>
      </c>
      <c r="E215" s="1">
        <f>[214]All!B$9</f>
        <v>4.2242127372196947</v>
      </c>
      <c r="F215" s="1">
        <f>[214]All!C$9</f>
        <v>5.3627854880376624</v>
      </c>
      <c r="G215" s="1">
        <f>[214]All!D$9</f>
        <v>3.6854565035411455</v>
      </c>
      <c r="H215" s="1">
        <f>[214]All!E$9</f>
        <v>5.515287967768006</v>
      </c>
      <c r="I215" s="1">
        <f>[214]All!F$9</f>
        <v>2.730259945515852</v>
      </c>
      <c r="J215" s="1">
        <f>[214]All!G$9</f>
        <v>6.0100441835376985</v>
      </c>
      <c r="K215" s="1">
        <f>[214]All!H$9</f>
        <v>4.7020865439402195</v>
      </c>
      <c r="L215" s="1">
        <f>[214]All!I$9</f>
        <v>5.3631587074739135</v>
      </c>
      <c r="M215" s="1">
        <f>[214]All!J$9</f>
        <v>4.6118343199580902</v>
      </c>
      <c r="N215" s="1">
        <f>[214]All!K$9</f>
        <v>5.2173783175649753</v>
      </c>
      <c r="O215" s="1">
        <f>[214]All!L$9</f>
        <v>5.2129217889674688</v>
      </c>
      <c r="Q215" s="1">
        <f>[214]All!N$9</f>
        <v>4.7229299652230212</v>
      </c>
      <c r="R215" s="1">
        <f>[214]All!O$9</f>
        <v>4.7850387730477033</v>
      </c>
      <c r="S215" s="1">
        <f>[214]All!P$9</f>
        <v>5.2129217889674688</v>
      </c>
      <c r="U215" s="1">
        <f>'[214]Prof (MC)'!$B$4</f>
        <v>4.4995805408341631</v>
      </c>
      <c r="V215" s="1">
        <f>'[214]Prof (MC)'!$C$4</f>
        <v>4.3596794532970202</v>
      </c>
      <c r="W215" s="1">
        <f>'[214]Prof (MC)'!$W$96</f>
        <v>0.3120376030507111</v>
      </c>
      <c r="X215" s="1">
        <f>'[214]Prof (MC)'!$Z$96</f>
        <v>6.5734660960524787</v>
      </c>
    </row>
    <row r="216" spans="1:24" x14ac:dyDescent="0.2">
      <c r="A216" t="s">
        <v>232</v>
      </c>
      <c r="B216" t="s">
        <v>434</v>
      </c>
      <c r="C216">
        <v>2200</v>
      </c>
      <c r="E216" s="1">
        <f>[215]All!B$9</f>
        <v>8.0095249347461088</v>
      </c>
      <c r="F216" s="1">
        <f>[215]All!C$9</f>
        <v>5.9019525034456786</v>
      </c>
      <c r="G216" s="1">
        <f>[215]All!D$9</f>
        <v>5.2992477987101054</v>
      </c>
      <c r="H216" s="1">
        <f>[215]All!E$9</f>
        <v>5.8900079653911881</v>
      </c>
      <c r="I216" s="1">
        <f>[215]All!F$9</f>
        <v>7.2806986351703316</v>
      </c>
      <c r="J216" s="1">
        <f>[215]All!G$9</f>
        <v>5.5333153934213195</v>
      </c>
      <c r="K216" s="1">
        <f>[215]All!H$9</f>
        <v>6.1469354020023497</v>
      </c>
      <c r="L216" s="1">
        <f>[215]All!I$9</f>
        <v>5.5377825972288743</v>
      </c>
      <c r="M216" s="1">
        <f>[215]All!J$9</f>
        <v>5.8191470718875635</v>
      </c>
      <c r="N216" s="1">
        <f>[215]All!K$9</f>
        <v>5.3965888178910584</v>
      </c>
      <c r="O216" s="1">
        <f>[215]All!L$9</f>
        <v>5.1975165383193866</v>
      </c>
      <c r="Q216" s="1">
        <f>[215]All!N$9</f>
        <v>5.9056784941514229</v>
      </c>
      <c r="R216" s="1">
        <f>[215]All!O$9</f>
        <v>6.0011561507467235</v>
      </c>
      <c r="S216" s="1">
        <f>[215]All!P$9</f>
        <v>5.8191470718875635</v>
      </c>
      <c r="U216" s="1">
        <f>'[215]Prof (MC)'!$B$4</f>
        <v>5.9212578778287925</v>
      </c>
      <c r="V216" s="1">
        <f>'[215]Prof (MC)'!$C$4</f>
        <v>6.0546434804843621</v>
      </c>
      <c r="W216" s="1">
        <f>'[215]Prof (MC)'!$W$116</f>
        <v>4.9632634987731343</v>
      </c>
      <c r="X216" s="1">
        <f>'[215]Prof (MC)'!$Z$116</f>
        <v>8.5305023718428874</v>
      </c>
    </row>
    <row r="217" spans="1:24" x14ac:dyDescent="0.2">
      <c r="A217" t="s">
        <v>233</v>
      </c>
      <c r="B217" t="s">
        <v>435</v>
      </c>
      <c r="C217">
        <v>2200</v>
      </c>
      <c r="E217" s="1">
        <f>[216]All!B$9</f>
        <v>5.0632367287972722</v>
      </c>
      <c r="F217" s="1">
        <f>[216]All!C$9</f>
        <v>3.8883254007262176</v>
      </c>
      <c r="G217" s="1">
        <f>[216]All!D$9</f>
        <v>3.6274343994453169</v>
      </c>
      <c r="H217" s="1">
        <f>[216]All!E$9</f>
        <v>3.8157524408388035</v>
      </c>
      <c r="I217" s="1">
        <f>[216]All!F$9</f>
        <v>4.3152335514648827</v>
      </c>
      <c r="J217" s="1">
        <f>[216]All!G$9</f>
        <v>2.6034889204745393</v>
      </c>
      <c r="K217" s="1">
        <f>[216]All!H$9</f>
        <v>3.9908516754296675</v>
      </c>
      <c r="L217" s="1">
        <f>[216]All!I$9</f>
        <v>4.8335216812524591</v>
      </c>
      <c r="M217" s="1">
        <f>[216]All!J$9</f>
        <v>4.5116804640947592</v>
      </c>
      <c r="N217" s="1">
        <f>[216]All!K$9</f>
        <v>4.5510130500963548</v>
      </c>
      <c r="O217" s="1">
        <f>[216]All!L$9</f>
        <v>5.5759719690241543</v>
      </c>
      <c r="Q217" s="1">
        <f>[216]All!N$9</f>
        <v>4.2640840873889392</v>
      </c>
      <c r="R217" s="1">
        <f>[216]All!O$9</f>
        <v>4.2524100256040382</v>
      </c>
      <c r="S217" s="1">
        <f>[216]All!P$9</f>
        <v>4.3152335514648827</v>
      </c>
      <c r="U217" s="1">
        <f>'[216]Prof (MC)'!$B$4</f>
        <v>4.2192244688129978</v>
      </c>
      <c r="V217" s="1">
        <f>'[216]Prof (MC)'!$C$4</f>
        <v>4.2273157515593995</v>
      </c>
      <c r="W217" s="1">
        <f>'[216]Prof (MC)'!$W$118</f>
        <v>2.7075077725390178</v>
      </c>
      <c r="X217" s="1">
        <f>'[216]Prof (MC)'!$Z$118</f>
        <v>5.8480380705126045</v>
      </c>
    </row>
    <row r="218" spans="1:24" x14ac:dyDescent="0.2">
      <c r="A218" t="s">
        <v>234</v>
      </c>
      <c r="B218" t="s">
        <v>435</v>
      </c>
      <c r="C218">
        <v>2200</v>
      </c>
      <c r="E218" s="1">
        <f>[217]All!B$9</f>
        <v>2.9576814239274305</v>
      </c>
      <c r="F218" s="1">
        <f>[217]All!C$9</f>
        <v>2.9194642836551661</v>
      </c>
      <c r="G218" s="1">
        <f>[217]All!D$9</f>
        <v>2.0988824946330387</v>
      </c>
      <c r="H218" s="1">
        <f>[217]All!E$9</f>
        <v>1.2750640544316629</v>
      </c>
      <c r="I218" s="1">
        <f>[217]All!F$9</f>
        <v>3.1942468815435858</v>
      </c>
      <c r="J218" s="1">
        <f>[217]All!G$9</f>
        <v>2.1869990941203139</v>
      </c>
      <c r="K218" s="1">
        <f>[217]All!H$9</f>
        <v>2.5148672160974321</v>
      </c>
      <c r="L218" s="1">
        <f>[217]All!I$9</f>
        <v>2.1628268886645499</v>
      </c>
      <c r="M218" s="1">
        <f>[217]All!J$9</f>
        <v>1.4754446212114392</v>
      </c>
      <c r="N218" s="1">
        <f>[217]All!K$9</f>
        <v>1.3833671431892722</v>
      </c>
      <c r="O218" s="1">
        <f>[217]All!L$9</f>
        <v>2.6536339748687912</v>
      </c>
      <c r="Q218" s="1">
        <f>[217]All!N$9</f>
        <v>2.4057020869646406</v>
      </c>
      <c r="R218" s="1">
        <f>[217]All!O$9</f>
        <v>2.256588916031153</v>
      </c>
      <c r="S218" s="1">
        <f>[217]All!P$9</f>
        <v>2.1869990941203139</v>
      </c>
      <c r="U218" s="1">
        <f>'[217]Prof (MC)'!$B$4</f>
        <v>2.3393075064649103</v>
      </c>
      <c r="V218" s="1">
        <f>'[217]Prof (MC)'!$C$4</f>
        <v>2.3546541741175742</v>
      </c>
      <c r="W218" s="1">
        <f>'[217]Prof (MC)'!$W$86</f>
        <v>0.99139656466943071</v>
      </c>
      <c r="X218" s="1">
        <f>'[217]Prof (MC)'!$Z$86</f>
        <v>3.8241398958804043</v>
      </c>
    </row>
    <row r="219" spans="1:24" x14ac:dyDescent="0.2">
      <c r="A219" t="s">
        <v>235</v>
      </c>
      <c r="B219" t="s">
        <v>435</v>
      </c>
      <c r="C219">
        <v>2200</v>
      </c>
      <c r="E219" s="1">
        <f>[218]All!B$9</f>
        <v>2.2782431670713965</v>
      </c>
      <c r="F219" s="1">
        <f>[218]All!C$9</f>
        <v>2.3989401806700079</v>
      </c>
      <c r="G219" s="1">
        <f>[218]All!D$9</f>
        <v>2.0063960712393869</v>
      </c>
      <c r="H219" s="1">
        <f>[218]All!E$9</f>
        <v>2.1265990107352648</v>
      </c>
      <c r="I219" s="1">
        <f>[218]All!F$9</f>
        <v>2.7808810228423972</v>
      </c>
      <c r="J219" s="1">
        <f>[218]All!G$9</f>
        <v>2.561088635912288</v>
      </c>
      <c r="K219" s="1">
        <f>[218]All!H$9</f>
        <v>2.0074615685254349</v>
      </c>
      <c r="L219" s="1">
        <f>[218]All!I$9</f>
        <v>2.433544405248798</v>
      </c>
      <c r="M219" s="1">
        <f>[218]All!J$9</f>
        <v>1.670560468562355</v>
      </c>
      <c r="N219" s="1">
        <f>[218]All!K$9</f>
        <v>2.518885203122343</v>
      </c>
      <c r="O219" s="1">
        <f>[218]All!L$9</f>
        <v>2.7237011088775063</v>
      </c>
      <c r="Q219" s="1">
        <f>[218]All!N$9</f>
        <v>2.3500412206295422</v>
      </c>
      <c r="R219" s="1">
        <f>[218]All!O$9</f>
        <v>2.3187546220733797</v>
      </c>
      <c r="S219" s="1">
        <f>[218]All!P$9</f>
        <v>2.3989401806700079</v>
      </c>
      <c r="U219" s="1">
        <f>'[218]Prof (MC)'!$B$4</f>
        <v>2.3309744017013756</v>
      </c>
      <c r="V219" s="1">
        <f>'[218]Prof (MC)'!$C$4</f>
        <v>2.30487926178888</v>
      </c>
      <c r="W219" s="1">
        <f>'[218]Prof (MC)'!$W$80</f>
        <v>1.2880843090940131</v>
      </c>
      <c r="X219" s="1">
        <f>'[218]Prof (MC)'!$Z$80</f>
        <v>3.2218057273194649</v>
      </c>
    </row>
    <row r="220" spans="1:24" x14ac:dyDescent="0.2">
      <c r="A220" t="s">
        <v>236</v>
      </c>
      <c r="B220" t="s">
        <v>435</v>
      </c>
      <c r="C220">
        <v>1650</v>
      </c>
      <c r="E220" s="1">
        <f>[219]All!B$9</f>
        <v>10.64119183856825</v>
      </c>
      <c r="F220" s="1">
        <f>[219]All!C$9</f>
        <v>11.450800376110482</v>
      </c>
      <c r="G220" s="1">
        <f>[219]All!D$9</f>
        <v>9.9918595556990653</v>
      </c>
      <c r="H220" s="1">
        <f>[219]All!E$9</f>
        <v>12.209001003724302</v>
      </c>
      <c r="I220" s="1">
        <f>[219]All!F$9</f>
        <v>12.411220642785034</v>
      </c>
      <c r="J220" s="1">
        <f>[219]All!G$9</f>
        <v>12.745875159793249</v>
      </c>
      <c r="K220" s="1">
        <f>[219]All!H$9</f>
        <v>11.518663135889849</v>
      </c>
      <c r="L220" s="1">
        <f>[219]All!I$9</f>
        <v>10.500824114981912</v>
      </c>
      <c r="M220" s="1">
        <f>[219]All!J$9</f>
        <v>12.581180065926924</v>
      </c>
      <c r="N220" s="1">
        <f>[219]All!K$9</f>
        <v>11.714775261132637</v>
      </c>
      <c r="O220" s="1">
        <f>[219]All!L$9</f>
        <v>10.635302083264291</v>
      </c>
      <c r="Q220" s="1">
        <f>[219]All!N$9</f>
        <v>11.525562336223478</v>
      </c>
      <c r="R220" s="1">
        <f>[219]All!O$9</f>
        <v>11.490972112534182</v>
      </c>
      <c r="S220" s="1">
        <f>[219]All!P$9</f>
        <v>11.518663135889849</v>
      </c>
      <c r="U220" s="1">
        <f>'[219]Prof (MC)'!$B$4</f>
        <v>11.495325822322716</v>
      </c>
      <c r="V220" s="1">
        <f>'[219]Prof (MC)'!$C$4</f>
        <v>11.574319202125302</v>
      </c>
      <c r="W220" s="1">
        <f>'[219]Prof (MC)'!$W$140</f>
        <v>9.3037180468122838</v>
      </c>
      <c r="X220" s="1">
        <f>'[219]Prof (MC)'!$Z$140</f>
        <v>14.257713222645783</v>
      </c>
    </row>
    <row r="221" spans="1:24" x14ac:dyDescent="0.2">
      <c r="A221" t="s">
        <v>237</v>
      </c>
      <c r="B221" t="s">
        <v>435</v>
      </c>
      <c r="C221">
        <v>1650</v>
      </c>
      <c r="E221" s="1">
        <f>[220]All!B$9</f>
        <v>6.2012765170495507</v>
      </c>
      <c r="F221" s="1">
        <f>[220]All!C$9</f>
        <v>6.2096533356843322</v>
      </c>
      <c r="G221" s="1">
        <f>[220]All!D$9</f>
        <v>5.8087418379253428</v>
      </c>
      <c r="H221" s="1">
        <f>[220]All!E$9</f>
        <v>6.7115260000578054</v>
      </c>
      <c r="I221" s="1">
        <f>[220]All!F$9</f>
        <v>6.350394268349782</v>
      </c>
      <c r="J221" s="1">
        <f>[220]All!G$9</f>
        <v>7.0153568959478383</v>
      </c>
      <c r="K221" s="1">
        <f>[220]All!H$9</f>
        <v>6.6451341770627304</v>
      </c>
      <c r="L221" s="1">
        <f>[220]All!I$9</f>
        <v>7.216961179015521</v>
      </c>
      <c r="M221" s="1">
        <f>[220]All!J$9</f>
        <v>6.083095545674106</v>
      </c>
      <c r="N221" s="1">
        <f>[220]All!K$9</f>
        <v>6.5340029615764355</v>
      </c>
      <c r="O221" s="1">
        <f>[220]All!L$9</f>
        <v>6.3209901717500232</v>
      </c>
      <c r="Q221" s="1">
        <f>[220]All!N$9</f>
        <v>6.5045953994600172</v>
      </c>
      <c r="R221" s="1">
        <f>[220]All!O$9</f>
        <v>6.4633757172812238</v>
      </c>
      <c r="S221" s="1">
        <f>[220]All!P$9</f>
        <v>6.350394268349782</v>
      </c>
      <c r="U221" s="1">
        <f>'[220]Prof (MC)'!$B$4</f>
        <v>6.440709973209966</v>
      </c>
      <c r="V221" s="1">
        <f>'[220]Prof (MC)'!$C$4</f>
        <v>6.5003167779288002</v>
      </c>
      <c r="W221" s="1">
        <f>'[220]Prof (MC)'!$W$120</f>
        <v>5.182022920058226</v>
      </c>
      <c r="X221" s="1">
        <f>'[220]Prof (MC)'!$Z$120</f>
        <v>8.0424719392717456</v>
      </c>
    </row>
    <row r="222" spans="1:24" x14ac:dyDescent="0.2">
      <c r="A222" t="s">
        <v>238</v>
      </c>
      <c r="B222" t="s">
        <v>435</v>
      </c>
      <c r="C222">
        <v>1650</v>
      </c>
      <c r="E222" s="1">
        <f>[221]All!B$9</f>
        <v>3.5641338072316198</v>
      </c>
      <c r="F222" s="1">
        <f>[221]All!C$9</f>
        <v>3.1503529372312054</v>
      </c>
      <c r="G222" s="1">
        <f>[221]All!D$9</f>
        <v>2.6260534559512529</v>
      </c>
      <c r="H222" s="1">
        <f>[221]All!E$9</f>
        <v>3.3693061932729718</v>
      </c>
      <c r="I222" s="1">
        <f>[221]All!F$9</f>
        <v>4.3659942201878525</v>
      </c>
      <c r="J222" s="1">
        <f>[221]All!G$9</f>
        <v>3.285575398894153</v>
      </c>
      <c r="K222" s="1">
        <f>[221]All!H$9</f>
        <v>4.3872362845261819</v>
      </c>
      <c r="L222" s="1">
        <f>[221]All!I$9</f>
        <v>3.568722838499597</v>
      </c>
      <c r="M222" s="1">
        <f>[221]All!J$9</f>
        <v>3.6705407035679807</v>
      </c>
      <c r="N222" s="1">
        <f>[221]All!K$9</f>
        <v>3.3936602510566298</v>
      </c>
      <c r="O222" s="1">
        <f>[221]All!L$9</f>
        <v>4.3237463168307366</v>
      </c>
      <c r="Q222" s="1">
        <f>[221]All!N$9</f>
        <v>3.592724136951289</v>
      </c>
      <c r="R222" s="1">
        <f>[221]All!O$9</f>
        <v>3.6095747642954708</v>
      </c>
      <c r="S222" s="1">
        <f>[221]All!P$9</f>
        <v>3.5641338072316198</v>
      </c>
      <c r="U222" s="1">
        <f>'[221]Prof (MC)'!$B$4</f>
        <v>3.5433923289141864</v>
      </c>
      <c r="V222" s="1">
        <f>'[221]Prof (MC)'!$C$4</f>
        <v>3.5476399807202892</v>
      </c>
      <c r="W222" s="1">
        <f>'[221]Prof (MC)'!$W$100</f>
        <v>2.4707952657741918</v>
      </c>
      <c r="X222" s="1">
        <f>'[221]Prof (MC)'!$Z$100</f>
        <v>4.5571183692086077</v>
      </c>
    </row>
    <row r="223" spans="1:24" x14ac:dyDescent="0.2">
      <c r="A223" t="s">
        <v>239</v>
      </c>
      <c r="B223" t="s">
        <v>435</v>
      </c>
      <c r="C223">
        <v>1650</v>
      </c>
      <c r="E223" s="1">
        <f>[222]All!B$9</f>
        <v>2.7202476779935534</v>
      </c>
      <c r="F223" s="1">
        <f>[222]All!C$9</f>
        <v>2.2427832163675392</v>
      </c>
      <c r="G223" s="1">
        <f>[222]All!D$9</f>
        <v>2.9704678114829131</v>
      </c>
      <c r="H223" s="1">
        <f>[222]All!E$9</f>
        <v>3.186233271267283</v>
      </c>
      <c r="I223" s="1">
        <f>[222]All!F$9</f>
        <v>3.8553304060305167</v>
      </c>
      <c r="J223" s="1">
        <f>[222]All!G$9</f>
        <v>1.8539792078965796</v>
      </c>
      <c r="K223" s="1">
        <f>[222]All!H$9</f>
        <v>3.3331282722499456</v>
      </c>
      <c r="L223" s="1">
        <f>[222]All!I$9</f>
        <v>2.5479932652106094</v>
      </c>
      <c r="M223" s="1">
        <f>[222]All!J$9</f>
        <v>3.3195066762570073</v>
      </c>
      <c r="N223" s="1">
        <f>[222]All!K$9</f>
        <v>2.5229094214985035</v>
      </c>
      <c r="O223" s="1">
        <f>[222]All!L$9</f>
        <v>3.8723779429768821</v>
      </c>
      <c r="Q223" s="1">
        <f>[222]All!N$9</f>
        <v>3.0313261099758892</v>
      </c>
      <c r="R223" s="1">
        <f>[222]All!O$9</f>
        <v>2.9477233790210304</v>
      </c>
      <c r="S223" s="1">
        <f>[222]All!P$9</f>
        <v>2.9704678114829131</v>
      </c>
      <c r="U223" s="1">
        <f>'[222]Prof (MC)'!$B$4</f>
        <v>2.9377688972412095</v>
      </c>
      <c r="V223" s="1">
        <f>'[222]Prof (MC)'!$C$4</f>
        <v>2.944526471294675</v>
      </c>
      <c r="W223" s="1">
        <f>'[222]Prof (MC)'!$W$90</f>
        <v>1.7410638670596497</v>
      </c>
      <c r="X223" s="1">
        <f>'[222]Prof (MC)'!$Z$90</f>
        <v>4.2952180327458871</v>
      </c>
    </row>
    <row r="224" spans="1:24" x14ac:dyDescent="0.2">
      <c r="A224" t="s">
        <v>240</v>
      </c>
      <c r="B224" t="s">
        <v>434</v>
      </c>
      <c r="C224">
        <v>1250</v>
      </c>
      <c r="E224" s="1">
        <f>[223]All!B$9</f>
        <v>5.5835409937771612</v>
      </c>
      <c r="F224" s="1">
        <f>[223]All!C$9</f>
        <v>5.3456292384685025</v>
      </c>
      <c r="G224" s="1">
        <f>[223]All!D$9</f>
        <v>6.223116231209711</v>
      </c>
      <c r="H224" s="1">
        <f>[223]All!E$9</f>
        <v>5.1989018228999546</v>
      </c>
      <c r="I224" s="1">
        <f>[223]All!F$9</f>
        <v>6.1555694875697453</v>
      </c>
      <c r="J224" s="1">
        <f>[223]All!G$9</f>
        <v>4.1932475405054808</v>
      </c>
      <c r="K224" s="1">
        <f>[223]All!H$9</f>
        <v>5.0103016923743535</v>
      </c>
      <c r="L224" s="1">
        <f>[223]All!I$9</f>
        <v>5.60310199772535</v>
      </c>
      <c r="M224" s="1">
        <f>[223]All!J$9</f>
        <v>4.7333239073643618</v>
      </c>
      <c r="N224" s="1">
        <f>[223]All!K$9</f>
        <v>4.9524750193072435</v>
      </c>
      <c r="O224" s="1">
        <f>[223]All!L$9</f>
        <v>4.553908369907278</v>
      </c>
      <c r="Q224" s="1">
        <f>[223]All!N$9</f>
        <v>5.1703015318778478</v>
      </c>
      <c r="R224" s="1">
        <f>[223]All!O$9</f>
        <v>5.2321014819190133</v>
      </c>
      <c r="S224" s="1">
        <f>[223]All!P$9</f>
        <v>5.1989018228999546</v>
      </c>
      <c r="U224" s="1">
        <f>'[223]Prof (MC)'!$B$4</f>
        <v>5.1084674583166958</v>
      </c>
      <c r="V224" s="1">
        <f>'[223]Prof (MC)'!$C$4</f>
        <v>5.1596291121427882</v>
      </c>
      <c r="W224" s="1">
        <f>'[223]Prof (MC)'!$W$96</f>
        <v>3.9761606683900208</v>
      </c>
      <c r="X224" s="1">
        <f>'[223]Prof (MC)'!$Z$96</f>
        <v>6.7554721671718925</v>
      </c>
    </row>
    <row r="225" spans="1:24" x14ac:dyDescent="0.2">
      <c r="A225" t="s">
        <v>241</v>
      </c>
      <c r="B225" t="s">
        <v>435</v>
      </c>
      <c r="C225">
        <v>1250</v>
      </c>
      <c r="E225" s="1">
        <f>[224]All!B$9</f>
        <v>3.3300296929630724</v>
      </c>
      <c r="F225" s="1">
        <f>[224]All!C$9</f>
        <v>4.3587015408959484</v>
      </c>
      <c r="G225" s="1">
        <f>[224]All!D$9</f>
        <v>3.5376044745527992</v>
      </c>
      <c r="H225" s="1">
        <f>[224]All!E$9</f>
        <v>3.4197810416895438</v>
      </c>
      <c r="I225" s="1">
        <f>[224]All!F$9</f>
        <v>4.4962733650940425</v>
      </c>
      <c r="J225" s="1">
        <f>[224]All!G$9</f>
        <v>4.0135797411924745</v>
      </c>
      <c r="K225" s="1">
        <f>[224]All!H$9</f>
        <v>3.7362774563490793</v>
      </c>
      <c r="L225" s="1">
        <f>[224]All!I$9</f>
        <v>2.857346535796216</v>
      </c>
      <c r="M225" s="1">
        <f>[224]All!J$9</f>
        <v>2.6565783705200419</v>
      </c>
      <c r="N225" s="1">
        <f>[224]All!K$9</f>
        <v>3.4483202699613464</v>
      </c>
      <c r="O225" s="1">
        <f>[224]All!L$9</f>
        <v>3.3726184090522411</v>
      </c>
      <c r="Q225" s="1">
        <f>[224]All!N$9</f>
        <v>3.5333140861587409</v>
      </c>
      <c r="R225" s="1">
        <f>[224]All!O$9</f>
        <v>3.5661009907333461</v>
      </c>
      <c r="S225" s="1">
        <f>[224]All!P$9</f>
        <v>3.4483202699613464</v>
      </c>
      <c r="U225" s="1">
        <f>'[224]Prof (MC)'!$B$4</f>
        <v>3.5055605464656248</v>
      </c>
      <c r="V225" s="1">
        <f>'[224]Prof (MC)'!$C$4</f>
        <v>3.5085114208360606</v>
      </c>
      <c r="W225" s="1">
        <f>'[224]Prof (MC)'!$W$102</f>
        <v>2.4957081367021927</v>
      </c>
      <c r="X225" s="1">
        <f>'[224]Prof (MC)'!$Z$102</f>
        <v>4.7182674999999996</v>
      </c>
    </row>
    <row r="226" spans="1:24" x14ac:dyDescent="0.2">
      <c r="A226" t="s">
        <v>242</v>
      </c>
      <c r="B226" t="s">
        <v>435</v>
      </c>
      <c r="C226">
        <v>1250</v>
      </c>
      <c r="E226" s="1">
        <f>[225]All!B$9</f>
        <v>4.207034478656829</v>
      </c>
      <c r="F226" s="1">
        <f>[225]All!C$9</f>
        <v>3.6766306463948899</v>
      </c>
      <c r="G226" s="1">
        <f>[225]All!D$9</f>
        <v>3.1988921182890286</v>
      </c>
      <c r="H226" s="1">
        <f>[225]All!E$9</f>
        <v>3.2565757538063345</v>
      </c>
      <c r="I226" s="1">
        <f>[225]All!F$9</f>
        <v>2.1878605614799307</v>
      </c>
      <c r="J226" s="1">
        <f>[225]All!G$9</f>
        <v>4.1244569835576446</v>
      </c>
      <c r="K226" s="1">
        <f>[225]All!H$9</f>
        <v>3.3565271563207477</v>
      </c>
      <c r="L226" s="1">
        <f>[225]All!I$9</f>
        <v>2.7324246770820273</v>
      </c>
      <c r="M226" s="1">
        <f>[225]All!J$9</f>
        <v>3.5309770893165831</v>
      </c>
      <c r="N226" s="1">
        <f>[225]All!K$9</f>
        <v>3.2137215614640069</v>
      </c>
      <c r="O226" s="1">
        <f>[225]All!L$9</f>
        <v>3.4250183702059838</v>
      </c>
      <c r="Q226" s="1">
        <f>[225]All!N$9</f>
        <v>3.321415577717814</v>
      </c>
      <c r="R226" s="1">
        <f>[225]All!O$9</f>
        <v>3.355465399688546</v>
      </c>
      <c r="S226" s="1">
        <f>[225]All!P$9</f>
        <v>3.3565271563207477</v>
      </c>
      <c r="U226" s="1">
        <f>'[225]Prof (MC)'!$B$4</f>
        <v>3.2882358704940349</v>
      </c>
      <c r="V226" s="1">
        <f>'[225]Prof (MC)'!$C$4</f>
        <v>3.2837775378733682</v>
      </c>
      <c r="W226" s="1">
        <f>'[225]Prof (MC)'!$W$106</f>
        <v>2.2176795234990485</v>
      </c>
      <c r="X226" s="1">
        <f>'[225]Prof (MC)'!$Z$106</f>
        <v>4.1952534451452967</v>
      </c>
    </row>
    <row r="227" spans="1:24" x14ac:dyDescent="0.2">
      <c r="A227" t="s">
        <v>243</v>
      </c>
      <c r="B227" t="s">
        <v>434</v>
      </c>
      <c r="C227">
        <v>1300</v>
      </c>
      <c r="E227" s="1">
        <f>[226]All!B$9</f>
        <v>0</v>
      </c>
      <c r="F227" s="1">
        <f>[226]All!C$9</f>
        <v>5.0088716011140804</v>
      </c>
      <c r="G227" s="1">
        <f>[226]All!D$9</f>
        <v>6.8761457709155485</v>
      </c>
      <c r="H227" s="1">
        <f>[226]All!E$9</f>
        <v>6.6532783543459884</v>
      </c>
      <c r="I227" s="1">
        <f>[226]All!F$9</f>
        <v>6.708896119612576</v>
      </c>
      <c r="J227" s="1">
        <f>[226]All!G$9</f>
        <v>3.9525264829865128</v>
      </c>
      <c r="K227" s="1">
        <f>[226]All!H$9</f>
        <v>5.9427588897353001</v>
      </c>
      <c r="L227" s="1">
        <f>[226]All!I$9</f>
        <v>3.3726469989876393</v>
      </c>
      <c r="M227" s="1">
        <f>[226]All!J$9</f>
        <v>4.2625391909765646</v>
      </c>
      <c r="N227" s="1">
        <f>[226]All!K$9</f>
        <v>4.2810250651200938</v>
      </c>
      <c r="O227" s="1">
        <f>[226]All!L$9</f>
        <v>0</v>
      </c>
      <c r="Q227" s="1">
        <f>[226]All!N$9</f>
        <v>5.0180150336815084</v>
      </c>
      <c r="R227" s="1">
        <f>[226]All!O$9</f>
        <v>5.2287431637549231</v>
      </c>
      <c r="S227" s="1">
        <f>[226]All!P$9</f>
        <v>5.0088716011140804</v>
      </c>
      <c r="U227" s="1">
        <f>'[226]Prof (MC)'!$B$4</f>
        <v>4.9657936716594921</v>
      </c>
      <c r="V227" s="1">
        <f>'[226]Prof (MC)'!$C$4</f>
        <v>6.022840001122761</v>
      </c>
      <c r="W227" s="1">
        <f>'[226]Prof (MC)'!$W$94</f>
        <v>2.1769664760579621</v>
      </c>
      <c r="X227" s="1">
        <f>'[226]Prof (MC)'!$Z$94</f>
        <v>15.360702509229846</v>
      </c>
    </row>
    <row r="228" spans="1:24" x14ac:dyDescent="0.2">
      <c r="A228" t="s">
        <v>244</v>
      </c>
      <c r="B228" t="s">
        <v>434</v>
      </c>
      <c r="C228">
        <v>1300</v>
      </c>
      <c r="E228" s="1">
        <f>[227]All!B$9</f>
        <v>14.128379002799184</v>
      </c>
      <c r="F228" s="1">
        <f>[227]All!C$9</f>
        <v>13.466465614098279</v>
      </c>
      <c r="G228" s="1">
        <f>[227]All!D$9</f>
        <v>14.974651129538898</v>
      </c>
      <c r="H228" s="1">
        <f>[227]All!E$9</f>
        <v>16.892007649124146</v>
      </c>
      <c r="I228" s="1">
        <f>[227]All!F$9</f>
        <v>14.196453425435735</v>
      </c>
      <c r="J228" s="1">
        <f>[227]All!G$9</f>
        <v>12.920479194975725</v>
      </c>
      <c r="K228" s="1">
        <f>[227]All!H$9</f>
        <v>16.578275211145641</v>
      </c>
      <c r="L228" s="1">
        <f>[227]All!I$9</f>
        <v>13.375557084349055</v>
      </c>
      <c r="M228" s="1">
        <f>[227]All!J$9</f>
        <v>11.901389066111536</v>
      </c>
      <c r="N228" s="1">
        <f>[227]All!K$9</f>
        <v>13.587863193017256</v>
      </c>
      <c r="O228" s="1">
        <f>[227]All!L$9</f>
        <v>11.5046403588067</v>
      </c>
      <c r="Q228" s="1">
        <f>[227]All!N$9</f>
        <v>13.880560480412946</v>
      </c>
      <c r="R228" s="1">
        <f>[227]All!O$9</f>
        <v>13.956923720854745</v>
      </c>
      <c r="S228" s="1">
        <f>[227]All!P$9</f>
        <v>13.587863193017256</v>
      </c>
      <c r="U228" s="1">
        <f>'[227]Prof (MC)'!$B$4</f>
        <v>13.782839001097075</v>
      </c>
      <c r="V228" s="1">
        <f>'[227]Prof (MC)'!$C$4</f>
        <v>13.928062980010589</v>
      </c>
      <c r="W228" s="1">
        <f>'[227]Prof (MC)'!$W$172</f>
        <v>11.424950981921373</v>
      </c>
      <c r="X228" s="1">
        <f>'[227]Prof (MC)'!$Z$172</f>
        <v>16.733537403061373</v>
      </c>
    </row>
    <row r="229" spans="1:24" x14ac:dyDescent="0.2">
      <c r="A229" t="s">
        <v>245</v>
      </c>
      <c r="B229" t="s">
        <v>435</v>
      </c>
      <c r="C229">
        <v>1300</v>
      </c>
      <c r="E229" s="1">
        <f>[228]All!B$9</f>
        <v>4.4819838396771754</v>
      </c>
      <c r="F229" s="1">
        <f>[228]All!C$9</f>
        <v>4.5574115348106741</v>
      </c>
      <c r="G229" s="1">
        <f>[228]All!D$9</f>
        <v>3.9312734176927115</v>
      </c>
      <c r="H229" s="1">
        <f>[228]All!E$9</f>
        <v>5.6237615389191733</v>
      </c>
      <c r="I229" s="1">
        <f>[228]All!F$9</f>
        <v>5.650343795608161</v>
      </c>
      <c r="J229" s="1">
        <f>[228]All!G$9</f>
        <v>4.6661299094763748</v>
      </c>
      <c r="K229" s="1">
        <f>[228]All!H$9</f>
        <v>6.2244314369811686</v>
      </c>
      <c r="L229" s="1">
        <f>[228]All!I$9</f>
        <v>5.3379837926596982</v>
      </c>
      <c r="M229" s="1">
        <f>[228]All!J$9</f>
        <v>6.1460344427333871</v>
      </c>
      <c r="N229" s="1">
        <f>[228]All!K$9</f>
        <v>6.5191997527981869</v>
      </c>
      <c r="O229" s="1">
        <f>[228]All!L$9</f>
        <v>5.3701632986405539</v>
      </c>
      <c r="Q229" s="1">
        <f>[228]All!N$9</f>
        <v>5.3374091150160332</v>
      </c>
      <c r="R229" s="1">
        <f>[228]All!O$9</f>
        <v>5.3189742509088429</v>
      </c>
      <c r="S229" s="1">
        <f>[228]All!P$9</f>
        <v>5.3701632986405539</v>
      </c>
      <c r="U229" s="1">
        <f>'[228]Prof (MC)'!$B$4</f>
        <v>5.3978197076221246</v>
      </c>
      <c r="V229" s="1">
        <f>'[228]Prof (MC)'!$C$4</f>
        <v>5.3336550817021804</v>
      </c>
      <c r="W229" s="1">
        <f>'[228]Prof (MC)'!$W$126</f>
        <v>4.1315329007270263</v>
      </c>
      <c r="X229" s="1">
        <f>'[228]Prof (MC)'!$Z$126</f>
        <v>6.5445870320771391</v>
      </c>
    </row>
    <row r="230" spans="1:24" x14ac:dyDescent="0.2">
      <c r="A230" t="s">
        <v>246</v>
      </c>
      <c r="B230" t="s">
        <v>435</v>
      </c>
      <c r="C230">
        <v>1300</v>
      </c>
      <c r="E230" s="1">
        <f>[229]All!B$9</f>
        <v>2.5616523413568744</v>
      </c>
      <c r="F230" s="1">
        <f>[229]All!C$9</f>
        <v>2.3819698404196186</v>
      </c>
      <c r="G230" s="1">
        <f>[229]All!D$9</f>
        <v>2.1873727788921502</v>
      </c>
      <c r="H230" s="1">
        <f>[229]All!E$9</f>
        <v>2.6720010189142513</v>
      </c>
      <c r="I230" s="1">
        <f>[229]All!F$9</f>
        <v>2.2480093388942786</v>
      </c>
      <c r="J230" s="1">
        <f>[229]All!G$9</f>
        <v>1.704061261326425</v>
      </c>
      <c r="K230" s="1">
        <f>[229]All!H$9</f>
        <v>1.7482382870668829</v>
      </c>
      <c r="L230" s="1">
        <f>[229]All!I$9</f>
        <v>2.1040509279451243</v>
      </c>
      <c r="M230" s="1">
        <f>[229]All!J$9</f>
        <v>1.4779343614613454</v>
      </c>
      <c r="N230" s="1">
        <f>[229]All!K$9</f>
        <v>1.7345541373329767</v>
      </c>
      <c r="O230" s="1">
        <f>[229]All!L$9</f>
        <v>2.0781065061427602</v>
      </c>
      <c r="Q230" s="1">
        <f>[229]All!N$9</f>
        <v>2.0954744886956269</v>
      </c>
      <c r="R230" s="1">
        <f>[229]All!O$9</f>
        <v>2.0816318908866078</v>
      </c>
      <c r="S230" s="1">
        <f>[229]All!P$9</f>
        <v>2.1040509279451243</v>
      </c>
      <c r="U230" s="1">
        <f>'[229]Prof (MC)'!$B$4</f>
        <v>2.0359110611352706</v>
      </c>
      <c r="V230" s="1">
        <f>'[229]Prof (MC)'!$C$4</f>
        <v>2.0349647866613152</v>
      </c>
      <c r="W230" s="1">
        <f>'[229]Prof (MC)'!$W$78</f>
        <v>0.8836674532869554</v>
      </c>
      <c r="X230" s="1">
        <f>'[229]Prof (MC)'!$Z$78</f>
        <v>3.0445283305236388</v>
      </c>
    </row>
    <row r="231" spans="1:24" x14ac:dyDescent="0.2">
      <c r="A231" t="s">
        <v>247</v>
      </c>
      <c r="B231" t="s">
        <v>435</v>
      </c>
      <c r="C231">
        <v>1300</v>
      </c>
      <c r="E231" s="1">
        <f>[230]All!B$9</f>
        <v>3.6301112854653521</v>
      </c>
      <c r="F231" s="1">
        <f>[230]All!C$9</f>
        <v>3.9586669446055947</v>
      </c>
      <c r="G231" s="1">
        <f>[230]All!D$9</f>
        <v>4.6051707342028321</v>
      </c>
      <c r="H231" s="1">
        <f>[230]All!E$9</f>
        <v>4.9950856504143815</v>
      </c>
      <c r="I231" s="1">
        <f>[230]All!F$9</f>
        <v>5.3692580247567543</v>
      </c>
      <c r="J231" s="1">
        <f>[230]All!G$9</f>
        <v>5.0415806512857166</v>
      </c>
      <c r="K231" s="1">
        <f>[230]All!H$9</f>
        <v>3.8846703878931454</v>
      </c>
      <c r="L231" s="1">
        <f>[230]All!I$9</f>
        <v>4.6969582879089957</v>
      </c>
      <c r="M231" s="1">
        <f>[230]All!J$9</f>
        <v>4.7661192532671866</v>
      </c>
      <c r="N231" s="1">
        <f>[230]All!K$9</f>
        <v>3.804749778705022</v>
      </c>
      <c r="O231" s="1">
        <f>[230]All!L$9</f>
        <v>4.6033563049011059</v>
      </c>
      <c r="Q231" s="1">
        <f>[230]All!N$9</f>
        <v>4.4071124980130172</v>
      </c>
      <c r="R231" s="1">
        <f>[230]All!O$9</f>
        <v>4.4868843003096437</v>
      </c>
      <c r="S231" s="1">
        <f>[230]All!P$9</f>
        <v>4.6051707342028321</v>
      </c>
      <c r="U231" s="1">
        <f>'[230]Prof (MC)'!$B$4</f>
        <v>4.3157357352859513</v>
      </c>
      <c r="V231" s="1">
        <f>'[230]Prof (MC)'!$C$4</f>
        <v>4.3860308107721515</v>
      </c>
      <c r="W231" s="1">
        <f>'[230]Prof (MC)'!$W$92</f>
        <v>3.2190486874017488</v>
      </c>
      <c r="X231" s="1">
        <f>'[230]Prof (MC)'!$Z$92</f>
        <v>5.7555660003009486</v>
      </c>
    </row>
    <row r="232" spans="1:24" x14ac:dyDescent="0.2">
      <c r="A232" t="s">
        <v>248</v>
      </c>
      <c r="B232" t="s">
        <v>436</v>
      </c>
      <c r="C232">
        <v>1100</v>
      </c>
      <c r="E232" s="1">
        <f>[231]All!B$9</f>
        <v>3.5812320105333981</v>
      </c>
      <c r="F232" s="1">
        <f>[231]All!C$9</f>
        <v>3.84349657717955</v>
      </c>
      <c r="G232" s="1">
        <f>[231]All!D$9</f>
        <v>3.31242875521006</v>
      </c>
      <c r="H232" s="1">
        <f>[231]All!E$9</f>
        <v>0</v>
      </c>
      <c r="I232" s="1">
        <f>[231]All!F$9</f>
        <v>5.3434887811128151</v>
      </c>
      <c r="J232" s="1">
        <f>[231]All!G$9</f>
        <v>5.2609639360006861</v>
      </c>
      <c r="K232" s="1">
        <f>[231]All!H$9</f>
        <v>0.84100125055118891</v>
      </c>
      <c r="L232" s="1">
        <f>[231]All!I$9</f>
        <v>1.6693134478057299</v>
      </c>
      <c r="M232" s="1">
        <f>[231]All!J$9</f>
        <v>6.4191986064513014</v>
      </c>
      <c r="N232" s="1">
        <f>[231]All!K$9</f>
        <v>6.0081274832773346</v>
      </c>
      <c r="O232" s="1">
        <f>[231]All!L$9</f>
        <v>4.6181420178158517</v>
      </c>
      <c r="Q232" s="1">
        <f>[231]All!N$9</f>
        <v>4.122733792773742</v>
      </c>
      <c r="R232" s="1">
        <f>[231]All!O$9</f>
        <v>4.0897392865937912</v>
      </c>
      <c r="S232" s="1">
        <f>[231]All!P$9</f>
        <v>4.2308192974977006</v>
      </c>
      <c r="U232" s="1">
        <f>'[231]Prof (MC)'!$B$4</f>
        <v>3.9617470012605693</v>
      </c>
      <c r="V232" s="1">
        <f>'[231]Prof (MC)'!$C$4</f>
        <v>4.1878916628717411</v>
      </c>
      <c r="W232" s="1">
        <f>'[231]Prof (MC)'!$W$92</f>
        <v>0.34922544618007806</v>
      </c>
      <c r="X232" s="1">
        <f>'[231]Prof (MC)'!$Z$92</f>
        <v>9.1250149450401654</v>
      </c>
    </row>
    <row r="233" spans="1:24" x14ac:dyDescent="0.2">
      <c r="A233" t="s">
        <v>249</v>
      </c>
      <c r="B233" t="s">
        <v>435</v>
      </c>
      <c r="C233">
        <v>1100</v>
      </c>
      <c r="E233" s="1">
        <f>[232]All!B$9</f>
        <v>8.5541292947166188</v>
      </c>
      <c r="F233" s="1">
        <f>[232]All!C$9</f>
        <v>6.6612391094410226</v>
      </c>
      <c r="G233" s="1">
        <f>[232]All!D$9</f>
        <v>8.2025051852065065</v>
      </c>
      <c r="H233" s="1">
        <f>[232]All!E$9</f>
        <v>4.9280540128644779</v>
      </c>
      <c r="I233" s="1">
        <f>[232]All!F$9</f>
        <v>6.7876154689764192</v>
      </c>
      <c r="J233" s="1">
        <f>[232]All!G$9</f>
        <v>4.6900320271348992</v>
      </c>
      <c r="K233" s="1">
        <f>[232]All!H$9</f>
        <v>5.6055305234424413</v>
      </c>
      <c r="L233" s="1">
        <f>[232]All!I$9</f>
        <v>6.5454457512819229</v>
      </c>
      <c r="M233" s="1">
        <f>[232]All!J$9</f>
        <v>6.1834302787073838</v>
      </c>
      <c r="N233" s="1">
        <f>[232]All!K$9</f>
        <v>3.5908081500465463</v>
      </c>
      <c r="O233" s="1">
        <f>[232]All!L$9</f>
        <v>0</v>
      </c>
      <c r="Q233" s="1">
        <f>[232]All!N$9</f>
        <v>6.0968604587792434</v>
      </c>
      <c r="R233" s="1">
        <f>[232]All!O$9</f>
        <v>6.1748789801818242</v>
      </c>
      <c r="S233" s="1">
        <f>[232]All!P$9</f>
        <v>6.3644380149946533</v>
      </c>
      <c r="U233" s="1">
        <f>'[232]Prof (MC)'!$B$4</f>
        <v>5.875697535850942</v>
      </c>
      <c r="V233" s="1">
        <f>'[232]Prof (MC)'!$C$4</f>
        <v>6.2193491835186387</v>
      </c>
      <c r="W233" s="1">
        <f>'[232]Prof (MC)'!$W$106</f>
        <v>3.6449458907822194</v>
      </c>
      <c r="X233" s="1">
        <f>'[232]Prof (MC)'!$Z$106</f>
        <v>10.272491900079512</v>
      </c>
    </row>
    <row r="234" spans="1:24" x14ac:dyDescent="0.2">
      <c r="A234" t="s">
        <v>250</v>
      </c>
      <c r="B234" t="s">
        <v>435</v>
      </c>
      <c r="C234">
        <v>1100</v>
      </c>
      <c r="E234" s="1">
        <f>[233]All!B$9</f>
        <v>5.1388789398024537</v>
      </c>
      <c r="F234" s="1">
        <f>[233]All!C$9</f>
        <v>6.6507042639134095</v>
      </c>
      <c r="G234" s="1">
        <f>[233]All!D$9</f>
        <v>3.610147291824823</v>
      </c>
      <c r="H234" s="1">
        <f>[233]All!E$9</f>
        <v>4.3707981782030147</v>
      </c>
      <c r="I234" s="1">
        <f>[233]All!F$9</f>
        <v>4.0910622803438503</v>
      </c>
      <c r="J234" s="1">
        <f>[233]All!G$9</f>
        <v>3.4119855874509066</v>
      </c>
      <c r="K234" s="1">
        <f>[233]All!H$9</f>
        <v>5.4153361499947366</v>
      </c>
      <c r="L234" s="1">
        <f>[233]All!I$9</f>
        <v>4.0563510304731905</v>
      </c>
      <c r="M234" s="1">
        <f>[233]All!J$9</f>
        <v>3.7198004170787944</v>
      </c>
      <c r="N234" s="1">
        <f>[233]All!K$9</f>
        <v>3.7610075694063916</v>
      </c>
      <c r="O234" s="1">
        <f>[233]All!L$9</f>
        <v>4.0873427588499949</v>
      </c>
      <c r="Q234" s="1">
        <f>[233]All!N$9</f>
        <v>4.3508277458505678</v>
      </c>
      <c r="R234" s="1">
        <f>[233]All!O$9</f>
        <v>4.3921285879401424</v>
      </c>
      <c r="S234" s="1">
        <f>[233]All!P$9</f>
        <v>4.0873427588499949</v>
      </c>
      <c r="U234" s="1">
        <f>'[233]Prof (MC)'!$B$4</f>
        <v>4.3124661364384327</v>
      </c>
      <c r="V234" s="1">
        <f>'[233]Prof (MC)'!$C$4</f>
        <v>4.3600480244735884</v>
      </c>
      <c r="W234" s="1">
        <f>'[233]Prof (MC)'!$W$94</f>
        <v>2.9761767153802778</v>
      </c>
      <c r="X234" s="1">
        <f>'[233]Prof (MC)'!$Z$94</f>
        <v>6.2753541693012167</v>
      </c>
    </row>
    <row r="235" spans="1:24" x14ac:dyDescent="0.2">
      <c r="A235" t="s">
        <v>251</v>
      </c>
      <c r="B235" t="s">
        <v>435</v>
      </c>
      <c r="C235">
        <v>1100</v>
      </c>
      <c r="E235" s="1">
        <f>[234]All!B$9</f>
        <v>4.4559626329709969</v>
      </c>
      <c r="F235" s="1">
        <f>[234]All!C$9</f>
        <v>2.7441200993850243</v>
      </c>
      <c r="G235" s="1">
        <f>[234]All!D$9</f>
        <v>1.6653877362506246</v>
      </c>
      <c r="H235" s="1">
        <f>[234]All!E$9</f>
        <v>2.9949428621038989</v>
      </c>
      <c r="I235" s="1">
        <f>[234]All!F$9</f>
        <v>1.8014637274153382</v>
      </c>
      <c r="J235" s="1">
        <f>[234]All!G$9</f>
        <v>3.5800922430979285</v>
      </c>
      <c r="K235" s="1">
        <f>[234]All!H$9</f>
        <v>2.8934717095682685</v>
      </c>
      <c r="L235" s="1">
        <f>[234]All!I$9</f>
        <v>4.4316159632539582</v>
      </c>
      <c r="M235" s="1">
        <f>[234]All!J$9</f>
        <v>5.4744239123004022</v>
      </c>
      <c r="N235" s="1">
        <f>[234]All!K$9</f>
        <v>2.5368569300973274</v>
      </c>
      <c r="O235" s="1">
        <f>[234]All!L$9</f>
        <v>2.6524355731258087</v>
      </c>
      <c r="Q235" s="1">
        <f>[234]All!N$9</f>
        <v>3.1818753905481478</v>
      </c>
      <c r="R235" s="1">
        <f>[234]All!O$9</f>
        <v>3.2027975808699609</v>
      </c>
      <c r="S235" s="1">
        <f>[234]All!P$9</f>
        <v>2.8934717095682685</v>
      </c>
      <c r="U235" s="1">
        <f>'[234]Prof (MC)'!$B$4</f>
        <v>3.1651045999999998</v>
      </c>
      <c r="V235" s="1">
        <f>'[234]Prof (MC)'!$C$4</f>
        <v>3.1301304339965332</v>
      </c>
      <c r="W235" s="1">
        <f>'[234]Prof (MC)'!$W$96</f>
        <v>1.192482154430007</v>
      </c>
      <c r="X235" s="1">
        <f>'[234]Prof (MC)'!$Z$96</f>
        <v>4.7738228303490198</v>
      </c>
    </row>
    <row r="236" spans="1:24" x14ac:dyDescent="0.2">
      <c r="A236" t="s">
        <v>252</v>
      </c>
      <c r="B236" t="s">
        <v>434</v>
      </c>
      <c r="C236">
        <v>1600</v>
      </c>
      <c r="E236" s="1">
        <f>[235]All!B$9</f>
        <v>5.0241874692656072</v>
      </c>
      <c r="F236" s="1">
        <f>[235]All!C$9</f>
        <v>5.7063151242628214</v>
      </c>
      <c r="G236" s="1">
        <f>[235]All!D$9</f>
        <v>6.0383639613318474</v>
      </c>
      <c r="H236" s="1">
        <f>[235]All!E$9</f>
        <v>7.5814499095724983</v>
      </c>
      <c r="I236" s="1">
        <f>[235]All!F$9</f>
        <v>7.8851668078598118</v>
      </c>
      <c r="J236" s="1">
        <f>[235]All!G$9</f>
        <v>7.6227220423741766</v>
      </c>
      <c r="K236" s="1">
        <f>[235]All!H$9</f>
        <v>8.9606285162931769</v>
      </c>
      <c r="L236" s="1">
        <f>[235]All!I$9</f>
        <v>8.8139312008493533</v>
      </c>
      <c r="M236" s="1">
        <f>[235]All!J$9</f>
        <v>8.9433147969282132</v>
      </c>
      <c r="N236" s="1">
        <f>[235]All!K$9</f>
        <v>9.5694093123905475</v>
      </c>
      <c r="O236" s="1">
        <f>[235]All!L$9</f>
        <v>7.8425016650233204</v>
      </c>
      <c r="Q236" s="1">
        <f>[235]All!N$9</f>
        <v>7.4554487316085947</v>
      </c>
      <c r="R236" s="1">
        <f>[235]All!O$9</f>
        <v>7.6352718914683066</v>
      </c>
      <c r="S236" s="1">
        <f>[235]All!P$9</f>
        <v>7.8425016650233204</v>
      </c>
      <c r="U236" s="1">
        <f>'[235]Prof (MC)'!$B$4</f>
        <v>7.4118510990446893</v>
      </c>
      <c r="V236" s="1">
        <f>'[235]Prof (MC)'!$C$4</f>
        <v>7.4363371009739145</v>
      </c>
      <c r="W236" s="1">
        <f>'[235]Prof (MC)'!$W$140</f>
        <v>5.9038636001372353</v>
      </c>
      <c r="X236" s="1">
        <f>'[235]Prof (MC)'!$Z$140</f>
        <v>8.9900484578063509</v>
      </c>
    </row>
    <row r="237" spans="1:24" x14ac:dyDescent="0.2">
      <c r="A237" t="s">
        <v>253</v>
      </c>
      <c r="B237" t="s">
        <v>435</v>
      </c>
      <c r="C237">
        <v>1600</v>
      </c>
      <c r="E237" s="1">
        <f>[236]All!B$9</f>
        <v>6.7177070587026968</v>
      </c>
      <c r="F237" s="1">
        <f>[236]All!C$9</f>
        <v>4.9818165681872024</v>
      </c>
      <c r="G237" s="1">
        <f>[236]All!D$9</f>
        <v>5.3668157551751818</v>
      </c>
      <c r="H237" s="1">
        <f>[236]All!E$9</f>
        <v>5.7948628937463722</v>
      </c>
      <c r="I237" s="1">
        <f>[236]All!F$9</f>
        <v>5.7786825332016134</v>
      </c>
      <c r="J237" s="1">
        <f>[236]All!G$9</f>
        <v>5.3194136832227121</v>
      </c>
      <c r="K237" s="1">
        <f>[236]All!H$9</f>
        <v>5.3805412131677111</v>
      </c>
      <c r="L237" s="1">
        <f>[236]All!I$9</f>
        <v>4.6629186673262497</v>
      </c>
      <c r="M237" s="1">
        <f>[236]All!J$9</f>
        <v>5.4797011277723406</v>
      </c>
      <c r="N237" s="1">
        <f>[236]All!K$9</f>
        <v>5.1956707022512187</v>
      </c>
      <c r="O237" s="1">
        <f>[236]All!L$9</f>
        <v>5.6314458926435993</v>
      </c>
      <c r="Q237" s="1">
        <f>[236]All!N$9</f>
        <v>5.4816758591748318</v>
      </c>
      <c r="R237" s="1">
        <f>[236]All!O$9</f>
        <v>5.4826887359451737</v>
      </c>
      <c r="S237" s="1">
        <f>[236]All!P$9</f>
        <v>5.3805412131677111</v>
      </c>
      <c r="U237" s="1">
        <f>'[236]Prof (MC)'!$B$4</f>
        <v>5.532450770826042</v>
      </c>
      <c r="V237" s="1">
        <f>'[236]Prof (MC)'!$C$4</f>
        <v>5.516324688586332</v>
      </c>
      <c r="W237" s="1">
        <f>'[236]Prof (MC)'!$W$118</f>
        <v>4.6367248608551979</v>
      </c>
      <c r="X237" s="1">
        <f>'[236]Prof (MC)'!$Z$118</f>
        <v>6.424745732130579</v>
      </c>
    </row>
    <row r="238" spans="1:24" x14ac:dyDescent="0.2">
      <c r="A238" t="s">
        <v>254</v>
      </c>
      <c r="B238" t="s">
        <v>435</v>
      </c>
      <c r="C238">
        <v>1600</v>
      </c>
      <c r="E238" s="1">
        <f>[237]All!B$9</f>
        <v>4.9452009801715375</v>
      </c>
      <c r="F238" s="1">
        <f>[237]All!C$9</f>
        <v>4.0125606114433641</v>
      </c>
      <c r="G238" s="1">
        <f>[237]All!D$9</f>
        <v>4.4498561515976318</v>
      </c>
      <c r="H238" s="1">
        <f>[237]All!E$9</f>
        <v>3.8731085271238315</v>
      </c>
      <c r="I238" s="1">
        <f>[237]All!F$9</f>
        <v>4.1951427022696777</v>
      </c>
      <c r="J238" s="1">
        <f>[237]All!G$9</f>
        <v>4.3522782859857481</v>
      </c>
      <c r="K238" s="1">
        <f>[237]All!H$9</f>
        <v>4.5656797763088255</v>
      </c>
      <c r="L238" s="1">
        <f>[237]All!I$9</f>
        <v>4.4911117414785986</v>
      </c>
      <c r="M238" s="1">
        <f>[237]All!J$9</f>
        <v>3.2595093439980332</v>
      </c>
      <c r="N238" s="1">
        <f>[237]All!K$9</f>
        <v>4.0186707545064815</v>
      </c>
      <c r="O238" s="1">
        <f>[237]All!L$9</f>
        <v>3.7262302615512137</v>
      </c>
      <c r="Q238" s="1">
        <f>[237]All!N$9</f>
        <v>4.2453052001103746</v>
      </c>
      <c r="R238" s="1">
        <f>[237]All!O$9</f>
        <v>4.1717590124031769</v>
      </c>
      <c r="S238" s="1">
        <f>[237]All!P$9</f>
        <v>4.1951427022696777</v>
      </c>
      <c r="U238" s="1">
        <f>'[237]Prof (MC)'!$B$4</f>
        <v>4.2738822753333832</v>
      </c>
      <c r="V238" s="1">
        <f>'[237]Prof (MC)'!$C$4</f>
        <v>4.2531189150842046</v>
      </c>
      <c r="W238" s="1">
        <f>'[237]Prof (MC)'!$W$112</f>
        <v>3.1054152127511592</v>
      </c>
      <c r="X238" s="1">
        <f>'[237]Prof (MC)'!$Z$112</f>
        <v>5.4305082374560953</v>
      </c>
    </row>
    <row r="239" spans="1:24" x14ac:dyDescent="0.2">
      <c r="A239" t="s">
        <v>255</v>
      </c>
      <c r="B239" t="s">
        <v>435</v>
      </c>
      <c r="C239">
        <v>1600</v>
      </c>
      <c r="E239" s="1">
        <f>[238]All!B$9</f>
        <v>2.938684839918341</v>
      </c>
      <c r="F239" s="1">
        <f>[238]All!C$9</f>
        <v>2.67533400400692</v>
      </c>
      <c r="G239" s="1">
        <f>[238]All!D$9</f>
        <v>2.5241368539077671</v>
      </c>
      <c r="H239" s="1">
        <f>[238]All!E$9</f>
        <v>2.6288615918135609</v>
      </c>
      <c r="I239" s="1">
        <f>[238]All!F$9</f>
        <v>0.97244189711637297</v>
      </c>
      <c r="J239" s="1">
        <f>[238]All!G$9</f>
        <v>0.61454247030220921</v>
      </c>
      <c r="K239" s="1">
        <f>[238]All!H$9</f>
        <v>1.3058460670799621</v>
      </c>
      <c r="L239" s="1">
        <f>[238]All!I$9</f>
        <v>1.8533623963017203</v>
      </c>
      <c r="M239" s="1">
        <f>[238]All!J$9</f>
        <v>2.4045500780553417</v>
      </c>
      <c r="N239" s="1">
        <f>[238]All!K$9</f>
        <v>2.2133806855208955</v>
      </c>
      <c r="O239" s="1">
        <f>[238]All!L$9</f>
        <v>2.2031529936686569</v>
      </c>
      <c r="Q239" s="1">
        <f>[238]All!N$9</f>
        <v>2.0806317493606512</v>
      </c>
      <c r="R239" s="1">
        <f>[238]All!O$9</f>
        <v>2.0303903525174314</v>
      </c>
      <c r="S239" s="1">
        <f>[238]All!P$9</f>
        <v>2.2133806855208955</v>
      </c>
      <c r="U239" s="1">
        <f>'[238]Prof (MC)'!$B$4</f>
        <v>1.9251429650215299</v>
      </c>
      <c r="V239" s="1">
        <f>'[238]Prof (MC)'!$C$4</f>
        <v>1.864226207025244</v>
      </c>
      <c r="W239" s="1">
        <f>'[238]Prof (MC)'!$W$106</f>
        <v>0.62666471550681913</v>
      </c>
      <c r="X239" s="1">
        <f>'[238]Prof (MC)'!$Z$106</f>
        <v>2.943802876249924</v>
      </c>
    </row>
    <row r="240" spans="1:24" x14ac:dyDescent="0.2">
      <c r="A240" t="s">
        <v>256</v>
      </c>
      <c r="B240" t="s">
        <v>435</v>
      </c>
      <c r="C240">
        <v>1550</v>
      </c>
      <c r="E240" s="1">
        <f>[239]All!B$9</f>
        <v>5.8915096295748723</v>
      </c>
      <c r="F240" s="1">
        <f>[239]All!C$9</f>
        <v>4.2048167152538367</v>
      </c>
      <c r="G240" s="1">
        <f>[239]All!D$9</f>
        <v>4.4438381472888961</v>
      </c>
      <c r="H240" s="1">
        <f>[239]All!E$9</f>
        <v>4.1048121417152927</v>
      </c>
      <c r="I240" s="1">
        <f>[239]All!F$9</f>
        <v>4.48639605138532</v>
      </c>
      <c r="J240" s="1">
        <f>[239]All!G$9</f>
        <v>3.9946013295434453</v>
      </c>
      <c r="K240" s="1">
        <f>[239]All!H$9</f>
        <v>4.829078123538598</v>
      </c>
      <c r="L240" s="1">
        <f>[239]All!I$9</f>
        <v>4.1534501507052903</v>
      </c>
      <c r="M240" s="1">
        <f>[239]All!J$9</f>
        <v>7.9111716274826982</v>
      </c>
      <c r="N240" s="1">
        <f>[239]All!K$9</f>
        <v>6.385623742751628</v>
      </c>
      <c r="O240" s="1">
        <f>[239]All!L$9</f>
        <v>5.8554790373538159</v>
      </c>
      <c r="Q240" s="1">
        <f>[239]All!N$9</f>
        <v>4.9958148734012005</v>
      </c>
      <c r="R240" s="1">
        <f>[239]All!O$9</f>
        <v>5.1146160633266993</v>
      </c>
      <c r="S240" s="1">
        <f>[239]All!P$9</f>
        <v>4.48639605138532</v>
      </c>
      <c r="U240" s="1">
        <f>'[239]Prof (MC)'!$B$4</f>
        <v>4.9032026243392508</v>
      </c>
      <c r="V240" s="1">
        <f>'[239]Prof (MC)'!$C$4</f>
        <v>5.0567767892152613</v>
      </c>
      <c r="W240" s="1">
        <f>'[239]Prof (MC)'!$W$102</f>
        <v>3.0542096621999693</v>
      </c>
      <c r="X240" s="1">
        <f>'[239]Prof (MC)'!$Z$102</f>
        <v>6.9658770001783932</v>
      </c>
    </row>
    <row r="241" spans="1:24" x14ac:dyDescent="0.2">
      <c r="A241" t="s">
        <v>257</v>
      </c>
      <c r="B241" t="s">
        <v>435</v>
      </c>
      <c r="C241">
        <v>1550</v>
      </c>
      <c r="E241" s="1">
        <f>[240]All!B$9</f>
        <v>5.9217815124560209</v>
      </c>
      <c r="F241" s="1">
        <f>[240]All!C$9</f>
        <v>5.1076913751398143</v>
      </c>
      <c r="G241" s="1">
        <f>[240]All!D$9</f>
        <v>6.6268022695760314</v>
      </c>
      <c r="H241" s="1">
        <f>[240]All!E$9</f>
        <v>4.8568084901978805</v>
      </c>
      <c r="I241" s="1">
        <f>[240]All!F$9</f>
        <v>6.1887725151009416</v>
      </c>
      <c r="J241" s="1">
        <f>[240]All!G$9</f>
        <v>5.8532751466849886</v>
      </c>
      <c r="K241" s="1">
        <f>[240]All!H$9</f>
        <v>5.9680983015139049</v>
      </c>
      <c r="L241" s="1">
        <f>[240]All!I$9</f>
        <v>6.8268499450803724</v>
      </c>
      <c r="M241" s="1">
        <f>[240]All!J$9</f>
        <v>4.7144460829875019</v>
      </c>
      <c r="N241" s="1">
        <f>[240]All!K$9</f>
        <v>5.9816518085964363</v>
      </c>
      <c r="O241" s="1">
        <f>[240]All!L$9</f>
        <v>4.5630555090388274</v>
      </c>
      <c r="Q241" s="1">
        <f>[240]All!N$9</f>
        <v>5.6280978542591065</v>
      </c>
      <c r="R241" s="1">
        <f>[240]All!O$9</f>
        <v>5.6917484505793388</v>
      </c>
      <c r="S241" s="1">
        <f>[240]All!P$9</f>
        <v>5.9217815124560209</v>
      </c>
      <c r="U241" s="1">
        <f>'[240]Prof (MC)'!$B$4</f>
        <v>5.5757283556451043</v>
      </c>
      <c r="V241" s="1">
        <f>'[240]Prof (MC)'!$C$4</f>
        <v>5.5943643474884501</v>
      </c>
      <c r="W241" s="1">
        <f>'[240]Prof (MC)'!$W$102</f>
        <v>4.4473876650586099</v>
      </c>
      <c r="X241" s="1">
        <f>'[240]Prof (MC)'!$Z$102</f>
        <v>7.2474258806516509</v>
      </c>
    </row>
    <row r="242" spans="1:24" x14ac:dyDescent="0.2">
      <c r="A242" t="s">
        <v>258</v>
      </c>
      <c r="B242" t="s">
        <v>435</v>
      </c>
      <c r="C242">
        <v>1550</v>
      </c>
      <c r="E242" s="1">
        <f>[241]All!B$9</f>
        <v>0</v>
      </c>
      <c r="F242" s="1">
        <f>[241]All!C$9</f>
        <v>5.2876400388075142</v>
      </c>
      <c r="G242" s="1">
        <f>[241]All!D$9</f>
        <v>5.9165179838193387</v>
      </c>
      <c r="H242" s="1">
        <f>[241]All!E$9</f>
        <v>3.6129551339983674</v>
      </c>
      <c r="I242" s="1">
        <f>[241]All!F$9</f>
        <v>4.3849264588259604</v>
      </c>
      <c r="J242" s="1">
        <f>[241]All!G$9</f>
        <v>4.5681027178933862</v>
      </c>
      <c r="K242" s="1">
        <f>[241]All!H$9</f>
        <v>4.0043331633162902</v>
      </c>
      <c r="L242" s="1">
        <f>[241]All!I$9</f>
        <v>5.0063207288234599</v>
      </c>
      <c r="M242" s="1">
        <f>[241]All!J$9</f>
        <v>4.3924012220800766</v>
      </c>
      <c r="N242" s="1">
        <f>[241]All!K$9</f>
        <v>5.8851420619200665</v>
      </c>
      <c r="O242" s="1">
        <f>[241]All!L$9</f>
        <v>4.5959133888119368</v>
      </c>
      <c r="Q242" s="1">
        <f>[241]All!N$9</f>
        <v>4.9136489081584021</v>
      </c>
      <c r="R242" s="1">
        <f>[241]All!O$9</f>
        <v>4.765425289829639</v>
      </c>
      <c r="S242" s="1">
        <f>[241]All!P$9</f>
        <v>4.582008053352661</v>
      </c>
      <c r="U242" s="1">
        <f>'[241]Prof (MC)'!$B$4</f>
        <v>4.8018725938245499</v>
      </c>
      <c r="V242" s="1">
        <f>'[241]Prof (MC)'!$C$4</f>
        <v>4.7678204744056751</v>
      </c>
      <c r="W242" s="1">
        <f>'[241]Prof (MC)'!$W$94</f>
        <v>3.2067470384042371</v>
      </c>
      <c r="X242" s="1">
        <f>'[241]Prof (MC)'!$Z$94</f>
        <v>6.5229032067152293</v>
      </c>
    </row>
    <row r="243" spans="1:24" x14ac:dyDescent="0.2">
      <c r="A243" t="s">
        <v>259</v>
      </c>
      <c r="B243" t="s">
        <v>435</v>
      </c>
      <c r="C243">
        <v>1550</v>
      </c>
      <c r="E243" s="1">
        <f>[242]All!B$9</f>
        <v>2.9634134100710838</v>
      </c>
      <c r="F243" s="1">
        <f>[242]All!C$9</f>
        <v>3.1806396503991956</v>
      </c>
      <c r="G243" s="1">
        <f>[242]All!D$9</f>
        <v>4.4459949043827161</v>
      </c>
      <c r="H243" s="1">
        <f>[242]All!E$9</f>
        <v>3.86381087683817</v>
      </c>
      <c r="I243" s="1">
        <f>[242]All!F$9</f>
        <v>3.6092043946176915</v>
      </c>
      <c r="J243" s="1">
        <f>[242]All!G$9</f>
        <v>3.4171276718490784</v>
      </c>
      <c r="K243" s="1">
        <f>[242]All!H$9</f>
        <v>3.1165322433181029</v>
      </c>
      <c r="L243" s="1">
        <f>[242]All!I$9</f>
        <v>3.6981273464896267</v>
      </c>
      <c r="M243" s="1">
        <f>[242]All!J$9</f>
        <v>4.5978329365730124</v>
      </c>
      <c r="N243" s="1">
        <f>[242]All!K$9</f>
        <v>4.0728771761292446</v>
      </c>
      <c r="O243" s="1">
        <f>[242]All!L$9</f>
        <v>3.475392678520024</v>
      </c>
      <c r="Q243" s="1">
        <f>[242]All!N$9</f>
        <v>3.6141224081901164</v>
      </c>
      <c r="R243" s="1">
        <f>[242]All!O$9</f>
        <v>3.6764502990170866</v>
      </c>
      <c r="S243" s="1">
        <f>[242]All!P$9</f>
        <v>3.6092043946176915</v>
      </c>
      <c r="U243" s="1">
        <f>'[242]Prof (MC)'!$B$4</f>
        <v>3.6272060640645174</v>
      </c>
      <c r="V243" s="1">
        <f>'[242]Prof (MC)'!$C$4</f>
        <v>3.6920056855142751</v>
      </c>
      <c r="W243" s="1">
        <f>'[242]Prof (MC)'!$W$104</f>
        <v>2.6963540474850078</v>
      </c>
      <c r="X243" s="1">
        <f>'[242]Prof (MC)'!$Z$104</f>
        <v>4.8413981818758449</v>
      </c>
    </row>
    <row r="244" spans="1:24" x14ac:dyDescent="0.2">
      <c r="A244" t="s">
        <v>260</v>
      </c>
      <c r="B244" t="s">
        <v>435</v>
      </c>
      <c r="C244">
        <v>1600</v>
      </c>
      <c r="E244" s="1">
        <f>[243]All!B$9</f>
        <v>6.1897559248238719E-2</v>
      </c>
      <c r="F244" s="1">
        <f>[243]All!C$9</f>
        <v>5.2700745104613897</v>
      </c>
      <c r="G244" s="1">
        <f>[243]All!D$9</f>
        <v>5.9615426560193807</v>
      </c>
      <c r="H244" s="1">
        <f>[243]All!E$9</f>
        <v>1.3528280758169935</v>
      </c>
      <c r="I244" s="1">
        <f>[243]All!F$9</f>
        <v>2.6403205379886461</v>
      </c>
      <c r="J244" s="1">
        <f>[243]All!G$9</f>
        <v>1.3253431385098893</v>
      </c>
      <c r="K244" s="1">
        <f>[243]All!H$9</f>
        <v>3.649815959118671</v>
      </c>
      <c r="L244" s="1">
        <f>[243]All!I$9</f>
        <v>3.1927369927501389E-3</v>
      </c>
      <c r="M244" s="1">
        <f>[243]All!J$9</f>
        <v>2.7250086154728757</v>
      </c>
      <c r="N244" s="1">
        <f>[243]All!K$9</f>
        <v>7.6074111E-2</v>
      </c>
      <c r="O244" s="1">
        <f>[243]All!L$9</f>
        <v>3.2290831428621165</v>
      </c>
      <c r="Q244" s="1">
        <f>[243]All!N$9</f>
        <v>2.5083066809306973</v>
      </c>
      <c r="R244" s="1">
        <f>[243]All!O$9</f>
        <v>2.3904710039537234</v>
      </c>
      <c r="S244" s="1">
        <f>[243]All!P$9</f>
        <v>2.6403205379886461</v>
      </c>
      <c r="U244" s="1">
        <f>'[243]Prof (MC)'!$B$4</f>
        <v>2.2836538538986639</v>
      </c>
      <c r="V244" s="1">
        <f>'[243]Prof (MC)'!$C$4</f>
        <v>2.9334802827402338</v>
      </c>
      <c r="W244" s="1">
        <f>'[243]Prof (MC)'!$W$106</f>
        <v>1.1290552631612447E-2</v>
      </c>
      <c r="X244" s="1">
        <f>'[243]Prof (MC)'!$Z$106</f>
        <v>11.553204516053018</v>
      </c>
    </row>
    <row r="245" spans="1:24" x14ac:dyDescent="0.2">
      <c r="A245" t="s">
        <v>261</v>
      </c>
      <c r="B245" t="s">
        <v>435</v>
      </c>
      <c r="C245">
        <v>1600</v>
      </c>
      <c r="E245" s="1">
        <f>[244]All!B$9</f>
        <v>0.2310969679527152</v>
      </c>
      <c r="F245" s="1">
        <f>[244]All!C$9</f>
        <v>0.24153809239165777</v>
      </c>
      <c r="G245" s="1">
        <f>[244]All!D$9</f>
        <v>1.3147707586345552</v>
      </c>
      <c r="H245" s="1">
        <f>[244]All!E$9</f>
        <v>0.10789103999999999</v>
      </c>
      <c r="I245" s="1">
        <f>[244]All!F$9</f>
        <v>0.24112884641996485</v>
      </c>
      <c r="J245" s="1">
        <f>[244]All!G$9</f>
        <v>1.2480797121036482</v>
      </c>
      <c r="K245" s="1">
        <f>[244]All!H$9</f>
        <v>1.0776688081381356</v>
      </c>
      <c r="L245" s="1">
        <f>[244]All!I$9</f>
        <v>0.22578224740260583</v>
      </c>
      <c r="M245" s="1">
        <f>[244]All!J$9</f>
        <v>1.2322154459478407</v>
      </c>
      <c r="N245" s="1">
        <f>[244]All!K$9</f>
        <v>0.20597596581627975</v>
      </c>
      <c r="O245" s="1">
        <f>[244]All!L$9</f>
        <v>2.5855339966310615</v>
      </c>
      <c r="Q245" s="1">
        <f>[244]All!N$9</f>
        <v>0.25771297753089578</v>
      </c>
      <c r="R245" s="1">
        <f>[244]All!O$9</f>
        <v>0.79197108013076944</v>
      </c>
      <c r="S245" s="1">
        <f>[244]All!P$9</f>
        <v>0.24153809239165777</v>
      </c>
      <c r="U245" s="1">
        <f>'[244]Prof (MC)'!$B$4</f>
        <v>0.53019925283029856</v>
      </c>
      <c r="V245" s="1">
        <f>'[244]Prof (MC)'!$C$4</f>
        <v>0.92532888982522254</v>
      </c>
      <c r="W245" s="1">
        <f>'[244]Prof (MC)'!$W$102</f>
        <v>6.5004536348758513E-7</v>
      </c>
      <c r="X245" s="1">
        <f>'[244]Prof (MC)'!$Z$102</f>
        <v>3.9739455878644097</v>
      </c>
    </row>
    <row r="246" spans="1:24" x14ac:dyDescent="0.2">
      <c r="A246" t="s">
        <v>262</v>
      </c>
      <c r="B246" t="s">
        <v>434</v>
      </c>
      <c r="C246">
        <v>2000</v>
      </c>
      <c r="E246" s="1">
        <f>[245]All!B$9</f>
        <v>3.7554453230989773</v>
      </c>
      <c r="F246" s="1">
        <f>[245]All!C$9</f>
        <v>4.3499343323580701</v>
      </c>
      <c r="G246" s="1">
        <f>[245]All!D$9</f>
        <v>4.2303014212770735</v>
      </c>
      <c r="H246" s="1">
        <f>[245]All!E$9</f>
        <v>3.3215239474256268</v>
      </c>
      <c r="I246" s="1">
        <f>[245]All!F$9</f>
        <v>4.6255610478422025</v>
      </c>
      <c r="J246" s="1">
        <f>[245]All!G$9</f>
        <v>4.4155124156361474</v>
      </c>
      <c r="K246" s="1">
        <f>[245]All!H$9</f>
        <v>4.1787645506241518</v>
      </c>
      <c r="L246" s="1">
        <f>[245]All!I$9</f>
        <v>4.6314829124934933</v>
      </c>
      <c r="M246" s="1">
        <f>[245]All!J$9</f>
        <v>3.9852514770318246</v>
      </c>
      <c r="N246" s="1">
        <f>[245]All!K$9</f>
        <v>2.7943146578626488</v>
      </c>
      <c r="O246" s="1">
        <f>[245]All!L$9</f>
        <v>3.7466456087350815</v>
      </c>
      <c r="Q246" s="1">
        <f>[245]All!N$9</f>
        <v>3.9454112820656846</v>
      </c>
      <c r="R246" s="1">
        <f>[245]All!O$9</f>
        <v>4.0031579722168456</v>
      </c>
      <c r="S246" s="1">
        <f>[245]All!P$9</f>
        <v>4.1787645506241518</v>
      </c>
      <c r="U246" s="1">
        <f>'[245]Prof (MC)'!$B$4</f>
        <v>3.9492113280198318</v>
      </c>
      <c r="V246" s="1">
        <f>'[245]Prof (MC)'!$C$4</f>
        <v>3.9953735805787183</v>
      </c>
      <c r="W246" s="1">
        <f>'[245]Prof (MC)'!$W$106</f>
        <v>2.9290263179758411</v>
      </c>
      <c r="X246" s="1">
        <f>'[245]Prof (MC)'!$Z$106</f>
        <v>5.0845272919963715</v>
      </c>
    </row>
    <row r="247" spans="1:24" x14ac:dyDescent="0.2">
      <c r="A247" t="s">
        <v>263</v>
      </c>
      <c r="B247" t="s">
        <v>435</v>
      </c>
      <c r="C247">
        <v>2000</v>
      </c>
      <c r="E247" s="1">
        <f>[246]All!B$9</f>
        <v>3.0238495126460965</v>
      </c>
      <c r="F247" s="1">
        <f>[246]All!C$9</f>
        <v>1.3399254164427896</v>
      </c>
      <c r="G247" s="1">
        <f>[246]All!D$9</f>
        <v>2.2482128373061294</v>
      </c>
      <c r="H247" s="1">
        <f>[246]All!E$9</f>
        <v>3.3844499499271201</v>
      </c>
      <c r="I247" s="1">
        <f>[246]All!F$9</f>
        <v>1.3375553532266018</v>
      </c>
      <c r="J247" s="1">
        <f>[246]All!G$9</f>
        <v>1.9807239013970535</v>
      </c>
      <c r="K247" s="1">
        <f>[246]All!H$9</f>
        <v>0.85190410583267318</v>
      </c>
      <c r="L247" s="1">
        <f>[246]All!I$9</f>
        <v>1.6515372171129266</v>
      </c>
      <c r="M247" s="1">
        <f>[246]All!J$9</f>
        <v>2.4795321463514282</v>
      </c>
      <c r="N247" s="1">
        <f>[246]All!K$9</f>
        <v>1.7500445016968511</v>
      </c>
      <c r="O247" s="1">
        <f>[246]All!L$9</f>
        <v>1.2720818532519957</v>
      </c>
      <c r="Q247" s="1">
        <f>[246]All!N$9</f>
        <v>1.7450210143373237</v>
      </c>
      <c r="R247" s="1">
        <f>[246]All!O$9</f>
        <v>1.9381651631992427</v>
      </c>
      <c r="S247" s="1">
        <f>[246]All!P$9</f>
        <v>1.7500445016968511</v>
      </c>
      <c r="U247" s="1">
        <f>'[246]Prof (MC)'!$B$4</f>
        <v>1.7782679959298253</v>
      </c>
      <c r="V247" s="1">
        <f>'[246]Prof (MC)'!$C$4</f>
        <v>1.8810913483772094</v>
      </c>
      <c r="W247" s="1">
        <f>'[246]Prof (MC)'!$W$94</f>
        <v>0.6572091929848769</v>
      </c>
      <c r="X247" s="1">
        <f>'[246]Prof (MC)'!$Z$94</f>
        <v>3.9607050942101574</v>
      </c>
    </row>
    <row r="248" spans="1:24" x14ac:dyDescent="0.2">
      <c r="A248" t="s">
        <v>264</v>
      </c>
      <c r="B248" t="s">
        <v>435</v>
      </c>
      <c r="C248">
        <v>2000</v>
      </c>
      <c r="E248" s="1">
        <f>[247]All!B$9</f>
        <v>2.0087274421702817</v>
      </c>
      <c r="F248" s="1">
        <f>[247]All!C$9</f>
        <v>1.3492094712213292</v>
      </c>
      <c r="G248" s="1">
        <f>[247]All!D$9</f>
        <v>1.8514253357114754</v>
      </c>
      <c r="H248" s="1">
        <f>[247]All!E$9</f>
        <v>0.72371742493205682</v>
      </c>
      <c r="I248" s="1">
        <f>[247]All!F$9</f>
        <v>2.3101297811394592</v>
      </c>
      <c r="J248" s="1">
        <f>[247]All!G$9</f>
        <v>0.61865178083725891</v>
      </c>
      <c r="K248" s="1">
        <f>[247]All!H$9</f>
        <v>0.90355097520778571</v>
      </c>
      <c r="L248" s="1">
        <f>[247]All!I$9</f>
        <v>6.1600398504220139E-2</v>
      </c>
      <c r="M248" s="1">
        <f>[247]All!J$9</f>
        <v>0.14531104434779424</v>
      </c>
      <c r="N248" s="1">
        <f>[247]All!K$9</f>
        <v>0.88556372320399712</v>
      </c>
      <c r="O248" s="1">
        <f>[247]All!L$9</f>
        <v>0.74994417617009668</v>
      </c>
      <c r="Q248" s="1">
        <f>[247]All!N$9</f>
        <v>0.93467880331517272</v>
      </c>
      <c r="R248" s="1">
        <f>[247]All!O$9</f>
        <v>1.0552574139496143</v>
      </c>
      <c r="S248" s="1">
        <f>[247]All!P$9</f>
        <v>0.88556372320399712</v>
      </c>
      <c r="U248" s="1">
        <f>'[247]Prof (MC)'!$B$4</f>
        <v>0.8896080428783808</v>
      </c>
      <c r="V248" s="1">
        <f>'[247]Prof (MC)'!$C$4</f>
        <v>1.1528902185640897</v>
      </c>
      <c r="W248" s="1">
        <f>'[247]Prof (MC)'!$W$82</f>
        <v>0.18920560259828559</v>
      </c>
      <c r="X248" s="1">
        <f>'[247]Prof (MC)'!$Z$82</f>
        <v>3.4437681541554848</v>
      </c>
    </row>
    <row r="249" spans="1:24" x14ac:dyDescent="0.2">
      <c r="A249" t="s">
        <v>265</v>
      </c>
      <c r="B249" t="s">
        <v>435</v>
      </c>
      <c r="C249">
        <v>2000</v>
      </c>
      <c r="E249" s="1">
        <f>[248]All!B$9</f>
        <v>0.15445387104518052</v>
      </c>
      <c r="F249" s="1">
        <f>[248]All!C$9</f>
        <v>0.93957109407884176</v>
      </c>
      <c r="G249" s="1">
        <f>[248]All!D$9</f>
        <v>7.9192798999999994E-2</v>
      </c>
      <c r="H249" s="1">
        <f>[248]All!E$9</f>
        <v>0.14485880433235487</v>
      </c>
      <c r="I249" s="1">
        <f>[248]All!F$9</f>
        <v>5.4349376999999997E-2</v>
      </c>
      <c r="J249" s="1">
        <f>[248]All!G$9</f>
        <v>0.15782599423212459</v>
      </c>
      <c r="K249" s="1">
        <f>[248]All!H$9</f>
        <v>0.24542309027441289</v>
      </c>
      <c r="L249" s="1">
        <f>[248]All!I$9</f>
        <v>0.89146974243114385</v>
      </c>
      <c r="M249" s="1">
        <f>[248]All!J$9</f>
        <v>0.50480043930807617</v>
      </c>
      <c r="N249" s="1">
        <f>[248]All!K$9</f>
        <v>0.39869673907031972</v>
      </c>
      <c r="O249" s="1">
        <f>[248]All!L$9</f>
        <v>0.57200308495129126</v>
      </c>
      <c r="Q249" s="1">
        <f>[248]All!N$9</f>
        <v>0.53642444409868384</v>
      </c>
      <c r="R249" s="1">
        <f>[248]All!O$9</f>
        <v>0.37660409415670415</v>
      </c>
      <c r="S249" s="1">
        <f>[248]All!P$9</f>
        <v>0.24542309027441289</v>
      </c>
      <c r="U249" s="1">
        <f>'[248]Prof (MC)'!$B$4</f>
        <v>0.26298962181302254</v>
      </c>
      <c r="V249" s="1">
        <f>'[248]Prof (MC)'!$C$4</f>
        <v>0.40596861426200276</v>
      </c>
      <c r="W249" s="1">
        <f>'[248]Prof (MC)'!$W$82</f>
        <v>1.3991495229452552E-2</v>
      </c>
      <c r="X249" s="1">
        <f>'[248]Prof (MC)'!$Z$82</f>
        <v>1.0658464999999999</v>
      </c>
    </row>
    <row r="250" spans="1:24" x14ac:dyDescent="0.2">
      <c r="A250" t="s">
        <v>266</v>
      </c>
      <c r="B250" t="s">
        <v>434</v>
      </c>
      <c r="C250">
        <v>1800</v>
      </c>
      <c r="E250" s="1">
        <f>[249]All!B$9</f>
        <v>8.8485222390398341</v>
      </c>
      <c r="F250" s="1">
        <f>[249]All!C$9</f>
        <v>4.7586196920172394</v>
      </c>
      <c r="G250" s="1">
        <f>[249]All!D$9</f>
        <v>8.6648791063912523</v>
      </c>
      <c r="H250" s="1">
        <f>[249]All!E$9</f>
        <v>7.2997538512813822</v>
      </c>
      <c r="I250" s="1">
        <f>[249]All!F$9</f>
        <v>10.739937746043973</v>
      </c>
      <c r="J250" s="1">
        <f>[249]All!G$9</f>
        <v>9.1995290000000001</v>
      </c>
      <c r="K250" s="1">
        <f>[249]All!H$9</f>
        <v>7.1732662398556286</v>
      </c>
      <c r="L250" s="1">
        <f>[249]All!I$9</f>
        <v>6.8222567297953756</v>
      </c>
      <c r="M250" s="1">
        <f>[249]All!J$9</f>
        <v>7.4687234589733915</v>
      </c>
      <c r="N250" s="1">
        <f>[249]All!K$9</f>
        <v>10.138398019365901</v>
      </c>
      <c r="O250" s="1">
        <f>[249]All!L$9</f>
        <v>12.830914214283029</v>
      </c>
      <c r="Q250" s="1">
        <f>[249]All!N$9</f>
        <v>8.1943297622894704</v>
      </c>
      <c r="R250" s="1">
        <f>[249]All!O$9</f>
        <v>8.540436390640636</v>
      </c>
      <c r="S250" s="1">
        <f>[249]All!P$9</f>
        <v>8.6648791063912523</v>
      </c>
      <c r="U250" s="1">
        <f>'[249]Prof (MC)'!$B$4</f>
        <v>8.1033553014854078</v>
      </c>
      <c r="V250" s="1">
        <f>'[249]Prof (MC)'!$C$4</f>
        <v>8.0668728078598679</v>
      </c>
      <c r="W250" s="1">
        <f>'[249]Prof (MC)'!$W$168</f>
        <v>4.8756195336821504</v>
      </c>
      <c r="X250" s="1">
        <f>'[249]Prof (MC)'!$Z$168</f>
        <v>11.518840002677642</v>
      </c>
    </row>
    <row r="251" spans="1:24" x14ac:dyDescent="0.2">
      <c r="A251" t="s">
        <v>267</v>
      </c>
      <c r="B251" t="s">
        <v>434</v>
      </c>
      <c r="C251">
        <v>1800</v>
      </c>
      <c r="E251" s="1">
        <f>[250]All!B$9</f>
        <v>6.6557986414544601</v>
      </c>
      <c r="F251" s="1">
        <f>[250]All!C$9</f>
        <v>5.9766263448841555</v>
      </c>
      <c r="G251" s="1">
        <f>[250]All!D$9</f>
        <v>4.5453803206565455</v>
      </c>
      <c r="H251" s="1">
        <f>[250]All!E$9</f>
        <v>5.4391649474691572</v>
      </c>
      <c r="I251" s="1">
        <f>[250]All!F$9</f>
        <v>6.153743984173131</v>
      </c>
      <c r="J251" s="1">
        <f>[250]All!G$9</f>
        <v>1.7175652777313726</v>
      </c>
      <c r="K251" s="1">
        <f>[250]All!H$9</f>
        <v>4.9130856375593748</v>
      </c>
      <c r="L251" s="1">
        <f>[250]All!I$9</f>
        <v>4.4050475745043052</v>
      </c>
      <c r="M251" s="1">
        <f>[250]All!J$9</f>
        <v>4.1870978675177355</v>
      </c>
      <c r="N251" s="1">
        <f>[250]All!K$9</f>
        <v>3.4106347581508931</v>
      </c>
      <c r="O251" s="1">
        <f>[250]All!L$9</f>
        <v>3.2481289663952793</v>
      </c>
      <c r="Q251" s="1">
        <f>[250]All!N$9</f>
        <v>4.6948960662830421</v>
      </c>
      <c r="R251" s="1">
        <f>[250]All!O$9</f>
        <v>4.6047522109542189</v>
      </c>
      <c r="S251" s="1">
        <f>[250]All!P$9</f>
        <v>4.5453803206565455</v>
      </c>
      <c r="U251" s="1">
        <f>'[250]Prof (MC)'!$B$4</f>
        <v>4.3528671081453085</v>
      </c>
      <c r="V251" s="1">
        <f>'[250]Prof (MC)'!$C$4</f>
        <v>4.404498024283491</v>
      </c>
      <c r="W251" s="1">
        <f>'[250]Prof (MC)'!$W$98</f>
        <v>1.2038963275396717</v>
      </c>
      <c r="X251" s="1">
        <f>'[250]Prof (MC)'!$Z$98</f>
        <v>8.1467068467957002</v>
      </c>
    </row>
    <row r="252" spans="1:24" x14ac:dyDescent="0.2">
      <c r="A252" t="s">
        <v>268</v>
      </c>
      <c r="B252" t="s">
        <v>435</v>
      </c>
      <c r="C252">
        <v>1800</v>
      </c>
      <c r="E252" s="1">
        <f>[251]All!B$9</f>
        <v>1.2160518651798891</v>
      </c>
      <c r="F252" s="1">
        <f>[251]All!C$9</f>
        <v>1.523710274920975</v>
      </c>
      <c r="G252" s="1">
        <f>[251]All!D$9</f>
        <v>2.3626411872198214</v>
      </c>
      <c r="H252" s="1">
        <f>[251]All!E$9</f>
        <v>0.71800974123704764</v>
      </c>
      <c r="I252" s="1">
        <f>[251]All!F$9</f>
        <v>0.23487042617647699</v>
      </c>
      <c r="J252" s="1">
        <f>[251]All!G$9</f>
        <v>2.8701756477211453</v>
      </c>
      <c r="K252" s="1">
        <f>[251]All!H$9</f>
        <v>2.2487371357088426</v>
      </c>
      <c r="L252" s="1">
        <f>[251]All!I$9</f>
        <v>0.54681313025567591</v>
      </c>
      <c r="M252" s="1">
        <f>[251]All!J$9</f>
        <v>1.4878079351263827</v>
      </c>
      <c r="N252" s="1">
        <f>[251]All!K$9</f>
        <v>0.81583086329110721</v>
      </c>
      <c r="O252" s="1">
        <f>[251]All!L$9</f>
        <v>2.596081153853786</v>
      </c>
      <c r="Q252" s="1">
        <f>[251]All!N$9</f>
        <v>1.2634251479149226</v>
      </c>
      <c r="R252" s="1">
        <f>[251]All!O$9</f>
        <v>1.5109753964264678</v>
      </c>
      <c r="S252" s="1">
        <f>[251]All!P$9</f>
        <v>1.4878079351263827</v>
      </c>
      <c r="U252" s="1">
        <f>'[251]Prof (MC)'!$B$4</f>
        <v>1.1262523169100047</v>
      </c>
      <c r="V252" s="1">
        <f>'[251]Prof (MC)'!$C$4</f>
        <v>1.2250993559920165</v>
      </c>
      <c r="W252" s="1">
        <f>'[251]Prof (MC)'!$W$82</f>
        <v>7.2019085617410908E-7</v>
      </c>
      <c r="X252" s="1">
        <f>'[251]Prof (MC)'!$Z$82</f>
        <v>3.1094595080576806</v>
      </c>
    </row>
    <row r="253" spans="1:24" x14ac:dyDescent="0.2">
      <c r="A253" t="s">
        <v>269</v>
      </c>
      <c r="B253" t="s">
        <v>435</v>
      </c>
      <c r="C253">
        <v>1800</v>
      </c>
      <c r="E253" s="1">
        <f>[252]All!B$9</f>
        <v>3.2163968612052716</v>
      </c>
      <c r="F253" s="1">
        <f>[252]All!C$9</f>
        <v>0.63624911399520134</v>
      </c>
      <c r="G253" s="1">
        <f>[252]All!D$9</f>
        <v>4.1014029613854697E-2</v>
      </c>
      <c r="H253" s="1">
        <f>[252]All!E$9</f>
        <v>0.61183041363252533</v>
      </c>
      <c r="I253" s="1">
        <f>[252]All!F$9</f>
        <v>5.4639941999999997E-2</v>
      </c>
      <c r="J253" s="1">
        <f>[252]All!G$9</f>
        <v>3.4360287621990389</v>
      </c>
      <c r="K253" s="1">
        <f>[252]All!H$9</f>
        <v>1.0484091211185138</v>
      </c>
      <c r="L253" s="1">
        <f>[252]All!I$9</f>
        <v>1.3920694456638925</v>
      </c>
      <c r="M253" s="1">
        <f>[252]All!J$9</f>
        <v>1.6352427921792432</v>
      </c>
      <c r="N253" s="1">
        <f>[252]All!K$9</f>
        <v>0.24733282528665926</v>
      </c>
      <c r="O253" s="1">
        <f>[252]All!L$9</f>
        <v>2.1476789837862356</v>
      </c>
      <c r="Q253" s="1">
        <f>[252]All!N$9</f>
        <v>0.87503053644480355</v>
      </c>
      <c r="R253" s="1">
        <f>[252]All!O$9</f>
        <v>1.3151720264254942</v>
      </c>
      <c r="S253" s="1">
        <f>[252]All!P$9</f>
        <v>1.0484091211185138</v>
      </c>
      <c r="U253" s="1">
        <f>'[252]Prof (MC)'!$B$4</f>
        <v>0.40144249317660508</v>
      </c>
      <c r="V253" s="1">
        <f>'[252]Prof (MC)'!$C$4</f>
        <v>0.98929883683947506</v>
      </c>
      <c r="W253" s="1">
        <f>'[252]Prof (MC)'!$W$98</f>
        <v>7.1322911497398821E-8</v>
      </c>
      <c r="X253" s="1">
        <f>'[252]Prof (MC)'!$Z$98</f>
        <v>4.0000616437162355</v>
      </c>
    </row>
    <row r="254" spans="1:24" x14ac:dyDescent="0.2">
      <c r="A254" t="s">
        <v>270</v>
      </c>
      <c r="B254" t="s">
        <v>435</v>
      </c>
      <c r="C254">
        <v>1800</v>
      </c>
      <c r="E254" s="1">
        <f>[253]All!B$9</f>
        <v>2.3639869064785626</v>
      </c>
      <c r="F254" s="1">
        <f>[253]All!C$9</f>
        <v>2.8332953919305659</v>
      </c>
      <c r="G254" s="1">
        <f>[253]All!D$9</f>
        <v>0.34924669598836627</v>
      </c>
      <c r="H254" s="1">
        <f>[253]All!E$9</f>
        <v>2.2778219195096732</v>
      </c>
      <c r="I254" s="1">
        <f>[253]All!F$9</f>
        <v>0.18579040548926232</v>
      </c>
      <c r="J254" s="1">
        <f>[253]All!G$9</f>
        <v>0.23661469049375572</v>
      </c>
      <c r="K254" s="1">
        <f>[253]All!H$9</f>
        <v>1.0778231153193607</v>
      </c>
      <c r="L254" s="1">
        <f>[253]All!I$9</f>
        <v>0.20486752764582325</v>
      </c>
      <c r="M254" s="1">
        <f>[253]All!J$9</f>
        <v>0.37880222451288398</v>
      </c>
      <c r="N254" s="1">
        <f>[253]All!K$9</f>
        <v>0.76631016273577346</v>
      </c>
      <c r="O254" s="1">
        <f>[253]All!L$9</f>
        <v>0.16650430850372167</v>
      </c>
      <c r="Q254" s="1">
        <f>[253]All!N$9</f>
        <v>1.1654091030078815</v>
      </c>
      <c r="R254" s="1">
        <f>[253]All!O$9</f>
        <v>0.98555121350979535</v>
      </c>
      <c r="S254" s="1">
        <f>[253]All!P$9</f>
        <v>0.37880222451288398</v>
      </c>
      <c r="U254" s="1">
        <f>'[253]Prof (MC)'!$B$4</f>
        <v>0.35455791036748752</v>
      </c>
      <c r="V254" s="1">
        <f>'[253]Prof (MC)'!$C$4</f>
        <v>0.91364005099180912</v>
      </c>
      <c r="W254" s="1">
        <f>'[253]Prof (MC)'!$W$84</f>
        <v>1.7566319616724124E-2</v>
      </c>
      <c r="X254" s="1">
        <f>'[253]Prof (MC)'!$Z$84</f>
        <v>4.6905041030439873</v>
      </c>
    </row>
    <row r="255" spans="1:24" x14ac:dyDescent="0.2">
      <c r="A255" t="s">
        <v>271</v>
      </c>
      <c r="B255" t="s">
        <v>435</v>
      </c>
      <c r="C255">
        <v>1600</v>
      </c>
      <c r="E255" s="1">
        <f>[254]All!B$9</f>
        <v>0</v>
      </c>
      <c r="F255" s="1">
        <f>[254]All!C$9</f>
        <v>0</v>
      </c>
      <c r="G255" s="1">
        <f>[254]All!D$9</f>
        <v>9.358896602295486</v>
      </c>
      <c r="H255" s="1">
        <f>[254]All!E$9</f>
        <v>8.505184109109468</v>
      </c>
      <c r="I255" s="1">
        <f>[254]All!F$9</f>
        <v>6.1908993731404713</v>
      </c>
      <c r="J255" s="1">
        <f>[254]All!G$9</f>
        <v>5.592607805860534</v>
      </c>
      <c r="K255" s="1">
        <f>[254]All!H$9</f>
        <v>8.0208282451661255</v>
      </c>
      <c r="L255" s="1">
        <f>[254]All!I$9</f>
        <v>6.4442208385614101</v>
      </c>
      <c r="M255" s="1">
        <f>[254]All!J$9</f>
        <v>7.7979710756749689</v>
      </c>
      <c r="N255" s="1">
        <f>[254]All!K$9</f>
        <v>6.8488486416601182</v>
      </c>
      <c r="O255" s="1">
        <f>[254]All!L$9</f>
        <v>7.1922649871355757</v>
      </c>
      <c r="Q255" s="1">
        <f>[254]All!N$9</f>
        <v>7.4554776303310319</v>
      </c>
      <c r="R255" s="1">
        <f>[254]All!O$9</f>
        <v>7.3279690754004623</v>
      </c>
      <c r="S255" s="1">
        <f>[254]All!P$9</f>
        <v>7.1922649871355757</v>
      </c>
      <c r="U255" s="1">
        <f>'[254]Prof (MC)'!$B$4</f>
        <v>7.5433953957164572</v>
      </c>
      <c r="V255" s="1">
        <f>'[254]Prof (MC)'!$C$4</f>
        <v>7.4813442238033518</v>
      </c>
      <c r="W255" s="1">
        <f>'[254]Prof (MC)'!$W$130</f>
        <v>4.7564588884421237</v>
      </c>
      <c r="X255" s="1">
        <f>'[254]Prof (MC)'!$Z$130</f>
        <v>10.077908223598696</v>
      </c>
    </row>
    <row r="256" spans="1:24" x14ac:dyDescent="0.2">
      <c r="A256" t="s">
        <v>272</v>
      </c>
      <c r="B256" t="s">
        <v>435</v>
      </c>
      <c r="C256">
        <v>1600</v>
      </c>
      <c r="E256" s="1">
        <f>[255]All!B$9</f>
        <v>3.9387020226023197</v>
      </c>
      <c r="F256" s="1">
        <f>[255]All!C$9</f>
        <v>4.6624094796376845</v>
      </c>
      <c r="G256" s="1">
        <f>[255]All!D$9</f>
        <v>0.21091690527944656</v>
      </c>
      <c r="H256" s="1">
        <f>[255]All!E$9</f>
        <v>4.8208055327434733</v>
      </c>
      <c r="I256" s="1">
        <f>[255]All!F$9</f>
        <v>4.9287630874097337</v>
      </c>
      <c r="J256" s="1">
        <f>[255]All!G$9</f>
        <v>2.9939895971483939</v>
      </c>
      <c r="K256" s="1">
        <f>[255]All!H$9</f>
        <v>1.2322413837908459</v>
      </c>
      <c r="L256" s="1">
        <f>[255]All!I$9</f>
        <v>2.0820682347900994</v>
      </c>
      <c r="M256" s="1">
        <f>[255]All!J$9</f>
        <v>2.4589591458418569</v>
      </c>
      <c r="N256" s="1">
        <f>[255]All!K$9</f>
        <v>3.6054154934581883</v>
      </c>
      <c r="O256" s="1">
        <f>[255]All!L$9</f>
        <v>2.7544013242895247</v>
      </c>
      <c r="Q256" s="1">
        <f>[255]All!N$9</f>
        <v>3.1732772880546172</v>
      </c>
      <c r="R256" s="1">
        <f>[255]All!O$9</f>
        <v>3.0626065642719609</v>
      </c>
      <c r="S256" s="1">
        <f>[255]All!P$9</f>
        <v>2.9939895971483939</v>
      </c>
      <c r="U256" s="1">
        <f>'[255]Prof (MC)'!$B$4</f>
        <v>2.698903051459371</v>
      </c>
      <c r="V256" s="1">
        <f>'[255]Prof (MC)'!$C$4</f>
        <v>4.4240115569217089</v>
      </c>
      <c r="W256" s="1">
        <f>'[255]Prof (MC)'!$W$84</f>
        <v>9.7366702080764381E-2</v>
      </c>
      <c r="X256" s="1">
        <f>'[255]Prof (MC)'!$Z$84</f>
        <v>38.646909949615726</v>
      </c>
    </row>
    <row r="257" spans="1:24" x14ac:dyDescent="0.2">
      <c r="A257" t="s">
        <v>273</v>
      </c>
      <c r="B257" t="s">
        <v>433</v>
      </c>
      <c r="C257">
        <v>1600</v>
      </c>
      <c r="E257" s="1">
        <f>[256]All!B$9</f>
        <v>1.0268649870923738</v>
      </c>
      <c r="F257" s="1">
        <f>[256]All!C$9</f>
        <v>0.3891495196688935</v>
      </c>
      <c r="G257" s="1">
        <f>[256]All!D$9</f>
        <v>3.0031772035271927E-9</v>
      </c>
      <c r="H257" s="1">
        <f>[256]All!E$9</f>
        <v>1.0270434153915982</v>
      </c>
      <c r="I257" s="1">
        <f>[256]All!F$9</f>
        <v>0.10607503055384014</v>
      </c>
      <c r="J257" s="1">
        <f>[256]All!G$9</f>
        <v>1.3479471586163498</v>
      </c>
      <c r="K257" s="1">
        <f>[256]All!H$9</f>
        <v>3.2726169365880269</v>
      </c>
      <c r="L257" s="1">
        <f>[256]All!I$9</f>
        <v>0.92085209774149501</v>
      </c>
      <c r="M257" s="1">
        <f>[256]All!J$9</f>
        <v>0.65461385172456765</v>
      </c>
      <c r="N257" s="1">
        <f>[256]All!K$9</f>
        <v>0.32508190404756659</v>
      </c>
      <c r="O257" s="1">
        <f>[256]All!L$9</f>
        <v>0.34242906768403447</v>
      </c>
      <c r="Q257" s="1">
        <f>[256]All!N$9</f>
        <v>1.0266266298730604</v>
      </c>
      <c r="R257" s="1">
        <f>[256]All!O$9</f>
        <v>0.85569763382835684</v>
      </c>
      <c r="S257" s="1">
        <f>[256]All!P$9</f>
        <v>0.65461385172456765</v>
      </c>
      <c r="U257" s="1">
        <f>'[256]Prof (MC)'!$B$4</f>
        <v>0.43678813007287437</v>
      </c>
      <c r="V257" s="1">
        <f>'[256]Prof (MC)'!$C$4</f>
        <v>0.79345097137523135</v>
      </c>
      <c r="W257" s="1">
        <f>'[256]Prof (MC)'!$W$88</f>
        <v>0.10286399623449034</v>
      </c>
      <c r="X257" s="1">
        <f>'[256]Prof (MC)'!$Z$88</f>
        <v>2.3531550761136546</v>
      </c>
    </row>
    <row r="258" spans="1:24" x14ac:dyDescent="0.2">
      <c r="A258" t="s">
        <v>274</v>
      </c>
      <c r="B258" t="s">
        <v>434</v>
      </c>
      <c r="C258">
        <v>1900</v>
      </c>
      <c r="E258" s="1">
        <f>[257]All!B$9</f>
        <v>12.572288829732372</v>
      </c>
      <c r="F258" s="1">
        <f>[257]All!C$9</f>
        <v>14.843743706796317</v>
      </c>
      <c r="G258" s="1">
        <f>[257]All!D$9</f>
        <v>11.363555980731423</v>
      </c>
      <c r="H258" s="1">
        <f>[257]All!E$9</f>
        <v>12.012002927281404</v>
      </c>
      <c r="I258" s="1">
        <f>[257]All!F$9</f>
        <v>10.210000380923676</v>
      </c>
      <c r="J258" s="1">
        <f>[257]All!G$9</f>
        <v>11.755558907369878</v>
      </c>
      <c r="K258" s="1">
        <f>[257]All!H$9</f>
        <v>11.455866323928603</v>
      </c>
      <c r="L258" s="1">
        <f>[257]All!I$9</f>
        <v>8.3425073329957868</v>
      </c>
      <c r="M258" s="1">
        <f>[257]All!J$9</f>
        <v>9.9552165505102437</v>
      </c>
      <c r="N258" s="1">
        <f>[257]All!K$9</f>
        <v>12.017113323764478</v>
      </c>
      <c r="O258" s="1">
        <f>[257]All!L$9</f>
        <v>10.486990317689203</v>
      </c>
      <c r="Q258" s="1">
        <f>[257]All!N$9</f>
        <v>11.350005377423402</v>
      </c>
      <c r="R258" s="1">
        <f>[257]All!O$9</f>
        <v>11.364985871065763</v>
      </c>
      <c r="S258" s="1">
        <f>[257]All!P$9</f>
        <v>11.455866323928603</v>
      </c>
      <c r="U258" s="1">
        <f>'[257]Prof (MC)'!$B$4</f>
        <v>11.251819736820787</v>
      </c>
      <c r="V258" s="1">
        <f>'[257]Prof (MC)'!$C$4</f>
        <v>11.233320161687809</v>
      </c>
      <c r="W258" s="1">
        <f>'[257]Prof (MC)'!$W$134</f>
        <v>8.8828240219529171</v>
      </c>
      <c r="X258" s="1">
        <f>'[257]Prof (MC)'!$Z$134</f>
        <v>13.466266664320555</v>
      </c>
    </row>
    <row r="259" spans="1:24" x14ac:dyDescent="0.2">
      <c r="A259" t="s">
        <v>275</v>
      </c>
      <c r="B259" t="s">
        <v>434</v>
      </c>
      <c r="C259">
        <v>1900</v>
      </c>
      <c r="E259" s="1">
        <f>[258]All!B$9</f>
        <v>6.3329332112536489</v>
      </c>
      <c r="F259" s="1">
        <f>[258]All!C$9</f>
        <v>5.5832789957438305</v>
      </c>
      <c r="G259" s="1">
        <f>[258]All!D$9</f>
        <v>5.7987792325957015</v>
      </c>
      <c r="H259" s="1">
        <f>[258]All!E$9</f>
        <v>4.9989445934915722</v>
      </c>
      <c r="I259" s="1">
        <f>[258]All!F$9</f>
        <v>4.7833583656175653</v>
      </c>
      <c r="J259" s="1">
        <f>[258]All!G$9</f>
        <v>4.7167316746528742</v>
      </c>
      <c r="K259" s="1">
        <f>[258]All!H$9</f>
        <v>4.37359907934934</v>
      </c>
      <c r="L259" s="1">
        <f>[258]All!I$9</f>
        <v>3.8809851522037113</v>
      </c>
      <c r="M259" s="1">
        <f>[258]All!J$9</f>
        <v>3.8429941458188552</v>
      </c>
      <c r="N259" s="1">
        <f>[258]All!K$9</f>
        <v>4.7130065506042458</v>
      </c>
      <c r="O259" s="1">
        <f>[258]All!L$9</f>
        <v>4.5236951635842546</v>
      </c>
      <c r="Q259" s="1">
        <f>[258]All!N$9</f>
        <v>4.8780597937787622</v>
      </c>
      <c r="R259" s="1">
        <f>[258]All!O$9</f>
        <v>4.8680278331741462</v>
      </c>
      <c r="S259" s="1">
        <f>[258]All!P$9</f>
        <v>4.7167316746528742</v>
      </c>
      <c r="U259" s="1">
        <f>'[258]Prof (MC)'!$B$4</f>
        <v>4.8527154576809268</v>
      </c>
      <c r="V259" s="1">
        <f>'[258]Prof (MC)'!$C$4</f>
        <v>4.860756257313338</v>
      </c>
      <c r="W259" s="1">
        <f>'[258]Prof (MC)'!$W$110</f>
        <v>3.8337460447556566</v>
      </c>
      <c r="X259" s="1">
        <f>'[258]Prof (MC)'!$Z$110</f>
        <v>5.8607956133245454</v>
      </c>
    </row>
    <row r="260" spans="1:24" x14ac:dyDescent="0.2">
      <c r="A260" t="s">
        <v>276</v>
      </c>
      <c r="B260" t="s">
        <v>435</v>
      </c>
      <c r="C260">
        <v>1900</v>
      </c>
      <c r="E260" s="1">
        <f>[259]All!B$9</f>
        <v>3.3004437079853082</v>
      </c>
      <c r="F260" s="1">
        <f>[259]All!C$9</f>
        <v>2.9208209857796046</v>
      </c>
      <c r="G260" s="1">
        <f>[259]All!D$9</f>
        <v>3.2735241013338841</v>
      </c>
      <c r="H260" s="1">
        <f>[259]All!E$9</f>
        <v>4.2718334020429154</v>
      </c>
      <c r="I260" s="1">
        <f>[259]All!F$9</f>
        <v>4.0193619351355672</v>
      </c>
      <c r="J260" s="1">
        <f>[259]All!G$9</f>
        <v>3.3462418124376812</v>
      </c>
      <c r="K260" s="1">
        <f>[259]All!H$9</f>
        <v>4.8969985163349055</v>
      </c>
      <c r="L260" s="1">
        <f>[259]All!I$9</f>
        <v>3.8598545090603666</v>
      </c>
      <c r="M260" s="1">
        <f>[259]All!J$9</f>
        <v>4.0850732089930295</v>
      </c>
      <c r="N260" s="1">
        <f>[259]All!K$9</f>
        <v>4.8860490069592215</v>
      </c>
      <c r="O260" s="1">
        <f>[259]All!L$9</f>
        <v>3.875544095587399</v>
      </c>
      <c r="Q260" s="1">
        <f>[259]All!N$9</f>
        <v>3.776869329425705</v>
      </c>
      <c r="R260" s="1">
        <f>[259]All!O$9</f>
        <v>3.8850677528772617</v>
      </c>
      <c r="S260" s="1">
        <f>[259]All!P$9</f>
        <v>3.875544095587399</v>
      </c>
      <c r="U260" s="1">
        <f>'[259]Prof (MC)'!$B$4</f>
        <v>3.6994406112713252</v>
      </c>
      <c r="V260" s="1">
        <f>'[259]Prof (MC)'!$C$4</f>
        <v>3.7072946655120269</v>
      </c>
      <c r="W260" s="1">
        <f>'[259]Prof (MC)'!$W$88</f>
        <v>2.6149254602982213</v>
      </c>
      <c r="X260" s="1">
        <f>'[259]Prof (MC)'!$Z$88</f>
        <v>4.9852398631905821</v>
      </c>
    </row>
    <row r="261" spans="1:24" x14ac:dyDescent="0.2">
      <c r="A261" t="s">
        <v>277</v>
      </c>
      <c r="B261" t="s">
        <v>435</v>
      </c>
      <c r="C261">
        <v>1900</v>
      </c>
      <c r="E261" s="1">
        <f>[260]All!B$9</f>
        <v>15.452595291136786</v>
      </c>
      <c r="F261" s="1">
        <f>[260]All!C$9</f>
        <v>15.576142904192574</v>
      </c>
      <c r="G261" s="1">
        <f>[260]All!D$9</f>
        <v>11.693284814998755</v>
      </c>
      <c r="H261" s="1">
        <f>[260]All!E$9</f>
        <v>13.473157415261777</v>
      </c>
      <c r="I261" s="1">
        <f>[260]All!F$9</f>
        <v>12.419509285897233</v>
      </c>
      <c r="J261" s="1">
        <f>[260]All!G$9</f>
        <v>9.786265657033967</v>
      </c>
      <c r="K261" s="1">
        <f>[260]All!H$9</f>
        <v>13.016367801829132</v>
      </c>
      <c r="L261" s="1">
        <f>[260]All!I$9</f>
        <v>11.871881419836106</v>
      </c>
      <c r="M261" s="1">
        <f>[260]All!J$9</f>
        <v>12.600412703798982</v>
      </c>
      <c r="N261" s="1">
        <f>[260]All!K$9</f>
        <v>18.654281849501629</v>
      </c>
      <c r="O261" s="1">
        <f>[260]All!L$9</f>
        <v>11.699429431413373</v>
      </c>
      <c r="Q261" s="1">
        <f>[260]All!N$9</f>
        <v>13.255783369938881</v>
      </c>
      <c r="R261" s="1">
        <f>[260]All!O$9</f>
        <v>13.294848052263665</v>
      </c>
      <c r="S261" s="1">
        <f>[260]All!P$9</f>
        <v>12.600412703798982</v>
      </c>
      <c r="U261" s="1">
        <f>'[260]Prof (MC)'!$B$4</f>
        <v>13.289023013413274</v>
      </c>
      <c r="V261" s="1">
        <f>'[260]Prof (MC)'!$C$4</f>
        <v>13.219044148201977</v>
      </c>
      <c r="W261" s="1">
        <f>'[260]Prof (MC)'!$W$190</f>
        <v>10.227080820551132</v>
      </c>
      <c r="X261" s="1">
        <f>'[260]Prof (MC)'!$Z$190</f>
        <v>17.334643699511595</v>
      </c>
    </row>
    <row r="262" spans="1:24" x14ac:dyDescent="0.2">
      <c r="A262" t="s">
        <v>278</v>
      </c>
      <c r="B262" t="s">
        <v>435</v>
      </c>
      <c r="C262">
        <v>1900</v>
      </c>
      <c r="E262" s="1">
        <f>[261]All!B$9</f>
        <v>2.2659128909928086</v>
      </c>
      <c r="F262" s="1">
        <f>[261]All!C$9</f>
        <v>1.9900136955171528</v>
      </c>
      <c r="G262" s="1">
        <f>[261]All!D$9</f>
        <v>1.9974030085811012</v>
      </c>
      <c r="H262" s="1">
        <f>[261]All!E$9</f>
        <v>3.2204959481484594</v>
      </c>
      <c r="I262" s="1">
        <f>[261]All!F$9</f>
        <v>2.5925928092708728</v>
      </c>
      <c r="J262" s="1">
        <f>[261]All!G$9</f>
        <v>1.9976617641278835</v>
      </c>
      <c r="K262" s="1">
        <f>[261]All!H$9</f>
        <v>2.1355275117624126</v>
      </c>
      <c r="L262" s="1">
        <f>[261]All!I$9</f>
        <v>2.2701245052665584</v>
      </c>
      <c r="M262" s="1">
        <f>[261]All!J$9</f>
        <v>1.9562687807602923</v>
      </c>
      <c r="N262" s="1">
        <f>[261]All!K$9</f>
        <v>1.4697313909601462</v>
      </c>
      <c r="O262" s="1">
        <f>[261]All!L$9</f>
        <v>2.205865718803746</v>
      </c>
      <c r="Q262" s="1">
        <f>[261]All!N$9</f>
        <v>2.2307330539923442</v>
      </c>
      <c r="R262" s="1">
        <f>[261]All!O$9</f>
        <v>2.1910543658355852</v>
      </c>
      <c r="S262" s="1">
        <f>[261]All!P$9</f>
        <v>2.1355275117624126</v>
      </c>
      <c r="U262" s="1">
        <f>'[261]Prof (MC)'!$B$4</f>
        <v>2.2470095440391238</v>
      </c>
      <c r="V262" s="1">
        <f>'[261]Prof (MC)'!$C$4</f>
        <v>2.2163306836549066</v>
      </c>
      <c r="W262" s="1">
        <f>'[261]Prof (MC)'!$W$96</f>
        <v>1.2703563141024743</v>
      </c>
      <c r="X262" s="1">
        <f>'[261]Prof (MC)'!$Z$96</f>
        <v>3.1243153866648914</v>
      </c>
    </row>
    <row r="263" spans="1:24" x14ac:dyDescent="0.2">
      <c r="A263" t="s">
        <v>279</v>
      </c>
      <c r="B263" t="s">
        <v>433</v>
      </c>
      <c r="C263">
        <v>1900</v>
      </c>
      <c r="E263" s="1">
        <f>[262]All!B$9</f>
        <v>0.25384956725659835</v>
      </c>
      <c r="F263" s="1">
        <f>[262]All!C$9</f>
        <v>1.0260036112019431</v>
      </c>
      <c r="G263" s="1">
        <f>[262]All!D$9</f>
        <v>0.54396544699840688</v>
      </c>
      <c r="H263" s="1">
        <f>[262]All!E$9</f>
        <v>1.0683340721084325</v>
      </c>
      <c r="I263" s="1">
        <f>[262]All!F$9</f>
        <v>1.2725552258243511</v>
      </c>
      <c r="J263" s="1">
        <f>[262]All!G$9</f>
        <v>0.50966344938913632</v>
      </c>
      <c r="K263" s="1">
        <f>[262]All!H$9</f>
        <v>1.0743123226753817</v>
      </c>
      <c r="L263" s="1">
        <f>[262]All!I$9</f>
        <v>0.22113474671815683</v>
      </c>
      <c r="M263" s="1">
        <f>[262]All!J$9</f>
        <v>0.6063197987828548</v>
      </c>
      <c r="N263" s="1">
        <f>[262]All!K$9</f>
        <v>1.0968230255990303</v>
      </c>
      <c r="O263" s="1">
        <f>[262]All!L$9</f>
        <v>0.99837248542068635</v>
      </c>
      <c r="Q263" s="1">
        <f>[262]All!N$9</f>
        <v>1.0649764738223548</v>
      </c>
      <c r="R263" s="1">
        <f>[262]All!O$9</f>
        <v>0.78830306836136155</v>
      </c>
      <c r="S263" s="1">
        <f>[262]All!P$9</f>
        <v>0.99837248542068635</v>
      </c>
      <c r="U263" s="1">
        <f>'[262]Prof (MC)'!$B$4</f>
        <v>0.80992101332466637</v>
      </c>
      <c r="V263" s="1">
        <f>'[262]Prof (MC)'!$C$4</f>
        <v>0.79357827279725623</v>
      </c>
      <c r="W263" s="1">
        <f>'[262]Prof (MC)'!$W$76</f>
        <v>0.21040510445300739</v>
      </c>
      <c r="X263" s="1">
        <f>'[262]Prof (MC)'!$Z$76</f>
        <v>1.7502429855742292</v>
      </c>
    </row>
    <row r="264" spans="1:24" x14ac:dyDescent="0.2">
      <c r="A264" t="s">
        <v>280</v>
      </c>
      <c r="B264" t="s">
        <v>435</v>
      </c>
      <c r="C264">
        <v>1500</v>
      </c>
      <c r="E264" s="1">
        <f>[263]All!B$9</f>
        <v>2.9737168683753454</v>
      </c>
      <c r="F264" s="1">
        <f>[263]All!C$9</f>
        <v>2.7653506881979029</v>
      </c>
      <c r="G264" s="1">
        <f>[263]All!D$9</f>
        <v>2.9124670779276181</v>
      </c>
      <c r="H264" s="1">
        <f>[263]All!E$9</f>
        <v>2.6465925845253215</v>
      </c>
      <c r="I264" s="1">
        <f>[263]All!F$9</f>
        <v>2.2780376225308796</v>
      </c>
      <c r="J264" s="1">
        <f>[263]All!G$9</f>
        <v>2.6522402100078368</v>
      </c>
      <c r="K264" s="1">
        <f>[263]All!H$9</f>
        <v>3.5685305458559231</v>
      </c>
      <c r="L264" s="1">
        <f>[263]All!I$9</f>
        <v>2.4430183534581347</v>
      </c>
      <c r="M264" s="1">
        <f>[263]All!J$9</f>
        <v>2.9504290621830722</v>
      </c>
      <c r="N264" s="1">
        <f>[263]All!K$9</f>
        <v>2.760233863309923</v>
      </c>
      <c r="O264" s="1">
        <f>[263]All!L$9</f>
        <v>3.3502931759121566</v>
      </c>
      <c r="Q264" s="1">
        <f>[263]All!N$9</f>
        <v>2.8873075208546477</v>
      </c>
      <c r="R264" s="1">
        <f>[263]All!O$9</f>
        <v>2.8455372774803744</v>
      </c>
      <c r="S264" s="1">
        <f>[263]All!P$9</f>
        <v>2.7653506881979029</v>
      </c>
      <c r="U264" s="1">
        <f>'[263]Prof (MC)'!$B$4</f>
        <v>2.8665546429224706</v>
      </c>
      <c r="V264" s="1">
        <f>'[263]Prof (MC)'!$C$4</f>
        <v>2.8812548742520105</v>
      </c>
      <c r="W264" s="1">
        <f>'[263]Prof (MC)'!$W$94</f>
        <v>1.9588076663947112</v>
      </c>
      <c r="X264" s="1">
        <f>'[263]Prof (MC)'!$Z$94</f>
        <v>3.7346810969272104</v>
      </c>
    </row>
    <row r="265" spans="1:24" x14ac:dyDescent="0.2">
      <c r="A265" t="s">
        <v>281</v>
      </c>
      <c r="B265" t="s">
        <v>435</v>
      </c>
      <c r="C265">
        <v>1500</v>
      </c>
      <c r="E265" s="1">
        <f>[264]All!B$9</f>
        <v>1.713016581615022</v>
      </c>
      <c r="F265" s="1">
        <f>[264]All!C$9</f>
        <v>1.8707653081536639</v>
      </c>
      <c r="G265" s="1">
        <f>[264]All!D$9</f>
        <v>2.2854005318210322</v>
      </c>
      <c r="H265" s="1">
        <f>[264]All!E$9</f>
        <v>2.3332187843534076</v>
      </c>
      <c r="I265" s="1">
        <f>[264]All!F$9</f>
        <v>2.2243902691748061</v>
      </c>
      <c r="J265" s="1">
        <f>[264]All!G$9</f>
        <v>1.0055663856767154</v>
      </c>
      <c r="K265" s="1">
        <f>[264]All!H$9</f>
        <v>1.6866030152022609</v>
      </c>
      <c r="L265" s="1">
        <f>[264]All!I$9</f>
        <v>0.25185140863577488</v>
      </c>
      <c r="M265" s="1">
        <f>[264]All!J$9</f>
        <v>0.24589601573056824</v>
      </c>
      <c r="N265" s="1">
        <f>[264]All!K$9</f>
        <v>1.1090182756414417</v>
      </c>
      <c r="O265" s="1">
        <f>[264]All!L$9</f>
        <v>1.5402614673562742</v>
      </c>
      <c r="Q265" s="1">
        <f>[264]All!N$9</f>
        <v>1.4719791462396583</v>
      </c>
      <c r="R265" s="1">
        <f>[264]All!O$9</f>
        <v>1.478726185760088</v>
      </c>
      <c r="S265" s="1">
        <f>[264]All!P$9</f>
        <v>1.6866030152022609</v>
      </c>
      <c r="U265" s="1">
        <f>'[264]Prof (MC)'!$B$4</f>
        <v>1.4747995978859527</v>
      </c>
      <c r="V265" s="1">
        <f>'[264]Prof (MC)'!$C$4</f>
        <v>2.0929969342622829</v>
      </c>
      <c r="W265" s="1">
        <f>'[264]Prof (MC)'!$W$100</f>
        <v>0.23850066517502036</v>
      </c>
      <c r="X265" s="1">
        <f>'[264]Prof (MC)'!$Z$100</f>
        <v>10.174422923658909</v>
      </c>
    </row>
    <row r="266" spans="1:24" x14ac:dyDescent="0.2">
      <c r="A266" t="s">
        <v>282</v>
      </c>
      <c r="B266" t="s">
        <v>435</v>
      </c>
      <c r="C266">
        <v>1500</v>
      </c>
      <c r="E266" s="1">
        <f>[265]All!B$9</f>
        <v>2.558421853841514</v>
      </c>
      <c r="F266" s="1">
        <f>[265]All!C$9</f>
        <v>2.9080530306143038</v>
      </c>
      <c r="G266" s="1">
        <f>[265]All!D$9</f>
        <v>2.9703165022938274</v>
      </c>
      <c r="H266" s="1">
        <f>[265]All!E$9</f>
        <v>2.8587193434072025</v>
      </c>
      <c r="I266" s="1">
        <f>[265]All!F$9</f>
        <v>3.1221885946781192</v>
      </c>
      <c r="J266" s="1">
        <f>[265]All!G$9</f>
        <v>1.798445721327222</v>
      </c>
      <c r="K266" s="1">
        <f>[265]All!H$9</f>
        <v>2.7787202416726728</v>
      </c>
      <c r="L266" s="1">
        <f>[265]All!I$9</f>
        <v>2.2198608138484506</v>
      </c>
      <c r="M266" s="1">
        <f>[265]All!J$9</f>
        <v>3.2265241823258508</v>
      </c>
      <c r="N266" s="1">
        <f>[265]All!K$9</f>
        <v>2.9772322605411752</v>
      </c>
      <c r="O266" s="1">
        <f>[265]All!L$9</f>
        <v>2.2981862760467142</v>
      </c>
      <c r="Q266" s="1">
        <f>[265]All!N$9</f>
        <v>2.7355549013632823</v>
      </c>
      <c r="R266" s="1">
        <f>[265]All!O$9</f>
        <v>2.7015153473270046</v>
      </c>
      <c r="S266" s="1">
        <f>[265]All!P$9</f>
        <v>2.8587193434072025</v>
      </c>
      <c r="U266" s="1">
        <f>'[265]Prof (MC)'!$B$4</f>
        <v>2.7673915556966415</v>
      </c>
      <c r="V266" s="1">
        <f>'[265]Prof (MC)'!$C$4</f>
        <v>2.7447771698764289</v>
      </c>
      <c r="W266" s="1">
        <f>'[265]Prof (MC)'!$W$78</f>
        <v>1.2521439794453622</v>
      </c>
      <c r="X266" s="1">
        <f>'[265]Prof (MC)'!$Z$78</f>
        <v>4.0951738336479009</v>
      </c>
    </row>
    <row r="267" spans="1:24" x14ac:dyDescent="0.2">
      <c r="A267" t="s">
        <v>283</v>
      </c>
      <c r="B267" t="s">
        <v>435</v>
      </c>
      <c r="C267">
        <v>1500</v>
      </c>
      <c r="E267" s="1">
        <f>[266]All!B$9</f>
        <v>1.3153270132252677</v>
      </c>
      <c r="F267" s="1">
        <f>[266]All!C$9</f>
        <v>2.5742077878583363</v>
      </c>
      <c r="G267" s="1">
        <f>[266]All!D$9</f>
        <v>2.0107295714822921</v>
      </c>
      <c r="H267" s="1">
        <f>[266]All!E$9</f>
        <v>2.7505035453409197</v>
      </c>
      <c r="I267" s="1">
        <f>[266]All!F$9</f>
        <v>1.6082736424597521</v>
      </c>
      <c r="J267" s="1">
        <f>[266]All!G$9</f>
        <v>1.159142929200867</v>
      </c>
      <c r="K267" s="1">
        <f>[266]All!H$9</f>
        <v>0.72999170838589755</v>
      </c>
      <c r="L267" s="1">
        <f>[266]All!I$9</f>
        <v>2.6160024292424624</v>
      </c>
      <c r="M267" s="1">
        <f>[266]All!J$9</f>
        <v>2.2097865165922004</v>
      </c>
      <c r="N267" s="1">
        <f>[266]All!K$9</f>
        <v>1.7213897928942923</v>
      </c>
      <c r="O267" s="1">
        <f>[266]All!L$9</f>
        <v>2.2413936158504999</v>
      </c>
      <c r="Q267" s="1">
        <f>[266]All!N$9</f>
        <v>1.8266087500044661</v>
      </c>
      <c r="R267" s="1">
        <f>[266]All!O$9</f>
        <v>1.9033407775029803</v>
      </c>
      <c r="S267" s="1">
        <f>[266]All!P$9</f>
        <v>2.0107295714822921</v>
      </c>
      <c r="U267" s="1">
        <f>'[266]Prof (MC)'!$B$4</f>
        <v>1.8184813473749948</v>
      </c>
      <c r="V267" s="1">
        <f>'[266]Prof (MC)'!$C$4</f>
        <v>1.6776283894690409</v>
      </c>
      <c r="W267" s="1">
        <f>'[266]Prof (MC)'!$W$82</f>
        <v>0.20796003792822437</v>
      </c>
      <c r="X267" s="1">
        <f>'[266]Prof (MC)'!$Z$82</f>
        <v>3.1945778856547054</v>
      </c>
    </row>
    <row r="268" spans="1:24" x14ac:dyDescent="0.2">
      <c r="A268" t="s">
        <v>284</v>
      </c>
      <c r="B268" t="s">
        <v>434</v>
      </c>
      <c r="C268">
        <v>1550</v>
      </c>
      <c r="E268" s="1">
        <f>[267]All!B$9</f>
        <v>16.590997080470267</v>
      </c>
      <c r="F268" s="1">
        <f>[267]All!C$9</f>
        <v>15.579227079442067</v>
      </c>
      <c r="G268" s="1">
        <f>[267]All!D$9</f>
        <v>15.108540438603258</v>
      </c>
      <c r="H268" s="1">
        <f>[267]All!E$9</f>
        <v>15.908574337043397</v>
      </c>
      <c r="I268" s="1">
        <f>[267]All!F$9</f>
        <v>14.072362635359713</v>
      </c>
      <c r="J268" s="1">
        <f>[267]All!G$9</f>
        <v>14.378310697585203</v>
      </c>
      <c r="K268" s="1">
        <f>[267]All!H$9</f>
        <v>15.577999857288569</v>
      </c>
      <c r="L268" s="1">
        <f>[267]All!I$9</f>
        <v>15.749415602138503</v>
      </c>
      <c r="M268" s="1">
        <f>[267]All!J$9</f>
        <v>15.485874939504185</v>
      </c>
      <c r="N268" s="1">
        <f>[267]All!K$9</f>
        <v>13.882147070148802</v>
      </c>
      <c r="O268" s="1">
        <f>[267]All!L$9</f>
        <v>13.081339301916342</v>
      </c>
      <c r="Q268" s="1">
        <f>[267]All!N$9</f>
        <v>15.069007825555513</v>
      </c>
      <c r="R268" s="1">
        <f>[267]All!O$9</f>
        <v>15.037708094500028</v>
      </c>
      <c r="S268" s="1">
        <f>[267]All!P$9</f>
        <v>15.485874939504185</v>
      </c>
      <c r="U268" s="1">
        <f>'[267]Prof (MC)'!$B$4</f>
        <v>14.879242624951644</v>
      </c>
      <c r="V268" s="1">
        <f>'[267]Prof (MC)'!$C$4</f>
        <v>14.965735753966724</v>
      </c>
      <c r="W268" s="1">
        <f>'[267]Prof (MC)'!$W$192</f>
        <v>13.102073822700516</v>
      </c>
      <c r="X268" s="1">
        <f>'[267]Prof (MC)'!$Z$192</f>
        <v>16.961456626021178</v>
      </c>
    </row>
    <row r="269" spans="1:24" x14ac:dyDescent="0.2">
      <c r="A269" t="s">
        <v>285</v>
      </c>
      <c r="B269" t="s">
        <v>435</v>
      </c>
      <c r="C269">
        <v>1550</v>
      </c>
      <c r="E269" s="1">
        <f>[268]All!B$9</f>
        <v>7.1368781551176088</v>
      </c>
      <c r="F269" s="1">
        <f>[268]All!C$9</f>
        <v>6.1537196423499507</v>
      </c>
      <c r="G269" s="1">
        <f>[268]All!D$9</f>
        <v>6.1319441605228588</v>
      </c>
      <c r="H269" s="1">
        <f>[268]All!E$9</f>
        <v>5.7679971068469893</v>
      </c>
      <c r="I269" s="1">
        <f>[268]All!F$9</f>
        <v>6.6163378206999424</v>
      </c>
      <c r="J269" s="1">
        <f>[268]All!G$9</f>
        <v>5.1479111642018873</v>
      </c>
      <c r="K269" s="1">
        <f>[268]All!H$9</f>
        <v>5.3858351906588675</v>
      </c>
      <c r="L269" s="1">
        <f>[268]All!I$9</f>
        <v>5.9222603871567907</v>
      </c>
      <c r="M269" s="1">
        <f>[268]All!J$9</f>
        <v>5.7500864384640025</v>
      </c>
      <c r="N269" s="1">
        <f>[268]All!K$9</f>
        <v>5.9578622910668608</v>
      </c>
      <c r="O269" s="1">
        <f>[268]All!L$9</f>
        <v>7.7017811347646417</v>
      </c>
      <c r="Q269" s="1">
        <f>[268]All!N$9</f>
        <v>6.2199693524597377</v>
      </c>
      <c r="R269" s="1">
        <f>[268]All!O$9</f>
        <v>6.1520557719864</v>
      </c>
      <c r="S269" s="1">
        <f>[268]All!P$9</f>
        <v>5.9578622910668608</v>
      </c>
      <c r="U269" s="1">
        <f>'[268]Prof (MC)'!$B$4</f>
        <v>6.1890067255238925</v>
      </c>
      <c r="V269" s="1">
        <f>'[268]Prof (MC)'!$C$4</f>
        <v>6.1706839089485106</v>
      </c>
      <c r="W269" s="1">
        <f>'[268]Prof (MC)'!$W$114</f>
        <v>5.0212590827378074</v>
      </c>
      <c r="X269" s="1">
        <f>'[268]Prof (MC)'!$Z$114</f>
        <v>7.3463245533008203</v>
      </c>
    </row>
    <row r="270" spans="1:24" x14ac:dyDescent="0.2">
      <c r="A270" t="s">
        <v>286</v>
      </c>
      <c r="B270" t="s">
        <v>435</v>
      </c>
      <c r="C270">
        <v>1550</v>
      </c>
      <c r="E270" s="1">
        <f>[269]All!B$9</f>
        <v>7.0460701458284651</v>
      </c>
      <c r="F270" s="1">
        <f>[269]All!C$9</f>
        <v>6.7394454371465384</v>
      </c>
      <c r="G270" s="1">
        <f>[269]All!D$9</f>
        <v>9.5763409712381726</v>
      </c>
      <c r="H270" s="1">
        <f>[269]All!E$9</f>
        <v>9.0340113055775451</v>
      </c>
      <c r="I270" s="1">
        <f>[269]All!F$9</f>
        <v>7.1165596876048562</v>
      </c>
      <c r="J270" s="1">
        <f>[269]All!G$9</f>
        <v>5.8284051162636104</v>
      </c>
      <c r="K270" s="1">
        <f>[269]All!H$9</f>
        <v>6.3937346342447254</v>
      </c>
      <c r="L270" s="1">
        <f>[269]All!I$9</f>
        <v>3.7206839634521964</v>
      </c>
      <c r="M270" s="1">
        <f>[269]All!J$9</f>
        <v>5.6568521601876069</v>
      </c>
      <c r="N270" s="1">
        <f>[269]All!K$9</f>
        <v>5.94008149333205</v>
      </c>
      <c r="O270" s="1">
        <f>[269]All!L$9</f>
        <v>5.3112568265351365</v>
      </c>
      <c r="Q270" s="1">
        <f>[269]All!N$9</f>
        <v>6.3129273363221925</v>
      </c>
      <c r="R270" s="1">
        <f>[269]All!O$9</f>
        <v>6.5784947037646271</v>
      </c>
      <c r="S270" s="1">
        <f>[269]All!P$9</f>
        <v>6.3937346342447254</v>
      </c>
      <c r="U270" s="1">
        <f>'[269]Prof (MC)'!$B$4</f>
        <v>6.2766976229568279</v>
      </c>
      <c r="V270" s="1">
        <f>'[269]Prof (MC)'!$C$4</f>
        <v>6.5284865008580457</v>
      </c>
      <c r="W270" s="1">
        <f>'[269]Prof (MC)'!$W$100</f>
        <v>3.8153086992159428</v>
      </c>
      <c r="X270" s="1">
        <f>'[269]Prof (MC)'!$Z$100</f>
        <v>10.864035910261316</v>
      </c>
    </row>
    <row r="271" spans="1:24" x14ac:dyDescent="0.2">
      <c r="A271" t="s">
        <v>287</v>
      </c>
      <c r="B271" t="s">
        <v>435</v>
      </c>
      <c r="C271">
        <v>1550</v>
      </c>
      <c r="E271" s="1">
        <f>[270]All!B$9</f>
        <v>5.7421201412195542</v>
      </c>
      <c r="F271" s="1">
        <f>[270]All!C$9</f>
        <v>5.5966541220011177</v>
      </c>
      <c r="G271" s="1">
        <f>[270]All!D$9</f>
        <v>5.0432230806881559</v>
      </c>
      <c r="H271" s="1">
        <f>[270]All!E$9</f>
        <v>4.8031199940496982</v>
      </c>
      <c r="I271" s="1">
        <f>[270]All!F$9</f>
        <v>6.2036756339100432</v>
      </c>
      <c r="J271" s="1">
        <f>[270]All!G$9</f>
        <v>4.8311223960242335</v>
      </c>
      <c r="K271" s="1">
        <f>[270]All!H$9</f>
        <v>4.2350833179450014</v>
      </c>
      <c r="L271" s="1">
        <f>[270]All!I$9</f>
        <v>4.881799912292565</v>
      </c>
      <c r="M271" s="1">
        <f>[270]All!J$9</f>
        <v>6.2118004872265189</v>
      </c>
      <c r="N271" s="1">
        <f>[270]All!K$9</f>
        <v>5.8974631524133976</v>
      </c>
      <c r="O271" s="1">
        <f>[270]All!L$9</f>
        <v>5.0428670556424597</v>
      </c>
      <c r="Q271" s="1">
        <f>[270]All!N$9</f>
        <v>5.3617378620739764</v>
      </c>
      <c r="R271" s="1">
        <f>[270]All!O$9</f>
        <v>5.3171753903102505</v>
      </c>
      <c r="S271" s="1">
        <f>[270]All!P$9</f>
        <v>5.0432230806881559</v>
      </c>
      <c r="U271" s="1">
        <f>'[270]Prof (MC)'!$B$4</f>
        <v>5.3994530970011745</v>
      </c>
      <c r="V271" s="1">
        <f>'[270]Prof (MC)'!$C$4</f>
        <v>5.4249495802032675</v>
      </c>
      <c r="W271" s="1">
        <f>'[270]Prof (MC)'!$W$104</f>
        <v>4.2840404450533107</v>
      </c>
      <c r="X271" s="1">
        <f>'[270]Prof (MC)'!$Z$104</f>
        <v>6.7984285829488238</v>
      </c>
    </row>
    <row r="272" spans="1:24" x14ac:dyDescent="0.2">
      <c r="A272" t="s">
        <v>288</v>
      </c>
      <c r="B272" t="s">
        <v>434</v>
      </c>
      <c r="C272">
        <v>1550</v>
      </c>
      <c r="E272" s="1">
        <f>[271]All!B$9</f>
        <v>0.24582284718336958</v>
      </c>
      <c r="F272" s="1">
        <f>[271]All!C$9</f>
        <v>0.83903161057661668</v>
      </c>
      <c r="G272" s="1">
        <f>[271]All!D$9</f>
        <v>2.9794505307567212</v>
      </c>
      <c r="H272" s="1">
        <f>[271]All!E$9</f>
        <v>0</v>
      </c>
      <c r="I272" s="1">
        <f>[271]All!F$9</f>
        <v>0.22293583571680825</v>
      </c>
      <c r="J272" s="1">
        <f>[271]All!G$9</f>
        <v>2.7132439108209563</v>
      </c>
      <c r="K272" s="1">
        <f>[271]All!H$9</f>
        <v>5.6659838570744428E-2</v>
      </c>
      <c r="L272" s="1">
        <f>[271]All!I$9</f>
        <v>5.8643000000000002E-3</v>
      </c>
      <c r="M272" s="1">
        <f>[271]All!J$9</f>
        <v>4.5851739618883931</v>
      </c>
      <c r="N272" s="1">
        <f>[271]All!K$9</f>
        <v>1.9765606211681788</v>
      </c>
      <c r="O272" s="1">
        <f>[271]All!L$9</f>
        <v>0.1090345700553593</v>
      </c>
      <c r="Q272" s="1">
        <f>[271]All!N$9</f>
        <v>2.4486303049906883</v>
      </c>
      <c r="R272" s="1">
        <f>[271]All!O$9</f>
        <v>1.3733778026737147</v>
      </c>
      <c r="S272" s="1">
        <f>[271]All!P$9</f>
        <v>0.54242722887999317</v>
      </c>
      <c r="U272" s="1">
        <f>'[271]Prof (MC)'!$B$4</f>
        <v>1.6749799609199085</v>
      </c>
      <c r="V272" s="1">
        <f>'[271]Prof (MC)'!$C$4</f>
        <v>2.4149107829034104</v>
      </c>
      <c r="W272" s="1">
        <f>'[271]Prof (MC)'!$W$84</f>
        <v>3.9447527323857523E-6</v>
      </c>
      <c r="X272" s="1">
        <f>'[271]Prof (MC)'!$Z$84</f>
        <v>7.4226510687671992</v>
      </c>
    </row>
    <row r="273" spans="1:24" x14ac:dyDescent="0.2">
      <c r="A273" t="s">
        <v>289</v>
      </c>
      <c r="B273" t="s">
        <v>435</v>
      </c>
      <c r="C273">
        <v>1550</v>
      </c>
      <c r="E273" s="1">
        <f>[272]All!B$9</f>
        <v>1.2696918904713979</v>
      </c>
      <c r="F273" s="1">
        <f>[272]All!C$9</f>
        <v>3.0252999506617524</v>
      </c>
      <c r="G273" s="1">
        <f>[272]All!D$9</f>
        <v>0.27670704907860211</v>
      </c>
      <c r="H273" s="1">
        <f>[272]All!E$9</f>
        <v>2.2118239598620297</v>
      </c>
      <c r="I273" s="1">
        <f>[272]All!F$9</f>
        <v>5.0682565207561682E-2</v>
      </c>
      <c r="J273" s="1">
        <f>[272]All!G$9</f>
        <v>0.23156255158005279</v>
      </c>
      <c r="K273" s="1">
        <f>[272]All!H$9</f>
        <v>0.22614972227444702</v>
      </c>
      <c r="L273" s="1">
        <f>[272]All!I$9</f>
        <v>9.7335265024729292E-2</v>
      </c>
      <c r="M273" s="1">
        <f>[272]All!J$9</f>
        <v>0.78108701050741236</v>
      </c>
      <c r="N273" s="1">
        <f>[272]All!K$9</f>
        <v>0</v>
      </c>
      <c r="O273" s="1">
        <f>[272]All!L$9</f>
        <v>0.83547372266520947</v>
      </c>
      <c r="Q273" s="1">
        <f>[272]All!N$9</f>
        <v>1.6516258175042837</v>
      </c>
      <c r="R273" s="1">
        <f>[272]All!O$9</f>
        <v>0.90058136873331962</v>
      </c>
      <c r="S273" s="1">
        <f>[272]All!P$9</f>
        <v>0.52889702979300723</v>
      </c>
      <c r="U273" s="1">
        <f>'[272]Prof (MC)'!$B$4</f>
        <v>1.6319566816519251</v>
      </c>
      <c r="V273" s="1">
        <f>'[272]Prof (MC)'!$C$4</f>
        <v>2.2521781747815277</v>
      </c>
      <c r="W273" s="1">
        <f>'[272]Prof (MC)'!$W$88</f>
        <v>5.8807080257115819E-2</v>
      </c>
      <c r="X273" s="1">
        <f>'[272]Prof (MC)'!$Z$88</f>
        <v>9.3532371507490168</v>
      </c>
    </row>
    <row r="274" spans="1:24" x14ac:dyDescent="0.2">
      <c r="A274" t="s">
        <v>290</v>
      </c>
      <c r="B274" t="s">
        <v>435</v>
      </c>
      <c r="C274">
        <v>1550</v>
      </c>
      <c r="E274" s="1">
        <f>[273]All!B$9</f>
        <v>1.5753889192428452E-2</v>
      </c>
      <c r="F274" s="1">
        <f>[273]All!C$9</f>
        <v>0.17573222198593555</v>
      </c>
      <c r="G274" s="1">
        <f>[273]All!D$9</f>
        <v>4.8510448999999997E-2</v>
      </c>
      <c r="H274" s="1">
        <f>[273]All!E$9</f>
        <v>0.21775844694055599</v>
      </c>
      <c r="I274" s="1">
        <f>[273]All!F$9</f>
        <v>0.28977951764152199</v>
      </c>
      <c r="J274" s="1">
        <f>[273]All!G$9</f>
        <v>0.12938887186360731</v>
      </c>
      <c r="K274" s="1">
        <f>[273]All!H$9</f>
        <v>3.7531139572885217E-2</v>
      </c>
      <c r="L274" s="1">
        <f>[273]All!I$9</f>
        <v>0.22769642944115984</v>
      </c>
      <c r="M274" s="1">
        <f>[273]All!J$9</f>
        <v>1.0223507048617633</v>
      </c>
      <c r="N274" s="1">
        <f>[273]All!K$9</f>
        <v>0.18358924294692516</v>
      </c>
      <c r="O274" s="1">
        <f>[273]All!L$9</f>
        <v>6.3308421000000004E-2</v>
      </c>
      <c r="Q274" s="1">
        <f>[273]All!N$9</f>
        <v>0.22494030287297387</v>
      </c>
      <c r="R274" s="1">
        <f>[273]All!O$9</f>
        <v>0.21921812131334392</v>
      </c>
      <c r="S274" s="1">
        <f>[273]All!P$9</f>
        <v>0.17573222198593555</v>
      </c>
      <c r="U274" s="1">
        <f>'[273]Prof (MC)'!$B$4</f>
        <v>0.21436378727075883</v>
      </c>
      <c r="V274" s="1">
        <f>'[273]Prof (MC)'!$C$4</f>
        <v>0.80420858088021641</v>
      </c>
      <c r="W274" s="1">
        <f>'[273]Prof (MC)'!$W$88</f>
        <v>1.4311495288291528E-6</v>
      </c>
      <c r="X274" s="1">
        <f>'[273]Prof (MC)'!$Z$88</f>
        <v>5.4218090413097446</v>
      </c>
    </row>
    <row r="275" spans="1:24" x14ac:dyDescent="0.2">
      <c r="A275" t="s">
        <v>291</v>
      </c>
      <c r="B275" t="s">
        <v>435</v>
      </c>
      <c r="C275">
        <v>1550</v>
      </c>
      <c r="E275" s="1">
        <f>[274]All!B$9</f>
        <v>1.3535093224621253</v>
      </c>
      <c r="F275" s="1">
        <f>[274]All!C$9</f>
        <v>4.7252047462294847E-2</v>
      </c>
      <c r="G275" s="1">
        <f>[274]All!D$9</f>
        <v>2.837915001964165</v>
      </c>
      <c r="H275" s="1">
        <f>[274]All!E$9</f>
        <v>0.19784737555983092</v>
      </c>
      <c r="I275" s="1">
        <f>[274]All!F$9</f>
        <v>0.61486498473668849</v>
      </c>
      <c r="J275" s="1">
        <f>[274]All!G$9</f>
        <v>0.65452038499761844</v>
      </c>
      <c r="K275" s="1">
        <f>[274]All!H$9</f>
        <v>0.69918830540702614</v>
      </c>
      <c r="L275" s="1">
        <f>[274]All!I$9</f>
        <v>1.0135214E-2</v>
      </c>
      <c r="M275" s="1">
        <f>[274]All!J$9</f>
        <v>0.11918198956253497</v>
      </c>
      <c r="N275" s="1">
        <f>[274]All!K$9</f>
        <v>7.4069913988713029E-2</v>
      </c>
      <c r="O275" s="1">
        <f>[274]All!L$9</f>
        <v>0.25518705492478594</v>
      </c>
      <c r="Q275" s="1">
        <f>[274]All!N$9</f>
        <v>3.359938064899743</v>
      </c>
      <c r="R275" s="1">
        <f>[274]All!O$9</f>
        <v>0.62397014500598036</v>
      </c>
      <c r="S275" s="1">
        <f>[274]All!P$9</f>
        <v>0.25518705492478594</v>
      </c>
      <c r="U275" s="1">
        <f>'[274]Prof (MC)'!$B$4</f>
        <v>0.39716789293355692</v>
      </c>
      <c r="V275" s="1">
        <f>'[274]Prof (MC)'!$C$4</f>
        <v>1.8838169863905008</v>
      </c>
      <c r="W275" s="1">
        <f>'[274]Prof (MC)'!$W$130</f>
        <v>3.5621967847670167E-8</v>
      </c>
      <c r="X275" s="1">
        <f>'[274]Prof (MC)'!$Z$130</f>
        <v>8.2348314634815694</v>
      </c>
    </row>
    <row r="276" spans="1:24" x14ac:dyDescent="0.2">
      <c r="A276" t="s">
        <v>292</v>
      </c>
      <c r="B276" t="s">
        <v>435</v>
      </c>
      <c r="C276">
        <v>1550</v>
      </c>
      <c r="E276" s="1">
        <f>[275]All!B$9</f>
        <v>2.6244186765907318</v>
      </c>
      <c r="F276" s="1">
        <f>[275]All!C$9</f>
        <v>1.0205792768076261</v>
      </c>
      <c r="G276" s="1">
        <f>[275]All!D$9</f>
        <v>1.2793921977511804</v>
      </c>
      <c r="H276" s="1">
        <f>[275]All!E$9</f>
        <v>0.88381443962361483</v>
      </c>
      <c r="I276" s="1">
        <f>[275]All!F$9</f>
        <v>2.3172077438266769</v>
      </c>
      <c r="J276" s="1">
        <f>[275]All!G$9</f>
        <v>1.6042788709630833</v>
      </c>
      <c r="K276" s="1">
        <f>[275]All!H$9</f>
        <v>1.4967225278543401</v>
      </c>
      <c r="L276" s="1">
        <f>[275]All!I$9</f>
        <v>1.9304101174200525</v>
      </c>
      <c r="M276" s="1">
        <f>[275]All!J$9</f>
        <v>1.8273347308540282</v>
      </c>
      <c r="N276" s="1">
        <f>[275]All!K$9</f>
        <v>1.55491964401407</v>
      </c>
      <c r="O276" s="1">
        <f>[275]All!L$9</f>
        <v>1.9987768150660843</v>
      </c>
      <c r="Q276" s="1">
        <f>[275]All!N$9</f>
        <v>1.7679778626394471</v>
      </c>
      <c r="R276" s="1">
        <f>[275]All!O$9</f>
        <v>1.6852595491610443</v>
      </c>
      <c r="S276" s="1">
        <f>[275]All!P$9</f>
        <v>1.6042788709630833</v>
      </c>
      <c r="U276" s="1">
        <f>'[275]Prof (MC)'!$B$4</f>
        <v>1.6958640909220302</v>
      </c>
      <c r="V276" s="1">
        <f>'[275]Prof (MC)'!$C$4</f>
        <v>1.8101036491230205</v>
      </c>
      <c r="W276" s="1">
        <f>'[275]Prof (MC)'!$W$98</f>
        <v>0.89711013994967126</v>
      </c>
      <c r="X276" s="1">
        <f>'[275]Prof (MC)'!$Z$98</f>
        <v>3.2814480536618587</v>
      </c>
    </row>
    <row r="277" spans="1:24" x14ac:dyDescent="0.2">
      <c r="A277" t="s">
        <v>293</v>
      </c>
      <c r="B277" t="s">
        <v>435</v>
      </c>
      <c r="C277">
        <v>1550</v>
      </c>
      <c r="E277" s="1">
        <f>[276]All!B$9</f>
        <v>3.7928339279909373</v>
      </c>
      <c r="F277" s="1">
        <f>[276]All!C$9</f>
        <v>3.4999127068661995</v>
      </c>
      <c r="G277" s="1">
        <f>[276]All!D$9</f>
        <v>3.6274463991823493</v>
      </c>
      <c r="H277" s="1">
        <f>[276]All!E$9</f>
        <v>3.6275312893778273</v>
      </c>
      <c r="I277" s="1">
        <f>[276]All!F$9</f>
        <v>4.8645236273641252</v>
      </c>
      <c r="J277" s="1">
        <f>[276]All!G$9</f>
        <v>3.2876668905540667</v>
      </c>
      <c r="K277" s="1">
        <f>[276]All!H$9</f>
        <v>3.2444845709192345</v>
      </c>
      <c r="L277" s="1">
        <f>[276]All!I$9</f>
        <v>3.0513654326575996</v>
      </c>
      <c r="M277" s="1">
        <f>[276]All!J$9</f>
        <v>3.9893531265580564</v>
      </c>
      <c r="N277" s="1">
        <f>[276]All!K$9</f>
        <v>2.4164877421952609</v>
      </c>
      <c r="O277" s="1">
        <f>[276]All!L$9</f>
        <v>2.4552839319738129</v>
      </c>
      <c r="Q277" s="1">
        <f>[276]All!N$9</f>
        <v>3.4457094311547882</v>
      </c>
      <c r="R277" s="1">
        <f>[276]All!O$9</f>
        <v>3.4415354223308601</v>
      </c>
      <c r="S277" s="1">
        <f>[276]All!P$9</f>
        <v>3.4999127068661995</v>
      </c>
      <c r="U277" s="1">
        <f>'[276]Prof (MC)'!$B$4</f>
        <v>3.4520025366259448</v>
      </c>
      <c r="V277" s="1">
        <f>'[276]Prof (MC)'!$C$4</f>
        <v>3.4605084278361473</v>
      </c>
      <c r="W277" s="1">
        <f>'[276]Prof (MC)'!$W$102</f>
        <v>2.1465390487423908</v>
      </c>
      <c r="X277" s="1">
        <f>'[276]Prof (MC)'!$Z$102</f>
        <v>4.9478749347004962</v>
      </c>
    </row>
    <row r="278" spans="1:24" x14ac:dyDescent="0.2">
      <c r="A278" t="s">
        <v>294</v>
      </c>
      <c r="B278" t="s">
        <v>435</v>
      </c>
      <c r="C278">
        <v>1550</v>
      </c>
      <c r="E278" s="1">
        <f>[277]All!B$9</f>
        <v>5.6374144501058625</v>
      </c>
      <c r="F278" s="1">
        <f>[277]All!C$9</f>
        <v>6.9066997029495178</v>
      </c>
      <c r="G278" s="1">
        <f>[277]All!D$9</f>
        <v>6.4682815962524023</v>
      </c>
      <c r="H278" s="1">
        <f>[277]All!E$9</f>
        <v>6.2054918653900302</v>
      </c>
      <c r="I278" s="1">
        <f>[277]All!F$9</f>
        <v>7.9519859750444475</v>
      </c>
      <c r="J278" s="1">
        <f>[277]All!G$9</f>
        <v>6.9528805307285726</v>
      </c>
      <c r="K278" s="1">
        <f>[277]All!H$9</f>
        <v>9.9720702293877164</v>
      </c>
      <c r="L278" s="1">
        <f>[277]All!I$9</f>
        <v>7.4674536545897521</v>
      </c>
      <c r="M278" s="1">
        <f>[277]All!J$9</f>
        <v>6.0971878943822864</v>
      </c>
      <c r="N278" s="1">
        <f>[277]All!K$9</f>
        <v>3.4848403547997795</v>
      </c>
      <c r="O278" s="1">
        <f>[277]All!L$9</f>
        <v>6.6932269882415172</v>
      </c>
      <c r="Q278" s="1">
        <f>[277]All!N$9</f>
        <v>6.8731845387432413</v>
      </c>
      <c r="R278" s="1">
        <f>[277]All!O$9</f>
        <v>6.7125030219883541</v>
      </c>
      <c r="S278" s="1">
        <f>[277]All!P$9</f>
        <v>6.6932269882415172</v>
      </c>
      <c r="U278" s="1">
        <f>'[277]Prof (MC)'!$B$4</f>
        <v>7.0242779826854731</v>
      </c>
      <c r="V278" s="1">
        <f>'[277]Prof (MC)'!$C$4</f>
        <v>7.0857650974961004</v>
      </c>
      <c r="W278" s="1">
        <f>'[277]Prof (MC)'!$W$116</f>
        <v>3.4814287164815823</v>
      </c>
      <c r="X278" s="1">
        <f>'[277]Prof (MC)'!$Z$116</f>
        <v>11.235112222152031</v>
      </c>
    </row>
    <row r="279" spans="1:24" x14ac:dyDescent="0.2">
      <c r="A279" t="s">
        <v>295</v>
      </c>
      <c r="B279" t="s">
        <v>435</v>
      </c>
      <c r="C279">
        <v>1550</v>
      </c>
      <c r="E279" s="1">
        <f>[278]All!B$9</f>
        <v>1.7010727776513435</v>
      </c>
      <c r="F279" s="1">
        <f>[278]All!C$9</f>
        <v>1.8479128045481961</v>
      </c>
      <c r="G279" s="1">
        <f>[278]All!D$9</f>
        <v>0.77676477759390072</v>
      </c>
      <c r="H279" s="1">
        <f>[278]All!E$9</f>
        <v>2.0545641852955181</v>
      </c>
      <c r="I279" s="1">
        <f>[278]All!F$9</f>
        <v>2.4296140078138051</v>
      </c>
      <c r="J279" s="1">
        <f>[278]All!G$9</f>
        <v>2.2083791708548564</v>
      </c>
      <c r="K279" s="1">
        <f>[278]All!H$9</f>
        <v>1.607198474642541</v>
      </c>
      <c r="L279" s="1">
        <f>[278]All!I$9</f>
        <v>2.701955477339431</v>
      </c>
      <c r="M279" s="1">
        <f>[278]All!J$9</f>
        <v>0.9587208956855261</v>
      </c>
      <c r="N279" s="1">
        <f>[278]All!K$9</f>
        <v>1.1684893108034917</v>
      </c>
      <c r="O279" s="1">
        <f>[278]All!L$9</f>
        <v>2.3632129569305138</v>
      </c>
      <c r="Q279" s="1">
        <f>[278]All!N$9</f>
        <v>1.6452770170881084</v>
      </c>
      <c r="R279" s="1">
        <f>[278]All!O$9</f>
        <v>1.8016258944690113</v>
      </c>
      <c r="S279" s="1">
        <f>[278]All!P$9</f>
        <v>1.8479128045481961</v>
      </c>
      <c r="U279" s="1">
        <f>'[278]Prof (MC)'!$B$4</f>
        <v>1.5145005046075324</v>
      </c>
      <c r="V279" s="1">
        <f>'[278]Prof (MC)'!$C$4</f>
        <v>1.5463327736436541</v>
      </c>
      <c r="W279" s="1">
        <f>'[278]Prof (MC)'!$W$82</f>
        <v>4.6531388985596889E-2</v>
      </c>
      <c r="X279" s="1">
        <f>'[278]Prof (MC)'!$Z$82</f>
        <v>3.4512552023586656</v>
      </c>
    </row>
    <row r="280" spans="1:24" x14ac:dyDescent="0.2">
      <c r="A280" t="s">
        <v>296</v>
      </c>
      <c r="B280" t="s">
        <v>435</v>
      </c>
      <c r="C280">
        <v>1550</v>
      </c>
      <c r="E280" s="1">
        <f>[279]All!B$9</f>
        <v>0.75885059967829438</v>
      </c>
      <c r="F280" s="1">
        <f>[279]All!C$9</f>
        <v>1.971347054230657</v>
      </c>
      <c r="G280" s="1">
        <f>[279]All!D$9</f>
        <v>1.7758114468572039</v>
      </c>
      <c r="H280" s="1">
        <f>[279]All!E$9</f>
        <v>2.5563047338446561</v>
      </c>
      <c r="I280" s="1">
        <f>[279]All!F$9</f>
        <v>1.8884170926306509</v>
      </c>
      <c r="J280" s="1">
        <f>[279]All!G$9</f>
        <v>0.90772073819305288</v>
      </c>
      <c r="K280" s="1">
        <f>[279]All!H$9</f>
        <v>1.6730361670964129</v>
      </c>
      <c r="L280" s="1">
        <f>[279]All!I$9</f>
        <v>1.5230965436880166</v>
      </c>
      <c r="M280" s="1">
        <f>[279]All!J$9</f>
        <v>2.0848994352741674</v>
      </c>
      <c r="N280" s="1">
        <f>[279]All!K$9</f>
        <v>2.1127946055147548</v>
      </c>
      <c r="O280" s="1">
        <f>[279]All!L$9</f>
        <v>2.7477760839226253</v>
      </c>
      <c r="Q280" s="1">
        <f>[279]All!N$9</f>
        <v>1.9019384781992013</v>
      </c>
      <c r="R280" s="1">
        <f>[279]All!O$9</f>
        <v>1.8181867728118626</v>
      </c>
      <c r="S280" s="1">
        <f>[279]All!P$9</f>
        <v>1.8884170926306509</v>
      </c>
      <c r="U280" s="1">
        <f>'[279]Prof (MC)'!$B$4</f>
        <v>1.7947479763187975</v>
      </c>
      <c r="V280" s="1">
        <f>'[279]Prof (MC)'!$C$4</f>
        <v>1.8664146715685939</v>
      </c>
      <c r="W280" s="1">
        <f>'[279]Prof (MC)'!$W$82</f>
        <v>0.76267477713188514</v>
      </c>
      <c r="X280" s="1">
        <f>'[279]Prof (MC)'!$Z$82</f>
        <v>3.2449839952471602</v>
      </c>
    </row>
    <row r="281" spans="1:24" x14ac:dyDescent="0.2">
      <c r="A281" t="s">
        <v>297</v>
      </c>
      <c r="B281" t="s">
        <v>434</v>
      </c>
      <c r="C281">
        <v>1500</v>
      </c>
      <c r="E281" s="1">
        <f>[280]All!B$9</f>
        <v>6.788463038352921</v>
      </c>
      <c r="F281" s="1">
        <f>[280]All!C$9</f>
        <v>6.4522017739050064</v>
      </c>
      <c r="G281" s="1">
        <f>[280]All!D$9</f>
        <v>5.8874812244349339</v>
      </c>
      <c r="H281" s="1">
        <f>[280]All!E$9</f>
        <v>8.0558393514908957</v>
      </c>
      <c r="I281" s="1">
        <f>[280]All!F$9</f>
        <v>6.0511829385026408</v>
      </c>
      <c r="J281" s="1">
        <f>[280]All!G$9</f>
        <v>5.1594316220063323</v>
      </c>
      <c r="K281" s="1">
        <f>[280]All!H$9</f>
        <v>4.3127890342766788</v>
      </c>
      <c r="L281" s="1">
        <f>[280]All!I$9</f>
        <v>5.1104952152626542</v>
      </c>
      <c r="M281" s="1">
        <f>[280]All!J$9</f>
        <v>5.4712349769764499</v>
      </c>
      <c r="N281" s="1">
        <f>[280]All!K$9</f>
        <v>5.2754740282836785</v>
      </c>
      <c r="O281" s="1">
        <f>[280]All!L$9</f>
        <v>6.2344647128935202</v>
      </c>
      <c r="Q281" s="1">
        <f>[280]All!N$9</f>
        <v>5.7954651302861757</v>
      </c>
      <c r="R281" s="1">
        <f>[280]All!O$9</f>
        <v>5.8908234469441547</v>
      </c>
      <c r="S281" s="1">
        <f>[280]All!P$9</f>
        <v>5.8874812244349339</v>
      </c>
      <c r="U281" s="1">
        <f>'[280]Prof (MC)'!$B$4</f>
        <v>5.7356392100535336</v>
      </c>
      <c r="V281" s="1">
        <f>'[280]Prof (MC)'!$C$4</f>
        <v>5.8277471152790632</v>
      </c>
      <c r="W281" s="1">
        <f>'[280]Prof (MC)'!$W$142</f>
        <v>4.0440906553722735</v>
      </c>
      <c r="X281" s="1">
        <f>'[280]Prof (MC)'!$Z$142</f>
        <v>8.4911106868427275</v>
      </c>
    </row>
    <row r="282" spans="1:24" x14ac:dyDescent="0.2">
      <c r="A282" t="s">
        <v>298</v>
      </c>
      <c r="B282" t="s">
        <v>434</v>
      </c>
      <c r="C282">
        <v>1500</v>
      </c>
      <c r="E282" s="1">
        <f>[281]All!B$9</f>
        <v>10.97172248857842</v>
      </c>
      <c r="F282" s="1">
        <f>[281]All!C$9</f>
        <v>12.378948472549039</v>
      </c>
      <c r="G282" s="1">
        <f>[281]All!D$9</f>
        <v>9.4854031845768425</v>
      </c>
      <c r="H282" s="1">
        <f>[281]All!E$9</f>
        <v>10.370890804497668</v>
      </c>
      <c r="I282" s="1">
        <f>[281]All!F$9</f>
        <v>10.915842129859541</v>
      </c>
      <c r="J282" s="1">
        <f>[281]All!G$9</f>
        <v>11.068999735186596</v>
      </c>
      <c r="K282" s="1">
        <f>[281]All!H$9</f>
        <v>10.658685299548763</v>
      </c>
      <c r="L282" s="1">
        <f>[281]All!I$9</f>
        <v>11.269582832801756</v>
      </c>
      <c r="M282" s="1">
        <f>[281]All!J$9</f>
        <v>8.8611780857319307</v>
      </c>
      <c r="N282" s="1">
        <f>[281]All!K$9</f>
        <v>10.332304277161278</v>
      </c>
      <c r="O282" s="1">
        <f>[281]All!L$9</f>
        <v>11.637467284006583</v>
      </c>
      <c r="Q282" s="1">
        <f>[281]All!N$9</f>
        <v>10.776036069354589</v>
      </c>
      <c r="R282" s="1">
        <f>[281]All!O$9</f>
        <v>10.722820417681676</v>
      </c>
      <c r="S282" s="1">
        <f>[281]All!P$9</f>
        <v>10.915842129859541</v>
      </c>
      <c r="U282" s="1">
        <f>'[281]Prof (MC)'!$B$4</f>
        <v>10.693327850871867</v>
      </c>
      <c r="V282" s="1">
        <f>'[281]Prof (MC)'!$C$4</f>
        <v>10.708903859784154</v>
      </c>
      <c r="W282" s="1">
        <f>'[281]Prof (MC)'!$W$180</f>
        <v>9.0080244671955541</v>
      </c>
      <c r="X282" s="1">
        <f>'[281]Prof (MC)'!$Z$180</f>
        <v>12.743575019752841</v>
      </c>
    </row>
    <row r="283" spans="1:24" x14ac:dyDescent="0.2">
      <c r="A283" t="s">
        <v>299</v>
      </c>
      <c r="B283" t="s">
        <v>435</v>
      </c>
      <c r="C283">
        <v>1500</v>
      </c>
      <c r="E283" s="1">
        <f>[282]All!B$9</f>
        <v>2.9835389980009541</v>
      </c>
      <c r="F283" s="1">
        <f>[282]All!C$9</f>
        <v>4.7673331037190003</v>
      </c>
      <c r="G283" s="1">
        <f>[282]All!D$9</f>
        <v>4.8549036093210018</v>
      </c>
      <c r="H283" s="1">
        <f>[282]All!E$9</f>
        <v>3.3542928973665158</v>
      </c>
      <c r="I283" s="1">
        <f>[282]All!F$9</f>
        <v>4.8045515657904749</v>
      </c>
      <c r="J283" s="1">
        <f>[282]All!G$9</f>
        <v>3.8610362386572326</v>
      </c>
      <c r="K283" s="1">
        <f>[282]All!H$9</f>
        <v>4.4315471922391652</v>
      </c>
      <c r="L283" s="1">
        <f>[282]All!I$9</f>
        <v>3.861601083468968</v>
      </c>
      <c r="M283" s="1">
        <f>[282]All!J$9</f>
        <v>4.4573856473821261</v>
      </c>
      <c r="N283" s="1">
        <f>[282]All!K$9</f>
        <v>4.6662191362979835</v>
      </c>
      <c r="O283" s="1">
        <f>[282]All!L$9</f>
        <v>4.5760770470068213</v>
      </c>
      <c r="Q283" s="1">
        <f>[282]All!N$9</f>
        <v>4.2805004210670408</v>
      </c>
      <c r="R283" s="1">
        <f>[282]All!O$9</f>
        <v>4.2380442290227487</v>
      </c>
      <c r="S283" s="1">
        <f>[282]All!P$9</f>
        <v>4.4573856473821261</v>
      </c>
      <c r="U283" s="1">
        <f>'[282]Prof (MC)'!$B$4</f>
        <v>4.3225731925955406</v>
      </c>
      <c r="V283" s="1">
        <f>'[282]Prof (MC)'!$C$4</f>
        <v>4.2975029016087731</v>
      </c>
      <c r="W283" s="1">
        <f>'[282]Prof (MC)'!$W$104</f>
        <v>3.249971308863258</v>
      </c>
      <c r="X283" s="1">
        <f>'[282]Prof (MC)'!$Z$104</f>
        <v>5.4395551037596173</v>
      </c>
    </row>
    <row r="284" spans="1:24" x14ac:dyDescent="0.2">
      <c r="A284" t="s">
        <v>300</v>
      </c>
      <c r="B284" t="s">
        <v>435</v>
      </c>
      <c r="C284">
        <v>1500</v>
      </c>
      <c r="E284" s="1">
        <f>[283]All!B$9</f>
        <v>2.2255485980510206</v>
      </c>
      <c r="F284" s="1">
        <f>[283]All!C$9</f>
        <v>2.7997451419250337</v>
      </c>
      <c r="G284" s="1">
        <f>[283]All!D$9</f>
        <v>2.4506511603173275</v>
      </c>
      <c r="H284" s="1">
        <f>[283]All!E$9</f>
        <v>2.1120869792763202</v>
      </c>
      <c r="I284" s="1">
        <f>[283]All!F$9</f>
        <v>2.1357077121601749</v>
      </c>
      <c r="J284" s="1">
        <f>[283]All!G$9</f>
        <v>2.0404971085360226</v>
      </c>
      <c r="K284" s="1">
        <f>[283]All!H$9</f>
        <v>2.0127181416847608</v>
      </c>
      <c r="L284" s="1">
        <f>[283]All!I$9</f>
        <v>1.7025629917971348</v>
      </c>
      <c r="M284" s="1">
        <f>[283]All!J$9</f>
        <v>2.1328868441541871</v>
      </c>
      <c r="N284" s="1">
        <f>[283]All!K$9</f>
        <v>1.9741258541291979</v>
      </c>
      <c r="O284" s="1">
        <f>[283]All!L$9</f>
        <v>0.88726379381707843</v>
      </c>
      <c r="Q284" s="1">
        <f>[283]All!N$9</f>
        <v>2.0360683825180357</v>
      </c>
      <c r="R284" s="1">
        <f>[283]All!O$9</f>
        <v>2.0430722114407507</v>
      </c>
      <c r="S284" s="1">
        <f>[283]All!P$9</f>
        <v>2.1120869792763202</v>
      </c>
      <c r="U284" s="1">
        <f>'[283]Prof (MC)'!$B$4</f>
        <v>1.9912818483923109</v>
      </c>
      <c r="V284" s="1">
        <f>'[283]Prof (MC)'!$C$4</f>
        <v>1.870813721882578</v>
      </c>
      <c r="W284" s="1">
        <f>'[283]Prof (MC)'!$W$92</f>
        <v>0.33684708580701406</v>
      </c>
      <c r="X284" s="1">
        <f>'[283]Prof (MC)'!$Z$92</f>
        <v>3.2504436810373885</v>
      </c>
    </row>
    <row r="285" spans="1:24" x14ac:dyDescent="0.2">
      <c r="A285" t="s">
        <v>301</v>
      </c>
      <c r="B285" t="s">
        <v>433</v>
      </c>
      <c r="C285">
        <v>1500</v>
      </c>
      <c r="E285" s="1">
        <f>[284]All!B$9</f>
        <v>1.1277264662141515</v>
      </c>
      <c r="F285" s="1">
        <f>[284]All!C$9</f>
        <v>1.9191660890156057</v>
      </c>
      <c r="G285" s="1">
        <f>[284]All!D$9</f>
        <v>1.7319451228129643</v>
      </c>
      <c r="H285" s="1">
        <f>[284]All!E$9</f>
        <v>1.2091923699783564</v>
      </c>
      <c r="I285" s="1">
        <f>[284]All!F$9</f>
        <v>1.3053131017318622</v>
      </c>
      <c r="J285" s="1">
        <f>[284]All!G$9</f>
        <v>1.4993467759121342</v>
      </c>
      <c r="K285" s="1">
        <f>[284]All!H$9</f>
        <v>0.22282358334379915</v>
      </c>
      <c r="L285" s="1">
        <f>[284]All!I$9</f>
        <v>0.85599965886816765</v>
      </c>
      <c r="M285" s="1">
        <f>[284]All!J$9</f>
        <v>1.2275157746819161</v>
      </c>
      <c r="N285" s="1">
        <f>[284]All!K$9</f>
        <v>1.1398891196837284</v>
      </c>
      <c r="O285" s="1">
        <f>[284]All!L$9</f>
        <v>0.82725741383532958</v>
      </c>
      <c r="Q285" s="1">
        <f>[284]All!N$9</f>
        <v>1.3511839300885466</v>
      </c>
      <c r="R285" s="1">
        <f>[284]All!O$9</f>
        <v>1.1878341341889105</v>
      </c>
      <c r="S285" s="1">
        <f>[284]All!P$9</f>
        <v>1.2091923699783564</v>
      </c>
      <c r="U285" s="1">
        <f>'[284]Prof (MC)'!$B$4</f>
        <v>1.2197132513052968</v>
      </c>
      <c r="V285" s="1">
        <f>'[284]Prof (MC)'!$C$4</f>
        <v>1.1620724854610121</v>
      </c>
      <c r="W285" s="1">
        <f>'[284]Prof (MC)'!$W$74</f>
        <v>0.22864522540484211</v>
      </c>
      <c r="X285" s="1">
        <f>'[284]Prof (MC)'!$Z$74</f>
        <v>2.1634397486716743</v>
      </c>
    </row>
    <row r="286" spans="1:24" x14ac:dyDescent="0.2">
      <c r="A286" t="s">
        <v>302</v>
      </c>
      <c r="B286" t="s">
        <v>434</v>
      </c>
      <c r="C286">
        <v>1650</v>
      </c>
      <c r="E286" s="1">
        <f>[285]All!B$9</f>
        <v>13.033545964102194</v>
      </c>
      <c r="F286" s="1">
        <f>[285]All!C$9</f>
        <v>14.445840443772216</v>
      </c>
      <c r="G286" s="1">
        <f>[285]All!D$9</f>
        <v>12.914229221048137</v>
      </c>
      <c r="H286" s="1">
        <f>[285]All!E$9</f>
        <v>17.693497629152674</v>
      </c>
      <c r="I286" s="1">
        <f>[285]All!F$9</f>
        <v>16.945647992679351</v>
      </c>
      <c r="J286" s="1">
        <f>[285]All!G$9</f>
        <v>14.347188994139643</v>
      </c>
      <c r="K286" s="1">
        <f>[285]All!H$9</f>
        <v>13.894109270073161</v>
      </c>
      <c r="L286" s="1">
        <f>[285]All!I$9</f>
        <v>14.545946545081014</v>
      </c>
      <c r="M286" s="1">
        <f>[285]All!J$9</f>
        <v>12.561532624789248</v>
      </c>
      <c r="N286" s="1">
        <f>[285]All!K$9</f>
        <v>14.652169606759495</v>
      </c>
      <c r="O286" s="1">
        <f>[285]All!L$9</f>
        <v>16.016833284552213</v>
      </c>
      <c r="Q286" s="1">
        <f>[285]All!N$9</f>
        <v>14.589567956431461</v>
      </c>
      <c r="R286" s="1">
        <f>[285]All!O$9</f>
        <v>14.640958325104485</v>
      </c>
      <c r="S286" s="1">
        <f>[285]All!P$9</f>
        <v>14.445840443772216</v>
      </c>
      <c r="U286" s="1">
        <f>'[285]Prof (MC)'!$B$4</f>
        <v>14.58466305877938</v>
      </c>
      <c r="V286" s="1">
        <f>'[285]Prof (MC)'!$C$4</f>
        <v>14.631062612776391</v>
      </c>
      <c r="W286" s="1">
        <f>'[285]Prof (MC)'!$W$196</f>
        <v>11.899973976135625</v>
      </c>
      <c r="X286" s="1">
        <f>'[285]Prof (MC)'!$Z$196</f>
        <v>18.148829587138572</v>
      </c>
    </row>
    <row r="287" spans="1:24" x14ac:dyDescent="0.2">
      <c r="A287" t="s">
        <v>303</v>
      </c>
      <c r="B287" t="s">
        <v>435</v>
      </c>
      <c r="C287">
        <v>1650</v>
      </c>
      <c r="E287" s="1">
        <f>[286]All!B$9</f>
        <v>6.6991696771012634</v>
      </c>
      <c r="F287" s="1">
        <f>[286]All!C$9</f>
        <v>8.3313930491465076</v>
      </c>
      <c r="G287" s="1">
        <f>[286]All!D$9</f>
        <v>6.9465419983370991</v>
      </c>
      <c r="H287" s="1">
        <f>[286]All!E$9</f>
        <v>0</v>
      </c>
      <c r="I287" s="1">
        <f>[286]All!F$9</f>
        <v>7.6215895751078815</v>
      </c>
      <c r="J287" s="1">
        <f>[286]All!G$9</f>
        <v>6.2746316932400594</v>
      </c>
      <c r="K287" s="1">
        <f>[286]All!H$9</f>
        <v>8.4486881840313952</v>
      </c>
      <c r="L287" s="1">
        <f>[286]All!I$9</f>
        <v>0</v>
      </c>
      <c r="M287" s="1">
        <f>[286]All!J$9</f>
        <v>4.2550495843757137</v>
      </c>
      <c r="N287" s="1">
        <f>[286]All!K$9</f>
        <v>0</v>
      </c>
      <c r="O287" s="1">
        <f>[286]All!L$9</f>
        <v>5.121802840919595</v>
      </c>
      <c r="Q287" s="1">
        <f>[286]All!N$9</f>
        <v>6.8306474170392271</v>
      </c>
      <c r="R287" s="1">
        <f>[286]All!O$9</f>
        <v>6.7123583252824393</v>
      </c>
      <c r="S287" s="1">
        <f>[286]All!P$9</f>
        <v>6.8228558377191817</v>
      </c>
      <c r="U287" s="1">
        <f>'[286]Prof (MC)'!$B$4</f>
        <v>6.6276100628797847</v>
      </c>
      <c r="V287" s="1">
        <f>'[286]Prof (MC)'!$C$4</f>
        <v>6.7334467703854788</v>
      </c>
      <c r="W287" s="1">
        <f>'[286]Prof (MC)'!$W$106</f>
        <v>3.7423190646614497</v>
      </c>
      <c r="X287" s="1">
        <f>'[286]Prof (MC)'!$Z$106</f>
        <v>10.176123692822022</v>
      </c>
    </row>
    <row r="288" spans="1:24" x14ac:dyDescent="0.2">
      <c r="A288" t="s">
        <v>304</v>
      </c>
      <c r="B288" t="s">
        <v>435</v>
      </c>
      <c r="C288">
        <v>1650</v>
      </c>
      <c r="E288" s="1">
        <f>[287]All!B$9</f>
        <v>2.3211996582737164</v>
      </c>
      <c r="F288" s="1">
        <f>[287]All!C$9</f>
        <v>3.4879315859041511</v>
      </c>
      <c r="G288" s="1">
        <f>[287]All!D$9</f>
        <v>3.6203363371403565</v>
      </c>
      <c r="H288" s="1">
        <f>[287]All!E$9</f>
        <v>3.6387552451099441</v>
      </c>
      <c r="I288" s="1">
        <f>[287]All!F$9</f>
        <v>4.0633753939560293</v>
      </c>
      <c r="J288" s="1">
        <f>[287]All!G$9</f>
        <v>3.8195301320009025</v>
      </c>
      <c r="K288" s="1">
        <f>[287]All!H$9</f>
        <v>2.9661103</v>
      </c>
      <c r="L288" s="1">
        <f>[287]All!I$9</f>
        <v>5.0254046251608653</v>
      </c>
      <c r="M288" s="1">
        <f>[287]All!J$9</f>
        <v>5.3981418536567567</v>
      </c>
      <c r="N288" s="1">
        <f>[287]All!K$9</f>
        <v>5.5754785618179339</v>
      </c>
      <c r="O288" s="1">
        <f>[287]All!L$9</f>
        <v>5.2425738603027412</v>
      </c>
      <c r="Q288" s="1">
        <f>[287]All!N$9</f>
        <v>4.0576912601492623</v>
      </c>
      <c r="R288" s="1">
        <f>[287]All!O$9</f>
        <v>4.1053488684839445</v>
      </c>
      <c r="S288" s="1">
        <f>[287]All!P$9</f>
        <v>3.8195301320009025</v>
      </c>
      <c r="U288" s="1">
        <f>'[287]Prof (MC)'!$B$4</f>
        <v>4.1279267267685853</v>
      </c>
      <c r="V288" s="1">
        <f>'[287]Prof (MC)'!$C$4</f>
        <v>4.152154849305421</v>
      </c>
      <c r="W288" s="1">
        <f>'[287]Prof (MC)'!$W$104</f>
        <v>2.8273159850882306</v>
      </c>
      <c r="X288" s="1">
        <f>'[287]Prof (MC)'!$Z$104</f>
        <v>5.6119908509403187</v>
      </c>
    </row>
    <row r="289" spans="1:24" x14ac:dyDescent="0.2">
      <c r="A289" t="s">
        <v>305</v>
      </c>
      <c r="B289" t="s">
        <v>434</v>
      </c>
      <c r="C289">
        <v>1800</v>
      </c>
      <c r="E289" s="1">
        <f>[288]All!B$9</f>
        <v>2.4749925277813039</v>
      </c>
      <c r="F289" s="1">
        <f>[288]All!C$9</f>
        <v>6.0972417095444573</v>
      </c>
      <c r="G289" s="1">
        <f>[288]All!D$9</f>
        <v>3.2327289168691751</v>
      </c>
      <c r="H289" s="1">
        <f>[288]All!E$9</f>
        <v>5.486586856455185</v>
      </c>
      <c r="I289" s="1">
        <f>[288]All!F$9</f>
        <v>7.5387141224998562</v>
      </c>
      <c r="J289" s="1">
        <f>[288]All!G$9</f>
        <v>1.875813390483277</v>
      </c>
      <c r="K289" s="1">
        <f>[288]All!H$9</f>
        <v>3.6221642733460344</v>
      </c>
      <c r="L289" s="1">
        <f>[288]All!I$9</f>
        <v>3.2394849318994821</v>
      </c>
      <c r="M289" s="1">
        <f>[288]All!J$9</f>
        <v>2.7185958134308699</v>
      </c>
      <c r="N289" s="1">
        <f>[288]All!K$9</f>
        <v>3.5326421899494154</v>
      </c>
      <c r="O289" s="1">
        <f>[288]All!L$9</f>
        <v>0.72770874215428161</v>
      </c>
      <c r="Q289" s="1">
        <f>[288]All!N$9</f>
        <v>3.7219884899562099</v>
      </c>
      <c r="R289" s="1">
        <f>[288]All!O$9</f>
        <v>3.6860612249466667</v>
      </c>
      <c r="S289" s="1">
        <f>[288]All!P$9</f>
        <v>3.2394849318994821</v>
      </c>
      <c r="U289" s="1">
        <f>'[288]Prof (MC)'!$B$4</f>
        <v>3.6349554675795943</v>
      </c>
      <c r="V289" s="1">
        <f>'[288]Prof (MC)'!$C$4</f>
        <v>3.6992435523095986</v>
      </c>
      <c r="W289" s="1">
        <f>'[288]Prof (MC)'!$W$128</f>
        <v>0.84180432976000141</v>
      </c>
      <c r="X289" s="1">
        <f>'[288]Prof (MC)'!$Z$128</f>
        <v>7.22319785827424</v>
      </c>
    </row>
    <row r="290" spans="1:24" x14ac:dyDescent="0.2">
      <c r="A290" t="s">
        <v>306</v>
      </c>
      <c r="B290" t="s">
        <v>435</v>
      </c>
      <c r="C290">
        <v>1800</v>
      </c>
      <c r="E290" s="1">
        <f>[289]All!B$9</f>
        <v>3.5276081763290561</v>
      </c>
      <c r="F290" s="1">
        <f>[289]All!C$9</f>
        <v>3.0040709451836705</v>
      </c>
      <c r="G290" s="1">
        <f>[289]All!D$9</f>
        <v>3.2112317446568386</v>
      </c>
      <c r="H290" s="1">
        <f>[289]All!E$9</f>
        <v>3.0549588405270049</v>
      </c>
      <c r="I290" s="1">
        <f>[289]All!F$9</f>
        <v>3.0094708131270758</v>
      </c>
      <c r="J290" s="1">
        <f>[289]All!G$9</f>
        <v>3.3485510232367619</v>
      </c>
      <c r="K290" s="1">
        <f>[289]All!H$9</f>
        <v>3.3577532247142012</v>
      </c>
      <c r="L290" s="1">
        <f>[289]All!I$9</f>
        <v>2.9965199538708918</v>
      </c>
      <c r="M290" s="1">
        <f>[289]All!J$9</f>
        <v>3.1731856356830819</v>
      </c>
      <c r="N290" s="1">
        <f>[289]All!K$9</f>
        <v>4.0852289190960196</v>
      </c>
      <c r="O290" s="1">
        <f>[289]All!L$9</f>
        <v>4.0257052172340737</v>
      </c>
      <c r="Q290" s="1">
        <f>[289]All!N$9</f>
        <v>3.339198296387432</v>
      </c>
      <c r="R290" s="1">
        <f>[289]All!O$9</f>
        <v>3.3449349539689708</v>
      </c>
      <c r="S290" s="1">
        <f>[289]All!P$9</f>
        <v>3.2112317446568386</v>
      </c>
      <c r="U290" s="1">
        <f>'[289]Prof (MC)'!$B$4</f>
        <v>3.3182401090217915</v>
      </c>
      <c r="V290" s="1">
        <f>'[289]Prof (MC)'!$C$4</f>
        <v>3.3130305794745345</v>
      </c>
      <c r="W290" s="1">
        <f>'[289]Prof (MC)'!$W$96</f>
        <v>1.8207791774200039</v>
      </c>
      <c r="X290" s="1">
        <f>'[289]Prof (MC)'!$Z$96</f>
        <v>4.6942782230848863</v>
      </c>
    </row>
    <row r="291" spans="1:24" x14ac:dyDescent="0.2">
      <c r="A291" t="s">
        <v>307</v>
      </c>
      <c r="B291" t="s">
        <v>435</v>
      </c>
      <c r="C291">
        <v>1800</v>
      </c>
      <c r="E291" s="1">
        <f>[290]All!B$9</f>
        <v>3.8320466003614619</v>
      </c>
      <c r="F291" s="1">
        <f>[290]All!C$9</f>
        <v>3.6891261882237161</v>
      </c>
      <c r="G291" s="1">
        <f>[290]All!D$9</f>
        <v>3.9521273039438949</v>
      </c>
      <c r="H291" s="1">
        <f>[290]All!E$9</f>
        <v>2.8389077447115225</v>
      </c>
      <c r="I291" s="1">
        <f>[290]All!F$9</f>
        <v>3.9165018020543956</v>
      </c>
      <c r="J291" s="1">
        <f>[290]All!G$9</f>
        <v>4.4763417624212822</v>
      </c>
      <c r="K291" s="1">
        <f>[290]All!H$9</f>
        <v>4.624746534720221</v>
      </c>
      <c r="L291" s="1">
        <f>[290]All!I$9</f>
        <v>4.9771049686052971</v>
      </c>
      <c r="M291" s="1">
        <f>[290]All!J$9</f>
        <v>4.0106247581679444</v>
      </c>
      <c r="N291" s="1">
        <f>[290]All!K$9</f>
        <v>3.6121513073097415</v>
      </c>
      <c r="O291" s="1">
        <f>[290]All!L$9</f>
        <v>4.2539894225473143</v>
      </c>
      <c r="Q291" s="1">
        <f>[290]All!N$9</f>
        <v>3.9830392844023774</v>
      </c>
      <c r="R291" s="1">
        <f>[290]All!O$9</f>
        <v>4.0166971266424349</v>
      </c>
      <c r="S291" s="1">
        <f>[290]All!P$9</f>
        <v>3.9521273039438949</v>
      </c>
      <c r="U291" s="1">
        <f>'[290]Prof (MC)'!$B$4</f>
        <v>3.97198785470954</v>
      </c>
      <c r="V291" s="1">
        <f>'[290]Prof (MC)'!$C$4</f>
        <v>3.9840187800006066</v>
      </c>
      <c r="W291" s="1">
        <f>'[290]Prof (MC)'!$W$106</f>
        <v>2.8891893297236142</v>
      </c>
      <c r="X291" s="1">
        <f>'[290]Prof (MC)'!$Z$106</f>
        <v>5.1678014983116434</v>
      </c>
    </row>
    <row r="292" spans="1:24" x14ac:dyDescent="0.2">
      <c r="A292" t="s">
        <v>308</v>
      </c>
      <c r="B292" t="s">
        <v>435</v>
      </c>
      <c r="C292">
        <v>1800</v>
      </c>
      <c r="E292" s="1">
        <f>[291]All!B$9</f>
        <v>2.9927419349006588</v>
      </c>
      <c r="F292" s="1">
        <f>[291]All!C$9</f>
        <v>2.7307175918831357</v>
      </c>
      <c r="G292" s="1">
        <f>[291]All!D$9</f>
        <v>3.0864474339064931</v>
      </c>
      <c r="H292" s="1">
        <f>[291]All!E$9</f>
        <v>2.0503265706261562</v>
      </c>
      <c r="I292" s="1">
        <f>[291]All!F$9</f>
        <v>2.3104108959739023</v>
      </c>
      <c r="J292" s="1">
        <f>[291]All!G$9</f>
        <v>2.8315334461221373</v>
      </c>
      <c r="K292" s="1">
        <f>[291]All!H$9</f>
        <v>2.4588142021330368</v>
      </c>
      <c r="L292" s="1">
        <f>[291]All!I$9</f>
        <v>2.9557371000446531</v>
      </c>
      <c r="M292" s="1">
        <f>[291]All!J$9</f>
        <v>2.6737444158701944</v>
      </c>
      <c r="N292" s="1">
        <f>[291]All!K$9</f>
        <v>2.2480471215790874</v>
      </c>
      <c r="O292" s="1">
        <f>[291]All!L$9</f>
        <v>1.7757557575025824</v>
      </c>
      <c r="Q292" s="1">
        <f>[291]All!N$9</f>
        <v>2.5471916060722739</v>
      </c>
      <c r="R292" s="1">
        <f>[291]All!O$9</f>
        <v>2.555843315503822</v>
      </c>
      <c r="S292" s="1">
        <f>[291]All!P$9</f>
        <v>2.6737444158701944</v>
      </c>
      <c r="U292" s="1">
        <f>'[291]Prof (MC)'!$B$4</f>
        <v>2.5850285552295817</v>
      </c>
      <c r="V292" s="1">
        <f>'[291]Prof (MC)'!$C$4</f>
        <v>2.5785699861998084</v>
      </c>
      <c r="W292" s="1">
        <f>'[291]Prof (MC)'!$W$92</f>
        <v>1.8140355750578125</v>
      </c>
      <c r="X292" s="1">
        <f>'[291]Prof (MC)'!$Z$92</f>
        <v>3.4076259717247859</v>
      </c>
    </row>
    <row r="293" spans="1:24" x14ac:dyDescent="0.2">
      <c r="A293" t="s">
        <v>309</v>
      </c>
      <c r="B293" t="s">
        <v>435</v>
      </c>
      <c r="C293">
        <v>1800</v>
      </c>
      <c r="E293" s="1">
        <f>[292]All!B$9</f>
        <v>1.7622241426915461</v>
      </c>
      <c r="F293" s="1">
        <f>[292]All!C$9</f>
        <v>1.5982065081430317</v>
      </c>
      <c r="G293" s="1">
        <f>[292]All!D$9</f>
        <v>2.6395608775075199</v>
      </c>
      <c r="H293" s="1">
        <f>[292]All!E$9</f>
        <v>2.721513788961345</v>
      </c>
      <c r="I293" s="1">
        <f>[292]All!F$9</f>
        <v>2.7353282028128687</v>
      </c>
      <c r="J293" s="1">
        <f>[292]All!G$9</f>
        <v>1.7282549534729519</v>
      </c>
      <c r="K293" s="1">
        <f>[292]All!H$9</f>
        <v>2.0733272252640274</v>
      </c>
      <c r="L293" s="1">
        <f>[292]All!I$9</f>
        <v>2.157499743861937</v>
      </c>
      <c r="M293" s="1">
        <f>[292]All!J$9</f>
        <v>3.9859405051767558</v>
      </c>
      <c r="N293" s="1">
        <f>[292]All!K$9</f>
        <v>1.8420092743332948</v>
      </c>
      <c r="O293" s="1">
        <f>[292]All!L$9</f>
        <v>3.0365293321288389</v>
      </c>
      <c r="Q293" s="1">
        <f>[292]All!N$9</f>
        <v>2.2530564011020324</v>
      </c>
      <c r="R293" s="1">
        <f>[292]All!O$9</f>
        <v>2.3891267776685563</v>
      </c>
      <c r="S293" s="1">
        <f>[292]All!P$9</f>
        <v>2.157499743861937</v>
      </c>
      <c r="U293" s="1">
        <f>'[292]Prof (MC)'!$B$4</f>
        <v>2.1425844708696746</v>
      </c>
      <c r="V293" s="1">
        <f>'[292]Prof (MC)'!$C$4</f>
        <v>2.2412959878423551</v>
      </c>
      <c r="W293" s="1">
        <f>'[292]Prof (MC)'!$W$78</f>
        <v>1.3192136545926716</v>
      </c>
      <c r="X293" s="1">
        <f>'[292]Prof (MC)'!$Z$78</f>
        <v>3.2946811293300216</v>
      </c>
    </row>
    <row r="294" spans="1:24" x14ac:dyDescent="0.2">
      <c r="A294" t="s">
        <v>310</v>
      </c>
      <c r="B294" t="s">
        <v>433</v>
      </c>
      <c r="C294">
        <v>1800</v>
      </c>
      <c r="E294" s="1">
        <f>[293]All!B$9</f>
        <v>0.88603352055087359</v>
      </c>
      <c r="F294" s="1">
        <f>[293]All!C$9</f>
        <v>0.79516573622923492</v>
      </c>
      <c r="G294" s="1">
        <f>[293]All!D$9</f>
        <v>0.74330417440200924</v>
      </c>
      <c r="H294" s="1">
        <f>[293]All!E$9</f>
        <v>0.87783869031084449</v>
      </c>
      <c r="I294" s="1">
        <f>[293]All!F$9</f>
        <v>0.57817654792639861</v>
      </c>
      <c r="J294" s="1">
        <f>[293]All!G$9</f>
        <v>0.27491388794533506</v>
      </c>
      <c r="K294" s="1">
        <f>[293]All!H$9</f>
        <v>0.94707261517217656</v>
      </c>
      <c r="L294" s="1">
        <f>[293]All!I$9</f>
        <v>0.28421247847793207</v>
      </c>
      <c r="M294" s="1">
        <f>[293]All!J$9</f>
        <v>1.0884003577286516</v>
      </c>
      <c r="N294" s="1">
        <f>[293]All!K$9</f>
        <v>0.2909853452281011</v>
      </c>
      <c r="O294" s="1">
        <f>[293]All!L$9</f>
        <v>1.3141793206011176</v>
      </c>
      <c r="Q294" s="1">
        <f>[293]All!N$9</f>
        <v>0.88367692767168327</v>
      </c>
      <c r="R294" s="1">
        <f>[293]All!O$9</f>
        <v>0.73457115223387959</v>
      </c>
      <c r="S294" s="1">
        <f>[293]All!P$9</f>
        <v>0.79516573622923492</v>
      </c>
      <c r="U294" s="1">
        <f>'[293]Prof (MC)'!$B$4</f>
        <v>0.7839466508759656</v>
      </c>
      <c r="V294" s="1">
        <f>'[293]Prof (MC)'!$C$4</f>
        <v>0.82850429403495229</v>
      </c>
      <c r="W294" s="1">
        <f>'[293]Prof (MC)'!$W$68</f>
        <v>9.0882207108321206E-2</v>
      </c>
      <c r="X294" s="1">
        <f>'[293]Prof (MC)'!$Z$68</f>
        <v>1.922382682210596</v>
      </c>
    </row>
    <row r="295" spans="1:24" x14ac:dyDescent="0.2">
      <c r="A295" t="s">
        <v>311</v>
      </c>
      <c r="B295" t="s">
        <v>436</v>
      </c>
      <c r="C295">
        <v>1550</v>
      </c>
      <c r="E295" s="1">
        <f>[294]All!B$9</f>
        <v>14.543310121800459</v>
      </c>
      <c r="F295" s="1">
        <f>[294]All!C$9</f>
        <v>14.660317069459396</v>
      </c>
      <c r="G295" s="1">
        <f>[294]All!D$9</f>
        <v>14.988505995812814</v>
      </c>
      <c r="H295" s="1">
        <f>[294]All!E$9</f>
        <v>14.246613850349602</v>
      </c>
      <c r="I295" s="1">
        <f>[294]All!F$9</f>
        <v>14.764769119554428</v>
      </c>
      <c r="J295" s="1">
        <f>[294]All!G$9</f>
        <v>13.76790080025234</v>
      </c>
      <c r="K295" s="1">
        <f>[294]All!H$9</f>
        <v>12.602474949159209</v>
      </c>
      <c r="L295" s="1">
        <f>[294]All!I$9</f>
        <v>15.050573851165618</v>
      </c>
      <c r="M295" s="1">
        <f>[294]All!J$9</f>
        <v>16.578967109084736</v>
      </c>
      <c r="N295" s="1">
        <f>[294]All!K$9</f>
        <v>16.756402887420528</v>
      </c>
      <c r="O295" s="1">
        <f>[294]All!L$9</f>
        <v>14.119099063856023</v>
      </c>
      <c r="Q295" s="1">
        <f>[294]All!N$9</f>
        <v>14.687383197822911</v>
      </c>
      <c r="R295" s="1">
        <f>[294]All!O$9</f>
        <v>14.734448619810468</v>
      </c>
      <c r="S295" s="1">
        <f>[294]All!P$9</f>
        <v>14.660317069459396</v>
      </c>
      <c r="U295" s="1">
        <f>'[294]Prof (MC)'!$B$4</f>
        <v>14.752161953628217</v>
      </c>
      <c r="V295" s="1">
        <f>'[294]Prof (MC)'!$C$4</f>
        <v>14.721652362964393</v>
      </c>
      <c r="W295" s="1">
        <f>'[294]Prof (MC)'!$W$208</f>
        <v>12.19512760812518</v>
      </c>
      <c r="X295" s="1">
        <f>'[294]Prof (MC)'!$Z$208</f>
        <v>17.368392471134332</v>
      </c>
    </row>
    <row r="296" spans="1:24" x14ac:dyDescent="0.2">
      <c r="A296" t="s">
        <v>312</v>
      </c>
      <c r="B296" t="s">
        <v>435</v>
      </c>
      <c r="C296">
        <v>1550</v>
      </c>
      <c r="E296" s="1">
        <f>[295]All!B$9</f>
        <v>2.4845295057401429</v>
      </c>
      <c r="F296" s="1">
        <f>[295]All!C$9</f>
        <v>2.9201887173656167</v>
      </c>
      <c r="G296" s="1">
        <f>[295]All!D$9</f>
        <v>2.7436970680705848</v>
      </c>
      <c r="H296" s="1">
        <f>[295]All!E$9</f>
        <v>1.8577826254570449</v>
      </c>
      <c r="I296" s="1">
        <f>[295]All!F$9</f>
        <v>2.9285437158047158</v>
      </c>
      <c r="J296" s="1">
        <f>[295]All!G$9</f>
        <v>3.4716637908084564</v>
      </c>
      <c r="K296" s="1">
        <f>[295]All!H$9</f>
        <v>3.1337514435244698</v>
      </c>
      <c r="L296" s="1">
        <f>[295]All!I$9</f>
        <v>3.8691231545285674</v>
      </c>
      <c r="M296" s="1">
        <f>[295]All!J$9</f>
        <v>3.641480057238256</v>
      </c>
      <c r="N296" s="1">
        <f>[295]All!K$9</f>
        <v>3.4624099873268599</v>
      </c>
      <c r="O296" s="1">
        <f>[295]All!L$9</f>
        <v>2.6656291115402824</v>
      </c>
      <c r="Q296" s="1">
        <f>[295]All!N$9</f>
        <v>3.1069140761261829</v>
      </c>
      <c r="R296" s="1">
        <f>[295]All!O$9</f>
        <v>3.0162544706731818</v>
      </c>
      <c r="S296" s="1">
        <f>[295]All!P$9</f>
        <v>2.9285437158047158</v>
      </c>
      <c r="U296" s="1">
        <f>'[295]Prof (MC)'!$B$4</f>
        <v>3.0038289875130202</v>
      </c>
      <c r="V296" s="1">
        <f>'[295]Prof (MC)'!$C$4</f>
        <v>2.9925673292834034</v>
      </c>
      <c r="W296" s="1">
        <f>'[295]Prof (MC)'!$W$92</f>
        <v>1.9379926932977911</v>
      </c>
      <c r="X296" s="1">
        <f>'[295]Prof (MC)'!$Z$92</f>
        <v>3.8107860047886075</v>
      </c>
    </row>
    <row r="297" spans="1:24" x14ac:dyDescent="0.2">
      <c r="A297" t="s">
        <v>313</v>
      </c>
      <c r="B297" t="s">
        <v>435</v>
      </c>
      <c r="C297">
        <v>1550</v>
      </c>
      <c r="E297" s="1">
        <f>[296]All!B$9</f>
        <v>2.6784622238359557</v>
      </c>
      <c r="F297" s="1">
        <f>[296]All!C$9</f>
        <v>2.3220579521069888</v>
      </c>
      <c r="G297" s="1">
        <f>[296]All!D$9</f>
        <v>2.0537529922441218</v>
      </c>
      <c r="H297" s="1">
        <f>[296]All!E$9</f>
        <v>2.7965587276320214</v>
      </c>
      <c r="I297" s="1">
        <f>[296]All!F$9</f>
        <v>2.6695273221866609</v>
      </c>
      <c r="J297" s="1">
        <f>[296]All!G$9</f>
        <v>2.362457975260881</v>
      </c>
      <c r="K297" s="1">
        <f>[296]All!H$9</f>
        <v>2.205022147918712</v>
      </c>
      <c r="L297" s="1">
        <f>[296]All!I$9</f>
        <v>2.0486927996451088</v>
      </c>
      <c r="M297" s="1">
        <f>[296]All!J$9</f>
        <v>2.1776070591644761</v>
      </c>
      <c r="N297" s="1">
        <f>[296]All!K$9</f>
        <v>3.1625005329165639</v>
      </c>
      <c r="O297" s="1">
        <f>[296]All!L$9</f>
        <v>1.7694749267140939</v>
      </c>
      <c r="Q297" s="1">
        <f>[296]All!N$9</f>
        <v>2.3765835451462531</v>
      </c>
      <c r="R297" s="1">
        <f>[296]All!O$9</f>
        <v>2.3860104236023258</v>
      </c>
      <c r="S297" s="1">
        <f>[296]All!P$9</f>
        <v>2.3220579521069888</v>
      </c>
      <c r="U297" s="1">
        <f>'[296]Prof (MC)'!$B$4</f>
        <v>2.4014478651701499</v>
      </c>
      <c r="V297" s="1">
        <f>'[296]Prof (MC)'!$C$4</f>
        <v>2.4002449317969963</v>
      </c>
      <c r="W297" s="1">
        <f>'[296]Prof (MC)'!$W$90</f>
        <v>1.3858624022778441</v>
      </c>
      <c r="X297" s="1">
        <f>'[296]Prof (MC)'!$Z$90</f>
        <v>3.3597797221040753</v>
      </c>
    </row>
    <row r="298" spans="1:24" x14ac:dyDescent="0.2">
      <c r="A298" t="s">
        <v>314</v>
      </c>
      <c r="B298" t="s">
        <v>433</v>
      </c>
      <c r="C298">
        <v>1550</v>
      </c>
      <c r="E298" s="1">
        <f>[297]All!B$9</f>
        <v>0.88867386900722756</v>
      </c>
      <c r="F298" s="1">
        <f>[297]All!C$9</f>
        <v>0.76641239563487151</v>
      </c>
      <c r="G298" s="1">
        <f>[297]All!D$9</f>
        <v>0.65411499546366769</v>
      </c>
      <c r="H298" s="1">
        <f>[297]All!E$9</f>
        <v>0.75190150377912923</v>
      </c>
      <c r="I298" s="1">
        <f>[297]All!F$9</f>
        <v>0.83745091828291873</v>
      </c>
      <c r="J298" s="1">
        <f>[297]All!G$9</f>
        <v>0.9079677421281922</v>
      </c>
      <c r="K298" s="1">
        <f>[297]All!H$9</f>
        <v>0.85150176841321279</v>
      </c>
      <c r="L298" s="1">
        <f>[297]All!I$9</f>
        <v>1.0667994828720679</v>
      </c>
      <c r="M298" s="1">
        <f>[297]All!J$9</f>
        <v>0.95333156822133958</v>
      </c>
      <c r="N298" s="1">
        <f>[297]All!K$9</f>
        <v>1.022487600864729</v>
      </c>
      <c r="O298" s="1">
        <f>[297]All!L$9</f>
        <v>0.81943183762272909</v>
      </c>
      <c r="Q298" s="1">
        <f>[297]All!N$9</f>
        <v>0.90564763390220748</v>
      </c>
      <c r="R298" s="1">
        <f>[297]All!O$9</f>
        <v>0.86546124384455325</v>
      </c>
      <c r="S298" s="1">
        <f>[297]All!P$9</f>
        <v>0.85150176841321279</v>
      </c>
      <c r="U298" s="1">
        <f>'[297]Prof (MC)'!$B$4</f>
        <v>0.87926456861904412</v>
      </c>
      <c r="V298" s="1">
        <f>'[297]Prof (MC)'!$C$4</f>
        <v>0.81592594807002183</v>
      </c>
      <c r="W298" s="1">
        <f>'[297]Prof (MC)'!$W$102</f>
        <v>7.0247528875165569E-2</v>
      </c>
      <c r="X298" s="1">
        <f>'[297]Prof (MC)'!$Z$102</f>
        <v>1.4460634268345991</v>
      </c>
    </row>
    <row r="299" spans="1:24" x14ac:dyDescent="0.2">
      <c r="A299" t="s">
        <v>315</v>
      </c>
      <c r="B299" t="s">
        <v>434</v>
      </c>
      <c r="C299">
        <v>1750</v>
      </c>
      <c r="E299" s="1">
        <f>[298]All!B$9</f>
        <v>6.9694438281962787</v>
      </c>
      <c r="F299" s="1">
        <f>[298]All!C$9</f>
        <v>7.3460298122649146</v>
      </c>
      <c r="G299" s="1">
        <f>[298]All!D$9</f>
        <v>7.2176882982887447</v>
      </c>
      <c r="H299" s="1">
        <f>[298]All!E$9</f>
        <v>6.7263837747596344</v>
      </c>
      <c r="I299" s="1">
        <f>[298]All!F$9</f>
        <v>6.6832213544545347</v>
      </c>
      <c r="J299" s="1">
        <f>[298]All!G$9</f>
        <v>7.8789271169447668</v>
      </c>
      <c r="K299" s="1">
        <f>[298]All!H$9</f>
        <v>5.0993974403390689</v>
      </c>
      <c r="L299" s="1">
        <f>[298]All!I$9</f>
        <v>5.4448836783173098</v>
      </c>
      <c r="M299" s="1">
        <f>[298]All!J$9</f>
        <v>4.9869400431186257</v>
      </c>
      <c r="N299" s="1">
        <f>[298]All!K$9</f>
        <v>5.0937466904681941</v>
      </c>
      <c r="O299" s="1">
        <f>[298]All!L$9</f>
        <v>6.3565913377697258</v>
      </c>
      <c r="Q299" s="1">
        <f>[298]All!N$9</f>
        <v>6.4344491898481033</v>
      </c>
      <c r="R299" s="1">
        <f>[298]All!O$9</f>
        <v>6.3457503068110732</v>
      </c>
      <c r="S299" s="1">
        <f>[298]All!P$9</f>
        <v>6.6832213544545347</v>
      </c>
      <c r="U299" s="1">
        <f>'[298]Prof (MC)'!$B$4</f>
        <v>6.2678432407378066</v>
      </c>
      <c r="V299" s="1">
        <f>'[298]Prof (MC)'!$C$4</f>
        <v>6.3568041932727519</v>
      </c>
      <c r="W299" s="1">
        <f>'[298]Prof (MC)'!$W$124</f>
        <v>4.0119583075136838</v>
      </c>
      <c r="X299" s="1">
        <f>'[298]Prof (MC)'!$Z$124</f>
        <v>9.0673678654340151</v>
      </c>
    </row>
    <row r="300" spans="1:24" x14ac:dyDescent="0.2">
      <c r="A300" t="s">
        <v>316</v>
      </c>
      <c r="B300" t="s">
        <v>434</v>
      </c>
      <c r="C300">
        <v>1750</v>
      </c>
      <c r="E300" s="1">
        <f>[299]All!B$9</f>
        <v>4.9238551870297416</v>
      </c>
      <c r="F300" s="1">
        <f>[299]All!C$9</f>
        <v>6.8274856313057546</v>
      </c>
      <c r="G300" s="1">
        <f>[299]All!D$9</f>
        <v>7.2399421528200127</v>
      </c>
      <c r="H300" s="1">
        <f>[299]All!E$9</f>
        <v>5.9648121319954663</v>
      </c>
      <c r="I300" s="1">
        <f>[299]All!F$9</f>
        <v>6.2720871332805013</v>
      </c>
      <c r="J300" s="1">
        <f>[299]All!G$9</f>
        <v>7.3495406694999605</v>
      </c>
      <c r="K300" s="1">
        <f>[299]All!H$9</f>
        <v>6.9003240098703644</v>
      </c>
      <c r="L300" s="1">
        <f>[299]All!I$9</f>
        <v>7.0421262557561359</v>
      </c>
      <c r="M300" s="1">
        <f>[299]All!J$9</f>
        <v>7.6517381513741656</v>
      </c>
      <c r="N300" s="1">
        <f>[299]All!K$9</f>
        <v>7.5925955749857676</v>
      </c>
      <c r="O300" s="1">
        <f>[299]All!L$9</f>
        <v>6.4963535335933358</v>
      </c>
      <c r="Q300" s="1">
        <f>[299]All!N$9</f>
        <v>6.8119724442496992</v>
      </c>
      <c r="R300" s="1">
        <f>[299]All!O$9</f>
        <v>6.7509873119555657</v>
      </c>
      <c r="S300" s="1">
        <f>[299]All!P$9</f>
        <v>6.9003240098703644</v>
      </c>
      <c r="U300" s="1">
        <f>'[299]Prof (MC)'!$B$4</f>
        <v>6.6753001330607962</v>
      </c>
      <c r="V300" s="1">
        <f>'[299]Prof (MC)'!$C$4</f>
        <v>6.7014259064742756</v>
      </c>
      <c r="W300" s="1">
        <f>'[299]Prof (MC)'!$W$128</f>
        <v>4.9352696586041196</v>
      </c>
      <c r="X300" s="1">
        <f>'[299]Prof (MC)'!$Z$128</f>
        <v>8.6845136598256776</v>
      </c>
    </row>
    <row r="301" spans="1:24" x14ac:dyDescent="0.2">
      <c r="A301" t="s">
        <v>317</v>
      </c>
      <c r="B301" t="s">
        <v>434</v>
      </c>
      <c r="C301">
        <v>1750</v>
      </c>
      <c r="E301" s="1">
        <f>[300]All!B$9</f>
        <v>3.6211379102845007</v>
      </c>
      <c r="F301" s="1">
        <f>[300]All!C$9</f>
        <v>3.7631723371737134</v>
      </c>
      <c r="G301" s="1">
        <f>[300]All!D$9</f>
        <v>4.1589420364819505</v>
      </c>
      <c r="H301" s="1">
        <f>[300]All!E$9</f>
        <v>3.0636179221618578</v>
      </c>
      <c r="I301" s="1">
        <f>[300]All!F$9</f>
        <v>2.6519777719437729</v>
      </c>
      <c r="J301" s="1">
        <f>[300]All!G$9</f>
        <v>3.1318012732128397</v>
      </c>
      <c r="K301" s="1">
        <f>[300]All!H$9</f>
        <v>3.0977421721488505</v>
      </c>
      <c r="L301" s="1">
        <f>[300]All!I$9</f>
        <v>3.6803960645952278</v>
      </c>
      <c r="M301" s="1">
        <f>[300]All!J$9</f>
        <v>3.9504955586254562</v>
      </c>
      <c r="N301" s="1">
        <f>[300]All!K$9</f>
        <v>3.2078219715745857</v>
      </c>
      <c r="O301" s="1">
        <f>[300]All!L$9</f>
        <v>3.084598267091005</v>
      </c>
      <c r="Q301" s="1">
        <f>[300]All!N$9</f>
        <v>3.3782636466375275</v>
      </c>
      <c r="R301" s="1">
        <f>[300]All!O$9</f>
        <v>3.4010639350267056</v>
      </c>
      <c r="S301" s="1">
        <f>[300]All!P$9</f>
        <v>3.2078219715745857</v>
      </c>
      <c r="U301" s="1">
        <f>'[300]Prof (MC)'!$B$4</f>
        <v>3.3340947116968387</v>
      </c>
      <c r="V301" s="1">
        <f>'[300]Prof (MC)'!$C$4</f>
        <v>3.3410414927251524</v>
      </c>
      <c r="W301" s="1">
        <f>'[300]Prof (MC)'!$W$102</f>
        <v>2.3299913941934594</v>
      </c>
      <c r="X301" s="1">
        <f>'[300]Prof (MC)'!$Z$102</f>
        <v>4.2076718157231348</v>
      </c>
    </row>
    <row r="302" spans="1:24" x14ac:dyDescent="0.2">
      <c r="A302" t="s">
        <v>318</v>
      </c>
      <c r="B302" t="s">
        <v>435</v>
      </c>
      <c r="C302">
        <v>1750</v>
      </c>
      <c r="E302" s="1">
        <f>[301]All!B$9</f>
        <v>4.5814690957738211</v>
      </c>
      <c r="F302" s="1">
        <f>[301]All!C$9</f>
        <v>5.0358401786492104</v>
      </c>
      <c r="G302" s="1">
        <f>[301]All!D$9</f>
        <v>4.7478150022149794</v>
      </c>
      <c r="H302" s="1">
        <f>[301]All!E$9</f>
        <v>4.3505519349008095</v>
      </c>
      <c r="I302" s="1">
        <f>[301]All!F$9</f>
        <v>3.5077839580387904</v>
      </c>
      <c r="J302" s="1">
        <f>[301]All!G$9</f>
        <v>3.9300431482938234</v>
      </c>
      <c r="K302" s="1">
        <f>[301]All!H$9</f>
        <v>3.755125088440745</v>
      </c>
      <c r="L302" s="1">
        <f>[301]All!I$9</f>
        <v>5.0728405104963832</v>
      </c>
      <c r="M302" s="1">
        <f>[301]All!J$9</f>
        <v>2.299098475276709</v>
      </c>
      <c r="N302" s="1">
        <f>[301]All!K$9</f>
        <v>2.4078444781713215</v>
      </c>
      <c r="O302" s="1">
        <f>[301]All!L$9</f>
        <v>3.6401988743918747</v>
      </c>
      <c r="Q302" s="1">
        <f>[301]All!N$9</f>
        <v>3.8291928659035892</v>
      </c>
      <c r="R302" s="1">
        <f>[301]All!O$9</f>
        <v>3.9389646131498606</v>
      </c>
      <c r="S302" s="1">
        <f>[301]All!P$9</f>
        <v>3.9300431482938234</v>
      </c>
      <c r="U302" s="1">
        <f>'[301]Prof (MC)'!$B$4</f>
        <v>3.6090237416880031</v>
      </c>
      <c r="V302" s="1">
        <f>'[301]Prof (MC)'!$C$4</f>
        <v>3.7162790791791447</v>
      </c>
      <c r="W302" s="1">
        <f>'[301]Prof (MC)'!$W$98</f>
        <v>2.5667448086780125</v>
      </c>
      <c r="X302" s="1">
        <f>'[301]Prof (MC)'!$Z$98</f>
        <v>5.2852677898377847</v>
      </c>
    </row>
    <row r="303" spans="1:24" x14ac:dyDescent="0.2">
      <c r="A303" t="s">
        <v>319</v>
      </c>
      <c r="B303" t="s">
        <v>435</v>
      </c>
      <c r="C303">
        <v>1750</v>
      </c>
      <c r="E303" s="1">
        <f>[302]All!B$9</f>
        <v>3.0469285270406603</v>
      </c>
      <c r="F303" s="1">
        <f>[302]All!C$9</f>
        <v>1.7616287134757032</v>
      </c>
      <c r="G303" s="1">
        <f>[302]All!D$9</f>
        <v>2.5018528505623476</v>
      </c>
      <c r="H303" s="1">
        <f>[302]All!E$9</f>
        <v>1.7119447657683555</v>
      </c>
      <c r="I303" s="1">
        <f>[302]All!F$9</f>
        <v>2.1004196539540105</v>
      </c>
      <c r="J303" s="1">
        <f>[302]All!G$9</f>
        <v>2.1765005271924744</v>
      </c>
      <c r="K303" s="1">
        <f>[302]All!H$9</f>
        <v>2.2683669861527909</v>
      </c>
      <c r="L303" s="1">
        <f>[302]All!I$9</f>
        <v>2.161015939546477</v>
      </c>
      <c r="M303" s="1">
        <f>[302]All!J$9</f>
        <v>2.3741071679298611</v>
      </c>
      <c r="N303" s="1">
        <f>[302]All!K$9</f>
        <v>2.7123384137012736</v>
      </c>
      <c r="O303" s="1">
        <f>[302]All!L$9</f>
        <v>3.1111015484881905</v>
      </c>
      <c r="Q303" s="1">
        <f>[302]All!N$9</f>
        <v>2.3910368165788984</v>
      </c>
      <c r="R303" s="1">
        <f>[302]All!O$9</f>
        <v>2.3569277358011043</v>
      </c>
      <c r="S303" s="1">
        <f>[302]All!P$9</f>
        <v>2.2683669861527909</v>
      </c>
      <c r="U303" s="1">
        <f>'[302]Prof (MC)'!$B$4</f>
        <v>2.3382291434960427</v>
      </c>
      <c r="V303" s="1">
        <f>'[302]Prof (MC)'!$C$4</f>
        <v>2.3470838621972292</v>
      </c>
      <c r="W303" s="1">
        <f>'[302]Prof (MC)'!$W$86</f>
        <v>1.2119552913577134</v>
      </c>
      <c r="X303" s="1">
        <f>'[302]Prof (MC)'!$Z$86</f>
        <v>3.4978453125530242</v>
      </c>
    </row>
    <row r="304" spans="1:24" x14ac:dyDescent="0.2">
      <c r="A304" t="s">
        <v>320</v>
      </c>
      <c r="B304" t="s">
        <v>435</v>
      </c>
      <c r="C304">
        <v>2000</v>
      </c>
      <c r="E304" s="1">
        <f>[303]All!B$9</f>
        <v>4.2751336314870567</v>
      </c>
      <c r="F304" s="1">
        <f>[303]All!C$9</f>
        <v>4.6249245114176265</v>
      </c>
      <c r="G304" s="1">
        <f>[303]All!D$9</f>
        <v>4.9877628937320946</v>
      </c>
      <c r="H304" s="1">
        <f>[303]All!E$9</f>
        <v>4.6362234778797289</v>
      </c>
      <c r="I304" s="1">
        <f>[303]All!F$9</f>
        <v>4.4444351212223498</v>
      </c>
      <c r="J304" s="1">
        <f>[303]All!G$9</f>
        <v>4.6409552197172816</v>
      </c>
      <c r="K304" s="1">
        <f>[303]All!H$9</f>
        <v>4.6275645397958929</v>
      </c>
      <c r="L304" s="1">
        <f>[303]All!I$9</f>
        <v>4.4073158053839103</v>
      </c>
      <c r="M304" s="1">
        <f>[303]All!J$9</f>
        <v>4.5604923651949791</v>
      </c>
      <c r="N304" s="1">
        <f>[303]All!K$9</f>
        <v>4.6067986172148139</v>
      </c>
      <c r="O304" s="1">
        <f>[303]All!L$9</f>
        <v>5.2759040126158068</v>
      </c>
      <c r="Q304" s="1">
        <f>[303]All!N$9</f>
        <v>4.6785390521977979</v>
      </c>
      <c r="R304" s="1">
        <f>[303]All!O$9</f>
        <v>4.6443191086965037</v>
      </c>
      <c r="S304" s="1">
        <f>[303]All!P$9</f>
        <v>4.6249245114176265</v>
      </c>
      <c r="U304" s="1">
        <f>'[303]Prof (MC)'!$B$4</f>
        <v>4.6201584104490241</v>
      </c>
      <c r="V304" s="1">
        <f>'[303]Prof (MC)'!$C$4</f>
        <v>4.6525244545416653</v>
      </c>
      <c r="W304" s="1">
        <f>'[303]Prof (MC)'!$W$118</f>
        <v>3.7774629250526162</v>
      </c>
      <c r="X304" s="1">
        <f>'[303]Prof (MC)'!$Z$118</f>
        <v>5.4381889381486861</v>
      </c>
    </row>
    <row r="305" spans="1:24" x14ac:dyDescent="0.2">
      <c r="A305" t="s">
        <v>321</v>
      </c>
      <c r="B305" t="s">
        <v>435</v>
      </c>
      <c r="C305">
        <v>2000</v>
      </c>
      <c r="E305" s="1">
        <f>[304]All!B$9</f>
        <v>3.6039970703365922</v>
      </c>
      <c r="F305" s="1">
        <f>[304]All!C$9</f>
        <v>3.8648977197793428</v>
      </c>
      <c r="G305" s="1">
        <f>[304]All!D$9</f>
        <v>3.5853263514083724</v>
      </c>
      <c r="H305" s="1">
        <f>[304]All!E$9</f>
        <v>3.8577147990590754</v>
      </c>
      <c r="I305" s="1">
        <f>[304]All!F$9</f>
        <v>3.0493335782995246</v>
      </c>
      <c r="J305" s="1">
        <f>[304]All!G$9</f>
        <v>3.707445241490932</v>
      </c>
      <c r="K305" s="1">
        <f>[304]All!H$9</f>
        <v>3.2883794310985359</v>
      </c>
      <c r="L305" s="1">
        <f>[304]All!I$9</f>
        <v>4.2183706984710545</v>
      </c>
      <c r="M305" s="1">
        <f>[304]All!J$9</f>
        <v>3.6605454000703772</v>
      </c>
      <c r="N305" s="1">
        <f>[304]All!K$9</f>
        <v>3.7359060330592002</v>
      </c>
      <c r="O305" s="1">
        <f>[304]All!L$9</f>
        <v>2.6805109417669497</v>
      </c>
      <c r="Q305" s="1">
        <f>[304]All!N$9</f>
        <v>3.6568947907943214</v>
      </c>
      <c r="R305" s="1">
        <f>[304]All!O$9</f>
        <v>3.5684024786218145</v>
      </c>
      <c r="S305" s="1">
        <f>[304]All!P$9</f>
        <v>3.6605454000703772</v>
      </c>
      <c r="U305" s="1">
        <f>'[304]Prof (MC)'!$B$4</f>
        <v>3.6311197195781046</v>
      </c>
      <c r="V305" s="1">
        <f>'[304]Prof (MC)'!$C$4</f>
        <v>3.6626777600244806</v>
      </c>
      <c r="W305" s="1">
        <f>'[304]Prof (MC)'!$W$128</f>
        <v>2.4773102807132399</v>
      </c>
      <c r="X305" s="1">
        <f>'[304]Prof (MC)'!$Z$128</f>
        <v>4.8618791429784274</v>
      </c>
    </row>
    <row r="306" spans="1:24" x14ac:dyDescent="0.2">
      <c r="A306" t="s">
        <v>322</v>
      </c>
      <c r="B306" t="s">
        <v>435</v>
      </c>
      <c r="C306">
        <v>2000</v>
      </c>
      <c r="E306" s="1">
        <f>[305]All!B$9</f>
        <v>1.991375738023855</v>
      </c>
      <c r="F306" s="1">
        <f>[305]All!C$9</f>
        <v>1.4090080244809455</v>
      </c>
      <c r="G306" s="1">
        <f>[305]All!D$9</f>
        <v>1.4983732145986981</v>
      </c>
      <c r="H306" s="1">
        <f>[305]All!E$9</f>
        <v>1.3428344001876371</v>
      </c>
      <c r="I306" s="1">
        <f>[305]All!F$9</f>
        <v>1.1661399289926464</v>
      </c>
      <c r="J306" s="1">
        <f>[305]All!G$9</f>
        <v>1.9645348183785503</v>
      </c>
      <c r="K306" s="1">
        <f>[305]All!H$9</f>
        <v>2.5450897751570722</v>
      </c>
      <c r="L306" s="1">
        <f>[305]All!I$9</f>
        <v>1.7539078476948653</v>
      </c>
      <c r="M306" s="1">
        <f>[305]All!J$9</f>
        <v>2.3519265945333347</v>
      </c>
      <c r="N306" s="1">
        <f>[305]All!K$9</f>
        <v>1.0583384045453355</v>
      </c>
      <c r="O306" s="1">
        <f>[305]All!L$9</f>
        <v>1.4619901766104981</v>
      </c>
      <c r="Q306" s="1">
        <f>[305]All!N$9</f>
        <v>1.7286923576121873</v>
      </c>
      <c r="R306" s="1">
        <f>[305]All!O$9</f>
        <v>1.6857744475639487</v>
      </c>
      <c r="S306" s="1">
        <f>[305]All!P$9</f>
        <v>1.4983732145986981</v>
      </c>
      <c r="U306" s="1">
        <f>'[305]Prof (MC)'!$B$4</f>
        <v>1.6669137704131285</v>
      </c>
      <c r="V306" s="1">
        <f>'[305]Prof (MC)'!$C$4</f>
        <v>1.6341265001035254</v>
      </c>
      <c r="W306" s="1">
        <f>'[305]Prof (MC)'!$W$72</f>
        <v>0.26254370576860586</v>
      </c>
      <c r="X306" s="1">
        <f>'[305]Prof (MC)'!$Z$72</f>
        <v>2.6307199770451022</v>
      </c>
    </row>
    <row r="307" spans="1:24" x14ac:dyDescent="0.2">
      <c r="A307" t="s">
        <v>323</v>
      </c>
      <c r="B307" t="s">
        <v>435</v>
      </c>
      <c r="C307">
        <v>2000</v>
      </c>
      <c r="E307" s="1">
        <f>[306]All!B$9</f>
        <v>1.646140702298311</v>
      </c>
      <c r="F307" s="1">
        <f>[306]All!C$9</f>
        <v>0.25786377340390104</v>
      </c>
      <c r="G307" s="1">
        <f>[306]All!D$9</f>
        <v>1.3355318986382132</v>
      </c>
      <c r="H307" s="1">
        <f>[306]All!E$9</f>
        <v>1.1859573647971464</v>
      </c>
      <c r="I307" s="1">
        <f>[306]All!F$9</f>
        <v>1.1981957362687901</v>
      </c>
      <c r="J307" s="1">
        <f>[306]All!G$9</f>
        <v>1.5459822248840616</v>
      </c>
      <c r="K307" s="1">
        <f>[306]All!H$9</f>
        <v>1.3001279897418792</v>
      </c>
      <c r="L307" s="1">
        <f>[306]All!I$9</f>
        <v>0.15045648934333536</v>
      </c>
      <c r="M307" s="1">
        <f>[306]All!J$9</f>
        <v>0.94744402521288229</v>
      </c>
      <c r="N307" s="1">
        <f>[306]All!K$9</f>
        <v>1.2666039247865604</v>
      </c>
      <c r="O307" s="1">
        <f>[306]All!L$9</f>
        <v>1.0151196414857409</v>
      </c>
      <c r="Q307" s="1">
        <f>[306]All!N$9</f>
        <v>1.2835995617163889</v>
      </c>
      <c r="R307" s="1">
        <f>[306]All!O$9</f>
        <v>1.0772203428055294</v>
      </c>
      <c r="S307" s="1">
        <f>[306]All!P$9</f>
        <v>1.1981957362687901</v>
      </c>
      <c r="U307" s="1">
        <f>'[306]Prof (MC)'!$B$4</f>
        <v>1.2417609885090966</v>
      </c>
      <c r="V307" s="1">
        <f>'[306]Prof (MC)'!$C$4</f>
        <v>1.2733258079086895</v>
      </c>
      <c r="W307" s="1">
        <f>'[306]Prof (MC)'!$W$82</f>
        <v>0.18560250376987622</v>
      </c>
      <c r="X307" s="1">
        <f>'[306]Prof (MC)'!$Z$82</f>
        <v>3.7171639032747272</v>
      </c>
    </row>
    <row r="308" spans="1:24" x14ac:dyDescent="0.2">
      <c r="A308" t="s">
        <v>324</v>
      </c>
      <c r="B308" t="s">
        <v>434</v>
      </c>
      <c r="C308">
        <v>1900</v>
      </c>
      <c r="E308" s="1">
        <f>[307]All!B$9</f>
        <v>8.2032015566004031</v>
      </c>
      <c r="F308" s="1">
        <f>[307]All!C$9</f>
        <v>7.4788981438050151</v>
      </c>
      <c r="G308" s="1">
        <f>[307]All!D$9</f>
        <v>9.4199227602322839</v>
      </c>
      <c r="H308" s="1">
        <f>[307]All!E$9</f>
        <v>8.0018066703767605</v>
      </c>
      <c r="I308" s="1">
        <f>[307]All!F$9</f>
        <v>8.29959902662414</v>
      </c>
      <c r="J308" s="1">
        <f>[307]All!G$9</f>
        <v>7.2492023983555525</v>
      </c>
      <c r="K308" s="1">
        <f>[307]All!H$9</f>
        <v>10.144208770205521</v>
      </c>
      <c r="L308" s="1">
        <f>[307]All!I$9</f>
        <v>7.9087061716332396</v>
      </c>
      <c r="M308" s="1">
        <f>[307]All!J$9</f>
        <v>5.8272052535804351</v>
      </c>
      <c r="N308" s="1">
        <f>[307]All!K$9</f>
        <v>5.0600240433396246</v>
      </c>
      <c r="O308" s="1">
        <f>[307]All!L$9</f>
        <v>7.2090161724198252</v>
      </c>
      <c r="Q308" s="1">
        <f>[307]All!N$9</f>
        <v>7.5311290702665499</v>
      </c>
      <c r="R308" s="1">
        <f>[307]All!O$9</f>
        <v>7.7092537242884358</v>
      </c>
      <c r="S308" s="1">
        <f>[307]All!P$9</f>
        <v>7.9087061716332396</v>
      </c>
      <c r="U308" s="1">
        <f>'[307]Prof (MC)'!$B$4</f>
        <v>7.4771471656080823</v>
      </c>
      <c r="V308" s="1">
        <f>'[307]Prof (MC)'!$C$4</f>
        <v>7.4976345584830479</v>
      </c>
      <c r="W308" s="1">
        <f>'[307]Prof (MC)'!$W$130</f>
        <v>5.9985961852077558</v>
      </c>
      <c r="X308" s="1">
        <f>'[307]Prof (MC)'!$Z$130</f>
        <v>9.1978109980776015</v>
      </c>
    </row>
    <row r="309" spans="1:24" x14ac:dyDescent="0.2">
      <c r="A309" t="s">
        <v>325</v>
      </c>
      <c r="B309" t="s">
        <v>435</v>
      </c>
      <c r="C309">
        <v>1900</v>
      </c>
      <c r="E309" s="1">
        <f>[308]All!B$9</f>
        <v>2.9819140231581387</v>
      </c>
      <c r="F309" s="1">
        <f>[308]All!C$9</f>
        <v>2.8795468820295129</v>
      </c>
      <c r="G309" s="1">
        <f>[308]All!D$9</f>
        <v>2.8814446429277698</v>
      </c>
      <c r="H309" s="1">
        <f>[308]All!E$9</f>
        <v>2.9524822818934795</v>
      </c>
      <c r="I309" s="1">
        <f>[308]All!F$9</f>
        <v>3.0110223405512833</v>
      </c>
      <c r="J309" s="1">
        <f>[308]All!G$9</f>
        <v>3.2810784621131535</v>
      </c>
      <c r="K309" s="1">
        <f>[308]All!H$9</f>
        <v>3.7143543150588467</v>
      </c>
      <c r="L309" s="1">
        <f>[308]All!I$9</f>
        <v>3.2665019471928427</v>
      </c>
      <c r="M309" s="1">
        <f>[308]All!J$9</f>
        <v>3.5773809097334412</v>
      </c>
      <c r="N309" s="1">
        <f>[308]All!K$9</f>
        <v>2.4839846281911511</v>
      </c>
      <c r="O309" s="1">
        <f>[308]All!L$9</f>
        <v>2.9220915843742845</v>
      </c>
      <c r="Q309" s="1">
        <f>[308]All!N$9</f>
        <v>3.0748001944510794</v>
      </c>
      <c r="R309" s="1">
        <f>[308]All!O$9</f>
        <v>3.0865274561112641</v>
      </c>
      <c r="S309" s="1">
        <f>[308]All!P$9</f>
        <v>2.9819140231581387</v>
      </c>
      <c r="U309" s="1">
        <f>'[308]Prof (MC)'!$B$4</f>
        <v>3.017548369178483</v>
      </c>
      <c r="V309" s="1">
        <f>'[308]Prof (MC)'!$C$4</f>
        <v>3.015331594549731</v>
      </c>
      <c r="W309" s="1">
        <f>'[308]Prof (MC)'!$W$96</f>
        <v>2.3586652975484457</v>
      </c>
      <c r="X309" s="1">
        <f>'[308]Prof (MC)'!$Z$96</f>
        <v>3.7762487420417878</v>
      </c>
    </row>
    <row r="310" spans="1:24" x14ac:dyDescent="0.2">
      <c r="A310" t="s">
        <v>326</v>
      </c>
      <c r="B310" t="s">
        <v>435</v>
      </c>
      <c r="C310">
        <v>1900</v>
      </c>
      <c r="E310" s="1">
        <f>[309]All!B$9</f>
        <v>2.6960502532618773</v>
      </c>
      <c r="F310" s="1">
        <f>[309]All!C$9</f>
        <v>2.5300856800946416</v>
      </c>
      <c r="G310" s="1">
        <f>[309]All!D$9</f>
        <v>2.2227709176178969</v>
      </c>
      <c r="H310" s="1">
        <f>[309]All!E$9</f>
        <v>1.577653121914494</v>
      </c>
      <c r="I310" s="1">
        <f>[309]All!F$9</f>
        <v>1.0956742479593293</v>
      </c>
      <c r="J310" s="1">
        <f>[309]All!G$9</f>
        <v>1.1941537423175954</v>
      </c>
      <c r="K310" s="1">
        <f>[309]All!H$9</f>
        <v>2.1945315407626858</v>
      </c>
      <c r="L310" s="1">
        <f>[309]All!I$9</f>
        <v>2.0480222130207548</v>
      </c>
      <c r="M310" s="1">
        <f>[309]All!J$9</f>
        <v>1.1446193534649654</v>
      </c>
      <c r="N310" s="1">
        <f>[309]All!K$9</f>
        <v>1.4996738065852881</v>
      </c>
      <c r="O310" s="1">
        <f>[309]All!L$9</f>
        <v>1.0670611563380858</v>
      </c>
      <c r="Q310" s="1">
        <f>[309]All!N$9</f>
        <v>1.7994830073222461</v>
      </c>
      <c r="R310" s="1">
        <f>[309]All!O$9</f>
        <v>1.7518450939397829</v>
      </c>
      <c r="S310" s="1">
        <f>[309]All!P$9</f>
        <v>1.577653121914494</v>
      </c>
      <c r="U310" s="1">
        <f>'[309]Prof (MC)'!$B$4</f>
        <v>1.7680101018143985</v>
      </c>
      <c r="V310" s="1">
        <f>'[309]Prof (MC)'!$C$4</f>
        <v>1.7270655815908171</v>
      </c>
      <c r="W310" s="1">
        <f>'[309]Prof (MC)'!$W$84</f>
        <v>0.27841821760904112</v>
      </c>
      <c r="X310" s="1">
        <f>'[309]Prof (MC)'!$Z$84</f>
        <v>2.6158753233640613</v>
      </c>
    </row>
    <row r="311" spans="1:24" x14ac:dyDescent="0.2">
      <c r="A311" t="s">
        <v>327</v>
      </c>
      <c r="B311" t="s">
        <v>435</v>
      </c>
      <c r="C311">
        <v>1900</v>
      </c>
      <c r="E311" s="1">
        <f>[310]All!B$9</f>
        <v>2.2214074347913404</v>
      </c>
      <c r="F311" s="1">
        <f>[310]All!C$9</f>
        <v>2.474848624262326</v>
      </c>
      <c r="G311" s="1">
        <f>[310]All!D$9</f>
        <v>2.6254307062403899</v>
      </c>
      <c r="H311" s="1">
        <f>[310]All!E$9</f>
        <v>2.507987714295727</v>
      </c>
      <c r="I311" s="1">
        <f>[310]All!F$9</f>
        <v>1.7566615024042296</v>
      </c>
      <c r="J311" s="1">
        <f>[310]All!G$9</f>
        <v>2.1674099301124055</v>
      </c>
      <c r="K311" s="1">
        <f>[310]All!H$9</f>
        <v>1.4029695343720756</v>
      </c>
      <c r="L311" s="1">
        <f>[310]All!I$9</f>
        <v>0.83976864743494684</v>
      </c>
      <c r="M311" s="1">
        <f>[310]All!J$9</f>
        <v>2.4572868861100208</v>
      </c>
      <c r="N311" s="1">
        <f>[310]All!K$9</f>
        <v>1.9022763465425492</v>
      </c>
      <c r="O311" s="1">
        <f>[310]All!L$9</f>
        <v>1.0372814938126398</v>
      </c>
      <c r="Q311" s="1">
        <f>[310]All!N$9</f>
        <v>1.9351156299924821</v>
      </c>
      <c r="R311" s="1">
        <f>[310]All!O$9</f>
        <v>1.9448480745798775</v>
      </c>
      <c r="S311" s="1">
        <f>[310]All!P$9</f>
        <v>2.1674099301124055</v>
      </c>
      <c r="U311" s="1">
        <f>'[310]Prof (MC)'!$B$4</f>
        <v>1.8824879579791469</v>
      </c>
      <c r="V311" s="1">
        <f>'[310]Prof (MC)'!$C$4</f>
        <v>1.8293022171931159</v>
      </c>
      <c r="W311" s="1">
        <f>'[310]Prof (MC)'!$W$78</f>
        <v>0.23210707697719551</v>
      </c>
      <c r="X311" s="1">
        <f>'[310]Prof (MC)'!$Z$78</f>
        <v>3.1514524377428934</v>
      </c>
    </row>
    <row r="312" spans="1:24" x14ac:dyDescent="0.2">
      <c r="A312" t="s">
        <v>328</v>
      </c>
      <c r="B312" t="s">
        <v>434</v>
      </c>
      <c r="C312">
        <v>1700</v>
      </c>
      <c r="E312" s="1">
        <f>[311]All!B$9</f>
        <v>5.4190954019256479</v>
      </c>
      <c r="F312" s="1">
        <f>[311]All!C$9</f>
        <v>5.6563123505947637</v>
      </c>
      <c r="G312" s="1">
        <f>[311]All!D$9</f>
        <v>4.9862513102720634</v>
      </c>
      <c r="H312" s="1">
        <f>[311]All!E$9</f>
        <v>6.2880438545227406</v>
      </c>
      <c r="I312" s="1">
        <f>[311]All!F$9</f>
        <v>6.8277682542695732</v>
      </c>
      <c r="J312" s="1">
        <f>[311]All!G$9</f>
        <v>5.9825743025587581</v>
      </c>
      <c r="K312" s="1">
        <f>[311]All!H$9</f>
        <v>5.8989002097169765</v>
      </c>
      <c r="L312" s="1">
        <f>[311]All!I$9</f>
        <v>5.2587010818510489</v>
      </c>
      <c r="M312" s="1">
        <f>[311]All!J$9</f>
        <v>4.8358054888183046</v>
      </c>
      <c r="N312" s="1">
        <f>[311]All!K$9</f>
        <v>6.8641042657141291</v>
      </c>
      <c r="O312" s="1">
        <f>[311]All!L$9</f>
        <v>7.1730488739054428</v>
      </c>
      <c r="Q312" s="1">
        <f>[311]All!N$9</f>
        <v>5.8539098942956143</v>
      </c>
      <c r="R312" s="1">
        <f>[311]All!O$9</f>
        <v>5.9264186721954051</v>
      </c>
      <c r="S312" s="1">
        <f>[311]All!P$9</f>
        <v>5.8989002097169765</v>
      </c>
      <c r="U312" s="1">
        <f>'[311]Prof (MC)'!$B$4</f>
        <v>5.8160957256430503</v>
      </c>
      <c r="V312" s="1">
        <f>'[311]Prof (MC)'!$C$4</f>
        <v>5.8778549636582627</v>
      </c>
      <c r="W312" s="1">
        <f>'[311]Prof (MC)'!$W$126</f>
        <v>4.393228706820322</v>
      </c>
      <c r="X312" s="1">
        <f>'[311]Prof (MC)'!$Z$126</f>
        <v>7.5441562030631362</v>
      </c>
    </row>
    <row r="313" spans="1:24" x14ac:dyDescent="0.2">
      <c r="A313" t="s">
        <v>329</v>
      </c>
      <c r="B313" t="s">
        <v>435</v>
      </c>
      <c r="C313">
        <v>1700</v>
      </c>
      <c r="E313" s="1">
        <f>[312]All!B$9</f>
        <v>5.3272077521655747</v>
      </c>
      <c r="F313" s="1">
        <f>[312]All!C$9</f>
        <v>3.8243605137342271</v>
      </c>
      <c r="G313" s="1">
        <f>[312]All!D$9</f>
        <v>4.5202624039388537</v>
      </c>
      <c r="H313" s="1">
        <f>[312]All!E$9</f>
        <v>4.3719156262593897</v>
      </c>
      <c r="I313" s="1">
        <f>[312]All!F$9</f>
        <v>4.5262980919099807</v>
      </c>
      <c r="J313" s="1">
        <f>[312]All!G$9</f>
        <v>5.0243485810625934</v>
      </c>
      <c r="K313" s="1">
        <f>[312]All!H$9</f>
        <v>3.467020185304464</v>
      </c>
      <c r="L313" s="1">
        <f>[312]All!I$9</f>
        <v>3.7305044058394663</v>
      </c>
      <c r="M313" s="1">
        <f>[312]All!J$9</f>
        <v>3.0769278212370943</v>
      </c>
      <c r="N313" s="1">
        <f>[312]All!K$9</f>
        <v>4.2968389516126928</v>
      </c>
      <c r="O313" s="1">
        <f>[312]All!L$9</f>
        <v>3.7898314909840471</v>
      </c>
      <c r="Q313" s="1">
        <f>[312]All!N$9</f>
        <v>4.1770314845472614</v>
      </c>
      <c r="R313" s="1">
        <f>[312]All!O$9</f>
        <v>4.17777416582258</v>
      </c>
      <c r="S313" s="1">
        <f>[312]All!P$9</f>
        <v>4.2968389516126928</v>
      </c>
      <c r="U313" s="1">
        <f>'[312]Prof (MC)'!$B$4</f>
        <v>4.1396641980876705</v>
      </c>
      <c r="V313" s="1">
        <f>'[312]Prof (MC)'!$C$4</f>
        <v>4.1195459271348058</v>
      </c>
      <c r="W313" s="1">
        <f>'[312]Prof (MC)'!$W$114</f>
        <v>2.898691151238499</v>
      </c>
      <c r="X313" s="1">
        <f>'[312]Prof (MC)'!$Z$114</f>
        <v>5.1508113691321569</v>
      </c>
    </row>
    <row r="314" spans="1:24" x14ac:dyDescent="0.2">
      <c r="A314" t="s">
        <v>330</v>
      </c>
      <c r="B314" t="s">
        <v>435</v>
      </c>
      <c r="C314">
        <v>1700</v>
      </c>
      <c r="E314" s="1">
        <f>[313]All!B$9</f>
        <v>0.18490132169938822</v>
      </c>
      <c r="F314" s="1">
        <f>[313]All!C$9</f>
        <v>2.0735255557501469</v>
      </c>
      <c r="G314" s="1">
        <f>[313]All!D$9</f>
        <v>3.8550009184378462</v>
      </c>
      <c r="H314" s="1">
        <f>[313]All!E$9</f>
        <v>1.6163659958204151</v>
      </c>
      <c r="I314" s="1">
        <f>[313]All!F$9</f>
        <v>0</v>
      </c>
      <c r="J314" s="1">
        <f>[313]All!G$9</f>
        <v>0.23570163983286646</v>
      </c>
      <c r="K314" s="1">
        <f>[313]All!H$9</f>
        <v>5.5460523245389171</v>
      </c>
      <c r="L314" s="1">
        <f>[313]All!I$9</f>
        <v>6.872911306909006</v>
      </c>
      <c r="M314" s="1">
        <f>[313]All!J$9</f>
        <v>1.6557532335550256</v>
      </c>
      <c r="N314" s="1">
        <f>[313]All!K$9</f>
        <v>3.6495360870049076</v>
      </c>
      <c r="O314" s="1">
        <f>[313]All!L$9</f>
        <v>2.0504665112167588</v>
      </c>
      <c r="Q314" s="1">
        <f>[313]All!N$9</f>
        <v>3.7251218585223702</v>
      </c>
      <c r="R314" s="1">
        <f>[313]All!O$9</f>
        <v>2.7740214894765276</v>
      </c>
      <c r="S314" s="1">
        <f>[313]All!P$9</f>
        <v>2.0619960334834531</v>
      </c>
      <c r="U314" s="1">
        <f>'[313]Prof (MC)'!$B$4</f>
        <v>3.7000630297404866</v>
      </c>
      <c r="V314" s="1">
        <f>'[313]Prof (MC)'!$C$4</f>
        <v>4.0927771839002132</v>
      </c>
      <c r="W314" s="1">
        <f>'[313]Prof (MC)'!$W$92</f>
        <v>0.32004238513933103</v>
      </c>
      <c r="X314" s="1">
        <f>'[313]Prof (MC)'!$Z$92</f>
        <v>10.583927993288953</v>
      </c>
    </row>
    <row r="315" spans="1:24" x14ac:dyDescent="0.2">
      <c r="A315" t="s">
        <v>331</v>
      </c>
      <c r="B315" t="s">
        <v>435</v>
      </c>
      <c r="C315">
        <v>1700</v>
      </c>
      <c r="E315" s="1">
        <f>[314]All!B$9</f>
        <v>2.776193764873589</v>
      </c>
      <c r="F315" s="1">
        <f>[314]All!C$9</f>
        <v>3.6726292222620613</v>
      </c>
      <c r="G315" s="1">
        <f>[314]All!D$9</f>
        <v>3.7472978908323888</v>
      </c>
      <c r="H315" s="1">
        <f>[314]All!E$9</f>
        <v>2.5158012510100405</v>
      </c>
      <c r="I315" s="1">
        <f>[314]All!F$9</f>
        <v>3.4121080043432257</v>
      </c>
      <c r="J315" s="1">
        <f>[314]All!G$9</f>
        <v>3.7144144225561373</v>
      </c>
      <c r="K315" s="1">
        <f>[314]All!H$9</f>
        <v>3.4402862314973017</v>
      </c>
      <c r="L315" s="1">
        <f>[314]All!I$9</f>
        <v>3.4971357890103763</v>
      </c>
      <c r="M315" s="1">
        <f>[314]All!J$9</f>
        <v>4.8850099413630508</v>
      </c>
      <c r="N315" s="1">
        <f>[314]All!K$9</f>
        <v>4.0106553991678071</v>
      </c>
      <c r="O315" s="1">
        <f>[314]All!L$9</f>
        <v>3.0616164287592</v>
      </c>
      <c r="Q315" s="1">
        <f>[314]All!N$9</f>
        <v>3.6354997623787817</v>
      </c>
      <c r="R315" s="1">
        <f>[314]All!O$9</f>
        <v>3.5211953041522892</v>
      </c>
      <c r="S315" s="1">
        <f>[314]All!P$9</f>
        <v>3.4971357890103763</v>
      </c>
      <c r="U315" s="1">
        <f>'[314]Prof (MC)'!$B$4</f>
        <v>3.5817566008253579</v>
      </c>
      <c r="V315" s="1">
        <f>'[314]Prof (MC)'!$C$4</f>
        <v>3.6098730713424798</v>
      </c>
      <c r="W315" s="1">
        <f>'[314]Prof (MC)'!$W$100</f>
        <v>2.6705587133537878</v>
      </c>
      <c r="X315" s="1">
        <f>'[314]Prof (MC)'!$Z$100</f>
        <v>4.6411605305082908</v>
      </c>
    </row>
    <row r="316" spans="1:24" x14ac:dyDescent="0.2">
      <c r="A316" t="s">
        <v>332</v>
      </c>
      <c r="B316" t="s">
        <v>434</v>
      </c>
      <c r="C316">
        <v>2250</v>
      </c>
      <c r="E316" s="1">
        <f>[315]All!B$9</f>
        <v>4.6777741252467528</v>
      </c>
      <c r="F316" s="1">
        <f>[315]All!C$9</f>
        <v>4.6319155693966589</v>
      </c>
      <c r="G316" s="1">
        <f>[315]All!D$9</f>
        <v>5.1913464879249025</v>
      </c>
      <c r="H316" s="1">
        <f>[315]All!E$9</f>
        <v>4.4513636256959597</v>
      </c>
      <c r="I316" s="1">
        <f>[315]All!F$9</f>
        <v>4.7956749788967246</v>
      </c>
      <c r="J316" s="1">
        <f>[315]All!G$9</f>
        <v>4.2170312698606836</v>
      </c>
      <c r="K316" s="1">
        <f>[315]All!H$9</f>
        <v>4.673036310186335</v>
      </c>
      <c r="L316" s="1">
        <f>[315]All!I$9</f>
        <v>3.8123481649608042</v>
      </c>
      <c r="M316" s="1">
        <f>[315]All!J$9</f>
        <v>3.7309694838710326</v>
      </c>
      <c r="N316" s="1">
        <f>[315]All!K$9</f>
        <v>3.8437190851531979</v>
      </c>
      <c r="O316" s="1">
        <f>[315]All!L$9</f>
        <v>4.8685781159905135</v>
      </c>
      <c r="Q316" s="1">
        <f>[315]All!N$9</f>
        <v>4.4640711487908042</v>
      </c>
      <c r="R316" s="1">
        <f>[315]All!O$9</f>
        <v>4.4448870197439607</v>
      </c>
      <c r="S316" s="1">
        <f>[315]All!P$9</f>
        <v>4.6319155693966589</v>
      </c>
      <c r="U316" s="1">
        <f>'[315]Prof (MC)'!$B$4</f>
        <v>4.460058133226207</v>
      </c>
      <c r="V316" s="1">
        <f>'[315]Prof (MC)'!$C$4</f>
        <v>4.4803096181815434</v>
      </c>
      <c r="W316" s="1">
        <f>'[315]Prof (MC)'!$W$100</f>
        <v>3.5449564788259549</v>
      </c>
      <c r="X316" s="1">
        <f>'[315]Prof (MC)'!$Z$100</f>
        <v>5.4858049688699788</v>
      </c>
    </row>
    <row r="317" spans="1:24" x14ac:dyDescent="0.2">
      <c r="A317" t="s">
        <v>333</v>
      </c>
      <c r="B317" t="s">
        <v>434</v>
      </c>
      <c r="C317">
        <v>2250</v>
      </c>
      <c r="E317" s="1">
        <f>[316]All!B$9</f>
        <v>10.454300763784218</v>
      </c>
      <c r="F317" s="1">
        <f>[316]All!C$9</f>
        <v>10.452198576128215</v>
      </c>
      <c r="G317" s="1">
        <f>[316]All!D$9</f>
        <v>10.559406506252238</v>
      </c>
      <c r="H317" s="1">
        <f>[316]All!E$9</f>
        <v>7.7109504615706195</v>
      </c>
      <c r="I317" s="1">
        <f>[316]All!F$9</f>
        <v>8.2493756582711928</v>
      </c>
      <c r="J317" s="1">
        <f>[316]All!G$9</f>
        <v>7.3685476245543349</v>
      </c>
      <c r="K317" s="1">
        <f>[316]All!H$9</f>
        <v>7.4533760831037554</v>
      </c>
      <c r="L317" s="1">
        <f>[316]All!I$9</f>
        <v>8.7423346154901491</v>
      </c>
      <c r="M317" s="1">
        <f>[316]All!J$9</f>
        <v>6.0178987359972957</v>
      </c>
      <c r="N317" s="1">
        <f>[316]All!K$9</f>
        <v>10.645703992203627</v>
      </c>
      <c r="O317" s="1">
        <f>[316]All!L$9</f>
        <v>9.0102296389034766</v>
      </c>
      <c r="Q317" s="1">
        <f>[316]All!N$9</f>
        <v>8.8667758800987606</v>
      </c>
      <c r="R317" s="1">
        <f>[316]All!O$9</f>
        <v>8.7876656960235557</v>
      </c>
      <c r="S317" s="1">
        <f>[316]All!P$9</f>
        <v>8.7423346154901491</v>
      </c>
      <c r="U317" s="1">
        <f>'[316]Prof (MC)'!$B$4</f>
        <v>8.6766563565030985</v>
      </c>
      <c r="V317" s="1">
        <f>'[316]Prof (MC)'!$C$4</f>
        <v>8.858226228557573</v>
      </c>
      <c r="W317" s="1">
        <f>'[316]Prof (MC)'!$W$126</f>
        <v>6.5228497749724488</v>
      </c>
      <c r="X317" s="1">
        <f>'[316]Prof (MC)'!$Z$126</f>
        <v>12.173552721032129</v>
      </c>
    </row>
    <row r="318" spans="1:24" x14ac:dyDescent="0.2">
      <c r="A318" t="s">
        <v>334</v>
      </c>
      <c r="B318" t="s">
        <v>434</v>
      </c>
      <c r="C318">
        <v>2250</v>
      </c>
      <c r="E318" s="1">
        <f>[317]All!B$9</f>
        <v>1.8889478907756181</v>
      </c>
      <c r="F318" s="1">
        <f>[317]All!C$9</f>
        <v>2.2108109258449677</v>
      </c>
      <c r="G318" s="1">
        <f>[317]All!D$9</f>
        <v>2.2055365168124466</v>
      </c>
      <c r="H318" s="1">
        <f>[317]All!E$9</f>
        <v>2.4896586340638565</v>
      </c>
      <c r="I318" s="1">
        <f>[317]All!F$9</f>
        <v>2.241772447283112</v>
      </c>
      <c r="J318" s="1">
        <f>[317]All!G$9</f>
        <v>2.2161494041393208</v>
      </c>
      <c r="K318" s="1">
        <f>[317]All!H$9</f>
        <v>2.2628857644647797</v>
      </c>
      <c r="L318" s="1">
        <f>[317]All!I$9</f>
        <v>2.4616561523392777</v>
      </c>
      <c r="M318" s="1">
        <f>[317]All!J$9</f>
        <v>2.0274387930272022</v>
      </c>
      <c r="N318" s="1">
        <f>[317]All!K$9</f>
        <v>1.9384521826468453</v>
      </c>
      <c r="O318" s="1">
        <f>[317]All!L$9</f>
        <v>3.1147501449347432</v>
      </c>
      <c r="Q318" s="1">
        <f>[317]All!N$9</f>
        <v>2.2649358567956988</v>
      </c>
      <c r="R318" s="1">
        <f>[317]All!O$9</f>
        <v>2.2780053505756519</v>
      </c>
      <c r="S318" s="1">
        <f>[317]All!P$9</f>
        <v>2.2161494041393208</v>
      </c>
      <c r="U318" s="1">
        <f>'[317]Prof (MC)'!$B$4</f>
        <v>2.1825303782545933</v>
      </c>
      <c r="V318" s="1">
        <f>'[317]Prof (MC)'!$C$4</f>
        <v>2.2201049104503014</v>
      </c>
      <c r="W318" s="1">
        <f>'[317]Prof (MC)'!$W$88</f>
        <v>1.5878294677719056</v>
      </c>
      <c r="X318" s="1">
        <f>'[317]Prof (MC)'!$Z$88</f>
        <v>2.9940080677300185</v>
      </c>
    </row>
    <row r="319" spans="1:24" x14ac:dyDescent="0.2">
      <c r="A319" t="s">
        <v>335</v>
      </c>
      <c r="B319" t="s">
        <v>435</v>
      </c>
      <c r="C319">
        <v>2250</v>
      </c>
      <c r="E319" s="1">
        <f>[318]All!B$9</f>
        <v>1.9768410890486328</v>
      </c>
      <c r="F319" s="1">
        <f>[318]All!C$9</f>
        <v>1.6161885572981209</v>
      </c>
      <c r="G319" s="1">
        <f>[318]All!D$9</f>
        <v>2.0290073002876361</v>
      </c>
      <c r="H319" s="1">
        <f>[318]All!E$9</f>
        <v>1.9312458594476043</v>
      </c>
      <c r="I319" s="1">
        <f>[318]All!F$9</f>
        <v>2.0487002968762811</v>
      </c>
      <c r="J319" s="1">
        <f>[318]All!G$9</f>
        <v>2.0340368631942582</v>
      </c>
      <c r="K319" s="1">
        <f>[318]All!H$9</f>
        <v>2.0149929483030808</v>
      </c>
      <c r="L319" s="1">
        <f>[318]All!I$9</f>
        <v>2.0024920846679422</v>
      </c>
      <c r="M319" s="1">
        <f>[318]All!J$9</f>
        <v>1.9109414414243007</v>
      </c>
      <c r="N319" s="1">
        <f>[318]All!K$9</f>
        <v>2.2737360537653957</v>
      </c>
      <c r="O319" s="1">
        <f>[318]All!L$9</f>
        <v>2.3594125550854512</v>
      </c>
      <c r="Q319" s="1">
        <f>[318]All!N$9</f>
        <v>2.1024934050690991</v>
      </c>
      <c r="R319" s="1">
        <f>[318]All!O$9</f>
        <v>2.0179631863089731</v>
      </c>
      <c r="S319" s="1">
        <f>[318]All!P$9</f>
        <v>2.0149929483030808</v>
      </c>
      <c r="U319" s="1">
        <f>'[318]Prof (MC)'!$B$4</f>
        <v>2.0845823714276555</v>
      </c>
      <c r="V319" s="1">
        <f>'[318]Prof (MC)'!$C$4</f>
        <v>2.0096055894643849</v>
      </c>
      <c r="W319" s="1">
        <f>'[318]Prof (MC)'!$W$82</f>
        <v>0.75773788639025375</v>
      </c>
      <c r="X319" s="1">
        <f>'[318]Prof (MC)'!$Z$82</f>
        <v>2.770976536666633</v>
      </c>
    </row>
    <row r="320" spans="1:24" x14ac:dyDescent="0.2">
      <c r="A320" t="s">
        <v>336</v>
      </c>
      <c r="B320" t="s">
        <v>435</v>
      </c>
      <c r="C320">
        <v>2250</v>
      </c>
      <c r="E320" s="1">
        <f>[319]All!B$9</f>
        <v>2.7680813083417979</v>
      </c>
      <c r="F320" s="1">
        <f>[319]All!C$9</f>
        <v>2.8143507989879937</v>
      </c>
      <c r="G320" s="1">
        <f>[319]All!D$9</f>
        <v>2.5902968012429186</v>
      </c>
      <c r="H320" s="1">
        <f>[319]All!E$9</f>
        <v>2.9246445180852754</v>
      </c>
      <c r="I320" s="1">
        <f>[319]All!F$9</f>
        <v>2.7206014636757732</v>
      </c>
      <c r="J320" s="1">
        <f>[319]All!G$9</f>
        <v>3.0393802330985484</v>
      </c>
      <c r="K320" s="1">
        <f>[319]All!H$9</f>
        <v>2.4368199652580773</v>
      </c>
      <c r="L320" s="1">
        <f>[319]All!I$9</f>
        <v>1.9005853743389298</v>
      </c>
      <c r="M320" s="1">
        <f>[319]All!J$9</f>
        <v>2.2969953934351754</v>
      </c>
      <c r="N320" s="1">
        <f>[319]All!K$9</f>
        <v>3.152782931159293</v>
      </c>
      <c r="O320" s="1">
        <f>[319]All!L$9</f>
        <v>2.9356575521831068</v>
      </c>
      <c r="Q320" s="1">
        <f>[319]All!N$9</f>
        <v>2.7204839694430416</v>
      </c>
      <c r="R320" s="1">
        <f>[319]All!O$9</f>
        <v>2.689108758164263</v>
      </c>
      <c r="S320" s="1">
        <f>[319]All!P$9</f>
        <v>2.7680813083417979</v>
      </c>
      <c r="U320" s="1">
        <f>'[319]Prof (MC)'!$B$4</f>
        <v>2.6241742354225797</v>
      </c>
      <c r="V320" s="1">
        <f>'[319]Prof (MC)'!$C$4</f>
        <v>2.6458623291541552</v>
      </c>
      <c r="W320" s="1">
        <f>'[319]Prof (MC)'!$W$88</f>
        <v>0.78059251908888949</v>
      </c>
      <c r="X320" s="1">
        <f>'[319]Prof (MC)'!$Z$88</f>
        <v>4.757355293205892</v>
      </c>
    </row>
    <row r="321" spans="1:24" x14ac:dyDescent="0.2">
      <c r="A321" t="s">
        <v>337</v>
      </c>
      <c r="B321" t="s">
        <v>435</v>
      </c>
      <c r="C321">
        <v>2250</v>
      </c>
      <c r="E321" s="1">
        <f>[320]All!B$9</f>
        <v>1.2642028028659678</v>
      </c>
      <c r="F321" s="1">
        <f>[320]All!C$9</f>
        <v>1.5789917769789763</v>
      </c>
      <c r="G321" s="1">
        <f>[320]All!D$9</f>
        <v>1.6372975297187231</v>
      </c>
      <c r="H321" s="1">
        <f>[320]All!E$9</f>
        <v>1.1756890205205339</v>
      </c>
      <c r="I321" s="1">
        <f>[320]All!F$9</f>
        <v>1.4770645293236082</v>
      </c>
      <c r="J321" s="1">
        <f>[320]All!G$9</f>
        <v>1.5620686355303162</v>
      </c>
      <c r="K321" s="1">
        <f>[320]All!H$9</f>
        <v>1.783190104339782</v>
      </c>
      <c r="L321" s="1">
        <f>[320]All!I$9</f>
        <v>1.551274252796871</v>
      </c>
      <c r="M321" s="1">
        <f>[320]All!J$9</f>
        <v>1.5500841155544411</v>
      </c>
      <c r="N321" s="1">
        <f>[320]All!K$9</f>
        <v>1.2524633330396386</v>
      </c>
      <c r="O321" s="1">
        <f>[320]All!L$9</f>
        <v>1.1289579673499217</v>
      </c>
      <c r="Q321" s="1">
        <f>[320]All!N$9</f>
        <v>1.4937492867067725</v>
      </c>
      <c r="R321" s="1">
        <f>[320]All!O$9</f>
        <v>1.4510258243653438</v>
      </c>
      <c r="S321" s="1">
        <f>[320]All!P$9</f>
        <v>1.5500841155544411</v>
      </c>
      <c r="U321" s="1">
        <f>'[320]Prof (MC)'!$B$4</f>
        <v>1.4539577230782084</v>
      </c>
      <c r="V321" s="1">
        <f>'[320]Prof (MC)'!$C$4</f>
        <v>1.412287558613107</v>
      </c>
      <c r="W321" s="1">
        <f>'[320]Prof (MC)'!$W$78</f>
        <v>0.26237636361347461</v>
      </c>
      <c r="X321" s="1">
        <f>'[320]Prof (MC)'!$Z$78</f>
        <v>2.0700396431481392</v>
      </c>
    </row>
    <row r="322" spans="1:24" x14ac:dyDescent="0.2">
      <c r="A322" t="s">
        <v>338</v>
      </c>
      <c r="B322" t="s">
        <v>434</v>
      </c>
      <c r="C322">
        <v>1150</v>
      </c>
      <c r="E322" s="1">
        <f>[321]All!B$9</f>
        <v>5.5159004402758196</v>
      </c>
      <c r="F322" s="1">
        <f>[321]All!C$9</f>
        <v>6.0701472103654668</v>
      </c>
      <c r="G322" s="1">
        <f>[321]All!D$9</f>
        <v>6.4287312837507926</v>
      </c>
      <c r="H322" s="1">
        <f>[321]All!E$9</f>
        <v>6.6069727936109723</v>
      </c>
      <c r="I322" s="1">
        <f>[321]All!F$9</f>
        <v>6.5611827937519971</v>
      </c>
      <c r="J322" s="1">
        <f>[321]All!G$9</f>
        <v>5.1072425238035342</v>
      </c>
      <c r="K322" s="1">
        <f>[321]All!H$9</f>
        <v>5.3414579173277268</v>
      </c>
      <c r="L322" s="1">
        <f>[321]All!I$9</f>
        <v>6.6107790819140124</v>
      </c>
      <c r="M322" s="1">
        <f>[321]All!J$9</f>
        <v>6.1445452050844827</v>
      </c>
      <c r="N322" s="1">
        <f>[321]All!K$9</f>
        <v>5.100804922126545</v>
      </c>
      <c r="O322" s="1">
        <f>[321]All!L$9</f>
        <v>5.7016120232934933</v>
      </c>
      <c r="Q322" s="1">
        <f>[321]All!N$9</f>
        <v>5.9233240874011157</v>
      </c>
      <c r="R322" s="1">
        <f>[321]All!O$9</f>
        <v>5.9263069268458954</v>
      </c>
      <c r="S322" s="1">
        <f>[321]All!P$9</f>
        <v>6.0701472103654668</v>
      </c>
      <c r="U322" s="1">
        <f>'[321]Prof (MC)'!$B$4</f>
        <v>5.9316325393501321</v>
      </c>
      <c r="V322" s="1">
        <f>'[321]Prof (MC)'!$C$4</f>
        <v>5.9572308242256256</v>
      </c>
      <c r="W322" s="1">
        <f>'[321]Prof (MC)'!$W$94</f>
        <v>4.6581849565563527</v>
      </c>
      <c r="X322" s="1">
        <f>'[321]Prof (MC)'!$Z$94</f>
        <v>7.2823544343963285</v>
      </c>
    </row>
    <row r="323" spans="1:24" x14ac:dyDescent="0.2">
      <c r="A323" t="s">
        <v>339</v>
      </c>
      <c r="B323" t="s">
        <v>434</v>
      </c>
      <c r="C323">
        <v>1150</v>
      </c>
      <c r="E323" s="1">
        <f>[322]All!B$9</f>
        <v>4.3549139124744318</v>
      </c>
      <c r="F323" s="1">
        <f>[322]All!C$9</f>
        <v>3.9295607748873955</v>
      </c>
      <c r="G323" s="1">
        <f>[322]All!D$9</f>
        <v>4.4117716834775829</v>
      </c>
      <c r="H323" s="1">
        <f>[322]All!E$9</f>
        <v>3.4082576644789691</v>
      </c>
      <c r="I323" s="1">
        <f>[322]All!F$9</f>
        <v>4.9625213409136864</v>
      </c>
      <c r="J323" s="1">
        <f>[322]All!G$9</f>
        <v>3.4283096272185403</v>
      </c>
      <c r="K323" s="1">
        <f>[322]All!H$9</f>
        <v>3.8717052874467814</v>
      </c>
      <c r="L323" s="1">
        <f>[322]All!I$9</f>
        <v>3.7447245875722013</v>
      </c>
      <c r="M323" s="1">
        <f>[322]All!J$9</f>
        <v>3.4409699517558532</v>
      </c>
      <c r="N323" s="1">
        <f>[322]All!K$9</f>
        <v>5.4433670921636983</v>
      </c>
      <c r="O323" s="1">
        <f>[322]All!L$9</f>
        <v>5.0058956856548829</v>
      </c>
      <c r="Q323" s="1">
        <f>[322]All!N$9</f>
        <v>4.232161292356948</v>
      </c>
      <c r="R323" s="1">
        <f>[322]All!O$9</f>
        <v>4.1819997825494566</v>
      </c>
      <c r="S323" s="1">
        <f>[322]All!P$9</f>
        <v>3.9295607748873955</v>
      </c>
      <c r="U323" s="1">
        <f>'[322]Prof (MC)'!$B$4</f>
        <v>4.2185996317038601</v>
      </c>
      <c r="V323" s="1">
        <f>'[322]Prof (MC)'!$C$4</f>
        <v>4.2993692782296078</v>
      </c>
      <c r="W323" s="1">
        <f>'[322]Prof (MC)'!$W$86</f>
        <v>2.9468979290678288</v>
      </c>
      <c r="X323" s="1">
        <f>'[322]Prof (MC)'!$Z$86</f>
        <v>6.4213488947816542</v>
      </c>
    </row>
    <row r="324" spans="1:24" x14ac:dyDescent="0.2">
      <c r="A324" t="s">
        <v>340</v>
      </c>
      <c r="B324" t="s">
        <v>434</v>
      </c>
      <c r="C324">
        <v>1150</v>
      </c>
      <c r="E324" s="1">
        <f>[323]All!B$9</f>
        <v>8.1554156637333897</v>
      </c>
      <c r="F324" s="1">
        <f>[323]All!C$9</f>
        <v>6.5553436841597916</v>
      </c>
      <c r="G324" s="1">
        <f>[323]All!D$9</f>
        <v>7.3894179597224765</v>
      </c>
      <c r="H324" s="1">
        <f>[323]All!E$9</f>
        <v>7.456163850679328</v>
      </c>
      <c r="I324" s="1">
        <f>[323]All!F$9</f>
        <v>12.809950599445942</v>
      </c>
      <c r="J324" s="1">
        <f>[323]All!G$9</f>
        <v>5.9598605686592689</v>
      </c>
      <c r="K324" s="1">
        <f>[323]All!H$9</f>
        <v>6.4207585397908797</v>
      </c>
      <c r="L324" s="1">
        <f>[323]All!I$9</f>
        <v>6.8533749929746879</v>
      </c>
      <c r="M324" s="1">
        <f>[323]All!J$9</f>
        <v>10.904459395063975</v>
      </c>
      <c r="N324" s="1">
        <f>[323]All!K$9</f>
        <v>7.3839267255897081</v>
      </c>
      <c r="O324" s="1">
        <f>[323]All!L$9</f>
        <v>8.8809922258495178</v>
      </c>
      <c r="Q324" s="1">
        <f>[323]All!N$9</f>
        <v>7.9601883435913301</v>
      </c>
      <c r="R324" s="1">
        <f>[323]All!O$9</f>
        <v>8.069969473242633</v>
      </c>
      <c r="S324" s="1">
        <f>[323]All!P$9</f>
        <v>7.3894179597224765</v>
      </c>
      <c r="U324" s="1">
        <f>'[323]Prof (MC)'!$B$4</f>
        <v>7.8867782948940564</v>
      </c>
      <c r="V324" s="1">
        <f>'[323]Prof (MC)'!$C$4</f>
        <v>8.0063049316145971</v>
      </c>
      <c r="W324" s="1">
        <f>'[323]Prof (MC)'!$W$128</f>
        <v>3.266340505521979</v>
      </c>
      <c r="X324" s="1">
        <f>'[323]Prof (MC)'!$Z$128</f>
        <v>14.164695317313372</v>
      </c>
    </row>
    <row r="325" spans="1:24" x14ac:dyDescent="0.2">
      <c r="A325" t="s">
        <v>341</v>
      </c>
      <c r="B325" t="s">
        <v>435</v>
      </c>
      <c r="C325">
        <v>1150</v>
      </c>
      <c r="E325" s="1">
        <f>[324]All!B$9</f>
        <v>3.5268972068287865</v>
      </c>
      <c r="F325" s="1">
        <f>[324]All!C$9</f>
        <v>5.6056213800702688</v>
      </c>
      <c r="G325" s="1">
        <f>[324]All!D$9</f>
        <v>4.076145147464759</v>
      </c>
      <c r="H325" s="1">
        <f>[324]All!E$9</f>
        <v>4.4987972718104325</v>
      </c>
      <c r="I325" s="1">
        <f>[324]All!F$9</f>
        <v>4.0157794269238076</v>
      </c>
      <c r="J325" s="1">
        <f>[324]All!G$9</f>
        <v>4.4143025006651406</v>
      </c>
      <c r="K325" s="1">
        <f>[324]All!H$9</f>
        <v>4.3562483057111505</v>
      </c>
      <c r="L325" s="1">
        <f>[324]All!I$9</f>
        <v>4.8065732484735015</v>
      </c>
      <c r="M325" s="1">
        <f>[324]All!J$9</f>
        <v>5.2810394819234867</v>
      </c>
      <c r="N325" s="1">
        <f>[324]All!K$9</f>
        <v>7.2497136092367125</v>
      </c>
      <c r="O325" s="1">
        <f>[324]All!L$9</f>
        <v>4.9330402777316262</v>
      </c>
      <c r="Q325" s="1">
        <f>[324]All!N$9</f>
        <v>4.8585510237918133</v>
      </c>
      <c r="R325" s="1">
        <f>[324]All!O$9</f>
        <v>4.7967416233490612</v>
      </c>
      <c r="S325" s="1">
        <f>[324]All!P$9</f>
        <v>4.4987972718104325</v>
      </c>
      <c r="U325" s="1">
        <f>'[324]Prof (MC)'!$B$4</f>
        <v>4.677269434208668</v>
      </c>
      <c r="V325" s="1">
        <f>'[324]Prof (MC)'!$C$4</f>
        <v>4.7092462778388997</v>
      </c>
      <c r="W325" s="1">
        <f>'[324]Prof (MC)'!$W$98</f>
        <v>2.8962218322154722</v>
      </c>
      <c r="X325" s="1">
        <f>'[324]Prof (MC)'!$Z$98</f>
        <v>6.9020384619634614</v>
      </c>
    </row>
    <row r="326" spans="1:24" x14ac:dyDescent="0.2">
      <c r="A326" t="s">
        <v>342</v>
      </c>
      <c r="B326" t="s">
        <v>435</v>
      </c>
      <c r="C326">
        <v>1150</v>
      </c>
      <c r="E326" s="1">
        <f>[325]All!B$9</f>
        <v>4.1298522721636441</v>
      </c>
      <c r="F326" s="1">
        <f>[325]All!C$9</f>
        <v>4.5385053437833456</v>
      </c>
      <c r="G326" s="1">
        <f>[325]All!D$9</f>
        <v>4.2736346997203691</v>
      </c>
      <c r="H326" s="1">
        <f>[325]All!E$9</f>
        <v>3.5881707663884725</v>
      </c>
      <c r="I326" s="1">
        <f>[325]All!F$9</f>
        <v>4.5510751141873866</v>
      </c>
      <c r="J326" s="1">
        <f>[325]All!G$9</f>
        <v>4.7154124300608347</v>
      </c>
      <c r="K326" s="1">
        <f>[325]All!H$9</f>
        <v>4.4965661811757194</v>
      </c>
      <c r="L326" s="1">
        <f>[325]All!I$9</f>
        <v>6.0371039702833871</v>
      </c>
      <c r="M326" s="1">
        <f>[325]All!J$9</f>
        <v>7.1089869387316922</v>
      </c>
      <c r="N326" s="1">
        <f>[325]All!K$9</f>
        <v>8.3615739485312588</v>
      </c>
      <c r="O326" s="1">
        <f>[325]All!L$9</f>
        <v>5.8247417392827838</v>
      </c>
      <c r="Q326" s="1">
        <f>[325]All!N$9</f>
        <v>5.1613471339084631</v>
      </c>
      <c r="R326" s="1">
        <f>[325]All!O$9</f>
        <v>5.2386930367553539</v>
      </c>
      <c r="S326" s="1">
        <f>[325]All!P$9</f>
        <v>4.5510751141873866</v>
      </c>
      <c r="U326" s="1">
        <f>'[325]Prof (MC)'!$B$4</f>
        <v>5.1117356427053648</v>
      </c>
      <c r="V326" s="1">
        <f>'[325]Prof (MC)'!$C$4</f>
        <v>5.1941824114114583</v>
      </c>
      <c r="W326" s="1">
        <f>'[325]Prof (MC)'!$W$118</f>
        <v>3.132848728799452</v>
      </c>
      <c r="X326" s="1">
        <f>'[325]Prof (MC)'!$Z$118</f>
        <v>7.7325603871881938</v>
      </c>
    </row>
    <row r="327" spans="1:24" x14ac:dyDescent="0.2">
      <c r="A327" t="s">
        <v>343</v>
      </c>
      <c r="B327" t="s">
        <v>435</v>
      </c>
      <c r="C327">
        <v>1150</v>
      </c>
      <c r="E327" s="1">
        <f>[326]All!B$9</f>
        <v>2.9285290070720658</v>
      </c>
      <c r="F327" s="1">
        <f>[326]All!C$9</f>
        <v>3.4846474383053803</v>
      </c>
      <c r="G327" s="1">
        <f>[326]All!D$9</f>
        <v>2.4455566224347827</v>
      </c>
      <c r="H327" s="1">
        <f>[326]All!E$9</f>
        <v>1.8347768237047875</v>
      </c>
      <c r="I327" s="1">
        <f>[326]All!F$9</f>
        <v>2.6460059608898545</v>
      </c>
      <c r="J327" s="1">
        <f>[326]All!G$9</f>
        <v>2.4077157704326462</v>
      </c>
      <c r="K327" s="1">
        <f>[326]All!H$9</f>
        <v>2.6886259134581789</v>
      </c>
      <c r="L327" s="1">
        <f>[326]All!I$9</f>
        <v>2.84434477644036</v>
      </c>
      <c r="M327" s="1">
        <f>[326]All!J$9</f>
        <v>3.0515288249474524</v>
      </c>
      <c r="N327" s="1">
        <f>[326]All!K$9</f>
        <v>2.1747348567810372</v>
      </c>
      <c r="O327" s="1">
        <f>[326]All!L$9</f>
        <v>3.1533965028031177</v>
      </c>
      <c r="Q327" s="1">
        <f>[326]All!N$9</f>
        <v>2.6363358990768364</v>
      </c>
      <c r="R327" s="1">
        <f>[326]All!O$9</f>
        <v>2.6963511361154238</v>
      </c>
      <c r="S327" s="1">
        <f>[326]All!P$9</f>
        <v>2.6886259134581789</v>
      </c>
      <c r="U327" s="1">
        <f>'[326]Prof (MC)'!$B$4</f>
        <v>2.6410319249414975</v>
      </c>
      <c r="V327" s="1">
        <f>'[326]Prof (MC)'!$C$4</f>
        <v>2.7525788234309529</v>
      </c>
      <c r="W327" s="1">
        <f>'[326]Prof (MC)'!$W$74</f>
        <v>1.5960028646969227</v>
      </c>
      <c r="X327" s="1">
        <f>'[326]Prof (MC)'!$Z$74</f>
        <v>4.5040507205019003</v>
      </c>
    </row>
    <row r="328" spans="1:24" x14ac:dyDescent="0.2">
      <c r="A328" t="s">
        <v>344</v>
      </c>
      <c r="B328" t="s">
        <v>434</v>
      </c>
      <c r="C328">
        <v>2150</v>
      </c>
      <c r="E328" s="1">
        <f>[327]All!B$9</f>
        <v>5.0574823881121747</v>
      </c>
      <c r="F328" s="1">
        <f>[327]All!C$9</f>
        <v>5.8171747532445615</v>
      </c>
      <c r="G328" s="1">
        <f>[327]All!D$9</f>
        <v>5.7691399127074705</v>
      </c>
      <c r="H328" s="1">
        <f>[327]All!E$9</f>
        <v>6.3063335004600791</v>
      </c>
      <c r="I328" s="1">
        <f>[327]All!F$9</f>
        <v>5.4586564675129861</v>
      </c>
      <c r="J328" s="1">
        <f>[327]All!G$9</f>
        <v>5.9330944799492702</v>
      </c>
      <c r="K328" s="1">
        <f>[327]All!H$9</f>
        <v>5.823717969124294</v>
      </c>
      <c r="L328" s="1">
        <f>[327]All!I$9</f>
        <v>6.2235061403778777</v>
      </c>
      <c r="M328" s="1">
        <f>[327]All!J$9</f>
        <v>7.3616948886096116</v>
      </c>
      <c r="N328" s="1">
        <f>[327]All!K$9</f>
        <v>6.2116166661688652</v>
      </c>
      <c r="O328" s="1">
        <f>[327]All!L$9</f>
        <v>6.3590138960098637</v>
      </c>
      <c r="Q328" s="1">
        <f>[327]All!N$9</f>
        <v>6.0088069134265307</v>
      </c>
      <c r="R328" s="1">
        <f>[327]All!O$9</f>
        <v>6.0292210056615509</v>
      </c>
      <c r="S328" s="1">
        <f>[327]All!P$9</f>
        <v>5.9330944799492702</v>
      </c>
      <c r="U328" s="1">
        <f>'[327]Prof (MC)'!$B$4</f>
        <v>6.0378453717279346</v>
      </c>
      <c r="V328" s="1">
        <f>'[327]Prof (MC)'!$C$4</f>
        <v>6.0848542932755443</v>
      </c>
      <c r="W328" s="1">
        <f>'[327]Prof (MC)'!$W$106</f>
        <v>5.1385349002624121</v>
      </c>
      <c r="X328" s="1">
        <f>'[327]Prof (MC)'!$Z$106</f>
        <v>7.4438556888842839</v>
      </c>
    </row>
    <row r="329" spans="1:24" x14ac:dyDescent="0.2">
      <c r="A329" t="s">
        <v>345</v>
      </c>
      <c r="B329" t="s">
        <v>434</v>
      </c>
      <c r="C329">
        <v>2150</v>
      </c>
      <c r="E329" s="1">
        <f>[328]All!B$9</f>
        <v>5.3009126281737942</v>
      </c>
      <c r="F329" s="1">
        <f>[328]All!C$9</f>
        <v>5.7023622219470491</v>
      </c>
      <c r="G329" s="1">
        <f>[328]All!D$9</f>
        <v>4.4759137480099209</v>
      </c>
      <c r="H329" s="1">
        <f>[328]All!E$9</f>
        <v>4.9279504836312027</v>
      </c>
      <c r="I329" s="1">
        <f>[328]All!F$9</f>
        <v>4.5363234329550952</v>
      </c>
      <c r="J329" s="1">
        <f>[328]All!G$9</f>
        <v>5.1154462419810276</v>
      </c>
      <c r="K329" s="1">
        <f>[328]All!H$9</f>
        <v>5.2484936533777482</v>
      </c>
      <c r="L329" s="1">
        <f>[328]All!I$9</f>
        <v>5.6187271832132053</v>
      </c>
      <c r="M329" s="1">
        <f>[328]All!J$9</f>
        <v>5.5520102616637876</v>
      </c>
      <c r="N329" s="1">
        <f>[328]All!K$9</f>
        <v>5.8684890441542228</v>
      </c>
      <c r="O329" s="1">
        <f>[328]All!L$9</f>
        <v>4.3574167259369965</v>
      </c>
      <c r="Q329" s="1">
        <f>[328]All!N$9</f>
        <v>5.1867899068218977</v>
      </c>
      <c r="R329" s="1">
        <f>[328]All!O$9</f>
        <v>5.1549132386403675</v>
      </c>
      <c r="S329" s="1">
        <f>[328]All!P$9</f>
        <v>5.2484936533777482</v>
      </c>
      <c r="U329" s="1">
        <f>'[328]Prof (MC)'!$B$4</f>
        <v>5.1073736327377173</v>
      </c>
      <c r="V329" s="1">
        <f>'[328]Prof (MC)'!$C$4</f>
        <v>5.1152411099894008</v>
      </c>
      <c r="W329" s="1">
        <f>'[328]Prof (MC)'!$W$86</f>
        <v>3.8850058239641685</v>
      </c>
      <c r="X329" s="1">
        <f>'[328]Prof (MC)'!$Z$86</f>
        <v>6.5702561978850547</v>
      </c>
    </row>
    <row r="330" spans="1:24" x14ac:dyDescent="0.2">
      <c r="A330" t="s">
        <v>346</v>
      </c>
      <c r="B330" t="s">
        <v>435</v>
      </c>
      <c r="C330">
        <v>2150</v>
      </c>
      <c r="E330" s="1">
        <f>[329]All!B$9</f>
        <v>2.0983022174756414</v>
      </c>
      <c r="F330" s="1">
        <f>[329]All!C$9</f>
        <v>2.0058853896171245</v>
      </c>
      <c r="G330" s="1">
        <f>[329]All!D$9</f>
        <v>1.7992975441001822</v>
      </c>
      <c r="H330" s="1">
        <f>[329]All!E$9</f>
        <v>1.6685870990208225</v>
      </c>
      <c r="I330" s="1">
        <f>[329]All!F$9</f>
        <v>1.8079236762277784</v>
      </c>
      <c r="J330" s="1">
        <f>[329]All!G$9</f>
        <v>1.791486607382742</v>
      </c>
      <c r="K330" s="1">
        <f>[329]All!H$9</f>
        <v>1.7927156201101064</v>
      </c>
      <c r="L330" s="1">
        <f>[329]All!I$9</f>
        <v>2.6143893034833545</v>
      </c>
      <c r="M330" s="1">
        <f>[329]All!J$9</f>
        <v>2.1025151007925977</v>
      </c>
      <c r="N330" s="1">
        <f>[329]All!K$9</f>
        <v>2.1347590005193524</v>
      </c>
      <c r="O330" s="1">
        <f>[329]All!L$9</f>
        <v>2.260045327105062</v>
      </c>
      <c r="Q330" s="1">
        <f>[329]All!N$9</f>
        <v>2.0209002928631938</v>
      </c>
      <c r="R330" s="1">
        <f>[329]All!O$9</f>
        <v>2.0069006259849784</v>
      </c>
      <c r="S330" s="1">
        <f>[329]All!P$9</f>
        <v>2.0058853896171245</v>
      </c>
      <c r="U330" s="1">
        <f>'[329]Prof (MC)'!$B$4</f>
        <v>1.9326977850231102</v>
      </c>
      <c r="V330" s="1">
        <f>'[329]Prof (MC)'!$C$4</f>
        <v>1.9420388510530242</v>
      </c>
      <c r="W330" s="1">
        <f>'[329]Prof (MC)'!$W$106</f>
        <v>1.2616256340776031</v>
      </c>
      <c r="X330" s="1">
        <f>'[329]Prof (MC)'!$Z$106</f>
        <v>2.5985211297438759</v>
      </c>
    </row>
    <row r="331" spans="1:24" x14ac:dyDescent="0.2">
      <c r="A331" t="s">
        <v>347</v>
      </c>
      <c r="B331" t="s">
        <v>435</v>
      </c>
      <c r="C331">
        <v>2150</v>
      </c>
      <c r="E331" s="1">
        <f>[330]All!B$9</f>
        <v>1.9511716751257875</v>
      </c>
      <c r="F331" s="1">
        <f>[330]All!C$9</f>
        <v>2.6835034072834252</v>
      </c>
      <c r="G331" s="1">
        <f>[330]All!D$9</f>
        <v>2.9993748718759532</v>
      </c>
      <c r="H331" s="1">
        <f>[330]All!E$9</f>
        <v>2.9539317930844273</v>
      </c>
      <c r="I331" s="1">
        <f>[330]All!F$9</f>
        <v>3.2508451650079846</v>
      </c>
      <c r="J331" s="1">
        <f>[330]All!G$9</f>
        <v>1.8248537178303093</v>
      </c>
      <c r="K331" s="1">
        <f>[330]All!H$9</f>
        <v>2.3698056218367416</v>
      </c>
      <c r="L331" s="1">
        <f>[330]All!I$9</f>
        <v>2.720358160420667</v>
      </c>
      <c r="M331" s="1">
        <f>[330]All!J$9</f>
        <v>2.9839037946093732</v>
      </c>
      <c r="N331" s="1">
        <f>[330]All!K$9</f>
        <v>2.5701252341716705</v>
      </c>
      <c r="O331" s="1">
        <f>[330]All!L$9</f>
        <v>3.1148797671410517</v>
      </c>
      <c r="Q331" s="1">
        <f>[330]All!N$9</f>
        <v>2.7895169031976366</v>
      </c>
      <c r="R331" s="1">
        <f>[330]All!O$9</f>
        <v>2.6747957462170353</v>
      </c>
      <c r="S331" s="1">
        <f>[330]All!P$9</f>
        <v>2.720358160420667</v>
      </c>
      <c r="U331" s="1">
        <f>'[330]Prof (MC)'!$B$4</f>
        <v>2.7501861981147386</v>
      </c>
      <c r="V331" s="1">
        <f>'[330]Prof (MC)'!$C$4</f>
        <v>2.7163738213483519</v>
      </c>
      <c r="W331" s="1">
        <f>'[330]Prof (MC)'!$W$96</f>
        <v>1.4990264396037249</v>
      </c>
      <c r="X331" s="1">
        <f>'[330]Prof (MC)'!$Z$96</f>
        <v>3.7868272211900118</v>
      </c>
    </row>
    <row r="332" spans="1:24" x14ac:dyDescent="0.2">
      <c r="A332" t="s">
        <v>348</v>
      </c>
      <c r="B332" t="s">
        <v>435</v>
      </c>
      <c r="C332">
        <v>2150</v>
      </c>
      <c r="E332" s="1">
        <f>[331]All!B$9</f>
        <v>3.8053208677499105E-4</v>
      </c>
      <c r="F332" s="1">
        <f>[331]All!C$9</f>
        <v>1.1345419319864776</v>
      </c>
      <c r="G332" s="1">
        <f>[331]All!D$9</f>
        <v>1.1023862410812508</v>
      </c>
      <c r="H332" s="1">
        <f>[331]All!E$9</f>
        <v>4.2587313000000002E-2</v>
      </c>
      <c r="I332" s="1">
        <f>[331]All!F$9</f>
        <v>1.5806195775806833</v>
      </c>
      <c r="J332" s="1">
        <f>[331]All!G$9</f>
        <v>0.74900022683046052</v>
      </c>
      <c r="K332" s="1">
        <f>[331]All!H$9</f>
        <v>0.96801265121809099</v>
      </c>
      <c r="L332" s="1">
        <f>[331]All!I$9</f>
        <v>7.2847859999999997E-3</v>
      </c>
      <c r="M332" s="1">
        <f>[331]All!J$9</f>
        <v>0.90680572461535758</v>
      </c>
      <c r="N332" s="1">
        <f>[331]All!K$9</f>
        <v>1.0615038182381786</v>
      </c>
      <c r="O332" s="1">
        <f>[331]All!L$9</f>
        <v>0.60850777299081693</v>
      </c>
      <c r="Q332" s="1">
        <f>[331]All!N$9</f>
        <v>0.84025199718595922</v>
      </c>
      <c r="R332" s="1">
        <f>[331]All!O$9</f>
        <v>0.74196641596618995</v>
      </c>
      <c r="S332" s="1">
        <f>[331]All!P$9</f>
        <v>0.90680572461535758</v>
      </c>
      <c r="U332" s="1">
        <f>'[331]Prof (MC)'!$B$4</f>
        <v>0.79592286209961671</v>
      </c>
      <c r="V332" s="1">
        <f>'[331]Prof (MC)'!$C$4</f>
        <v>0.83868996362873716</v>
      </c>
      <c r="W332" s="1">
        <f>'[331]Prof (MC)'!$W$78</f>
        <v>0.1225140256832796</v>
      </c>
      <c r="X332" s="1">
        <f>'[331]Prof (MC)'!$Z$78</f>
        <v>1.7448397850249886</v>
      </c>
    </row>
    <row r="333" spans="1:24" x14ac:dyDescent="0.2">
      <c r="A333" t="s">
        <v>349</v>
      </c>
      <c r="B333" t="s">
        <v>435</v>
      </c>
      <c r="C333">
        <v>2150</v>
      </c>
      <c r="E333" s="1">
        <f>[332]All!B$9</f>
        <v>2.7495720601248457</v>
      </c>
      <c r="F333" s="1">
        <f>[332]All!C$9</f>
        <v>2.1422700290149028</v>
      </c>
      <c r="G333" s="1">
        <f>[332]All!D$9</f>
        <v>2.4149127253184841</v>
      </c>
      <c r="H333" s="1">
        <f>[332]All!E$9</f>
        <v>1.6276342695964059</v>
      </c>
      <c r="I333" s="1">
        <f>[332]All!F$9</f>
        <v>1.9620599097177862</v>
      </c>
      <c r="J333" s="1">
        <f>[332]All!G$9</f>
        <v>1.6747946572693588</v>
      </c>
      <c r="K333" s="1">
        <f>[332]All!H$9</f>
        <v>1.8647786070918084</v>
      </c>
      <c r="L333" s="1">
        <f>[332]All!I$9</f>
        <v>1.6478507190314338</v>
      </c>
      <c r="M333" s="1">
        <f>[332]All!J$9</f>
        <v>1.3215489645890255</v>
      </c>
      <c r="N333" s="1">
        <f>[332]All!K$9</f>
        <v>1.4053126070283761</v>
      </c>
      <c r="O333" s="1">
        <f>[332]All!L$9</f>
        <v>1.3077099405044548</v>
      </c>
      <c r="Q333" s="1">
        <f>[332]All!N$9</f>
        <v>1.9466000744707779</v>
      </c>
      <c r="R333" s="1">
        <f>[332]All!O$9</f>
        <v>1.82894949902608</v>
      </c>
      <c r="S333" s="1">
        <f>[332]All!P$9</f>
        <v>1.6747946572693588</v>
      </c>
      <c r="U333" s="1">
        <f>'[332]Prof (MC)'!$B$4</f>
        <v>1.819016712644292</v>
      </c>
      <c r="V333" s="1">
        <f>'[332]Prof (MC)'!$C$4</f>
        <v>1.7770458324820053</v>
      </c>
      <c r="W333" s="1">
        <f>'[332]Prof (MC)'!$W$96</f>
        <v>0.71056534346550826</v>
      </c>
      <c r="X333" s="1">
        <f>'[332]Prof (MC)'!$Z$96</f>
        <v>2.9418187003597316</v>
      </c>
    </row>
    <row r="334" spans="1:24" x14ac:dyDescent="0.2">
      <c r="A334" t="s">
        <v>350</v>
      </c>
      <c r="B334" t="s">
        <v>434</v>
      </c>
      <c r="C334">
        <v>2050</v>
      </c>
      <c r="E334" s="1">
        <f>[333]All!B$9</f>
        <v>6.8867032257772252</v>
      </c>
      <c r="F334" s="1">
        <f>[333]All!C$9</f>
        <v>7.3600497518563142</v>
      </c>
      <c r="G334" s="1">
        <f>[333]All!D$9</f>
        <v>5.9243188699380633</v>
      </c>
      <c r="H334" s="1">
        <f>[333]All!E$9</f>
        <v>7.2611597711006786</v>
      </c>
      <c r="I334" s="1">
        <f>[333]All!F$9</f>
        <v>6.8370559770093413</v>
      </c>
      <c r="J334" s="1">
        <f>[333]All!G$9</f>
        <v>7.6649388922044288</v>
      </c>
      <c r="K334" s="1">
        <f>[333]All!H$9</f>
        <v>7.2714675710785137</v>
      </c>
      <c r="L334" s="1">
        <f>[333]All!I$9</f>
        <v>6.8167457291556461</v>
      </c>
      <c r="M334" s="1">
        <f>[333]All!J$9</f>
        <v>6.9579864093090835</v>
      </c>
      <c r="N334" s="1">
        <f>[333]All!K$9</f>
        <v>8.569898926534</v>
      </c>
      <c r="O334" s="1">
        <f>[333]All!L$9</f>
        <v>6.971698075734226</v>
      </c>
      <c r="Q334" s="1">
        <f>[333]All!N$9</f>
        <v>7.1304261404637153</v>
      </c>
      <c r="R334" s="1">
        <f>[333]All!O$9</f>
        <v>7.1383657454270484</v>
      </c>
      <c r="S334" s="1">
        <f>[333]All!P$9</f>
        <v>6.971698075734226</v>
      </c>
      <c r="U334" s="1">
        <f>'[333]Prof (MC)'!$B$4</f>
        <v>7.1200617432074855</v>
      </c>
      <c r="V334" s="1">
        <f>'[333]Prof (MC)'!$C$4</f>
        <v>7.104912044894701</v>
      </c>
      <c r="W334" s="1">
        <f>'[333]Prof (MC)'!$W$132</f>
        <v>5.8428915310797995</v>
      </c>
      <c r="X334" s="1">
        <f>'[333]Prof (MC)'!$Z$132</f>
        <v>8.6567891491780991</v>
      </c>
    </row>
    <row r="335" spans="1:24" x14ac:dyDescent="0.2">
      <c r="A335" t="s">
        <v>351</v>
      </c>
      <c r="B335" t="s">
        <v>434</v>
      </c>
      <c r="C335">
        <v>2050</v>
      </c>
      <c r="E335" s="1">
        <f>[334]All!B$9</f>
        <v>3.7727341184942906</v>
      </c>
      <c r="F335" s="1">
        <f>[334]All!C$9</f>
        <v>3.2811328967188382</v>
      </c>
      <c r="G335" s="1">
        <f>[334]All!D$9</f>
        <v>1.5316335518128401</v>
      </c>
      <c r="H335" s="1">
        <f>[334]All!E$9</f>
        <v>2.0622091267746971</v>
      </c>
      <c r="I335" s="1">
        <f>[334]All!F$9</f>
        <v>2.6064650742102611</v>
      </c>
      <c r="J335" s="1">
        <f>[334]All!G$9</f>
        <v>3.9782715422709427</v>
      </c>
      <c r="K335" s="1">
        <f>[334]All!H$9</f>
        <v>1.1667900957793107</v>
      </c>
      <c r="L335" s="1">
        <f>[334]All!I$9</f>
        <v>2.8771446973995278</v>
      </c>
      <c r="M335" s="1">
        <f>[334]All!J$9</f>
        <v>3.6658808502888691</v>
      </c>
      <c r="N335" s="1">
        <f>[334]All!K$9</f>
        <v>2.8480103373720107</v>
      </c>
      <c r="O335" s="1">
        <f>[334]All!L$9</f>
        <v>1.1088550399008852</v>
      </c>
      <c r="Q335" s="1">
        <f>[334]All!N$9</f>
        <v>3.1528758436519411</v>
      </c>
      <c r="R335" s="1">
        <f>[334]All!O$9</f>
        <v>2.6271933937293155</v>
      </c>
      <c r="S335" s="1">
        <f>[334]All!P$9</f>
        <v>2.8480103373720107</v>
      </c>
      <c r="U335" s="1">
        <f>'[334]Prof (MC)'!$B$4</f>
        <v>3.0271786613131697</v>
      </c>
      <c r="V335" s="1">
        <f>'[334]Prof (MC)'!$C$4</f>
        <v>3.2082514058575438</v>
      </c>
      <c r="W335" s="1">
        <f>'[334]Prof (MC)'!$W$84</f>
        <v>0.256309379911835</v>
      </c>
      <c r="X335" s="1">
        <f>'[334]Prof (MC)'!$Z$84</f>
        <v>8.7836715775176089</v>
      </c>
    </row>
    <row r="336" spans="1:24" x14ac:dyDescent="0.2">
      <c r="A336" t="s">
        <v>352</v>
      </c>
      <c r="B336" t="s">
        <v>434</v>
      </c>
      <c r="C336">
        <v>2050</v>
      </c>
      <c r="E336" s="1">
        <f>[335]All!B$9</f>
        <v>2.7885740715522886</v>
      </c>
      <c r="F336" s="1">
        <f>[335]All!C$9</f>
        <v>2.413213351979353</v>
      </c>
      <c r="G336" s="1">
        <f>[335]All!D$9</f>
        <v>2.5294250668565454</v>
      </c>
      <c r="H336" s="1">
        <f>[335]All!E$9</f>
        <v>2.8620260608077417</v>
      </c>
      <c r="I336" s="1">
        <f>[335]All!F$9</f>
        <v>3.0896324876960697</v>
      </c>
      <c r="J336" s="1">
        <f>[335]All!G$9</f>
        <v>3.0076535859879456</v>
      </c>
      <c r="K336" s="1">
        <f>[335]All!H$9</f>
        <v>3.4170387520206393</v>
      </c>
      <c r="L336" s="1">
        <f>[335]All!I$9</f>
        <v>0.77420771604636962</v>
      </c>
      <c r="M336" s="1">
        <f>[335]All!J$9</f>
        <v>0</v>
      </c>
      <c r="N336" s="1">
        <f>[335]All!K$9</f>
        <v>3.1785079256262248</v>
      </c>
      <c r="O336" s="1">
        <f>[335]All!L$9</f>
        <v>3.4503795683756198</v>
      </c>
      <c r="Q336" s="1">
        <f>[335]All!N$9</f>
        <v>3.0425773417782751</v>
      </c>
      <c r="R336" s="1">
        <f>[335]All!O$9</f>
        <v>2.7510658586948793</v>
      </c>
      <c r="S336" s="1">
        <f>[335]All!P$9</f>
        <v>2.9348398233978434</v>
      </c>
      <c r="U336" s="1">
        <f>'[335]Prof (MC)'!$B$4</f>
        <v>2.8239426054429506</v>
      </c>
      <c r="V336" s="1">
        <f>'[335]Prof (MC)'!$C$4</f>
        <v>2.835523358755367</v>
      </c>
      <c r="W336" s="1">
        <f>'[335]Prof (MC)'!$W$88</f>
        <v>0.31158507122242518</v>
      </c>
      <c r="X336" s="1">
        <f>'[335]Prof (MC)'!$Z$88</f>
        <v>6.4436617542280263</v>
      </c>
    </row>
    <row r="337" spans="1:24" x14ac:dyDescent="0.2">
      <c r="A337" t="s">
        <v>353</v>
      </c>
      <c r="B337" t="s">
        <v>435</v>
      </c>
      <c r="C337">
        <v>2050</v>
      </c>
      <c r="E337" s="1">
        <f>[336]All!B$9</f>
        <v>1.7369645421634894</v>
      </c>
      <c r="F337" s="1">
        <f>[336]All!C$9</f>
        <v>0.98749356405866195</v>
      </c>
      <c r="G337" s="1">
        <f>[336]All!D$9</f>
        <v>0.68707920425894031</v>
      </c>
      <c r="H337" s="1">
        <f>[336]All!E$9</f>
        <v>1.7350916516275263</v>
      </c>
      <c r="I337" s="1">
        <f>[336]All!F$9</f>
        <v>0.9803406592558771</v>
      </c>
      <c r="J337" s="1">
        <f>[336]All!G$9</f>
        <v>1.9507655653087643</v>
      </c>
      <c r="K337" s="1">
        <f>[336]All!H$9</f>
        <v>1.9122570574671931</v>
      </c>
      <c r="L337" s="1">
        <f>[336]All!I$9</f>
        <v>2.2780547754760052</v>
      </c>
      <c r="M337" s="1">
        <f>[336]All!J$9</f>
        <v>2.6113928660178236</v>
      </c>
      <c r="N337" s="1">
        <f>[336]All!K$9</f>
        <v>1.9072867583806004</v>
      </c>
      <c r="O337" s="1">
        <f>[336]All!L$9</f>
        <v>1.9617498503370658</v>
      </c>
      <c r="Q337" s="1">
        <f>[336]All!N$9</f>
        <v>1.8875391962530088</v>
      </c>
      <c r="R337" s="1">
        <f>[336]All!O$9</f>
        <v>1.7044069540319953</v>
      </c>
      <c r="S337" s="1">
        <f>[336]All!P$9</f>
        <v>1.9072867583806004</v>
      </c>
      <c r="U337" s="1">
        <f>'[336]Prof (MC)'!$B$4</f>
        <v>1.7118324924004651</v>
      </c>
      <c r="V337" s="1">
        <f>'[336]Prof (MC)'!$C$4</f>
        <v>1.6877383520229459</v>
      </c>
      <c r="W337" s="1">
        <f>'[336]Prof (MC)'!$W$72</f>
        <v>0.43586685252733642</v>
      </c>
      <c r="X337" s="1">
        <f>'[336]Prof (MC)'!$Z$72</f>
        <v>2.8783124999999998</v>
      </c>
    </row>
    <row r="338" spans="1:24" x14ac:dyDescent="0.2">
      <c r="A338" t="s">
        <v>354</v>
      </c>
      <c r="B338" t="s">
        <v>435</v>
      </c>
      <c r="C338">
        <v>2050</v>
      </c>
      <c r="E338" s="1">
        <f>[337]All!B$9</f>
        <v>1.4680943200814212</v>
      </c>
      <c r="F338" s="1">
        <f>[337]All!C$9</f>
        <v>1.4815627257609341</v>
      </c>
      <c r="G338" s="1">
        <f>[337]All!D$9</f>
        <v>1.645940367433288</v>
      </c>
      <c r="H338" s="1">
        <f>[337]All!E$9</f>
        <v>2.6468375826826609</v>
      </c>
      <c r="I338" s="1">
        <f>[337]All!F$9</f>
        <v>2.2686637627020083</v>
      </c>
      <c r="J338" s="1">
        <f>[337]All!G$9</f>
        <v>2.4446938729813579</v>
      </c>
      <c r="K338" s="1">
        <f>[337]All!H$9</f>
        <v>2.3898795322206343</v>
      </c>
      <c r="L338" s="1">
        <f>[337]All!I$9</f>
        <v>3.5083930739561455</v>
      </c>
      <c r="M338" s="1">
        <f>[337]All!J$9</f>
        <v>3.0662478976159053</v>
      </c>
      <c r="N338" s="1">
        <f>[337]All!K$9</f>
        <v>2.7671308587678269</v>
      </c>
      <c r="O338" s="1">
        <f>[337]All!L$9</f>
        <v>2.6483854877045263</v>
      </c>
      <c r="Q338" s="1">
        <f>[337]All!N$9</f>
        <v>2.3553681077693756</v>
      </c>
      <c r="R338" s="1">
        <f>[337]All!O$9</f>
        <v>2.3941663165369738</v>
      </c>
      <c r="S338" s="1">
        <f>[337]All!P$9</f>
        <v>2.4446938729813579</v>
      </c>
      <c r="U338" s="1">
        <f>'[337]Prof (MC)'!$B$4</f>
        <v>2.3979581882838472</v>
      </c>
      <c r="V338" s="1">
        <f>'[337]Prof (MC)'!$C$4</f>
        <v>2.4363007580498395</v>
      </c>
      <c r="W338" s="1">
        <f>'[337]Prof (MC)'!$W$84</f>
        <v>0.84855834489696469</v>
      </c>
      <c r="X338" s="1">
        <f>'[337]Prof (MC)'!$Z$84</f>
        <v>4.2242230318253382</v>
      </c>
    </row>
    <row r="339" spans="1:24" x14ac:dyDescent="0.2">
      <c r="A339" t="s">
        <v>355</v>
      </c>
      <c r="B339" t="s">
        <v>435</v>
      </c>
      <c r="C339">
        <v>2050</v>
      </c>
      <c r="E339" s="1">
        <f>[338]All!B$9</f>
        <v>1.140923814722518</v>
      </c>
      <c r="F339" s="1">
        <f>[338]All!C$9</f>
        <v>1.6531393824475529</v>
      </c>
      <c r="G339" s="1">
        <f>[338]All!D$9</f>
        <v>1.3685961985036668</v>
      </c>
      <c r="H339" s="1">
        <f>[338]All!E$9</f>
        <v>1.2252026232470545</v>
      </c>
      <c r="I339" s="1">
        <f>[338]All!F$9</f>
        <v>1.2848866136794792</v>
      </c>
      <c r="J339" s="1">
        <f>[338]All!G$9</f>
        <v>1.0697770566676417</v>
      </c>
      <c r="K339" s="1">
        <f>[338]All!H$9</f>
        <v>1.2427062940958873</v>
      </c>
      <c r="L339" s="1">
        <f>[338]All!I$9</f>
        <v>1.4838883452915286</v>
      </c>
      <c r="M339" s="1">
        <f>[338]All!J$9</f>
        <v>1.1542020071876167</v>
      </c>
      <c r="N339" s="1">
        <f>[338]All!K$9</f>
        <v>1.2430726407343522</v>
      </c>
      <c r="O339" s="1">
        <f>[338]All!L$9</f>
        <v>1.0952181971108443</v>
      </c>
      <c r="Q339" s="1">
        <f>[338]All!N$9</f>
        <v>1.2608969284211902</v>
      </c>
      <c r="R339" s="1">
        <f>[338]All!O$9</f>
        <v>1.2692375612443767</v>
      </c>
      <c r="S339" s="1">
        <f>[338]All!P$9</f>
        <v>1.2427062940958873</v>
      </c>
      <c r="U339" s="1">
        <f>'[338]Prof (MC)'!$B$4</f>
        <v>1.2092833530111129</v>
      </c>
      <c r="V339" s="1">
        <f>'[338]Prof (MC)'!$C$4</f>
        <v>1.145362444532172</v>
      </c>
      <c r="W339" s="1">
        <f>'[338]Prof (MC)'!$W$70</f>
        <v>0.21339154271057606</v>
      </c>
      <c r="X339" s="1">
        <f>'[338]Prof (MC)'!$Z$70</f>
        <v>2.1099598752279882</v>
      </c>
    </row>
    <row r="340" spans="1:24" x14ac:dyDescent="0.2">
      <c r="A340" t="s">
        <v>356</v>
      </c>
      <c r="B340" t="s">
        <v>435</v>
      </c>
      <c r="C340">
        <v>2050</v>
      </c>
      <c r="E340" s="1">
        <f>[339]All!B$9</f>
        <v>0.21057008819563727</v>
      </c>
      <c r="F340" s="1">
        <f>[339]All!C$9</f>
        <v>0.23479304601007567</v>
      </c>
      <c r="G340" s="1">
        <f>[339]All!D$9</f>
        <v>0.19658808798483965</v>
      </c>
      <c r="H340" s="1">
        <f>[339]All!E$9</f>
        <v>0.16639124797517743</v>
      </c>
      <c r="I340" s="1">
        <f>[339]All!F$9</f>
        <v>0.61210273951962413</v>
      </c>
      <c r="J340" s="1">
        <f>[339]All!G$9</f>
        <v>7.1722216000000005E-2</v>
      </c>
      <c r="K340" s="1">
        <f>[339]All!H$9</f>
        <v>0.21282608794624802</v>
      </c>
      <c r="L340" s="1">
        <f>[339]All!I$9</f>
        <v>0.19461968154739465</v>
      </c>
      <c r="M340" s="1">
        <f>[339]All!J$9</f>
        <v>0.19746508226679532</v>
      </c>
      <c r="N340" s="1">
        <f>[339]All!K$9</f>
        <v>0.65629469144702013</v>
      </c>
      <c r="O340" s="1">
        <f>[339]All!L$9</f>
        <v>0.11739257596244503</v>
      </c>
      <c r="Q340" s="1">
        <f>[339]All!N$9</f>
        <v>0.2037138253459263</v>
      </c>
      <c r="R340" s="1">
        <f>[339]All!O$9</f>
        <v>0.26097868589593243</v>
      </c>
      <c r="S340" s="1">
        <f>[339]All!P$9</f>
        <v>0.19746508226679532</v>
      </c>
      <c r="U340" s="1">
        <f>'[339]Prof (MC)'!$B$4</f>
        <v>0.24767149957724746</v>
      </c>
      <c r="V340" s="1">
        <f>'[339]Prof (MC)'!$C$4</f>
        <v>0.47031720552029327</v>
      </c>
      <c r="W340" s="1">
        <f>'[339]Prof (MC)'!$W$94</f>
        <v>5.7853433987954369E-4</v>
      </c>
      <c r="X340" s="1">
        <f>'[339]Prof (MC)'!$Z$94</f>
        <v>2.7305613702745792</v>
      </c>
    </row>
    <row r="341" spans="1:24" x14ac:dyDescent="0.2">
      <c r="A341" t="s">
        <v>357</v>
      </c>
      <c r="B341" t="s">
        <v>434</v>
      </c>
      <c r="C341">
        <v>1700</v>
      </c>
      <c r="E341" s="1">
        <f>[340]All!B$9</f>
        <v>6.5037097199996907</v>
      </c>
      <c r="F341" s="1">
        <f>[340]All!C$9</f>
        <v>6.1259789960098194</v>
      </c>
      <c r="G341" s="1">
        <f>[340]All!D$9</f>
        <v>6.3267873870649076</v>
      </c>
      <c r="H341" s="1">
        <f>[340]All!E$9</f>
        <v>5.975966187788762</v>
      </c>
      <c r="I341" s="1">
        <f>[340]All!F$9</f>
        <v>6.1265298083704938</v>
      </c>
      <c r="J341" s="1">
        <f>[340]All!G$9</f>
        <v>5.8741780527593344</v>
      </c>
      <c r="K341" s="1">
        <f>[340]All!H$9</f>
        <v>6.0171610288154138</v>
      </c>
      <c r="L341" s="1">
        <f>[340]All!I$9</f>
        <v>6.7823052394973731</v>
      </c>
      <c r="M341" s="1">
        <f>[340]All!J$9</f>
        <v>7.105009404770672</v>
      </c>
      <c r="N341" s="1">
        <f>[340]All!K$9</f>
        <v>6.7134325540472304</v>
      </c>
      <c r="O341" s="1">
        <f>[340]All!L$9</f>
        <v>7.4714490638266104</v>
      </c>
      <c r="Q341" s="1">
        <f>[340]All!N$9</f>
        <v>6.4457279714795996</v>
      </c>
      <c r="R341" s="1">
        <f>[340]All!O$9</f>
        <v>6.4565915857227543</v>
      </c>
      <c r="S341" s="1">
        <f>[340]All!P$9</f>
        <v>6.3267873870649076</v>
      </c>
      <c r="U341" s="1">
        <f>'[340]Prof (MC)'!$B$4</f>
        <v>6.4126065143211335</v>
      </c>
      <c r="V341" s="1">
        <f>'[340]Prof (MC)'!$C$4</f>
        <v>6.399051405121309</v>
      </c>
      <c r="W341" s="1">
        <f>'[340]Prof (MC)'!$W$130</f>
        <v>5.6471839967116511</v>
      </c>
      <c r="X341" s="1">
        <f>'[340]Prof (MC)'!$Z$130</f>
        <v>7.1234740321462215</v>
      </c>
    </row>
    <row r="342" spans="1:24" x14ac:dyDescent="0.2">
      <c r="A342" t="s">
        <v>358</v>
      </c>
      <c r="B342" t="s">
        <v>434</v>
      </c>
      <c r="C342">
        <v>1700</v>
      </c>
      <c r="E342" s="1">
        <f>[341]All!B$9</f>
        <v>6.816334819380284</v>
      </c>
      <c r="F342" s="1">
        <f>[341]All!C$9</f>
        <v>6.4929395627632989</v>
      </c>
      <c r="G342" s="1">
        <f>[341]All!D$9</f>
        <v>5.7419553379657025</v>
      </c>
      <c r="H342" s="1">
        <f>[341]All!E$9</f>
        <v>6.3976961901787135</v>
      </c>
      <c r="I342" s="1">
        <f>[341]All!F$9</f>
        <v>5.9097605661226948</v>
      </c>
      <c r="J342" s="1">
        <f>[341]All!G$9</f>
        <v>6.20873880141896</v>
      </c>
      <c r="K342" s="1">
        <f>[341]All!H$9</f>
        <v>5.6713255953163904</v>
      </c>
      <c r="L342" s="1">
        <f>[341]All!I$9</f>
        <v>5.1764364082445784</v>
      </c>
      <c r="M342" s="1">
        <f>[341]All!J$9</f>
        <v>6.0828002341331402</v>
      </c>
      <c r="N342" s="1">
        <f>[341]All!K$9</f>
        <v>4.4984026911519868</v>
      </c>
      <c r="O342" s="1">
        <f>[341]All!L$9</f>
        <v>5.1587129649273811</v>
      </c>
      <c r="Q342" s="1">
        <f>[341]All!N$9</f>
        <v>5.9097630142995925</v>
      </c>
      <c r="R342" s="1">
        <f>[341]All!O$9</f>
        <v>5.8322821065093757</v>
      </c>
      <c r="S342" s="1">
        <f>[341]All!P$9</f>
        <v>5.9097605661226948</v>
      </c>
      <c r="U342" s="1">
        <f>'[341]Prof (MC)'!$B$4</f>
        <v>5.8797324880772601</v>
      </c>
      <c r="V342" s="1">
        <f>'[341]Prof (MC)'!$C$4</f>
        <v>5.943661913704573</v>
      </c>
      <c r="W342" s="1">
        <f>'[341]Prof (MC)'!$W$98</f>
        <v>4.3942670706428046</v>
      </c>
      <c r="X342" s="1">
        <f>'[341]Prof (MC)'!$Z$98</f>
        <v>7.6835056005126923</v>
      </c>
    </row>
    <row r="343" spans="1:24" x14ac:dyDescent="0.2">
      <c r="A343" t="s">
        <v>359</v>
      </c>
      <c r="B343" t="s">
        <v>435</v>
      </c>
      <c r="C343">
        <v>1700</v>
      </c>
      <c r="E343" s="1">
        <f>[342]All!B$9</f>
        <v>1.9101325825767177</v>
      </c>
      <c r="F343" s="1">
        <f>[342]All!C$9</f>
        <v>0.39356475721418183</v>
      </c>
      <c r="G343" s="1">
        <f>[342]All!D$9</f>
        <v>1.8637403074941552</v>
      </c>
      <c r="H343" s="1">
        <f>[342]All!E$9</f>
        <v>2.7868420887675804</v>
      </c>
      <c r="I343" s="1">
        <f>[342]All!F$9</f>
        <v>1.9515469036636033</v>
      </c>
      <c r="J343" s="1">
        <f>[342]All!G$9</f>
        <v>1.1070094217118187</v>
      </c>
      <c r="K343" s="1">
        <f>[342]All!H$9</f>
        <v>1.9319838905595013</v>
      </c>
      <c r="L343" s="1">
        <f>[342]All!I$9</f>
        <v>1.8862477377294695</v>
      </c>
      <c r="M343" s="1">
        <f>[342]All!J$9</f>
        <v>1.7046257909173999</v>
      </c>
      <c r="N343" s="1">
        <f>[342]All!K$9</f>
        <v>2.1826708636709888</v>
      </c>
      <c r="O343" s="1">
        <f>[342]All!L$9</f>
        <v>2.5035887324093213</v>
      </c>
      <c r="Q343" s="1">
        <f>[342]All!N$9</f>
        <v>1.7581301740323461</v>
      </c>
      <c r="R343" s="1">
        <f>[342]All!O$9</f>
        <v>1.8383593706104302</v>
      </c>
      <c r="S343" s="1">
        <f>[342]All!P$9</f>
        <v>1.9101325825767177</v>
      </c>
      <c r="U343" s="1">
        <f>'[342]Prof (MC)'!$B$4</f>
        <v>1.5899420397996931</v>
      </c>
      <c r="V343" s="1">
        <f>'[342]Prof (MC)'!$C$4</f>
        <v>1.7091201042937465</v>
      </c>
      <c r="W343" s="1">
        <f>'[342]Prof (MC)'!$W$80</f>
        <v>0.5128437505137341</v>
      </c>
      <c r="X343" s="1">
        <f>'[342]Prof (MC)'!$Z$80</f>
        <v>3.3140741891358401</v>
      </c>
    </row>
    <row r="344" spans="1:24" x14ac:dyDescent="0.2">
      <c r="A344" t="s">
        <v>360</v>
      </c>
      <c r="B344" t="s">
        <v>435</v>
      </c>
      <c r="C344">
        <v>1700</v>
      </c>
      <c r="E344" s="1">
        <f>[343]All!B$9</f>
        <v>1.5890791993788627</v>
      </c>
      <c r="F344" s="1">
        <f>[343]All!C$9</f>
        <v>0.95462000593323748</v>
      </c>
      <c r="G344" s="1">
        <f>[343]All!D$9</f>
        <v>1.6345871560873924</v>
      </c>
      <c r="H344" s="1">
        <f>[343]All!E$9</f>
        <v>0.95414769937466137</v>
      </c>
      <c r="I344" s="1">
        <f>[343]All!F$9</f>
        <v>0.17908290706407279</v>
      </c>
      <c r="J344" s="1">
        <f>[343]All!G$9</f>
        <v>1.6655281423364396</v>
      </c>
      <c r="K344" s="1">
        <f>[343]All!H$9</f>
        <v>2.1218277604410165</v>
      </c>
      <c r="L344" s="1">
        <f>[343]All!I$9</f>
        <v>1.6469479615338531E-3</v>
      </c>
      <c r="M344" s="1">
        <f>[343]All!J$9</f>
        <v>2.1734623604536241</v>
      </c>
      <c r="N344" s="1">
        <f>[343]All!K$9</f>
        <v>0</v>
      </c>
      <c r="O344" s="1">
        <f>[343]All!L$9</f>
        <v>0</v>
      </c>
      <c r="Q344" s="1">
        <f>[343]All!N$9</f>
        <v>1.8057822103183745</v>
      </c>
      <c r="R344" s="1">
        <f>[343]All!O$9</f>
        <v>1.2526646865589823</v>
      </c>
      <c r="S344" s="1">
        <f>[343]All!P$9</f>
        <v>1.5890791993788627</v>
      </c>
      <c r="U344" s="1">
        <f>'[343]Prof (MC)'!$B$4</f>
        <v>1.3978771235478149</v>
      </c>
      <c r="V344" s="1">
        <f>'[343]Prof (MC)'!$C$4</f>
        <v>1.6314067957297724</v>
      </c>
      <c r="W344" s="1">
        <f>'[343]Prof (MC)'!$W$94</f>
        <v>0.10571153145199022</v>
      </c>
      <c r="X344" s="1">
        <f>'[343]Prof (MC)'!$Z$94</f>
        <v>6.0787613422417062</v>
      </c>
    </row>
    <row r="345" spans="1:24" x14ac:dyDescent="0.2">
      <c r="A345" t="s">
        <v>361</v>
      </c>
      <c r="B345" t="s">
        <v>435</v>
      </c>
      <c r="C345">
        <v>1700</v>
      </c>
      <c r="E345" s="1">
        <f>[344]All!B$9</f>
        <v>0.1943806022637681</v>
      </c>
      <c r="F345" s="1">
        <f>[344]All!C$9</f>
        <v>1.1855436803756498</v>
      </c>
      <c r="G345" s="1">
        <f>[344]All!D$9</f>
        <v>0.19029464348146283</v>
      </c>
      <c r="H345" s="1">
        <f>[344]All!E$9</f>
        <v>0.5118786019981727</v>
      </c>
      <c r="I345" s="1">
        <f>[344]All!F$9</f>
        <v>1.9510313759405149</v>
      </c>
      <c r="J345" s="1">
        <f>[344]All!G$9</f>
        <v>0.68204550617690329</v>
      </c>
      <c r="K345" s="1">
        <f>[344]All!H$9</f>
        <v>2.8569666531700455</v>
      </c>
      <c r="L345" s="1">
        <f>[344]All!I$9</f>
        <v>2.0474153216513185</v>
      </c>
      <c r="M345" s="1">
        <f>[344]All!J$9</f>
        <v>1.9181505363685061</v>
      </c>
      <c r="N345" s="1">
        <f>[344]All!K$9</f>
        <v>1.4217498767287482</v>
      </c>
      <c r="O345" s="1">
        <f>[344]All!L$9</f>
        <v>0.88668615807026185</v>
      </c>
      <c r="Q345" s="1">
        <f>[344]All!N$9</f>
        <v>1.1800914793618371</v>
      </c>
      <c r="R345" s="1">
        <f>[344]All!O$9</f>
        <v>1.2587402687477593</v>
      </c>
      <c r="S345" s="1">
        <f>[344]All!P$9</f>
        <v>1.1855436803756498</v>
      </c>
      <c r="U345" s="1">
        <f>'[344]Prof (MC)'!$B$4</f>
        <v>1.1033207974845816</v>
      </c>
      <c r="V345" s="1">
        <f>'[344]Prof (MC)'!$C$4</f>
        <v>1.4339433805035213</v>
      </c>
      <c r="W345" s="1">
        <f>'[344]Prof (MC)'!$W$84</f>
        <v>0.17288823992227054</v>
      </c>
      <c r="X345" s="1">
        <f>'[344]Prof (MC)'!$Z$84</f>
        <v>2.6876304421933934</v>
      </c>
    </row>
    <row r="346" spans="1:24" x14ac:dyDescent="0.2">
      <c r="A346" t="s">
        <v>362</v>
      </c>
      <c r="B346" t="s">
        <v>435</v>
      </c>
      <c r="C346">
        <v>1700</v>
      </c>
      <c r="E346" s="1">
        <f>[345]All!B$9</f>
        <v>4.5853529013080854</v>
      </c>
      <c r="F346" s="1">
        <f>[345]All!C$9</f>
        <v>0.47921744235784752</v>
      </c>
      <c r="G346" s="1">
        <f>[345]All!D$9</f>
        <v>2.6181725153309698</v>
      </c>
      <c r="H346" s="1">
        <f>[345]All!E$9</f>
        <v>0.85742731730717048</v>
      </c>
      <c r="I346" s="1">
        <f>[345]All!F$9</f>
        <v>0.4835684337244941</v>
      </c>
      <c r="J346" s="1">
        <f>[345]All!G$9</f>
        <v>0.46429471169041392</v>
      </c>
      <c r="K346" s="1">
        <f>[345]All!H$9</f>
        <v>2.0307281088550675</v>
      </c>
      <c r="L346" s="1">
        <f>[345]All!I$9</f>
        <v>1.9944140883199708</v>
      </c>
      <c r="M346" s="1">
        <f>[345]All!J$9</f>
        <v>1.5478487959292209</v>
      </c>
      <c r="N346" s="1">
        <f>[345]All!K$9</f>
        <v>2.980295537061155</v>
      </c>
      <c r="O346" s="1">
        <f>[345]All!L$9</f>
        <v>2.6990561880414154</v>
      </c>
      <c r="Q346" s="1">
        <f>[345]All!N$9</f>
        <v>1.0532775784201787</v>
      </c>
      <c r="R346" s="1">
        <f>[345]All!O$9</f>
        <v>1.8854887309023463</v>
      </c>
      <c r="S346" s="1">
        <f>[345]All!P$9</f>
        <v>1.9944140883199708</v>
      </c>
      <c r="U346" s="1">
        <f>'[345]Prof (MC)'!$B$4</f>
        <v>1.8805471099022815</v>
      </c>
      <c r="V346" s="1">
        <f>'[345]Prof (MC)'!$C$4</f>
        <v>2.2373527227819947</v>
      </c>
      <c r="W346" s="1">
        <f>'[345]Prof (MC)'!$W$106</f>
        <v>7.6950166250595448E-2</v>
      </c>
      <c r="X346" s="1">
        <f>'[345]Prof (MC)'!$Z$106</f>
        <v>6.0601312696263721</v>
      </c>
    </row>
    <row r="347" spans="1:24" x14ac:dyDescent="0.2">
      <c r="A347" t="s">
        <v>363</v>
      </c>
      <c r="B347" t="s">
        <v>433</v>
      </c>
      <c r="C347">
        <v>1700</v>
      </c>
      <c r="E347" s="1">
        <f>[346]All!B$9</f>
        <v>1.0275939805813836</v>
      </c>
      <c r="F347" s="1">
        <f>[346]All!C$9</f>
        <v>0.85830954274894744</v>
      </c>
      <c r="G347" s="1">
        <f>[346]All!D$9</f>
        <v>1.1095833408840687</v>
      </c>
      <c r="H347" s="1">
        <f>[346]All!E$9</f>
        <v>0.85543345588913255</v>
      </c>
      <c r="I347" s="1">
        <f>[346]All!F$9</f>
        <v>0.6366347071160039</v>
      </c>
      <c r="J347" s="1">
        <f>[346]All!G$9</f>
        <v>0.54207697781175135</v>
      </c>
      <c r="K347" s="1">
        <f>[346]All!H$9</f>
        <v>0.75601179595419377</v>
      </c>
      <c r="L347" s="1">
        <f>[346]All!I$9</f>
        <v>1.0728505419402117</v>
      </c>
      <c r="M347" s="1">
        <f>[346]All!J$9</f>
        <v>0.43599062253162069</v>
      </c>
      <c r="N347" s="1">
        <f>[346]All!K$9</f>
        <v>0.83534243436130262</v>
      </c>
      <c r="O347" s="1">
        <f>[346]All!L$9</f>
        <v>0.70621042230622644</v>
      </c>
      <c r="Q347" s="1">
        <f>[346]All!N$9</f>
        <v>0.83756064642761585</v>
      </c>
      <c r="R347" s="1">
        <f>[346]All!O$9</f>
        <v>0.80327616564771287</v>
      </c>
      <c r="S347" s="1">
        <f>[346]All!P$9</f>
        <v>0.83534243436130262</v>
      </c>
      <c r="U347" s="1">
        <f>'[346]Prof (MC)'!$B$4</f>
        <v>0.79512042779524827</v>
      </c>
      <c r="V347" s="1">
        <f>'[346]Prof (MC)'!$C$4</f>
        <v>0.8391591487676151</v>
      </c>
      <c r="W347" s="1">
        <f>'[346]Prof (MC)'!$W$90</f>
        <v>8.4654358508872818E-2</v>
      </c>
      <c r="X347" s="1">
        <f>'[346]Prof (MC)'!$Z$90</f>
        <v>1.9513767162961744</v>
      </c>
    </row>
    <row r="348" spans="1:24" x14ac:dyDescent="0.2">
      <c r="A348" t="s">
        <v>364</v>
      </c>
      <c r="B348" t="s">
        <v>434</v>
      </c>
      <c r="C348">
        <v>2300</v>
      </c>
      <c r="E348" s="1">
        <f>[347]All!B$9</f>
        <v>5.2951538238492963</v>
      </c>
      <c r="F348" s="1">
        <f>[347]All!C$9</f>
        <v>6.6607239097723641</v>
      </c>
      <c r="G348" s="1">
        <f>[347]All!D$9</f>
        <v>4.9529942513891321</v>
      </c>
      <c r="H348" s="1">
        <f>[347]All!E$9</f>
        <v>6.1273373175754511</v>
      </c>
      <c r="I348" s="1">
        <f>[347]All!F$9</f>
        <v>6.4487947506282053</v>
      </c>
      <c r="J348" s="1">
        <f>[347]All!G$9</f>
        <v>5.1593114677557299</v>
      </c>
      <c r="K348" s="1">
        <f>[347]All!H$9</f>
        <v>6.683504310673035</v>
      </c>
      <c r="L348" s="1">
        <f>[347]All!I$9</f>
        <v>5.3215474278398496</v>
      </c>
      <c r="M348" s="1">
        <f>[347]All!J$9</f>
        <v>5.3599375068548563</v>
      </c>
      <c r="N348" s="1">
        <f>[347]All!K$9</f>
        <v>6.286591774965971</v>
      </c>
      <c r="O348" s="1">
        <f>[347]All!L$9</f>
        <v>6.3451456191362245</v>
      </c>
      <c r="Q348" s="1">
        <f>[347]All!N$9</f>
        <v>5.8450657163390769</v>
      </c>
      <c r="R348" s="1">
        <f>[347]All!O$9</f>
        <v>5.8764583782218294</v>
      </c>
      <c r="S348" s="1">
        <f>[347]All!P$9</f>
        <v>6.1273373175754511</v>
      </c>
      <c r="U348" s="1">
        <f>'[347]Prof (MC)'!$B$4</f>
        <v>5.8544081605076537</v>
      </c>
      <c r="V348" s="1">
        <f>'[347]Prof (MC)'!$C$4</f>
        <v>5.863180052686821</v>
      </c>
      <c r="W348" s="1">
        <f>'[347]Prof (MC)'!$W$112</f>
        <v>4.51756312070947</v>
      </c>
      <c r="X348" s="1">
        <f>'[347]Prof (MC)'!$Z$112</f>
        <v>7.1811205622713237</v>
      </c>
    </row>
    <row r="349" spans="1:24" x14ac:dyDescent="0.2">
      <c r="A349" t="s">
        <v>365</v>
      </c>
      <c r="B349" t="s">
        <v>434</v>
      </c>
      <c r="C349">
        <v>2300</v>
      </c>
      <c r="E349" s="1">
        <f>[348]All!B$9</f>
        <v>4.066716520120127</v>
      </c>
      <c r="F349" s="1">
        <f>[348]All!C$9</f>
        <v>2.2687671369039362</v>
      </c>
      <c r="G349" s="1">
        <f>[348]All!D$9</f>
        <v>0.17075106265882073</v>
      </c>
      <c r="H349" s="1">
        <f>[348]All!E$9</f>
        <v>0.22928276541493628</v>
      </c>
      <c r="I349" s="1">
        <f>[348]All!F$9</f>
        <v>0.67158900013415146</v>
      </c>
      <c r="J349" s="1">
        <f>[348]All!G$9</f>
        <v>1.8961630344717286</v>
      </c>
      <c r="K349" s="1">
        <f>[348]All!H$9</f>
        <v>5.4914838879782675</v>
      </c>
      <c r="L349" s="1">
        <f>[348]All!I$9</f>
        <v>0.48756417300172128</v>
      </c>
      <c r="M349" s="1">
        <f>[348]All!J$9</f>
        <v>4.5255925510970405</v>
      </c>
      <c r="N349" s="1">
        <f>[348]All!K$9</f>
        <v>0.44295370752221314</v>
      </c>
      <c r="O349" s="1">
        <f>[348]All!L$9</f>
        <v>4.947947694110324</v>
      </c>
      <c r="Q349" s="1">
        <f>[348]All!N$9</f>
        <v>2.8421155348763305</v>
      </c>
      <c r="R349" s="1">
        <f>[348]All!O$9</f>
        <v>2.2908010484921153</v>
      </c>
      <c r="S349" s="1">
        <f>[348]All!P$9</f>
        <v>1.8961630344717286</v>
      </c>
      <c r="U349" s="1">
        <f>'[348]Prof (MC)'!$B$4</f>
        <v>2.4177425699484387</v>
      </c>
      <c r="V349" s="1">
        <f>'[348]Prof (MC)'!$C$4</f>
        <v>2.739520965699429</v>
      </c>
      <c r="W349" s="1">
        <f>'[348]Prof (MC)'!$W$94</f>
        <v>6.5086937098376152E-2</v>
      </c>
      <c r="X349" s="1">
        <f>'[348]Prof (MC)'!$Z$94</f>
        <v>7.0842476898422131</v>
      </c>
    </row>
    <row r="350" spans="1:24" x14ac:dyDescent="0.2">
      <c r="A350" t="s">
        <v>366</v>
      </c>
      <c r="B350" t="s">
        <v>435</v>
      </c>
      <c r="C350">
        <v>2300</v>
      </c>
      <c r="E350" s="1">
        <f>[349]All!B$9</f>
        <v>4.5147361724989148</v>
      </c>
      <c r="F350" s="1">
        <f>[349]All!C$9</f>
        <v>1.2211522704134572</v>
      </c>
      <c r="G350" s="1">
        <f>[349]All!D$9</f>
        <v>2.0061128293930177</v>
      </c>
      <c r="H350" s="1">
        <f>[349]All!E$9</f>
        <v>2.322897535697261</v>
      </c>
      <c r="I350" s="1">
        <f>[349]All!F$9</f>
        <v>3.2126671441368808</v>
      </c>
      <c r="J350" s="1">
        <f>[349]All!G$9</f>
        <v>2.499146353012629</v>
      </c>
      <c r="K350" s="1">
        <f>[349]All!H$9</f>
        <v>3.856495407251729</v>
      </c>
      <c r="L350" s="1">
        <f>[349]All!I$9</f>
        <v>3.5830130256263297</v>
      </c>
      <c r="M350" s="1">
        <f>[349]All!J$9</f>
        <v>3.4957283836050137</v>
      </c>
      <c r="N350" s="1">
        <f>[349]All!K$9</f>
        <v>2.4514287187075472</v>
      </c>
      <c r="O350" s="1">
        <f>[349]All!L$9</f>
        <v>3.6985546216365113</v>
      </c>
      <c r="Q350" s="1">
        <f>[349]All!N$9</f>
        <v>3.0448609375894211</v>
      </c>
      <c r="R350" s="1">
        <f>[349]All!O$9</f>
        <v>2.9874484056344808</v>
      </c>
      <c r="S350" s="1">
        <f>[349]All!P$9</f>
        <v>3.2126671441368808</v>
      </c>
      <c r="U350" s="1">
        <f>'[349]Prof (MC)'!$B$4</f>
        <v>3.0442097309110441</v>
      </c>
      <c r="V350" s="1">
        <f>'[349]Prof (MC)'!$C$4</f>
        <v>3.0030001784227802</v>
      </c>
      <c r="W350" s="1">
        <f>'[349]Prof (MC)'!$W$100</f>
        <v>1.523821201456004</v>
      </c>
      <c r="X350" s="1">
        <f>'[349]Prof (MC)'!$Z$100</f>
        <v>4.5359151521037662</v>
      </c>
    </row>
    <row r="351" spans="1:24" x14ac:dyDescent="0.2">
      <c r="A351" t="s">
        <v>367</v>
      </c>
      <c r="B351" t="s">
        <v>433</v>
      </c>
      <c r="C351">
        <v>2300</v>
      </c>
      <c r="E351" s="1">
        <f>[350]All!B$9</f>
        <v>1.1974136019352595</v>
      </c>
      <c r="F351" s="1">
        <f>[350]All!C$9</f>
        <v>1.173104181322624</v>
      </c>
      <c r="G351" s="1">
        <f>[350]All!D$9</f>
        <v>1.1326982999999999</v>
      </c>
      <c r="H351" s="1">
        <f>[350]All!E$9</f>
        <v>1.1743062826588104</v>
      </c>
      <c r="I351" s="1">
        <f>[350]All!F$9</f>
        <v>1.052259790631922</v>
      </c>
      <c r="J351" s="1">
        <f>[350]All!G$9</f>
        <v>1.2668292590462447</v>
      </c>
      <c r="K351" s="1">
        <f>[350]All!H$9</f>
        <v>1.0565799728710483</v>
      </c>
      <c r="L351" s="1">
        <f>[350]All!I$9</f>
        <v>1.2054264272716799</v>
      </c>
      <c r="M351" s="1">
        <f>[350]All!J$9</f>
        <v>1.1371822251693102</v>
      </c>
      <c r="N351" s="1">
        <f>[350]All!K$9</f>
        <v>1.3515036</v>
      </c>
      <c r="O351" s="1">
        <f>[350]All!L$9</f>
        <v>1.1309390216880748</v>
      </c>
      <c r="Q351" s="1">
        <f>[350]All!N$9</f>
        <v>1.2107941299955944</v>
      </c>
      <c r="R351" s="1">
        <f>[350]All!O$9</f>
        <v>1.1707493329631795</v>
      </c>
      <c r="S351" s="1">
        <f>[350]All!P$9</f>
        <v>1.173104181322624</v>
      </c>
      <c r="U351" s="1">
        <f>'[350]Prof (MC)'!$B$4</f>
        <v>1.1053488840533972</v>
      </c>
      <c r="V351" s="1">
        <f>'[350]Prof (MC)'!$C$4</f>
        <v>1.0673737243552117</v>
      </c>
      <c r="W351" s="1">
        <f>'[350]Prof (MC)'!$W$98</f>
        <v>0.23589279585855186</v>
      </c>
      <c r="X351" s="1">
        <f>'[350]Prof (MC)'!$Z$98</f>
        <v>1.7160655865533117</v>
      </c>
    </row>
    <row r="352" spans="1:24" x14ac:dyDescent="0.2">
      <c r="A352" t="s">
        <v>368</v>
      </c>
      <c r="B352" t="s">
        <v>433</v>
      </c>
      <c r="C352">
        <v>2300</v>
      </c>
      <c r="E352" s="1">
        <f>[351]All!B$9</f>
        <v>1.6001255154222087</v>
      </c>
      <c r="F352" s="1">
        <f>[351]All!C$9</f>
        <v>1.4554199980967222</v>
      </c>
      <c r="G352" s="1">
        <f>[351]All!D$9</f>
        <v>1.4329221467553015</v>
      </c>
      <c r="H352" s="1">
        <f>[351]All!E$9</f>
        <v>1.6281560796054433</v>
      </c>
      <c r="I352" s="1">
        <f>[351]All!F$9</f>
        <v>1.9459052039576288</v>
      </c>
      <c r="J352" s="1">
        <f>[351]All!G$9</f>
        <v>2.2343213356203599</v>
      </c>
      <c r="K352" s="1">
        <f>[351]All!H$9</f>
        <v>1.68814094969859</v>
      </c>
      <c r="L352" s="1">
        <f>[351]All!I$9</f>
        <v>0.66013362162646072</v>
      </c>
      <c r="M352" s="1">
        <f>[351]All!J$9</f>
        <v>1.3656146717180273</v>
      </c>
      <c r="N352" s="1">
        <f>[351]All!K$9</f>
        <v>1.8238767034699688</v>
      </c>
      <c r="O352" s="1">
        <f>[351]All!L$9</f>
        <v>1.9218283458818397</v>
      </c>
      <c r="Q352" s="1">
        <f>[351]All!N$9</f>
        <v>1.7479347849147757</v>
      </c>
      <c r="R352" s="1">
        <f>[351]All!O$9</f>
        <v>1.6142222338047774</v>
      </c>
      <c r="S352" s="1">
        <f>[351]All!P$9</f>
        <v>1.6281560796054433</v>
      </c>
      <c r="U352" s="1">
        <f>'[351]Prof (MC)'!$B$4</f>
        <v>1.6380052346401039</v>
      </c>
      <c r="V352" s="1">
        <f>'[351]Prof (MC)'!$C$4</f>
        <v>1.6544029456238394</v>
      </c>
      <c r="W352" s="1">
        <f>'[351]Prof (MC)'!$W$86</f>
        <v>0.26594605067374349</v>
      </c>
      <c r="X352" s="1">
        <f>'[351]Prof (MC)'!$Z$86</f>
        <v>2.8092650246328379</v>
      </c>
    </row>
    <row r="353" spans="1:24" x14ac:dyDescent="0.2">
      <c r="A353" t="s">
        <v>369</v>
      </c>
      <c r="B353" t="s">
        <v>435</v>
      </c>
      <c r="C353">
        <v>1700</v>
      </c>
      <c r="E353" s="1">
        <f>[352]All!B$9</f>
        <v>10.321287291040822</v>
      </c>
      <c r="F353" s="1">
        <f>[352]All!C$9</f>
        <v>11.67743906131107</v>
      </c>
      <c r="G353" s="1">
        <f>[352]All!D$9</f>
        <v>11.069513916310884</v>
      </c>
      <c r="H353" s="1">
        <f>[352]All!E$9</f>
        <v>9.6274749974274751</v>
      </c>
      <c r="I353" s="1">
        <f>[352]All!F$9</f>
        <v>11.385637173380667</v>
      </c>
      <c r="J353" s="1">
        <f>[352]All!G$9</f>
        <v>9.0960491518123252</v>
      </c>
      <c r="K353" s="1">
        <f>[352]All!H$9</f>
        <v>11.357871983972968</v>
      </c>
      <c r="L353" s="1">
        <f>[352]All!I$9</f>
        <v>9.3917097146044277</v>
      </c>
      <c r="M353" s="1">
        <f>[352]All!J$9</f>
        <v>9.3098761165605577</v>
      </c>
      <c r="N353" s="1">
        <f>[352]All!K$9</f>
        <v>8.751971390254969</v>
      </c>
      <c r="O353" s="1">
        <f>[352]All!L$9</f>
        <v>11.09985620117846</v>
      </c>
      <c r="Q353" s="1">
        <f>[352]All!N$9</f>
        <v>10.266544353392582</v>
      </c>
      <c r="R353" s="1">
        <f>[352]All!O$9</f>
        <v>10.280789727077693</v>
      </c>
      <c r="S353" s="1">
        <f>[352]All!P$9</f>
        <v>10.321287291040822</v>
      </c>
      <c r="U353" s="1">
        <f>'[352]Prof (MC)'!$B$4</f>
        <v>10.14926855529114</v>
      </c>
      <c r="V353" s="1">
        <f>'[352]Prof (MC)'!$C$4</f>
        <v>10.287253658213206</v>
      </c>
      <c r="W353" s="1">
        <f>'[352]Prof (MC)'!$W$140</f>
        <v>8.1574031607171147</v>
      </c>
      <c r="X353" s="1">
        <f>'[352]Prof (MC)'!$Z$140</f>
        <v>12.757876471532853</v>
      </c>
    </row>
    <row r="354" spans="1:24" x14ac:dyDescent="0.2">
      <c r="A354" t="s">
        <v>370</v>
      </c>
      <c r="B354" t="s">
        <v>435</v>
      </c>
      <c r="C354">
        <v>1700</v>
      </c>
      <c r="E354" s="1">
        <f>[353]All!B$9</f>
        <v>5.3418631197728912</v>
      </c>
      <c r="F354" s="1">
        <f>[353]All!C$9</f>
        <v>4.9379337747511984</v>
      </c>
      <c r="G354" s="1">
        <f>[353]All!D$9</f>
        <v>6.4547587693976469</v>
      </c>
      <c r="H354" s="1">
        <f>[353]All!E$9</f>
        <v>5.3465169153950622</v>
      </c>
      <c r="I354" s="1">
        <f>[353]All!F$9</f>
        <v>5.8708657940192053</v>
      </c>
      <c r="J354" s="1">
        <f>[353]All!G$9</f>
        <v>7.5189993747698693</v>
      </c>
      <c r="K354" s="1">
        <f>[353]All!H$9</f>
        <v>7.0852707729915121</v>
      </c>
      <c r="L354" s="1">
        <f>[353]All!I$9</f>
        <v>5.5292476624249645</v>
      </c>
      <c r="M354" s="1">
        <f>[353]All!J$9</f>
        <v>4.6933604368071338</v>
      </c>
      <c r="N354" s="1">
        <f>[353]All!K$9</f>
        <v>6.7747598664263693</v>
      </c>
      <c r="O354" s="1">
        <f>[353]All!L$9</f>
        <v>4.5180796194191961</v>
      </c>
      <c r="Q354" s="1">
        <f>[353]All!N$9</f>
        <v>5.7846662638584263</v>
      </c>
      <c r="R354" s="1">
        <f>[353]All!O$9</f>
        <v>5.8246960096522766</v>
      </c>
      <c r="S354" s="1">
        <f>[353]All!P$9</f>
        <v>5.5292476624249645</v>
      </c>
      <c r="U354" s="1">
        <f>'[353]Prof (MC)'!$B$4</f>
        <v>5.7899772169628267</v>
      </c>
      <c r="V354" s="1">
        <f>'[353]Prof (MC)'!$C$4</f>
        <v>5.7786318968111638</v>
      </c>
      <c r="W354" s="1">
        <f>'[353]Prof (MC)'!$W$114</f>
        <v>4.3054474353242203</v>
      </c>
      <c r="X354" s="1">
        <f>'[353]Prof (MC)'!$Z$114</f>
        <v>7.2186419757155296</v>
      </c>
    </row>
    <row r="355" spans="1:24" x14ac:dyDescent="0.2">
      <c r="A355" t="s">
        <v>371</v>
      </c>
      <c r="B355" t="s">
        <v>435</v>
      </c>
      <c r="C355">
        <v>1700</v>
      </c>
      <c r="E355" s="1">
        <f>[354]All!B$9</f>
        <v>4.2401270721822879</v>
      </c>
      <c r="F355" s="1">
        <f>[354]All!C$9</f>
        <v>4.280904990567528</v>
      </c>
      <c r="G355" s="1">
        <f>[354]All!D$9</f>
        <v>3.6151963361505111</v>
      </c>
      <c r="H355" s="1">
        <f>[354]All!E$9</f>
        <v>4.6817547117265397</v>
      </c>
      <c r="I355" s="1">
        <f>[354]All!F$9</f>
        <v>3.4769213450170708</v>
      </c>
      <c r="J355" s="1">
        <f>[354]All!G$9</f>
        <v>4.1630463022080946</v>
      </c>
      <c r="K355" s="1">
        <f>[354]All!H$9</f>
        <v>4.4660815490268924</v>
      </c>
      <c r="L355" s="1">
        <f>[354]All!I$9</f>
        <v>5.2920899725466883</v>
      </c>
      <c r="M355" s="1">
        <f>[354]All!J$9</f>
        <v>4.390178027699263</v>
      </c>
      <c r="N355" s="1">
        <f>[354]All!K$9</f>
        <v>3.5544702004102109</v>
      </c>
      <c r="O355" s="1">
        <f>[354]All!L$9</f>
        <v>4.0567690733470192</v>
      </c>
      <c r="Q355" s="1">
        <f>[354]All!N$9</f>
        <v>4.1961994239519118</v>
      </c>
      <c r="R355" s="1">
        <f>[354]All!O$9</f>
        <v>4.2015945073529188</v>
      </c>
      <c r="S355" s="1">
        <f>[354]All!P$9</f>
        <v>4.2401270721822879</v>
      </c>
      <c r="U355" s="1">
        <f>'[354]Prof (MC)'!$B$4</f>
        <v>4.2000637134031473</v>
      </c>
      <c r="V355" s="1">
        <f>'[354]Prof (MC)'!$C$4</f>
        <v>4.1804315738424433</v>
      </c>
      <c r="W355" s="1">
        <f>'[354]Prof (MC)'!$W$92</f>
        <v>3.0147688919296693</v>
      </c>
      <c r="X355" s="1">
        <f>'[354]Prof (MC)'!$Z$92</f>
        <v>5.1707895614538195</v>
      </c>
    </row>
    <row r="356" spans="1:24" x14ac:dyDescent="0.2">
      <c r="A356" t="s">
        <v>372</v>
      </c>
      <c r="B356" t="s">
        <v>435</v>
      </c>
      <c r="C356">
        <v>1700</v>
      </c>
      <c r="E356" s="1">
        <f>[355]All!B$9</f>
        <v>2.8291911228996227</v>
      </c>
      <c r="F356" s="1">
        <f>[355]All!C$9</f>
        <v>2.66339086256813</v>
      </c>
      <c r="G356" s="1">
        <f>[355]All!D$9</f>
        <v>2.9874245761707332</v>
      </c>
      <c r="H356" s="1">
        <f>[355]All!E$9</f>
        <v>2.3693179623033336</v>
      </c>
      <c r="I356" s="1">
        <f>[355]All!F$9</f>
        <v>3.0304133961342132</v>
      </c>
      <c r="J356" s="1">
        <f>[355]All!G$9</f>
        <v>2.4780777773997471</v>
      </c>
      <c r="K356" s="1">
        <f>[355]All!H$9</f>
        <v>2.4046066943793831</v>
      </c>
      <c r="L356" s="1">
        <f>[355]All!I$9</f>
        <v>2.877252527865521</v>
      </c>
      <c r="M356" s="1">
        <f>[355]All!J$9</f>
        <v>4.1507363036536837</v>
      </c>
      <c r="N356" s="1">
        <f>[355]All!K$9</f>
        <v>3.5693614499096853</v>
      </c>
      <c r="O356" s="1">
        <f>[355]All!L$9</f>
        <v>4.0295269558205034</v>
      </c>
      <c r="Q356" s="1">
        <f>[355]All!N$9</f>
        <v>3.0768090236881971</v>
      </c>
      <c r="R356" s="1">
        <f>[355]All!O$9</f>
        <v>3.0353908753731416</v>
      </c>
      <c r="S356" s="1">
        <f>[355]All!P$9</f>
        <v>2.877252527865521</v>
      </c>
      <c r="U356" s="1">
        <f>'[355]Prof (MC)'!$B$4</f>
        <v>3.0660405274316695</v>
      </c>
      <c r="V356" s="1">
        <f>'[355]Prof (MC)'!$C$4</f>
        <v>3.1293633176591347</v>
      </c>
      <c r="W356" s="1">
        <f>'[355]Prof (MC)'!$W$78</f>
        <v>1.8920035195660192</v>
      </c>
      <c r="X356" s="1">
        <f>'[355]Prof (MC)'!$Z$78</f>
        <v>4.6392408944575694</v>
      </c>
    </row>
    <row r="357" spans="1:24" x14ac:dyDescent="0.2">
      <c r="A357" t="s">
        <v>373</v>
      </c>
      <c r="B357" t="s">
        <v>435</v>
      </c>
      <c r="C357">
        <v>1700</v>
      </c>
      <c r="E357" s="1">
        <f>[356]All!B$9</f>
        <v>2.7137254354858587</v>
      </c>
      <c r="F357" s="1">
        <f>[356]All!C$9</f>
        <v>1.9546462488120886</v>
      </c>
      <c r="G357" s="1">
        <f>[356]All!D$9</f>
        <v>2.0377620989864331</v>
      </c>
      <c r="H357" s="1">
        <f>[356]All!E$9</f>
        <v>1.943918926373615</v>
      </c>
      <c r="I357" s="1">
        <f>[356]All!F$9</f>
        <v>2.0658264804756916</v>
      </c>
      <c r="J357" s="1">
        <f>[356]All!G$9</f>
        <v>2.4661005715643376</v>
      </c>
      <c r="K357" s="1">
        <f>[356]All!H$9</f>
        <v>2.4246845903400116</v>
      </c>
      <c r="L357" s="1">
        <f>[356]All!I$9</f>
        <v>1.7501841422483699</v>
      </c>
      <c r="M357" s="1">
        <f>[356]All!J$9</f>
        <v>2.4273634942318685</v>
      </c>
      <c r="N357" s="1">
        <f>[356]All!K$9</f>
        <v>2.0513162978988482</v>
      </c>
      <c r="O357" s="1">
        <f>[356]All!L$9</f>
        <v>2.9874350039979718</v>
      </c>
      <c r="Q357" s="1">
        <f>[356]All!N$9</f>
        <v>2.2722340768754412</v>
      </c>
      <c r="R357" s="1">
        <f>[356]All!O$9</f>
        <v>2.2566330264013725</v>
      </c>
      <c r="S357" s="1">
        <f>[356]All!P$9</f>
        <v>2.0658264804756916</v>
      </c>
      <c r="U357" s="1">
        <f>'[356]Prof (MC)'!$B$4</f>
        <v>2.1944477900152832</v>
      </c>
      <c r="V357" s="1">
        <f>'[356]Prof (MC)'!$C$4</f>
        <v>2.1864261343784528</v>
      </c>
      <c r="W357" s="1">
        <f>'[356]Prof (MC)'!$W$74</f>
        <v>1.4580275449000524</v>
      </c>
      <c r="X357" s="1">
        <f>'[356]Prof (MC)'!$Z$74</f>
        <v>3.0704971365773366</v>
      </c>
    </row>
    <row r="358" spans="1:24" x14ac:dyDescent="0.2">
      <c r="A358" t="s">
        <v>374</v>
      </c>
      <c r="B358" t="s">
        <v>434</v>
      </c>
      <c r="C358">
        <v>1750</v>
      </c>
      <c r="E358" s="1">
        <f>[357]All!B$9</f>
        <v>5.6433657063031992</v>
      </c>
      <c r="F358" s="1">
        <f>[357]All!C$9</f>
        <v>7.4110390979155989</v>
      </c>
      <c r="G358" s="1">
        <f>[357]All!D$9</f>
        <v>7.1783133035489985</v>
      </c>
      <c r="H358" s="1">
        <f>[357]All!E$9</f>
        <v>6.1854517649437053</v>
      </c>
      <c r="I358" s="1">
        <f>[357]All!F$9</f>
        <v>7.3697904023124758</v>
      </c>
      <c r="J358" s="1">
        <f>[357]All!G$9</f>
        <v>4.7563263653542336</v>
      </c>
      <c r="K358" s="1">
        <f>[357]All!H$9</f>
        <v>6.0111291640949567</v>
      </c>
      <c r="L358" s="1">
        <f>[357]All!I$9</f>
        <v>7.4166985032000632</v>
      </c>
      <c r="M358" s="1">
        <f>[357]All!J$9</f>
        <v>5.8103855357406511</v>
      </c>
      <c r="N358" s="1">
        <f>[357]All!K$9</f>
        <v>6.1206218165270423</v>
      </c>
      <c r="O358" s="1">
        <f>[357]All!L$9</f>
        <v>10.562370504619631</v>
      </c>
      <c r="Q358" s="1">
        <f>[357]All!N$9</f>
        <v>6.5621365929695319</v>
      </c>
      <c r="R358" s="1">
        <f>[357]All!O$9</f>
        <v>6.7695901967782328</v>
      </c>
      <c r="S358" s="1">
        <f>[357]All!P$9</f>
        <v>6.1854517649437053</v>
      </c>
      <c r="U358" s="1">
        <f>'[357]Prof (MC)'!$B$4</f>
        <v>6.4767468860775352</v>
      </c>
      <c r="V358" s="1">
        <f>'[357]Prof (MC)'!$C$4</f>
        <v>6.560689228506658</v>
      </c>
      <c r="W358" s="1">
        <f>'[357]Prof (MC)'!$W$134</f>
        <v>3.9347981696231225</v>
      </c>
      <c r="X358" s="1">
        <f>'[357]Prof (MC)'!$Z$134</f>
        <v>9.9315068919691214</v>
      </c>
    </row>
    <row r="359" spans="1:24" x14ac:dyDescent="0.2">
      <c r="A359" t="s">
        <v>375</v>
      </c>
      <c r="B359" t="s">
        <v>434</v>
      </c>
      <c r="C359">
        <v>1750</v>
      </c>
      <c r="E359" s="1">
        <f>[358]All!B$9</f>
        <v>7.7822908102800072</v>
      </c>
      <c r="F359" s="1">
        <f>[358]All!C$9</f>
        <v>6.9623058597373033</v>
      </c>
      <c r="G359" s="1">
        <f>[358]All!D$9</f>
        <v>8.0733253495884387</v>
      </c>
      <c r="H359" s="1">
        <f>[358]All!E$9</f>
        <v>6.4767160453631858</v>
      </c>
      <c r="I359" s="1">
        <f>[358]All!F$9</f>
        <v>6.8123418730987089</v>
      </c>
      <c r="J359" s="1">
        <f>[358]All!G$9</f>
        <v>5.5022478374535764</v>
      </c>
      <c r="K359" s="1">
        <f>[358]All!H$9</f>
        <v>4.9743476319964834</v>
      </c>
      <c r="L359" s="1">
        <f>[358]All!I$9</f>
        <v>5.4595995201514276</v>
      </c>
      <c r="M359" s="1">
        <f>[358]All!J$9</f>
        <v>5.2222138455460589</v>
      </c>
      <c r="N359" s="1">
        <f>[358]All!K$9</f>
        <v>5.9879901962955255</v>
      </c>
      <c r="O359" s="1">
        <f>[358]All!L$9</f>
        <v>6.385909722334457</v>
      </c>
      <c r="Q359" s="1">
        <f>[358]All!N$9</f>
        <v>6.0819916219815369</v>
      </c>
      <c r="R359" s="1">
        <f>[358]All!O$9</f>
        <v>6.330844426531379</v>
      </c>
      <c r="S359" s="1">
        <f>[358]All!P$9</f>
        <v>6.385909722334457</v>
      </c>
      <c r="U359" s="1">
        <f>'[358]Prof (MC)'!$B$4</f>
        <v>6.0536639512878372</v>
      </c>
      <c r="V359" s="1">
        <f>'[358]Prof (MC)'!$C$4</f>
        <v>6.2254865137699111</v>
      </c>
      <c r="W359" s="1">
        <f>'[358]Prof (MC)'!$W$122</f>
        <v>4.6836955469343762</v>
      </c>
      <c r="X359" s="1">
        <f>'[358]Prof (MC)'!$Z$122</f>
        <v>8.6786186293696659</v>
      </c>
    </row>
    <row r="360" spans="1:24" x14ac:dyDescent="0.2">
      <c r="A360" t="s">
        <v>376</v>
      </c>
      <c r="B360" t="s">
        <v>435</v>
      </c>
      <c r="C360">
        <v>1750</v>
      </c>
      <c r="E360" s="1">
        <f>[359]All!B$9</f>
        <v>3.10494488117223</v>
      </c>
      <c r="F360" s="1">
        <f>[359]All!C$9</f>
        <v>4.1819050876849753</v>
      </c>
      <c r="G360" s="1">
        <f>[359]All!D$9</f>
        <v>3.4406705546813749</v>
      </c>
      <c r="H360" s="1">
        <f>[359]All!E$9</f>
        <v>4.1474894529918718</v>
      </c>
      <c r="I360" s="1">
        <f>[359]All!F$9</f>
        <v>2.8929545160825731</v>
      </c>
      <c r="J360" s="1">
        <f>[359]All!G$9</f>
        <v>4.1728897695634144</v>
      </c>
      <c r="K360" s="1">
        <f>[359]All!H$9</f>
        <v>3.2926311310685787</v>
      </c>
      <c r="L360" s="1">
        <f>[359]All!I$9</f>
        <v>3.949104887688466</v>
      </c>
      <c r="M360" s="1">
        <f>[359]All!J$9</f>
        <v>3.9209113528504873</v>
      </c>
      <c r="N360" s="1">
        <f>[359]All!K$9</f>
        <v>4.2077878525038876</v>
      </c>
      <c r="O360" s="1">
        <f>[359]All!L$9</f>
        <v>3.5645171653490042</v>
      </c>
      <c r="Q360" s="1">
        <f>[359]All!N$9</f>
        <v>3.7272025493475223</v>
      </c>
      <c r="R360" s="1">
        <f>[359]All!O$9</f>
        <v>3.7159824228760785</v>
      </c>
      <c r="S360" s="1">
        <f>[359]All!P$9</f>
        <v>3.9209113528504873</v>
      </c>
      <c r="U360" s="1">
        <f>'[359]Prof (MC)'!$B$4</f>
        <v>3.7202680611026473</v>
      </c>
      <c r="V360" s="1">
        <f>'[359]Prof (MC)'!$C$4</f>
        <v>3.6752999151774275</v>
      </c>
      <c r="W360" s="1">
        <f>'[359]Prof (MC)'!$W$102</f>
        <v>2.6161400182439047</v>
      </c>
      <c r="X360" s="1">
        <f>'[359]Prof (MC)'!$Z$102</f>
        <v>4.7312103548789652</v>
      </c>
    </row>
    <row r="361" spans="1:24" x14ac:dyDescent="0.2">
      <c r="A361" t="s">
        <v>377</v>
      </c>
      <c r="B361" t="s">
        <v>435</v>
      </c>
      <c r="C361">
        <v>1750</v>
      </c>
      <c r="E361" s="1">
        <f>[360]All!B$9</f>
        <v>2.1677747120910005</v>
      </c>
      <c r="F361" s="1">
        <f>[360]All!C$9</f>
        <v>3.0986489044273777</v>
      </c>
      <c r="G361" s="1">
        <f>[360]All!D$9</f>
        <v>2.4075136987901242</v>
      </c>
      <c r="H361" s="1">
        <f>[360]All!E$9</f>
        <v>2.6436084024836277</v>
      </c>
      <c r="I361" s="1">
        <f>[360]All!F$9</f>
        <v>2.319843850118819</v>
      </c>
      <c r="J361" s="1">
        <f>[360]All!G$9</f>
        <v>2.4383347556652337</v>
      </c>
      <c r="K361" s="1">
        <f>[360]All!H$9</f>
        <v>2.9608606412201555</v>
      </c>
      <c r="L361" s="1">
        <f>[360]All!I$9</f>
        <v>2.6381743083902376</v>
      </c>
      <c r="M361" s="1">
        <f>[360]All!J$9</f>
        <v>3.6951150715909398</v>
      </c>
      <c r="N361" s="1">
        <f>[360]All!K$9</f>
        <v>2.5724612996808776</v>
      </c>
      <c r="O361" s="1">
        <f>[360]All!L$9</f>
        <v>3.3725289007494195</v>
      </c>
      <c r="Q361" s="1">
        <f>[360]All!N$9</f>
        <v>2.7604543960358332</v>
      </c>
      <c r="R361" s="1">
        <f>[360]All!O$9</f>
        <v>2.7558967768370737</v>
      </c>
      <c r="S361" s="1">
        <f>[360]All!P$9</f>
        <v>2.6381743083902376</v>
      </c>
      <c r="U361" s="1">
        <f>'[360]Prof (MC)'!$B$4</f>
        <v>2.7101880155735794</v>
      </c>
      <c r="V361" s="1">
        <f>'[360]Prof (MC)'!$C$4</f>
        <v>2.7346751340300068</v>
      </c>
      <c r="W361" s="1">
        <f>'[360]Prof (MC)'!$W$92</f>
        <v>1.6965690597494787</v>
      </c>
      <c r="X361" s="1">
        <f>'[360]Prof (MC)'!$Z$92</f>
        <v>3.7450074116830945</v>
      </c>
    </row>
    <row r="362" spans="1:24" x14ac:dyDescent="0.2">
      <c r="A362" t="s">
        <v>378</v>
      </c>
      <c r="B362" t="s">
        <v>433</v>
      </c>
      <c r="C362">
        <v>1750</v>
      </c>
      <c r="E362" s="1">
        <f>[361]All!B$9</f>
        <v>1.1693580432742188</v>
      </c>
      <c r="F362" s="1">
        <f>[361]All!C$9</f>
        <v>1.0993326688802241</v>
      </c>
      <c r="G362" s="1">
        <f>[361]All!D$9</f>
        <v>1.215018757240379</v>
      </c>
      <c r="H362" s="1">
        <f>[361]All!E$9</f>
        <v>1.1467548688266753</v>
      </c>
      <c r="I362" s="1">
        <f>[361]All!F$9</f>
        <v>1.3344758735368518</v>
      </c>
      <c r="J362" s="1">
        <f>[361]All!G$9</f>
        <v>1.655868776037926</v>
      </c>
      <c r="K362" s="1">
        <f>[361]All!H$9</f>
        <v>1.4605459644383283</v>
      </c>
      <c r="L362" s="1">
        <f>[361]All!I$9</f>
        <v>1.3632321439664818</v>
      </c>
      <c r="M362" s="1">
        <f>[361]All!J$9</f>
        <v>1.0258841764878035</v>
      </c>
      <c r="N362" s="1">
        <f>[361]All!K$9</f>
        <v>1.2554841028086159</v>
      </c>
      <c r="O362" s="1">
        <f>[361]All!L$9</f>
        <v>1.1224477266658781</v>
      </c>
      <c r="Q362" s="1">
        <f>[361]All!N$9</f>
        <v>1.358726137395138</v>
      </c>
      <c r="R362" s="1">
        <f>[361]All!O$9</f>
        <v>1.2589457365603076</v>
      </c>
      <c r="S362" s="1">
        <f>[361]All!P$9</f>
        <v>1.215018757240379</v>
      </c>
      <c r="U362" s="1">
        <f>'[361]Prof (MC)'!$B$4</f>
        <v>1.1745997596128586</v>
      </c>
      <c r="V362" s="1">
        <f>'[361]Prof (MC)'!$C$4</f>
        <v>1.1999260671211924</v>
      </c>
      <c r="W362" s="1">
        <f>'[361]Prof (MC)'!$W$76</f>
        <v>0.37744904188922562</v>
      </c>
      <c r="X362" s="1">
        <f>'[361]Prof (MC)'!$Z$76</f>
        <v>2.1181870757822598</v>
      </c>
    </row>
    <row r="363" spans="1:24" x14ac:dyDescent="0.2">
      <c r="A363" t="s">
        <v>379</v>
      </c>
      <c r="B363" t="s">
        <v>434</v>
      </c>
      <c r="C363">
        <v>2100</v>
      </c>
      <c r="E363" s="1">
        <f>[362]All!B$9</f>
        <v>2.7676266581824738</v>
      </c>
      <c r="F363" s="1">
        <f>[362]All!C$9</f>
        <v>2.489641376268938</v>
      </c>
      <c r="G363" s="1">
        <f>[362]All!D$9</f>
        <v>2.5324382631245044</v>
      </c>
      <c r="H363" s="1">
        <f>[362]All!E$9</f>
        <v>3.2505645924796958</v>
      </c>
      <c r="I363" s="1">
        <f>[362]All!F$9</f>
        <v>3.8401007827444347</v>
      </c>
      <c r="J363" s="1">
        <f>[362]All!G$9</f>
        <v>2.8785662410090613</v>
      </c>
      <c r="K363" s="1">
        <f>[362]All!H$9</f>
        <v>2.8340435826916539</v>
      </c>
      <c r="L363" s="1">
        <f>[362]All!I$9</f>
        <v>3.319699364280754</v>
      </c>
      <c r="M363" s="1">
        <f>[362]All!J$9</f>
        <v>3.1281949175000379</v>
      </c>
      <c r="N363" s="1">
        <f>[362]All!K$9</f>
        <v>3.0148036658642838</v>
      </c>
      <c r="O363" s="1">
        <f>[362]All!L$9</f>
        <v>2.4637854767868483</v>
      </c>
      <c r="Q363" s="1">
        <f>[362]All!N$9</f>
        <v>2.9712714157605151</v>
      </c>
      <c r="R363" s="1">
        <f>[362]All!O$9</f>
        <v>2.9563149928120627</v>
      </c>
      <c r="S363" s="1">
        <f>[362]All!P$9</f>
        <v>2.8785662410090613</v>
      </c>
      <c r="U363" s="1">
        <f>'[362]Prof (MC)'!$B$4</f>
        <v>2.9038805283853391</v>
      </c>
      <c r="V363" s="1">
        <f>'[362]Prof (MC)'!$C$4</f>
        <v>2.9183947608379492</v>
      </c>
      <c r="W363" s="1">
        <f>'[362]Prof (MC)'!$W$90</f>
        <v>2.1551048340110595</v>
      </c>
      <c r="X363" s="1">
        <f>'[362]Prof (MC)'!$Z$90</f>
        <v>3.6459008564808046</v>
      </c>
    </row>
    <row r="364" spans="1:24" x14ac:dyDescent="0.2">
      <c r="A364" t="s">
        <v>380</v>
      </c>
      <c r="B364" t="s">
        <v>434</v>
      </c>
      <c r="C364">
        <v>2100</v>
      </c>
      <c r="E364" s="1">
        <f>[363]All!B$9</f>
        <v>3.5525438656368112E-2</v>
      </c>
      <c r="F364" s="1">
        <f>[363]All!C$9</f>
        <v>2.8884827855011541</v>
      </c>
      <c r="G364" s="1">
        <f>[363]All!D$9</f>
        <v>1.0975416670130329</v>
      </c>
      <c r="H364" s="1">
        <f>[363]All!E$9</f>
        <v>5.4047832098647461</v>
      </c>
      <c r="I364" s="1">
        <f>[363]All!F$9</f>
        <v>5.5835568281513295</v>
      </c>
      <c r="J364" s="1">
        <f>[363]All!G$9</f>
        <v>5.8986677973599742</v>
      </c>
      <c r="K364" s="1">
        <f>[363]All!H$9</f>
        <v>8.8454461249651981</v>
      </c>
      <c r="L364" s="1">
        <f>[363]All!I$9</f>
        <v>12.045932576716286</v>
      </c>
      <c r="M364" s="1">
        <f>[363]All!J$9</f>
        <v>0</v>
      </c>
      <c r="N364" s="1">
        <f>[363]All!K$9</f>
        <v>0</v>
      </c>
      <c r="O364" s="1">
        <f>[363]All!L$9</f>
        <v>11.309347797864984</v>
      </c>
      <c r="Q364" s="1">
        <f>[363]All!N$9</f>
        <v>7.0342173182555046</v>
      </c>
      <c r="R364" s="1">
        <f>[363]All!O$9</f>
        <v>5.9010315806770093</v>
      </c>
      <c r="S364" s="1">
        <f>[363]All!P$9</f>
        <v>5.5835568281513295</v>
      </c>
      <c r="U364" s="1">
        <f>'[363]Prof (MC)'!$B$4</f>
        <v>6.9101198814562945</v>
      </c>
      <c r="V364" s="1">
        <f>'[363]Prof (MC)'!$C$4</f>
        <v>6.9635889491913749</v>
      </c>
      <c r="W364" s="1">
        <f>'[363]Prof (MC)'!$W$134</f>
        <v>0.6642655363348825</v>
      </c>
      <c r="X364" s="1">
        <f>'[363]Prof (MC)'!$Z$134</f>
        <v>13.775343005002645</v>
      </c>
    </row>
    <row r="365" spans="1:24" x14ac:dyDescent="0.2">
      <c r="A365" t="s">
        <v>381</v>
      </c>
      <c r="B365" t="s">
        <v>435</v>
      </c>
      <c r="C365">
        <v>2100</v>
      </c>
      <c r="E365" s="1">
        <f>[364]All!B$9</f>
        <v>3.3168717165106809</v>
      </c>
      <c r="F365" s="1">
        <f>[364]All!C$9</f>
        <v>2.3780327185049543</v>
      </c>
      <c r="G365" s="1">
        <f>[364]All!D$9</f>
        <v>3.4916732960747101</v>
      </c>
      <c r="H365" s="1">
        <f>[364]All!E$9</f>
        <v>2.990895218823642</v>
      </c>
      <c r="I365" s="1">
        <f>[364]All!F$9</f>
        <v>2.7116857924776876</v>
      </c>
      <c r="J365" s="1">
        <f>[364]All!G$9</f>
        <v>2.6209831116319378</v>
      </c>
      <c r="K365" s="1">
        <f>[364]All!H$9</f>
        <v>2.3643729045409625</v>
      </c>
      <c r="L365" s="1">
        <f>[364]All!I$9</f>
        <v>2.6206625040929934</v>
      </c>
      <c r="M365" s="1">
        <f>[364]All!J$9</f>
        <v>2.2906653666002277</v>
      </c>
      <c r="N365" s="1">
        <f>[364]All!K$9</f>
        <v>3.0058194327771046</v>
      </c>
      <c r="O365" s="1">
        <f>[364]All!L$9</f>
        <v>2.8372663730718477</v>
      </c>
      <c r="Q365" s="1">
        <f>[364]All!N$9</f>
        <v>2.7947488515533481</v>
      </c>
      <c r="R365" s="1">
        <f>[364]All!O$9</f>
        <v>2.784448039555159</v>
      </c>
      <c r="S365" s="1">
        <f>[364]All!P$9</f>
        <v>2.7116857924776876</v>
      </c>
      <c r="U365" s="1">
        <f>'[364]Prof (MC)'!$B$4</f>
        <v>2.808618810541637</v>
      </c>
      <c r="V365" s="1">
        <f>'[364]Prof (MC)'!$C$4</f>
        <v>2.8295146578745323</v>
      </c>
      <c r="W365" s="1">
        <f>'[364]Prof (MC)'!$W$100</f>
        <v>1.9611350422399851</v>
      </c>
      <c r="X365" s="1">
        <f>'[364]Prof (MC)'!$Z$100</f>
        <v>3.9009944125352249</v>
      </c>
    </row>
    <row r="366" spans="1:24" x14ac:dyDescent="0.2">
      <c r="A366" t="s">
        <v>382</v>
      </c>
      <c r="B366" t="s">
        <v>435</v>
      </c>
      <c r="C366">
        <v>2100</v>
      </c>
      <c r="E366" s="1">
        <f>[365]All!B$9</f>
        <v>1.3358034345611163</v>
      </c>
      <c r="F366" s="1">
        <f>[365]All!C$9</f>
        <v>1.7146645951543908</v>
      </c>
      <c r="G366" s="1">
        <f>[365]All!D$9</f>
        <v>1.2406163441935805</v>
      </c>
      <c r="H366" s="1">
        <f>[365]All!E$9</f>
        <v>1.7150322352460976</v>
      </c>
      <c r="I366" s="1">
        <f>[365]All!F$9</f>
        <v>2.1522527009404193</v>
      </c>
      <c r="J366" s="1">
        <f>[365]All!G$9</f>
        <v>2.1505837358176501</v>
      </c>
      <c r="K366" s="1">
        <f>[365]All!H$9</f>
        <v>2.7183890271001889</v>
      </c>
      <c r="L366" s="1">
        <f>[365]All!I$9</f>
        <v>2.940705625602428</v>
      </c>
      <c r="M366" s="1">
        <f>[365]All!J$9</f>
        <v>3.3327907420172371</v>
      </c>
      <c r="N366" s="1">
        <f>[365]All!K$9</f>
        <v>2.3239103298978416</v>
      </c>
      <c r="O366" s="1">
        <f>[365]All!L$9</f>
        <v>2.954988988007885</v>
      </c>
      <c r="Q366" s="1">
        <f>[365]All!N$9</f>
        <v>2.3246768398546362</v>
      </c>
      <c r="R366" s="1">
        <f>[365]All!O$9</f>
        <v>2.2345216144126212</v>
      </c>
      <c r="S366" s="1">
        <f>[365]All!P$9</f>
        <v>2.1522527009404193</v>
      </c>
      <c r="U366" s="1">
        <f>'[365]Prof (MC)'!$B$4</f>
        <v>2.3589769376241296</v>
      </c>
      <c r="V366" s="1">
        <f>'[365]Prof (MC)'!$C$4</f>
        <v>2.5882926347380852</v>
      </c>
      <c r="W366" s="1">
        <f>'[365]Prof (MC)'!$W$90</f>
        <v>1.0928692058644576</v>
      </c>
      <c r="X366" s="1">
        <f>'[365]Prof (MC)'!$Z$90</f>
        <v>4.9780826351980236</v>
      </c>
    </row>
    <row r="367" spans="1:24" x14ac:dyDescent="0.2">
      <c r="A367" t="s">
        <v>383</v>
      </c>
      <c r="B367" t="s">
        <v>434</v>
      </c>
      <c r="C367">
        <v>1900</v>
      </c>
      <c r="E367" s="1">
        <f>[366]All!B$9</f>
        <v>4.0698046029671318</v>
      </c>
      <c r="F367" s="1">
        <f>[366]All!C$9</f>
        <v>3.7970274047715384</v>
      </c>
      <c r="G367" s="1">
        <f>[366]All!D$9</f>
        <v>3.167185569338395</v>
      </c>
      <c r="H367" s="1">
        <f>[366]All!E$9</f>
        <v>2.4226864833205246</v>
      </c>
      <c r="I367" s="1">
        <f>[366]All!F$9</f>
        <v>3.3247649165480917</v>
      </c>
      <c r="J367" s="1">
        <f>[366]All!G$9</f>
        <v>2.7536237147542839</v>
      </c>
      <c r="K367" s="1">
        <f>[366]All!H$9</f>
        <v>2.4099649953243794</v>
      </c>
      <c r="L367" s="1">
        <f>[366]All!I$9</f>
        <v>4.7157838441495761</v>
      </c>
      <c r="M367" s="1">
        <f>[366]All!J$9</f>
        <v>3.6301420867203706</v>
      </c>
      <c r="N367" s="1">
        <f>[366]All!K$9</f>
        <v>4.2338569741834418</v>
      </c>
      <c r="O367" s="1">
        <f>[366]All!L$9</f>
        <v>2.7545345626118443</v>
      </c>
      <c r="Q367" s="1">
        <f>[366]All!N$9</f>
        <v>3.5186242465450461</v>
      </c>
      <c r="R367" s="1">
        <f>[366]All!O$9</f>
        <v>3.3890341049717794</v>
      </c>
      <c r="S367" s="1">
        <f>[366]All!P$9</f>
        <v>3.3247649165480917</v>
      </c>
      <c r="U367" s="1">
        <f>'[366]Prof (MC)'!$B$4</f>
        <v>3.4541327552465777</v>
      </c>
      <c r="V367" s="1">
        <f>'[366]Prof (MC)'!$C$4</f>
        <v>3.4504051115561669</v>
      </c>
      <c r="W367" s="1">
        <f>'[366]Prof (MC)'!$W$94</f>
        <v>1.3742782764224566</v>
      </c>
      <c r="X367" s="1">
        <f>'[366]Prof (MC)'!$Z$94</f>
        <v>5.1834749844602763</v>
      </c>
    </row>
    <row r="368" spans="1:24" x14ac:dyDescent="0.2">
      <c r="A368" t="s">
        <v>384</v>
      </c>
      <c r="B368" t="s">
        <v>434</v>
      </c>
      <c r="C368">
        <v>1900</v>
      </c>
      <c r="E368" s="1">
        <f>[367]All!B$9</f>
        <v>0</v>
      </c>
      <c r="F368" s="1">
        <f>[367]All!C$9</f>
        <v>3.1057469214492475</v>
      </c>
      <c r="G368" s="1">
        <f>[367]All!D$9</f>
        <v>4.0506645405085244</v>
      </c>
      <c r="H368" s="1">
        <f>[367]All!E$9</f>
        <v>4.2154495952423634</v>
      </c>
      <c r="I368" s="1">
        <f>[367]All!F$9</f>
        <v>3.3561230028764224</v>
      </c>
      <c r="J368" s="1">
        <f>[367]All!G$9</f>
        <v>4.5096053799963549</v>
      </c>
      <c r="K368" s="1">
        <f>[367]All!H$9</f>
        <v>2.6053433842620128</v>
      </c>
      <c r="L368" s="1">
        <f>[367]All!I$9</f>
        <v>3.9987146849416599</v>
      </c>
      <c r="M368" s="1">
        <f>[367]All!J$9</f>
        <v>3.5592562907198082</v>
      </c>
      <c r="N368" s="1">
        <f>[367]All!K$9</f>
        <v>5.1654333111101431</v>
      </c>
      <c r="O368" s="1">
        <f>[367]All!L$9</f>
        <v>2.069989576108652</v>
      </c>
      <c r="Q368" s="1">
        <f>[367]All!N$9</f>
        <v>3.6433087333495093</v>
      </c>
      <c r="R368" s="1">
        <f>[367]All!O$9</f>
        <v>3.6636326687215197</v>
      </c>
      <c r="S368" s="1">
        <f>[367]All!P$9</f>
        <v>3.7789854878307341</v>
      </c>
      <c r="U368" s="1">
        <f>'[367]Prof (MC)'!$B$4</f>
        <v>3.6246159451279198</v>
      </c>
      <c r="V368" s="1">
        <f>'[367]Prof (MC)'!$C$4</f>
        <v>3.7404021508193237</v>
      </c>
      <c r="W368" s="1">
        <f>'[367]Prof (MC)'!$W$102</f>
        <v>1.6919100620901153</v>
      </c>
      <c r="X368" s="1">
        <f>'[367]Prof (MC)'!$Z$102</f>
        <v>6.8875909471605548</v>
      </c>
    </row>
    <row r="369" spans="1:24" x14ac:dyDescent="0.2">
      <c r="A369" t="s">
        <v>385</v>
      </c>
      <c r="B369" t="s">
        <v>435</v>
      </c>
      <c r="C369">
        <v>1900</v>
      </c>
      <c r="E369" s="1">
        <f>[368]All!B$9</f>
        <v>2.3492885936134509</v>
      </c>
      <c r="F369" s="1">
        <f>[368]All!C$9</f>
        <v>1.2520103419094037</v>
      </c>
      <c r="G369" s="1">
        <f>[368]All!D$9</f>
        <v>1.7815242525381032</v>
      </c>
      <c r="H369" s="1">
        <f>[368]All!E$9</f>
        <v>2.0110300164061132</v>
      </c>
      <c r="I369" s="1">
        <f>[368]All!F$9</f>
        <v>1.8962838181082478</v>
      </c>
      <c r="J369" s="1">
        <f>[368]All!G$9</f>
        <v>1.5567241253231794</v>
      </c>
      <c r="K369" s="1">
        <f>[368]All!H$9</f>
        <v>1.7409310209944968</v>
      </c>
      <c r="L369" s="1">
        <f>[368]All!I$9</f>
        <v>1.7412562747072946</v>
      </c>
      <c r="M369" s="1">
        <f>[368]All!J$9</f>
        <v>1.7150794279929724</v>
      </c>
      <c r="N369" s="1">
        <f>[368]All!K$9</f>
        <v>1.9899642645827849</v>
      </c>
      <c r="O369" s="1">
        <f>[368]All!L$9</f>
        <v>2.4254860229322683</v>
      </c>
      <c r="Q369" s="1">
        <f>[368]All!N$9</f>
        <v>1.9062867990738059</v>
      </c>
      <c r="R369" s="1">
        <f>[368]All!O$9</f>
        <v>1.8599616508280286</v>
      </c>
      <c r="S369" s="1">
        <f>[368]All!P$9</f>
        <v>1.7815242525381032</v>
      </c>
      <c r="U369" s="1">
        <f>'[368]Prof (MC)'!$B$4</f>
        <v>1.879567322609843</v>
      </c>
      <c r="V369" s="1">
        <f>'[368]Prof (MC)'!$C$4</f>
        <v>1.8445212762685341</v>
      </c>
      <c r="W369" s="1">
        <f>'[368]Prof (MC)'!$W$88</f>
        <v>0.85844216728477185</v>
      </c>
      <c r="X369" s="1">
        <f>'[368]Prof (MC)'!$Z$88</f>
        <v>2.6365550793521062</v>
      </c>
    </row>
    <row r="370" spans="1:24" x14ac:dyDescent="0.2">
      <c r="A370" t="s">
        <v>386</v>
      </c>
      <c r="B370" t="s">
        <v>435</v>
      </c>
      <c r="C370">
        <v>1900</v>
      </c>
      <c r="E370" s="1">
        <f>[369]All!B$9</f>
        <v>2.465244370872719</v>
      </c>
      <c r="F370" s="1">
        <f>[369]All!C$9</f>
        <v>2.2349388161482544</v>
      </c>
      <c r="G370" s="1">
        <f>[369]All!D$9</f>
        <v>2.0768599254104814</v>
      </c>
      <c r="H370" s="1">
        <f>[369]All!E$9</f>
        <v>0</v>
      </c>
      <c r="I370" s="1">
        <f>[369]All!F$9</f>
        <v>2.5021846706386599</v>
      </c>
      <c r="J370" s="1">
        <f>[369]All!G$9</f>
        <v>2.0790357250120253</v>
      </c>
      <c r="K370" s="1">
        <f>[369]All!H$9</f>
        <v>2.3774759011088866</v>
      </c>
      <c r="L370" s="1">
        <f>[369]All!I$9</f>
        <v>2.4214555419831476</v>
      </c>
      <c r="M370" s="1">
        <f>[369]All!J$9</f>
        <v>1.2808968867356474</v>
      </c>
      <c r="N370" s="1">
        <f>[369]All!K$9</f>
        <v>2.3279887451632431</v>
      </c>
      <c r="O370" s="1">
        <f>[369]All!L$9</f>
        <v>1.7340624311430874</v>
      </c>
      <c r="Q370" s="1">
        <f>[369]All!N$9</f>
        <v>2.208509530094382</v>
      </c>
      <c r="R370" s="1">
        <f>[369]All!O$9</f>
        <v>2.1500143014216149</v>
      </c>
      <c r="S370" s="1">
        <f>[369]All!P$9</f>
        <v>2.2814637806557485</v>
      </c>
      <c r="U370" s="1">
        <f>'[369]Prof (MC)'!$B$4</f>
        <v>2.1881285597719105</v>
      </c>
      <c r="V370" s="1">
        <f>'[369]Prof (MC)'!$C$4</f>
        <v>2.2150224156789227</v>
      </c>
      <c r="W370" s="1">
        <f>'[369]Prof (MC)'!$W$82</f>
        <v>0.85524107141847128</v>
      </c>
      <c r="X370" s="1">
        <f>'[369]Prof (MC)'!$Z$82</f>
        <v>3.929345110611421</v>
      </c>
    </row>
    <row r="371" spans="1:24" x14ac:dyDescent="0.2">
      <c r="A371" t="s">
        <v>387</v>
      </c>
      <c r="B371" t="s">
        <v>434</v>
      </c>
      <c r="C371">
        <v>1600</v>
      </c>
      <c r="E371" s="1">
        <f>[370]All!B$9</f>
        <v>0.25601066430494934</v>
      </c>
      <c r="F371" s="1">
        <f>[370]All!C$9</f>
        <v>0.23634318993810241</v>
      </c>
      <c r="G371" s="1">
        <f>[370]All!D$9</f>
        <v>4.0578682541496408E-2</v>
      </c>
      <c r="H371" s="1">
        <f>[370]All!E$9</f>
        <v>0.21883470320620241</v>
      </c>
      <c r="I371" s="1">
        <f>[370]All!F$9</f>
        <v>1.5664996838824983</v>
      </c>
      <c r="J371" s="1">
        <f>[370]All!G$9</f>
        <v>0.22868842055025956</v>
      </c>
      <c r="K371" s="1">
        <f>[370]All!H$9</f>
        <v>0.39105781919588301</v>
      </c>
      <c r="L371" s="1">
        <f>[370]All!I$9</f>
        <v>1.5376934837518943</v>
      </c>
      <c r="M371" s="1">
        <f>[370]All!J$9</f>
        <v>3.017644836807484</v>
      </c>
      <c r="N371" s="1">
        <f>[370]All!K$9</f>
        <v>0.38916812634340647</v>
      </c>
      <c r="O371" s="1">
        <f>[370]All!L$9</f>
        <v>2.8362410902794957</v>
      </c>
      <c r="Q371" s="1">
        <f>[370]All!N$9</f>
        <v>2.220348403145139</v>
      </c>
      <c r="R371" s="1">
        <f>[370]All!O$9</f>
        <v>0.97443279098197022</v>
      </c>
      <c r="S371" s="1">
        <f>[370]All!P$9</f>
        <v>0.38916812634340647</v>
      </c>
      <c r="U371" s="1">
        <f>'[370]Prof (MC)'!$B$4</f>
        <v>1.4926226129052709</v>
      </c>
      <c r="V371" s="1">
        <f>'[370]Prof (MC)'!$C$4</f>
        <v>3.145445089359979</v>
      </c>
      <c r="W371" s="1">
        <f>'[370]Prof (MC)'!$W$76</f>
        <v>1.0941768330096017E-6</v>
      </c>
      <c r="X371" s="1">
        <f>'[370]Prof (MC)'!$Z$76</f>
        <v>28.111614392205684</v>
      </c>
    </row>
    <row r="372" spans="1:24" x14ac:dyDescent="0.2">
      <c r="A372" t="s">
        <v>388</v>
      </c>
      <c r="B372" t="s">
        <v>434</v>
      </c>
      <c r="C372">
        <v>1600</v>
      </c>
      <c r="E372" s="1">
        <f>[371]All!B$9</f>
        <v>4.4690672434637069</v>
      </c>
      <c r="F372" s="1">
        <f>[371]All!C$9</f>
        <v>3.4755936117525628</v>
      </c>
      <c r="G372" s="1">
        <f>[371]All!D$9</f>
        <v>3.6376812458018839</v>
      </c>
      <c r="H372" s="1">
        <f>[371]All!E$9</f>
        <v>3.6310950192392135</v>
      </c>
      <c r="I372" s="1">
        <f>[371]All!F$9</f>
        <v>2.8962302959824568</v>
      </c>
      <c r="J372" s="1">
        <f>[371]All!G$9</f>
        <v>3.1215441058042455</v>
      </c>
      <c r="K372" s="1">
        <f>[371]All!H$9</f>
        <v>2.6732845232081761</v>
      </c>
      <c r="L372" s="1">
        <f>[371]All!I$9</f>
        <v>3.2440962001216316</v>
      </c>
      <c r="M372" s="1">
        <f>[371]All!J$9</f>
        <v>2.6407791437654509</v>
      </c>
      <c r="N372" s="1">
        <f>[371]All!K$9</f>
        <v>4.3825880235487862</v>
      </c>
      <c r="O372" s="1">
        <f>[371]All!L$9</f>
        <v>4.3769168444219257</v>
      </c>
      <c r="Q372" s="1">
        <f>[371]All!N$9</f>
        <v>3.4962468184437299</v>
      </c>
      <c r="R372" s="1">
        <f>[371]All!O$9</f>
        <v>3.5044432961009124</v>
      </c>
      <c r="S372" s="1">
        <f>[371]All!P$9</f>
        <v>3.4755936117525628</v>
      </c>
      <c r="U372" s="1">
        <f>'[371]Prof (MC)'!$B$4</f>
        <v>3.463541193774053</v>
      </c>
      <c r="V372" s="1">
        <f>'[371]Prof (MC)'!$C$4</f>
        <v>3.5172067222677454</v>
      </c>
      <c r="W372" s="1">
        <f>'[371]Prof (MC)'!$W$88</f>
        <v>1.4729890063485782</v>
      </c>
      <c r="X372" s="1">
        <f>'[371]Prof (MC)'!$Z$88</f>
        <v>5.9456838253855278</v>
      </c>
    </row>
    <row r="373" spans="1:24" x14ac:dyDescent="0.2">
      <c r="A373" t="s">
        <v>389</v>
      </c>
      <c r="B373" t="s">
        <v>435</v>
      </c>
      <c r="C373">
        <v>1600</v>
      </c>
      <c r="E373" s="1">
        <f>[372]All!B$9</f>
        <v>3.8612811981293609</v>
      </c>
      <c r="F373" s="1">
        <f>[372]All!C$9</f>
        <v>3.1025872767489249</v>
      </c>
      <c r="G373" s="1">
        <f>[372]All!D$9</f>
        <v>3.1578572270905996</v>
      </c>
      <c r="H373" s="1">
        <f>[372]All!E$9</f>
        <v>1.7932289650113844</v>
      </c>
      <c r="I373" s="1">
        <f>[372]All!F$9</f>
        <v>2.5746251049580464</v>
      </c>
      <c r="J373" s="1">
        <f>[372]All!G$9</f>
        <v>2.3770834285248053</v>
      </c>
      <c r="K373" s="1">
        <f>[372]All!H$9</f>
        <v>3.2749091293881354</v>
      </c>
      <c r="L373" s="1">
        <f>[372]All!I$9</f>
        <v>3.1121871083614723</v>
      </c>
      <c r="M373" s="1">
        <f>[372]All!J$9</f>
        <v>3.0233126945397131</v>
      </c>
      <c r="N373" s="1">
        <f>[372]All!K$9</f>
        <v>4.1023222431386079</v>
      </c>
      <c r="O373" s="1">
        <f>[372]All!L$9</f>
        <v>3.0895908393922622</v>
      </c>
      <c r="Q373" s="1">
        <f>[372]All!N$9</f>
        <v>3.2303690985320777</v>
      </c>
      <c r="R373" s="1">
        <f>[372]All!O$9</f>
        <v>3.0426350195712102</v>
      </c>
      <c r="S373" s="1">
        <f>[372]All!P$9</f>
        <v>3.1025872767489249</v>
      </c>
      <c r="U373" s="1">
        <f>'[372]Prof (MC)'!$B$4</f>
        <v>3.1999157218233107</v>
      </c>
      <c r="V373" s="1">
        <f>'[372]Prof (MC)'!$C$4</f>
        <v>3.1858939445430399</v>
      </c>
      <c r="W373" s="1">
        <f>'[372]Prof (MC)'!$W$80</f>
        <v>0.83033475767493015</v>
      </c>
      <c r="X373" s="1">
        <f>'[372]Prof (MC)'!$Z$80</f>
        <v>5.1245044416771792</v>
      </c>
    </row>
    <row r="374" spans="1:24" x14ac:dyDescent="0.2">
      <c r="A374" t="s">
        <v>390</v>
      </c>
      <c r="B374" t="s">
        <v>435</v>
      </c>
      <c r="C374">
        <v>1600</v>
      </c>
      <c r="E374" s="1">
        <f>[373]All!B$9</f>
        <v>3.5783411175071302</v>
      </c>
      <c r="F374" s="1">
        <f>[373]All!C$9</f>
        <v>3.5871694414039617</v>
      </c>
      <c r="G374" s="1">
        <f>[373]All!D$9</f>
        <v>3.9474073973266735</v>
      </c>
      <c r="H374" s="1">
        <f>[373]All!E$9</f>
        <v>4.1219659447582604</v>
      </c>
      <c r="I374" s="1">
        <f>[373]All!F$9</f>
        <v>3.9711047397907286</v>
      </c>
      <c r="J374" s="1">
        <f>[373]All!G$9</f>
        <v>3.5608915367686786</v>
      </c>
      <c r="K374" s="1">
        <f>[373]All!H$9</f>
        <v>4.5906269656760212</v>
      </c>
      <c r="L374" s="1">
        <f>[373]All!I$9</f>
        <v>4.2601772709284367</v>
      </c>
      <c r="M374" s="1">
        <f>[373]All!J$9</f>
        <v>3.0548343127772761</v>
      </c>
      <c r="N374" s="1">
        <f>[373]All!K$9</f>
        <v>2.9166182576462134</v>
      </c>
      <c r="O374" s="1">
        <f>[373]All!L$9</f>
        <v>3.4100160751750379</v>
      </c>
      <c r="Q374" s="1">
        <f>[373]All!N$9</f>
        <v>3.6807750746647465</v>
      </c>
      <c r="R374" s="1">
        <f>[373]All!O$9</f>
        <v>3.7271957327053111</v>
      </c>
      <c r="S374" s="1">
        <f>[373]All!P$9</f>
        <v>3.5871694414039617</v>
      </c>
      <c r="U374" s="1">
        <f>'[373]Prof (MC)'!$B$4</f>
        <v>3.6128493931548435</v>
      </c>
      <c r="V374" s="1">
        <f>'[373]Prof (MC)'!$C$4</f>
        <v>3.6124725444871215</v>
      </c>
      <c r="W374" s="1">
        <f>'[373]Prof (MC)'!$W$112</f>
        <v>2.6380616015365717</v>
      </c>
      <c r="X374" s="1">
        <f>'[373]Prof (MC)'!$Z$112</f>
        <v>4.6111329601292415</v>
      </c>
    </row>
    <row r="375" spans="1:24" x14ac:dyDescent="0.2">
      <c r="A375" t="s">
        <v>391</v>
      </c>
      <c r="B375" t="s">
        <v>435</v>
      </c>
      <c r="C375">
        <v>1600</v>
      </c>
      <c r="E375" s="1">
        <f>[374]All!B$9</f>
        <v>0.99031714451852071</v>
      </c>
      <c r="F375" s="1">
        <f>[374]All!C$9</f>
        <v>2.4864236158491595</v>
      </c>
      <c r="G375" s="1">
        <f>[374]All!D$9</f>
        <v>3.0414283387573007</v>
      </c>
      <c r="H375" s="1">
        <f>[374]All!E$9</f>
        <v>3.3147287977042734</v>
      </c>
      <c r="I375" s="1">
        <f>[374]All!F$9</f>
        <v>2.3964153306812133</v>
      </c>
      <c r="J375" s="1">
        <f>[374]All!G$9</f>
        <v>1.2708914435363754</v>
      </c>
      <c r="K375" s="1">
        <f>[374]All!H$9</f>
        <v>1.8667697273029258</v>
      </c>
      <c r="L375" s="1">
        <f>[374]All!I$9</f>
        <v>2.2147937774475284</v>
      </c>
      <c r="M375" s="1">
        <f>[374]All!J$9</f>
        <v>2.1704683451872389</v>
      </c>
      <c r="N375" s="1">
        <f>[374]All!K$9</f>
        <v>3.4635197924422827</v>
      </c>
      <c r="O375" s="1">
        <f>[374]All!L$9</f>
        <v>3.7332636598197211</v>
      </c>
      <c r="Q375" s="1">
        <f>[374]All!N$9</f>
        <v>2.468520101971639</v>
      </c>
      <c r="R375" s="1">
        <f>[374]All!O$9</f>
        <v>2.4499109066587761</v>
      </c>
      <c r="S375" s="1">
        <f>[374]All!P$9</f>
        <v>2.3964153306812133</v>
      </c>
      <c r="U375" s="1">
        <f>'[374]Prof (MC)'!$B$4</f>
        <v>2.4459357327345654</v>
      </c>
      <c r="V375" s="1">
        <f>'[374]Prof (MC)'!$C$4</f>
        <v>2.8157285297986738</v>
      </c>
      <c r="W375" s="1">
        <f>'[374]Prof (MC)'!$W$90</f>
        <v>0.94308186813565542</v>
      </c>
      <c r="X375" s="1">
        <f>'[374]Prof (MC)'!$Z$90</f>
        <v>6.6431570426049431</v>
      </c>
    </row>
    <row r="376" spans="1:24" x14ac:dyDescent="0.2">
      <c r="A376" t="s">
        <v>392</v>
      </c>
      <c r="B376" t="s">
        <v>435</v>
      </c>
      <c r="C376">
        <v>1600</v>
      </c>
      <c r="E376" s="1">
        <f>[375]All!B$9</f>
        <v>0.93380676132667484</v>
      </c>
      <c r="F376" s="1">
        <f>[375]All!C$9</f>
        <v>1.6522141662289151</v>
      </c>
      <c r="G376" s="1">
        <f>[375]All!D$9</f>
        <v>1.3223972142222704</v>
      </c>
      <c r="H376" s="1">
        <f>[375]All!E$9</f>
        <v>2.0793183645756406</v>
      </c>
      <c r="I376" s="1">
        <f>[375]All!F$9</f>
        <v>1.4142819461302876</v>
      </c>
      <c r="J376" s="1">
        <f>[375]All!G$9</f>
        <v>1.9009414454243216</v>
      </c>
      <c r="K376" s="1">
        <f>[375]All!H$9</f>
        <v>2.2023882144238169</v>
      </c>
      <c r="L376" s="1">
        <f>[375]All!I$9</f>
        <v>1.4118055287144784</v>
      </c>
      <c r="M376" s="1">
        <f>[375]All!J$9</f>
        <v>1.539655712076089</v>
      </c>
      <c r="N376" s="1">
        <f>[375]All!K$9</f>
        <v>1.6090457370685949</v>
      </c>
      <c r="O376" s="1">
        <f>[375]All!L$9</f>
        <v>1.2403998667486955</v>
      </c>
      <c r="Q376" s="1">
        <f>[375]All!N$9</f>
        <v>1.7226611570481878</v>
      </c>
      <c r="R376" s="1">
        <f>[375]All!O$9</f>
        <v>1.5732959051763442</v>
      </c>
      <c r="S376" s="1">
        <f>[375]All!P$9</f>
        <v>1.539655712076089</v>
      </c>
      <c r="U376" s="1">
        <f>'[375]Prof (MC)'!$B$4</f>
        <v>1.3524104742210277</v>
      </c>
      <c r="V376" s="1">
        <f>'[375]Prof (MC)'!$C$4</f>
        <v>1.315495192953464</v>
      </c>
      <c r="W376" s="1">
        <f>'[375]Prof (MC)'!$W$70</f>
        <v>0.21559764774072054</v>
      </c>
      <c r="X376" s="1">
        <f>'[375]Prof (MC)'!$Z$70</f>
        <v>2.6093705334001664</v>
      </c>
    </row>
    <row r="377" spans="1:24" x14ac:dyDescent="0.2">
      <c r="A377" t="s">
        <v>393</v>
      </c>
      <c r="B377" t="s">
        <v>435</v>
      </c>
      <c r="C377">
        <v>1600</v>
      </c>
      <c r="E377" s="1">
        <f>[376]All!B$9</f>
        <v>0.35756615699693828</v>
      </c>
      <c r="F377" s="1">
        <f>[376]All!C$9</f>
        <v>2.9581066217856927E-3</v>
      </c>
      <c r="G377" s="1">
        <f>[376]All!D$9</f>
        <v>6.2642686000000003E-2</v>
      </c>
      <c r="H377" s="1">
        <f>[376]All!E$9</f>
        <v>0.94725290443081789</v>
      </c>
      <c r="I377" s="1">
        <f>[376]All!F$9</f>
        <v>1.4150391999999999E-2</v>
      </c>
      <c r="J377" s="1">
        <f>[376]All!G$9</f>
        <v>1.0207767750245644</v>
      </c>
      <c r="K377" s="1">
        <f>[376]All!H$9</f>
        <v>1.6269126030449756</v>
      </c>
      <c r="L377" s="1">
        <f>[376]All!I$9</f>
        <v>1.7377176331014259</v>
      </c>
      <c r="M377" s="1">
        <f>[376]All!J$9</f>
        <v>0.85449732117656352</v>
      </c>
      <c r="N377" s="1">
        <f>[376]All!K$9</f>
        <v>0.43342633605611569</v>
      </c>
      <c r="O377" s="1">
        <f>[376]All!L$9</f>
        <v>0.70337921764038691</v>
      </c>
      <c r="Q377" s="1">
        <f>[376]All!N$9</f>
        <v>0.71754413280703722</v>
      </c>
      <c r="R377" s="1">
        <f>[376]All!O$9</f>
        <v>0.70557092109941577</v>
      </c>
      <c r="S377" s="1">
        <f>[376]All!P$9</f>
        <v>0.70337921764038691</v>
      </c>
      <c r="U377" s="1">
        <f>'[376]Prof (MC)'!$B$4</f>
        <v>0.42646236665132298</v>
      </c>
      <c r="V377" s="1">
        <f>'[376]Prof (MC)'!$C$4</f>
        <v>0.73624705406918944</v>
      </c>
      <c r="W377" s="1">
        <f>'[376]Prof (MC)'!$W$70</f>
        <v>7.1095791561646424E-3</v>
      </c>
      <c r="X377" s="1">
        <f>'[376]Prof (MC)'!$Z$70</f>
        <v>2.0335998419983579</v>
      </c>
    </row>
    <row r="378" spans="1:24" x14ac:dyDescent="0.2">
      <c r="A378" t="s">
        <v>394</v>
      </c>
      <c r="B378" t="s">
        <v>434</v>
      </c>
      <c r="C378">
        <v>1750</v>
      </c>
      <c r="E378" s="1">
        <f>[377]All!B$9</f>
        <v>2.1700861451924816</v>
      </c>
      <c r="F378" s="1">
        <f>[377]All!C$9</f>
        <v>4.0096450156486565</v>
      </c>
      <c r="G378" s="1">
        <f>[377]All!D$9</f>
        <v>5.2881704947937047</v>
      </c>
      <c r="H378" s="1">
        <f>[377]All!E$9</f>
        <v>2.9793418293268732</v>
      </c>
      <c r="I378" s="1">
        <f>[377]All!F$9</f>
        <v>2.4604569326862848</v>
      </c>
      <c r="J378" s="1">
        <f>[377]All!G$9</f>
        <v>2.1541861586446758</v>
      </c>
      <c r="K378" s="1">
        <f>[377]All!H$9</f>
        <v>1.9183537739393699</v>
      </c>
      <c r="L378" s="1">
        <f>[377]All!I$9</f>
        <v>3.1809028029746655</v>
      </c>
      <c r="M378" s="1">
        <f>[377]All!J$9</f>
        <v>4.1735972779948618</v>
      </c>
      <c r="N378" s="1">
        <f>[377]All!K$9</f>
        <v>3.2201802966092163</v>
      </c>
      <c r="O378" s="1">
        <f>[377]All!L$9</f>
        <v>2.8351140519807174</v>
      </c>
      <c r="Q378" s="1">
        <f>[377]All!N$9</f>
        <v>2.90813912238356</v>
      </c>
      <c r="R378" s="1">
        <f>[377]All!O$9</f>
        <v>3.1263667981628642</v>
      </c>
      <c r="S378" s="1">
        <f>[377]All!P$9</f>
        <v>2.9793418293268732</v>
      </c>
      <c r="U378" s="1">
        <f>'[377]Prof (MC)'!$B$4</f>
        <v>2.8970259210022915</v>
      </c>
      <c r="V378" s="1">
        <f>'[377]Prof (MC)'!$C$4</f>
        <v>3.0137412706366793</v>
      </c>
      <c r="W378" s="1">
        <f>'[377]Prof (MC)'!$W$78</f>
        <v>1.4888509973765791</v>
      </c>
      <c r="X378" s="1">
        <f>'[377]Prof (MC)'!$Z$78</f>
        <v>5.7372055349839766</v>
      </c>
    </row>
    <row r="379" spans="1:24" x14ac:dyDescent="0.2">
      <c r="A379" t="s">
        <v>395</v>
      </c>
      <c r="B379" t="s">
        <v>434</v>
      </c>
      <c r="C379">
        <v>1750</v>
      </c>
      <c r="E379" s="1">
        <f>[378]All!B$9</f>
        <v>0.84446510987508749</v>
      </c>
      <c r="F379" s="1">
        <f>[378]All!C$9</f>
        <v>1.6874010081517985</v>
      </c>
      <c r="G379" s="1">
        <f>[378]All!D$9</f>
        <v>1.8028478634920209</v>
      </c>
      <c r="H379" s="1">
        <f>[378]All!E$9</f>
        <v>1.9149182762900778</v>
      </c>
      <c r="I379" s="1">
        <f>[378]All!F$9</f>
        <v>2.8227437326729361</v>
      </c>
      <c r="J379" s="1">
        <f>[378]All!G$9</f>
        <v>1.2601603435474331</v>
      </c>
      <c r="K379" s="1">
        <f>[378]All!H$9</f>
        <v>1.8931891999999999</v>
      </c>
      <c r="L379" s="1">
        <f>[378]All!I$9</f>
        <v>2.2009794172260948</v>
      </c>
      <c r="M379" s="1">
        <f>[378]All!J$9</f>
        <v>2.0221471429515696</v>
      </c>
      <c r="N379" s="1">
        <f>[378]All!K$9</f>
        <v>2.8734170502233263</v>
      </c>
      <c r="O379" s="1">
        <f>[378]All!L$9</f>
        <v>1.3340998065404341</v>
      </c>
      <c r="Q379" s="1">
        <f>[378]All!N$9</f>
        <v>1.8455802835009736</v>
      </c>
      <c r="R379" s="1">
        <f>[378]All!O$9</f>
        <v>1.8778517228155254</v>
      </c>
      <c r="S379" s="1">
        <f>[378]All!P$9</f>
        <v>1.8931891999999999</v>
      </c>
      <c r="U379" s="1">
        <f>'[378]Prof (MC)'!$B$4</f>
        <v>1.8801743069924308</v>
      </c>
      <c r="V379" s="1">
        <f>'[378]Prof (MC)'!$C$4</f>
        <v>1.8901434715114138</v>
      </c>
      <c r="W379" s="1">
        <f>'[378]Prof (MC)'!$W$88</f>
        <v>0.77105141592890125</v>
      </c>
      <c r="X379" s="1">
        <f>'[378]Prof (MC)'!$Z$88</f>
        <v>2.9330886074017366</v>
      </c>
    </row>
    <row r="380" spans="1:24" x14ac:dyDescent="0.2">
      <c r="A380" t="s">
        <v>396</v>
      </c>
      <c r="B380" t="s">
        <v>435</v>
      </c>
      <c r="C380">
        <v>1750</v>
      </c>
      <c r="E380" s="1">
        <f>[379]All!B$9</f>
        <v>1.1496509825400143</v>
      </c>
      <c r="F380" s="1">
        <f>[379]All!C$9</f>
        <v>0.77767798213137929</v>
      </c>
      <c r="G380" s="1">
        <f>[379]All!D$9</f>
        <v>1.3110802334946172</v>
      </c>
      <c r="H380" s="1">
        <f>[379]All!E$9</f>
        <v>0.22800106938083006</v>
      </c>
      <c r="I380" s="1">
        <f>[379]All!F$9</f>
        <v>0.19904759852050022</v>
      </c>
      <c r="J380" s="1">
        <f>[379]All!G$9</f>
        <v>0.55018087178789288</v>
      </c>
      <c r="K380" s="1">
        <f>[379]All!H$9</f>
        <v>1.4755299755951892</v>
      </c>
      <c r="L380" s="1">
        <f>[379]All!I$9</f>
        <v>1.4314882527486146</v>
      </c>
      <c r="M380" s="1">
        <f>[379]All!J$9</f>
        <v>1.8567184430860848</v>
      </c>
      <c r="N380" s="1">
        <f>[379]All!K$9</f>
        <v>9.0750501168947187E-2</v>
      </c>
      <c r="O380" s="1">
        <f>[379]All!L$9</f>
        <v>2.4914031572499655</v>
      </c>
      <c r="Q380" s="1">
        <f>[379]All!N$9</f>
        <v>0.96923024850705841</v>
      </c>
      <c r="R380" s="1">
        <f>[379]All!O$9</f>
        <v>1.0510480970640033</v>
      </c>
      <c r="S380" s="1">
        <f>[379]All!P$9</f>
        <v>1.1496509825400143</v>
      </c>
      <c r="U380" s="1">
        <f>'[379]Prof (MC)'!$B$4</f>
        <v>0.91272138148085458</v>
      </c>
      <c r="V380" s="1">
        <f>'[379]Prof (MC)'!$C$4</f>
        <v>0.95200517919126115</v>
      </c>
      <c r="W380" s="1">
        <f>'[379]Prof (MC)'!$W$80</f>
        <v>0.17994188232811886</v>
      </c>
      <c r="X380" s="1">
        <f>'[379]Prof (MC)'!$Z$80</f>
        <v>2.7866458929099731</v>
      </c>
    </row>
    <row r="381" spans="1:24" x14ac:dyDescent="0.2">
      <c r="A381" t="s">
        <v>397</v>
      </c>
      <c r="B381" t="s">
        <v>434</v>
      </c>
      <c r="C381">
        <v>1700</v>
      </c>
      <c r="E381" s="1">
        <f>[380]All!B$9</f>
        <v>3.2040291861926344</v>
      </c>
      <c r="F381" s="1">
        <f>[380]All!C$9</f>
        <v>2.6166113712036787</v>
      </c>
      <c r="G381" s="1">
        <f>[380]All!D$9</f>
        <v>4.3291644669483187</v>
      </c>
      <c r="H381" s="1">
        <f>[380]All!E$9</f>
        <v>4.1640398451640541</v>
      </c>
      <c r="I381" s="1">
        <f>[380]All!F$9</f>
        <v>2.4012621498800284</v>
      </c>
      <c r="J381" s="1">
        <f>[380]All!G$9</f>
        <v>1.5102457020667186</v>
      </c>
      <c r="K381" s="1">
        <f>[380]All!H$9</f>
        <v>4.8191504607227973</v>
      </c>
      <c r="L381" s="1">
        <f>[380]All!I$9</f>
        <v>1.8850124008514937</v>
      </c>
      <c r="M381" s="1">
        <f>[380]All!J$9</f>
        <v>1.3115522280076506</v>
      </c>
      <c r="N381" s="1">
        <f>[380]All!K$9</f>
        <v>4.2203128540685242</v>
      </c>
      <c r="O381" s="1">
        <f>[380]All!L$9</f>
        <v>1.8651643327184346</v>
      </c>
      <c r="Q381" s="1">
        <f>[380]All!N$9</f>
        <v>3.2018305673823702</v>
      </c>
      <c r="R381" s="1">
        <f>[380]All!O$9</f>
        <v>2.9387768179840306</v>
      </c>
      <c r="S381" s="1">
        <f>[380]All!P$9</f>
        <v>2.6166113712036787</v>
      </c>
      <c r="U381" s="1">
        <f>'[380]Prof (MC)'!$B$4</f>
        <v>2.8291642571276272</v>
      </c>
      <c r="V381" s="1">
        <f>'[380]Prof (MC)'!$C$4</f>
        <v>3.2438626570397262</v>
      </c>
      <c r="W381" s="1">
        <f>'[380]Prof (MC)'!$W$100</f>
        <v>6.7991390970281382E-2</v>
      </c>
      <c r="X381" s="1">
        <f>'[380]Prof (MC)'!$Z$100</f>
        <v>8.2620452440386511</v>
      </c>
    </row>
    <row r="382" spans="1:24" x14ac:dyDescent="0.2">
      <c r="A382" t="s">
        <v>398</v>
      </c>
      <c r="B382" t="s">
        <v>434</v>
      </c>
      <c r="C382">
        <v>1700</v>
      </c>
      <c r="E382" s="1">
        <f>[381]All!B$9</f>
        <v>3.1604525626542221</v>
      </c>
      <c r="F382" s="1">
        <f>[381]All!C$9</f>
        <v>3.3472753280102947</v>
      </c>
      <c r="G382" s="1">
        <f>[381]All!D$9</f>
        <v>2.2455267709701858</v>
      </c>
      <c r="H382" s="1">
        <f>[381]All!E$9</f>
        <v>2.2908994478634725</v>
      </c>
      <c r="I382" s="1">
        <f>[381]All!F$9</f>
        <v>6.6882263123897427</v>
      </c>
      <c r="J382" s="1">
        <f>[381]All!G$9</f>
        <v>0.19904214141340579</v>
      </c>
      <c r="K382" s="1">
        <f>[381]All!H$9</f>
        <v>2.8464249445105962</v>
      </c>
      <c r="L382" s="1">
        <f>[381]All!I$9</f>
        <v>4.5458567461408181</v>
      </c>
      <c r="M382" s="1">
        <f>[381]All!J$9</f>
        <v>3.4416813460358422</v>
      </c>
      <c r="N382" s="1">
        <f>[381]All!K$9</f>
        <v>2.3301016027380217</v>
      </c>
      <c r="O382" s="1">
        <f>[381]All!L$9</f>
        <v>2.8412313081670666</v>
      </c>
      <c r="Q382" s="1">
        <f>[381]All!N$9</f>
        <v>3.4656312568016667</v>
      </c>
      <c r="R382" s="1">
        <f>[381]All!O$9</f>
        <v>3.08515622826306</v>
      </c>
      <c r="S382" s="1">
        <f>[381]All!P$9</f>
        <v>2.8464249445105962</v>
      </c>
      <c r="U382" s="1">
        <f>'[381]Prof (MC)'!$B$4</f>
        <v>3.331918350060914</v>
      </c>
      <c r="V382" s="1">
        <f>'[381]Prof (MC)'!$C$4</f>
        <v>3.435906266035567</v>
      </c>
      <c r="W382" s="1">
        <f>'[381]Prof (MC)'!$W$106</f>
        <v>1.1545195516783817</v>
      </c>
      <c r="X382" s="1">
        <f>'[381]Prof (MC)'!$Z$106</f>
        <v>5.9401244217723983</v>
      </c>
    </row>
    <row r="383" spans="1:24" x14ac:dyDescent="0.2">
      <c r="A383" t="s">
        <v>399</v>
      </c>
      <c r="B383" t="s">
        <v>435</v>
      </c>
      <c r="C383">
        <v>1700</v>
      </c>
      <c r="E383" s="1">
        <f>[382]All!B$9</f>
        <v>1.3416669927187892</v>
      </c>
      <c r="F383" s="1">
        <f>[382]All!C$9</f>
        <v>0.81877729908345698</v>
      </c>
      <c r="G383" s="1">
        <f>[382]All!D$9</f>
        <v>1.0930743597898196</v>
      </c>
      <c r="H383" s="1">
        <f>[382]All!E$9</f>
        <v>0.89585401373501994</v>
      </c>
      <c r="I383" s="1">
        <f>[382]All!F$9</f>
        <v>2.888578885984942E-2</v>
      </c>
      <c r="J383" s="1">
        <f>[382]All!G$9</f>
        <v>1.5389180731184628</v>
      </c>
      <c r="K383" s="1">
        <f>[382]All!H$9</f>
        <v>3.6700823662554276</v>
      </c>
      <c r="L383" s="1">
        <f>[382]All!I$9</f>
        <v>1.3504138806924368</v>
      </c>
      <c r="M383" s="1">
        <f>[382]All!J$9</f>
        <v>1.4451465936657817</v>
      </c>
      <c r="N383" s="1">
        <f>[382]All!K$9</f>
        <v>0.92033081435707709</v>
      </c>
      <c r="O383" s="1">
        <f>[382]All!L$9</f>
        <v>1.1771949740046386</v>
      </c>
      <c r="Q383" s="1">
        <f>[382]All!N$9</f>
        <v>1.1378045013672451</v>
      </c>
      <c r="R383" s="1">
        <f>[382]All!O$9</f>
        <v>1.2982131960255237</v>
      </c>
      <c r="S383" s="1">
        <f>[382]All!P$9</f>
        <v>1.1771949740046386</v>
      </c>
      <c r="U383" s="1">
        <f>'[382]Prof (MC)'!$B$4</f>
        <v>1.059534808399559</v>
      </c>
      <c r="V383" s="1">
        <f>'[382]Prof (MC)'!$C$4</f>
        <v>1.0706893709612504</v>
      </c>
      <c r="W383" s="1">
        <f>'[382]Prof (MC)'!$W$90</f>
        <v>0.18976125515203882</v>
      </c>
      <c r="X383" s="1">
        <f>'[382]Prof (MC)'!$Z$90</f>
        <v>1.8776657059694559</v>
      </c>
    </row>
    <row r="384" spans="1:24" x14ac:dyDescent="0.2">
      <c r="A384" t="s">
        <v>400</v>
      </c>
      <c r="B384" t="s">
        <v>435</v>
      </c>
      <c r="C384">
        <v>2300</v>
      </c>
      <c r="E384" s="1">
        <f>[383]All!B$9</f>
        <v>10.025391783129059</v>
      </c>
      <c r="F384" s="1">
        <f>[383]All!C$9</f>
        <v>9.7448092595910953</v>
      </c>
      <c r="G384" s="1">
        <f>[383]All!D$9</f>
        <v>9.6801726292661421</v>
      </c>
      <c r="H384" s="1">
        <f>[383]All!E$9</f>
        <v>10.19204963680113</v>
      </c>
      <c r="I384" s="1">
        <f>[383]All!F$9</f>
        <v>9.9734417810088036</v>
      </c>
      <c r="J384" s="1">
        <f>[383]All!G$9</f>
        <v>10.372489943540307</v>
      </c>
      <c r="K384" s="1">
        <f>[383]All!H$9</f>
        <v>9.1897941180873008</v>
      </c>
      <c r="L384" s="1">
        <f>[383]All!I$9</f>
        <v>9.5361125215747187</v>
      </c>
      <c r="M384" s="1">
        <f>[383]All!J$9</f>
        <v>9.8049233669523641</v>
      </c>
      <c r="N384" s="1">
        <f>[383]All!K$9</f>
        <v>11.171642076214699</v>
      </c>
      <c r="O384" s="1">
        <f>[383]All!L$9</f>
        <v>11.214007260461948</v>
      </c>
      <c r="Q384" s="1">
        <f>[383]All!N$9</f>
        <v>10.070219144803083</v>
      </c>
      <c r="R384" s="1">
        <f>[383]All!O$9</f>
        <v>10.082257670602507</v>
      </c>
      <c r="S384" s="1">
        <f>[383]All!P$9</f>
        <v>9.9734417810088036</v>
      </c>
      <c r="U384" s="1">
        <f>'[383]Prof (MC)'!$B$4</f>
        <v>10.086733459219143</v>
      </c>
      <c r="V384" s="1">
        <f>'[383]Prof (MC)'!$C$4</f>
        <v>10.019700271311873</v>
      </c>
      <c r="W384" s="1">
        <f>'[383]Prof (MC)'!$W$172</f>
        <v>8.5154302964472368</v>
      </c>
      <c r="X384" s="1">
        <f>'[383]Prof (MC)'!$Z$172</f>
        <v>11.638711718599565</v>
      </c>
    </row>
    <row r="385" spans="1:24" x14ac:dyDescent="0.2">
      <c r="A385" t="s">
        <v>401</v>
      </c>
      <c r="B385" t="s">
        <v>435</v>
      </c>
      <c r="C385">
        <v>2300</v>
      </c>
      <c r="E385" s="1">
        <f>[384]All!B$9</f>
        <v>3.6048133588544533</v>
      </c>
      <c r="F385" s="1">
        <f>[384]All!C$9</f>
        <v>4.4454633646845352</v>
      </c>
      <c r="G385" s="1">
        <f>[384]All!D$9</f>
        <v>5.0943681025686987</v>
      </c>
      <c r="H385" s="1">
        <f>[384]All!E$9</f>
        <v>3.3893883346417915</v>
      </c>
      <c r="I385" s="1">
        <f>[384]All!F$9</f>
        <v>4.0338694696651594</v>
      </c>
      <c r="J385" s="1">
        <f>[384]All!G$9</f>
        <v>4.9701410980513838</v>
      </c>
      <c r="K385" s="1">
        <f>[384]All!H$9</f>
        <v>3.9569729677673338</v>
      </c>
      <c r="L385" s="1">
        <f>[384]All!I$9</f>
        <v>3.8782211087474945</v>
      </c>
      <c r="M385" s="1">
        <f>[384]All!J$9</f>
        <v>1.8456614558169424</v>
      </c>
      <c r="N385" s="1">
        <f>[384]All!K$9</f>
        <v>3.5270810471195273</v>
      </c>
      <c r="O385" s="1">
        <f>[384]All!L$9</f>
        <v>4.5007405431984298</v>
      </c>
      <c r="Q385" s="1">
        <f>[384]All!N$9</f>
        <v>3.9999952152737124</v>
      </c>
      <c r="R385" s="1">
        <f>[384]All!O$9</f>
        <v>3.9315200773741599</v>
      </c>
      <c r="S385" s="1">
        <f>[384]All!P$9</f>
        <v>3.9569729677673338</v>
      </c>
      <c r="U385" s="1">
        <f>'[384]Prof (MC)'!$B$4</f>
        <v>4.0745785049437711</v>
      </c>
      <c r="V385" s="1">
        <f>'[384]Prof (MC)'!$C$4</f>
        <v>4.152281419489066</v>
      </c>
      <c r="W385" s="1">
        <f>'[384]Prof (MC)'!$W$104</f>
        <v>2.0610191592410807</v>
      </c>
      <c r="X385" s="1">
        <f>'[384]Prof (MC)'!$Z$104</f>
        <v>6.0932476313582704</v>
      </c>
    </row>
    <row r="386" spans="1:24" x14ac:dyDescent="0.2">
      <c r="A386" t="s">
        <v>402</v>
      </c>
      <c r="B386" t="s">
        <v>435</v>
      </c>
      <c r="C386">
        <v>2300</v>
      </c>
      <c r="E386" s="1">
        <f>[385]All!B$9</f>
        <v>6.2882635177145376</v>
      </c>
      <c r="F386" s="1">
        <f>[385]All!C$9</f>
        <v>5.5071639519471915</v>
      </c>
      <c r="G386" s="1">
        <f>[385]All!D$9</f>
        <v>5.4286155592896739</v>
      </c>
      <c r="H386" s="1">
        <f>[385]All!E$9</f>
        <v>3.5724641789612095</v>
      </c>
      <c r="I386" s="1">
        <f>[385]All!F$9</f>
        <v>4.4854849278962758</v>
      </c>
      <c r="J386" s="1">
        <f>[385]All!G$9</f>
        <v>4.0324639503567443</v>
      </c>
      <c r="K386" s="1">
        <f>[385]All!H$9</f>
        <v>5.8655476638008652</v>
      </c>
      <c r="L386" s="1">
        <f>[385]All!I$9</f>
        <v>5.0583718795072281</v>
      </c>
      <c r="M386" s="1">
        <f>[385]All!J$9</f>
        <v>3.6300374609247572</v>
      </c>
      <c r="N386" s="1">
        <f>[385]All!K$9</f>
        <v>3.0341533440745434</v>
      </c>
      <c r="O386" s="1">
        <f>[385]All!L$9</f>
        <v>3.7853250030310255</v>
      </c>
      <c r="Q386" s="1">
        <f>[385]All!N$9</f>
        <v>4.4215724715505011</v>
      </c>
      <c r="R386" s="1">
        <f>[385]All!O$9</f>
        <v>4.6079901306821869</v>
      </c>
      <c r="S386" s="1">
        <f>[385]All!P$9</f>
        <v>4.4854849278962758</v>
      </c>
      <c r="U386" s="1">
        <f>'[385]Prof (MC)'!$B$4</f>
        <v>4.4571849100726926</v>
      </c>
      <c r="V386" s="1">
        <f>'[385]Prof (MC)'!$C$4</f>
        <v>4.4393133704591676</v>
      </c>
      <c r="W386" s="1">
        <f>'[385]Prof (MC)'!$W$98</f>
        <v>2.698399860778093</v>
      </c>
      <c r="X386" s="1">
        <f>'[385]Prof (MC)'!$Z$98</f>
        <v>6.1107310772787926</v>
      </c>
    </row>
    <row r="387" spans="1:24" x14ac:dyDescent="0.2">
      <c r="A387" t="s">
        <v>403</v>
      </c>
      <c r="B387" t="s">
        <v>435</v>
      </c>
      <c r="C387">
        <v>2300</v>
      </c>
      <c r="E387" s="1">
        <f>[386]All!B$9</f>
        <v>3.6564558440153343</v>
      </c>
      <c r="F387" s="1">
        <f>[386]All!C$9</f>
        <v>2.7105512589253244</v>
      </c>
      <c r="G387" s="1">
        <f>[386]All!D$9</f>
        <v>1.9251779609851742</v>
      </c>
      <c r="H387" s="1">
        <f>[386]All!E$9</f>
        <v>3.2485566404292552</v>
      </c>
      <c r="I387" s="1">
        <f>[386]All!F$9</f>
        <v>4.61435028196441</v>
      </c>
      <c r="J387" s="1">
        <f>[386]All!G$9</f>
        <v>0.81757165212035621</v>
      </c>
      <c r="K387" s="1">
        <f>[386]All!H$9</f>
        <v>4.8879635919957281</v>
      </c>
      <c r="L387" s="1">
        <f>[386]All!I$9</f>
        <v>3.9824669495411533</v>
      </c>
      <c r="M387" s="1">
        <f>[386]All!J$9</f>
        <v>2.6086774938586808</v>
      </c>
      <c r="N387" s="1">
        <f>[386]All!K$9</f>
        <v>5.934296143830907</v>
      </c>
      <c r="O387" s="1">
        <f>[386]All!L$9</f>
        <v>4.3419051747356834</v>
      </c>
      <c r="Q387" s="1">
        <f>[386]All!N$9</f>
        <v>3.6977879026266929</v>
      </c>
      <c r="R387" s="1">
        <f>[386]All!O$9</f>
        <v>3.5207248174910917</v>
      </c>
      <c r="S387" s="1">
        <f>[386]All!P$9</f>
        <v>3.6564558440153343</v>
      </c>
      <c r="U387" s="1">
        <f>'[386]Prof (MC)'!$B$4</f>
        <v>3.6334459400731016</v>
      </c>
      <c r="V387" s="1">
        <f>'[386]Prof (MC)'!$C$4</f>
        <v>3.6562016743337575</v>
      </c>
      <c r="W387" s="1">
        <f>'[386]Prof (MC)'!$W$94</f>
        <v>1.5615558270903276</v>
      </c>
      <c r="X387" s="1">
        <f>'[386]Prof (MC)'!$Z$94</f>
        <v>6.2186538011990189</v>
      </c>
    </row>
    <row r="388" spans="1:24" x14ac:dyDescent="0.2">
      <c r="A388" t="s">
        <v>404</v>
      </c>
      <c r="B388" t="s">
        <v>435</v>
      </c>
      <c r="C388">
        <v>2300</v>
      </c>
      <c r="E388" s="1">
        <f>[387]All!B$9</f>
        <v>4.2254655636477612</v>
      </c>
      <c r="F388" s="1">
        <f>[387]All!C$9</f>
        <v>4.2239374730361696</v>
      </c>
      <c r="G388" s="1">
        <f>[387]All!D$9</f>
        <v>4.7142732139587631</v>
      </c>
      <c r="H388" s="1">
        <f>[387]All!E$9</f>
        <v>5.4511003154096906</v>
      </c>
      <c r="I388" s="1">
        <f>[387]All!F$9</f>
        <v>4.7189129655733861</v>
      </c>
      <c r="J388" s="1">
        <f>[387]All!G$9</f>
        <v>4.7395609286266964</v>
      </c>
      <c r="K388" s="1">
        <f>[387]All!H$9</f>
        <v>5.6126799854480307</v>
      </c>
      <c r="L388" s="1">
        <f>[387]All!I$9</f>
        <v>5.004356308918724</v>
      </c>
      <c r="M388" s="1">
        <f>[387]All!J$9</f>
        <v>5.3359429414572244</v>
      </c>
      <c r="N388" s="1">
        <f>[387]All!K$9</f>
        <v>5.31933450593462</v>
      </c>
      <c r="O388" s="1">
        <f>[387]All!L$9</f>
        <v>5.1948602248226194</v>
      </c>
      <c r="Q388" s="1">
        <f>[387]All!N$9</f>
        <v>4.9453552205812059</v>
      </c>
      <c r="R388" s="1">
        <f>[387]All!O$9</f>
        <v>4.9582204024394265</v>
      </c>
      <c r="S388" s="1">
        <f>[387]All!P$9</f>
        <v>5.004356308918724</v>
      </c>
      <c r="U388" s="1">
        <f>'[387]Prof (MC)'!$B$4</f>
        <v>4.9405818232279621</v>
      </c>
      <c r="V388" s="1">
        <f>'[387]Prof (MC)'!$C$4</f>
        <v>4.9569482593116847</v>
      </c>
      <c r="W388" s="1">
        <f>'[387]Prof (MC)'!$W$112</f>
        <v>4.2541599087828894</v>
      </c>
      <c r="X388" s="1">
        <f>'[387]Prof (MC)'!$Z$112</f>
        <v>5.8384787035469703</v>
      </c>
    </row>
    <row r="389" spans="1:24" x14ac:dyDescent="0.2">
      <c r="A389" t="s">
        <v>405</v>
      </c>
      <c r="B389" t="s">
        <v>435</v>
      </c>
      <c r="C389">
        <v>2300</v>
      </c>
      <c r="E389" s="1">
        <f>[388]All!B$9</f>
        <v>1.7877880641353554</v>
      </c>
      <c r="F389" s="1">
        <f>[388]All!C$9</f>
        <v>2.3945155460228729</v>
      </c>
      <c r="G389" s="1">
        <f>[388]All!D$9</f>
        <v>2.3799407333734486</v>
      </c>
      <c r="H389" s="1">
        <f>[388]All!E$9</f>
        <v>2.5436985429289471</v>
      </c>
      <c r="I389" s="1">
        <f>[388]All!F$9</f>
        <v>1.9217560045045012</v>
      </c>
      <c r="J389" s="1">
        <f>[388]All!G$9</f>
        <v>2.1534514295880927</v>
      </c>
      <c r="K389" s="1">
        <f>[388]All!H$9</f>
        <v>2.0254707141506567</v>
      </c>
      <c r="L389" s="1">
        <f>[388]All!I$9</f>
        <v>1.9538094495616831</v>
      </c>
      <c r="M389" s="1">
        <f>[388]All!J$9</f>
        <v>2.3387231684193157</v>
      </c>
      <c r="N389" s="1">
        <f>[388]All!K$9</f>
        <v>1.9256167293038411</v>
      </c>
      <c r="O389" s="1">
        <f>[388]All!L$9</f>
        <v>1.9936823644742645</v>
      </c>
      <c r="Q389" s="1">
        <f>[388]All!N$9</f>
        <v>2.1285415095209603</v>
      </c>
      <c r="R389" s="1">
        <f>[388]All!O$9</f>
        <v>2.1289502496784527</v>
      </c>
      <c r="S389" s="1">
        <f>[388]All!P$9</f>
        <v>2.0254707141506567</v>
      </c>
      <c r="U389" s="1">
        <f>'[388]Prof (MC)'!$B$4</f>
        <v>2.1030937234470337</v>
      </c>
      <c r="V389" s="1">
        <f>'[388]Prof (MC)'!$C$4</f>
        <v>2.1044063708929106</v>
      </c>
      <c r="W389" s="1">
        <f>'[388]Prof (MC)'!$W$86</f>
        <v>1.5614368408881261</v>
      </c>
      <c r="X389" s="1">
        <f>'[388]Prof (MC)'!$Z$86</f>
        <v>2.6869051073261048</v>
      </c>
    </row>
    <row r="390" spans="1:24" x14ac:dyDescent="0.2">
      <c r="A390" t="s">
        <v>406</v>
      </c>
      <c r="B390" t="s">
        <v>435</v>
      </c>
      <c r="C390">
        <v>2300</v>
      </c>
      <c r="E390" s="1">
        <f>[389]All!B$9</f>
        <v>0.74196594365630708</v>
      </c>
      <c r="F390" s="1">
        <f>[389]All!C$9</f>
        <v>1.5485044695535379</v>
      </c>
      <c r="G390" s="1">
        <f>[389]All!D$9</f>
        <v>1.0117965787460381</v>
      </c>
      <c r="H390" s="1">
        <f>[389]All!E$9</f>
        <v>1.041110342342098</v>
      </c>
      <c r="I390" s="1">
        <f>[389]All!F$9</f>
        <v>1.6646172919212445</v>
      </c>
      <c r="J390" s="1">
        <f>[389]All!G$9</f>
        <v>1.5483265656794516</v>
      </c>
      <c r="K390" s="1">
        <f>[389]All!H$9</f>
        <v>0.6075254972157792</v>
      </c>
      <c r="L390" s="1">
        <f>[389]All!I$9</f>
        <v>0.12983650327657789</v>
      </c>
      <c r="M390" s="1">
        <f>[389]All!J$9</f>
        <v>0.75316857824067296</v>
      </c>
      <c r="N390" s="1">
        <f>[389]All!K$9</f>
        <v>0.26812680070764605</v>
      </c>
      <c r="O390" s="1">
        <f>[389]All!L$9</f>
        <v>1.5514947326492046</v>
      </c>
      <c r="Q390" s="1">
        <f>[389]All!N$9</f>
        <v>1.0416634806192344</v>
      </c>
      <c r="R390" s="1">
        <f>[389]All!O$9</f>
        <v>0.98786120945350542</v>
      </c>
      <c r="S390" s="1">
        <f>[389]All!P$9</f>
        <v>1.0117965787460381</v>
      </c>
      <c r="U390" s="1">
        <f>'[389]Prof (MC)'!$B$4</f>
        <v>0.92274105467161283</v>
      </c>
      <c r="V390" s="1">
        <f>'[389]Prof (MC)'!$C$4</f>
        <v>0.91797539138676543</v>
      </c>
      <c r="W390" s="1">
        <f>'[389]Prof (MC)'!$W$80</f>
        <v>0.14661854266872734</v>
      </c>
      <c r="X390" s="1">
        <f>'[389]Prof (MC)'!$Z$80</f>
        <v>1.9131221490774126</v>
      </c>
    </row>
    <row r="391" spans="1:24" x14ac:dyDescent="0.2">
      <c r="A391" t="s">
        <v>407</v>
      </c>
      <c r="B391" t="s">
        <v>435</v>
      </c>
      <c r="C391">
        <v>2250</v>
      </c>
      <c r="E391" s="1">
        <f>[390]All!B$9</f>
        <v>4.5898122409363251E-3</v>
      </c>
      <c r="F391" s="1">
        <f>[390]All!C$9</f>
        <v>0.18722624158611309</v>
      </c>
      <c r="G391" s="1">
        <f>[390]All!D$9</f>
        <v>3.1586694861347278</v>
      </c>
      <c r="H391" s="1">
        <f>[390]All!E$9</f>
        <v>3.9081682266398041</v>
      </c>
      <c r="I391" s="1">
        <f>[390]All!F$9</f>
        <v>4.9867010672960292</v>
      </c>
      <c r="J391" s="1">
        <f>[390]All!G$9</f>
        <v>1.3402471666961697</v>
      </c>
      <c r="K391" s="1">
        <f>[390]All!H$9</f>
        <v>1.4819962245646214</v>
      </c>
      <c r="L391" s="1">
        <f>[390]All!I$9</f>
        <v>0.16239318134623676</v>
      </c>
      <c r="M391" s="1">
        <f>[390]All!J$9</f>
        <v>0.91047772904680113</v>
      </c>
      <c r="N391" s="1">
        <f>[390]All!K$9</f>
        <v>5.0992712451162951</v>
      </c>
      <c r="O391" s="1">
        <f>[390]All!L$9</f>
        <v>7.4910973719192953</v>
      </c>
      <c r="Q391" s="1">
        <f>[390]All!N$9</f>
        <v>4.7922658503381879</v>
      </c>
      <c r="R391" s="1">
        <f>[390]All!O$9</f>
        <v>2.6118943411442754</v>
      </c>
      <c r="S391" s="1">
        <f>[390]All!P$9</f>
        <v>1.4819962245646214</v>
      </c>
      <c r="U391" s="1">
        <f>'[390]Prof (MC)'!$B$4</f>
        <v>4.6864609471910317</v>
      </c>
      <c r="V391" s="1">
        <f>'[390]Prof (MC)'!$C$4</f>
        <v>5.5901777971532036</v>
      </c>
      <c r="W391" s="1">
        <f>'[390]Prof (MC)'!$W$108</f>
        <v>2.8911555160929279E-2</v>
      </c>
      <c r="X391" s="1">
        <f>'[390]Prof (MC)'!$Z$108</f>
        <v>15.436205961409318</v>
      </c>
    </row>
    <row r="392" spans="1:24" x14ac:dyDescent="0.2">
      <c r="A392" t="s">
        <v>408</v>
      </c>
      <c r="B392" t="s">
        <v>435</v>
      </c>
      <c r="C392">
        <v>2250</v>
      </c>
      <c r="E392" s="1">
        <f>[391]All!B$9</f>
        <v>2.644325943048444</v>
      </c>
      <c r="F392" s="1">
        <f>[391]All!C$9</f>
        <v>2.4675612761483166</v>
      </c>
      <c r="G392" s="1">
        <f>[391]All!D$9</f>
        <v>1.6828261139296101</v>
      </c>
      <c r="H392" s="1">
        <f>[391]All!E$9</f>
        <v>2.3176058688176421E-2</v>
      </c>
      <c r="I392" s="1">
        <f>[391]All!F$9</f>
        <v>4.1655160999964559E-2</v>
      </c>
      <c r="J392" s="1">
        <f>[391]All!G$9</f>
        <v>5.2729288538016977E-2</v>
      </c>
      <c r="K392" s="1">
        <f>[391]All!H$9</f>
        <v>0</v>
      </c>
      <c r="L392" s="1">
        <f>[391]All!I$9</f>
        <v>1.1878758997367609</v>
      </c>
      <c r="M392" s="1">
        <f>[391]All!J$9</f>
        <v>1.8160920415021025</v>
      </c>
      <c r="N392" s="1">
        <f>[391]All!K$9</f>
        <v>1.6848983555801056</v>
      </c>
      <c r="O392" s="1">
        <f>[391]All!L$9</f>
        <v>5.6880671587698499</v>
      </c>
      <c r="Q392" s="1">
        <f>[391]All!N$9</f>
        <v>1.7633835487752345</v>
      </c>
      <c r="R392" s="1">
        <f>[391]All!O$9</f>
        <v>1.7289207296941349</v>
      </c>
      <c r="S392" s="1">
        <f>[391]All!P$9</f>
        <v>1.6838622347548577</v>
      </c>
      <c r="U392" s="1">
        <f>'[391]Prof (MC)'!$B$4</f>
        <v>1.8126671426545138</v>
      </c>
      <c r="V392" s="1">
        <f>'[391]Prof (MC)'!$C$4</f>
        <v>4.1399415815918079</v>
      </c>
      <c r="W392" s="1">
        <f>'[391]Prof (MC)'!$W$102</f>
        <v>1.2729530579443583E-2</v>
      </c>
      <c r="X392" s="1">
        <f>'[391]Prof (MC)'!$Z$102</f>
        <v>39.069553228854289</v>
      </c>
    </row>
    <row r="393" spans="1:24" x14ac:dyDescent="0.2">
      <c r="A393" t="s">
        <v>409</v>
      </c>
      <c r="B393" t="s">
        <v>435</v>
      </c>
      <c r="C393">
        <v>2250</v>
      </c>
      <c r="E393" s="1">
        <f>[392]All!B$9</f>
        <v>8.1353091076717177E-2</v>
      </c>
      <c r="F393" s="1">
        <f>[392]All!C$9</f>
        <v>3.054514241391141E-8</v>
      </c>
      <c r="G393" s="1">
        <f>[392]All!D$9</f>
        <v>0.17437692803648094</v>
      </c>
      <c r="H393" s="1">
        <f>[392]All!E$9</f>
        <v>5.7686701E-2</v>
      </c>
      <c r="I393" s="1">
        <f>[392]All!F$9</f>
        <v>1.0312924850253364</v>
      </c>
      <c r="J393" s="1">
        <f>[392]All!G$9</f>
        <v>0.60383862990258552</v>
      </c>
      <c r="K393" s="1">
        <f>[392]All!H$9</f>
        <v>8.5375396845299018E-2</v>
      </c>
      <c r="L393" s="1">
        <f>[392]All!I$9</f>
        <v>1.0972429636967069</v>
      </c>
      <c r="M393" s="1">
        <f>[392]All!J$9</f>
        <v>1.9571588871447703</v>
      </c>
      <c r="N393" s="1">
        <f>[392]All!K$9</f>
        <v>3.4937609943160859</v>
      </c>
      <c r="O393" s="1">
        <f>[392]All!L$9</f>
        <v>1.1300243617796335</v>
      </c>
      <c r="Q393" s="1">
        <f>[392]All!N$9</f>
        <v>0.90527624367389259</v>
      </c>
      <c r="R393" s="1">
        <f>[392]All!O$9</f>
        <v>0.88291913357897789</v>
      </c>
      <c r="S393" s="1">
        <f>[392]All!P$9</f>
        <v>0.60383862990258552</v>
      </c>
      <c r="U393" s="1">
        <f>'[392]Prof (MC)'!$B$4</f>
        <v>0.64855849054853398</v>
      </c>
      <c r="V393" s="1">
        <f>'[392]Prof (MC)'!$C$4</f>
        <v>1.2126984092474471</v>
      </c>
      <c r="W393" s="1">
        <f>'[392]Prof (MC)'!$W$78</f>
        <v>1.2627198647822469E-8</v>
      </c>
      <c r="X393" s="1">
        <f>'[392]Prof (MC)'!$Z$78</f>
        <v>4.4098491428098123</v>
      </c>
    </row>
    <row r="394" spans="1:24" x14ac:dyDescent="0.2">
      <c r="A394" t="s">
        <v>410</v>
      </c>
      <c r="B394" t="s">
        <v>434</v>
      </c>
      <c r="C394">
        <v>2600</v>
      </c>
      <c r="E394" s="1">
        <f>[393]All!B$9</f>
        <v>4.3314108318835842</v>
      </c>
      <c r="F394" s="1">
        <f>[393]All!C$9</f>
        <v>3.3345808960614591</v>
      </c>
      <c r="G394" s="1">
        <f>[393]All!D$9</f>
        <v>3.0990439603035185</v>
      </c>
      <c r="H394" s="1">
        <f>[393]All!E$9</f>
        <v>2.2299569216779864</v>
      </c>
      <c r="I394" s="1">
        <f>[393]All!F$9</f>
        <v>3.9279545567589955</v>
      </c>
      <c r="J394" s="1">
        <f>[393]All!G$9</f>
        <v>4.7520698082535615</v>
      </c>
      <c r="K394" s="1">
        <f>[393]All!H$9</f>
        <v>2.7156401774780128</v>
      </c>
      <c r="L394" s="1">
        <f>[393]All!I$9</f>
        <v>2.1706424780249693</v>
      </c>
      <c r="M394" s="1">
        <f>[393]All!J$9</f>
        <v>2.4753006706623379</v>
      </c>
      <c r="N394" s="1">
        <f>[393]All!K$9</f>
        <v>2.3565435558674857</v>
      </c>
      <c r="O394" s="1">
        <f>[393]All!L$9</f>
        <v>2.7752710728749235</v>
      </c>
      <c r="Q394" s="1">
        <f>[393]All!N$9</f>
        <v>3.0267122444954397</v>
      </c>
      <c r="R394" s="1">
        <f>[393]All!O$9</f>
        <v>3.1062195390769847</v>
      </c>
      <c r="S394" s="1">
        <f>[393]All!P$9</f>
        <v>2.7752710728749235</v>
      </c>
      <c r="U394" s="1">
        <f>'[393]Prof (MC)'!$B$4</f>
        <v>3.1392206073532778</v>
      </c>
      <c r="V394" s="1">
        <f>'[393]Prof (MC)'!$C$4</f>
        <v>3.164314019727525</v>
      </c>
      <c r="W394" s="1">
        <f>'[393]Prof (MC)'!$W$110</f>
        <v>1.9689574680479216</v>
      </c>
      <c r="X394" s="1">
        <f>'[393]Prof (MC)'!$Z$110</f>
        <v>4.7226777125591486</v>
      </c>
    </row>
    <row r="395" spans="1:24" x14ac:dyDescent="0.2">
      <c r="A395" t="s">
        <v>411</v>
      </c>
      <c r="B395" t="s">
        <v>434</v>
      </c>
      <c r="C395">
        <v>2600</v>
      </c>
      <c r="E395" s="1">
        <f>[394]All!B$9</f>
        <v>2.5104640006129006</v>
      </c>
      <c r="F395" s="1">
        <f>[394]All!C$9</f>
        <v>2.1112618316656202</v>
      </c>
      <c r="G395" s="1">
        <f>[394]All!D$9</f>
        <v>1.9197677192140394</v>
      </c>
      <c r="H395" s="1">
        <f>[394]All!E$9</f>
        <v>2.4632381801746339</v>
      </c>
      <c r="I395" s="1">
        <f>[394]All!F$9</f>
        <v>2.4402455421655436</v>
      </c>
      <c r="J395" s="1">
        <f>[394]All!G$9</f>
        <v>1.5080565063468039</v>
      </c>
      <c r="K395" s="1">
        <f>[394]All!H$9</f>
        <v>2.7354908716022073</v>
      </c>
      <c r="L395" s="1">
        <f>[394]All!I$9</f>
        <v>1.7004037846018785</v>
      </c>
      <c r="M395" s="1">
        <f>[394]All!J$9</f>
        <v>1.8232090369177001</v>
      </c>
      <c r="N395" s="1">
        <f>[394]All!K$9</f>
        <v>2.9588793621661398</v>
      </c>
      <c r="O395" s="1">
        <f>[394]All!L$9</f>
        <v>1.7574745178066939</v>
      </c>
      <c r="Q395" s="1">
        <f>[394]All!N$9</f>
        <v>2.2335100564372055</v>
      </c>
      <c r="R395" s="1">
        <f>[394]All!O$9</f>
        <v>2.175317395752197</v>
      </c>
      <c r="S395" s="1">
        <f>[394]All!P$9</f>
        <v>2.1112618316656202</v>
      </c>
      <c r="U395" s="1">
        <f>'[394]Prof (MC)'!$B$4</f>
        <v>2.1224785298892086</v>
      </c>
      <c r="V395" s="1">
        <f>'[394]Prof (MC)'!$C$4</f>
        <v>2.1285520366316963</v>
      </c>
      <c r="W395" s="1">
        <f>'[394]Prof (MC)'!$W$98</f>
        <v>0.99470172814344804</v>
      </c>
      <c r="X395" s="1">
        <f>'[394]Prof (MC)'!$Z$98</f>
        <v>3.1781885811683819</v>
      </c>
    </row>
    <row r="396" spans="1:24" x14ac:dyDescent="0.2">
      <c r="A396" t="s">
        <v>412</v>
      </c>
      <c r="B396" t="s">
        <v>435</v>
      </c>
      <c r="C396">
        <v>2600</v>
      </c>
      <c r="E396" s="1">
        <f>[395]All!B$9</f>
        <v>1.8969468364347506</v>
      </c>
      <c r="F396" s="1">
        <f>[395]All!C$9</f>
        <v>1.5198353930784294</v>
      </c>
      <c r="G396" s="1">
        <f>[395]All!D$9</f>
        <v>1.205789272522201</v>
      </c>
      <c r="H396" s="1">
        <f>[395]All!E$9</f>
        <v>1.1866074098878441</v>
      </c>
      <c r="I396" s="1">
        <f>[395]All!F$9</f>
        <v>2.3476141942879711</v>
      </c>
      <c r="J396" s="1">
        <f>[395]All!G$9</f>
        <v>1.5129952960307698</v>
      </c>
      <c r="K396" s="1">
        <f>[395]All!H$9</f>
        <v>1.8503630900943198</v>
      </c>
      <c r="L396" s="1">
        <f>[395]All!I$9</f>
        <v>2.6035204228126929</v>
      </c>
      <c r="M396" s="1">
        <f>[395]All!J$9</f>
        <v>1.1380470593263516</v>
      </c>
      <c r="N396" s="1">
        <f>[395]All!K$9</f>
        <v>1.5808267257940853</v>
      </c>
      <c r="O396" s="1">
        <f>[395]All!L$9</f>
        <v>1.6875228414034387</v>
      </c>
      <c r="Q396" s="1">
        <f>[395]All!N$9</f>
        <v>1.6336926764600761</v>
      </c>
      <c r="R396" s="1">
        <f>[395]All!O$9</f>
        <v>1.6845516856066232</v>
      </c>
      <c r="S396" s="1">
        <f>[395]All!P$9</f>
        <v>1.5808267257940853</v>
      </c>
      <c r="U396" s="1">
        <f>'[395]Prof (MC)'!$B$4</f>
        <v>1.5989753633196315</v>
      </c>
      <c r="V396" s="1">
        <f>'[395]Prof (MC)'!$C$4</f>
        <v>1.6107035015917426</v>
      </c>
      <c r="W396" s="1">
        <f>'[395]Prof (MC)'!$W$94</f>
        <v>0.27434016084748519</v>
      </c>
      <c r="X396" s="1">
        <f>'[395]Prof (MC)'!$Z$94</f>
        <v>2.7029420397047992</v>
      </c>
    </row>
    <row r="397" spans="1:24" x14ac:dyDescent="0.2">
      <c r="A397" t="s">
        <v>413</v>
      </c>
      <c r="B397" t="s">
        <v>435</v>
      </c>
      <c r="C397">
        <v>2600</v>
      </c>
      <c r="E397" s="1">
        <f>[396]All!B$9</f>
        <v>1.324064864000023</v>
      </c>
      <c r="F397" s="1">
        <f>[396]All!C$9</f>
        <v>1.42784272679813</v>
      </c>
      <c r="G397" s="1">
        <f>[396]All!D$9</f>
        <v>0.94760538585872822</v>
      </c>
      <c r="H397" s="1">
        <f>[396]All!E$9</f>
        <v>1.0682814243839083</v>
      </c>
      <c r="I397" s="1">
        <f>[396]All!F$9</f>
        <v>1.7896606888217341</v>
      </c>
      <c r="J397" s="1">
        <f>[396]All!G$9</f>
        <v>2.0318819507511128</v>
      </c>
      <c r="K397" s="1">
        <f>[396]All!H$9</f>
        <v>1.6689741881751741</v>
      </c>
      <c r="L397" s="1">
        <f>[396]All!I$9</f>
        <v>1.5396522453319934</v>
      </c>
      <c r="M397" s="1">
        <f>[396]All!J$9</f>
        <v>1.5026320564560505</v>
      </c>
      <c r="N397" s="1">
        <f>[396]All!K$9</f>
        <v>1.3222471956705681</v>
      </c>
      <c r="O397" s="1">
        <f>[396]All!L$9</f>
        <v>6.8745898E-2</v>
      </c>
      <c r="Q397" s="1">
        <f>[396]All!N$9</f>
        <v>1.4621932618539208</v>
      </c>
      <c r="R397" s="1">
        <f>[396]All!O$9</f>
        <v>1.3355989658406746</v>
      </c>
      <c r="S397" s="1">
        <f>[396]All!P$9</f>
        <v>1.42784272679813</v>
      </c>
      <c r="U397" s="1">
        <f>'[396]Prof (MC)'!$B$4</f>
        <v>1.3582963529028569</v>
      </c>
      <c r="V397" s="1">
        <f>'[396]Prof (MC)'!$C$4</f>
        <v>1.4064386557941879</v>
      </c>
      <c r="W397" s="1">
        <f>'[396]Prof (MC)'!$W$76</f>
        <v>0.30778011541133665</v>
      </c>
      <c r="X397" s="1">
        <f>'[396]Prof (MC)'!$Z$76</f>
        <v>2.6525856327746857</v>
      </c>
    </row>
    <row r="398" spans="1:24" x14ac:dyDescent="0.2">
      <c r="A398" t="s">
        <v>414</v>
      </c>
      <c r="B398" t="s">
        <v>435</v>
      </c>
      <c r="C398">
        <v>2600</v>
      </c>
      <c r="E398" s="1">
        <f>[397]All!B$9</f>
        <v>1.1761923439623569</v>
      </c>
      <c r="F398" s="1">
        <f>[397]All!C$9</f>
        <v>1.278111625688009E-2</v>
      </c>
      <c r="G398" s="1">
        <f>[397]All!D$9</f>
        <v>0.87876300225087711</v>
      </c>
      <c r="H398" s="1">
        <f>[397]All!E$9</f>
        <v>1.1004140308800012</v>
      </c>
      <c r="I398" s="1">
        <f>[397]All!F$9</f>
        <v>1.0043537907287521</v>
      </c>
      <c r="J398" s="1">
        <f>[397]All!G$9</f>
        <v>1.3523467957526563</v>
      </c>
      <c r="K398" s="1">
        <f>[397]All!H$9</f>
        <v>0.86919759773128136</v>
      </c>
      <c r="L398" s="1">
        <f>[397]All!I$9</f>
        <v>1.3470907831784114</v>
      </c>
      <c r="M398" s="1">
        <f>[397]All!J$9</f>
        <v>0.6240334752832134</v>
      </c>
      <c r="N398" s="1">
        <f>[397]All!K$9</f>
        <v>1.3135714927107867</v>
      </c>
      <c r="O398" s="1">
        <f>[397]All!L$9</f>
        <v>1.0345229278928798</v>
      </c>
      <c r="Q398" s="1">
        <f>[397]All!N$9</f>
        <v>1.106872498611992</v>
      </c>
      <c r="R398" s="1">
        <f>[397]All!O$9</f>
        <v>0.97393339605709961</v>
      </c>
      <c r="S398" s="1">
        <f>[397]All!P$9</f>
        <v>1.0345229278928798</v>
      </c>
      <c r="U398" s="1">
        <f>'[397]Prof (MC)'!$B$4</f>
        <v>0.96192128399138177</v>
      </c>
      <c r="V398" s="1">
        <f>'[397]Prof (MC)'!$C$4</f>
        <v>0.88486527407452509</v>
      </c>
      <c r="W398" s="1">
        <f>'[397]Prof (MC)'!$W$84</f>
        <v>6.4051104639584092E-2</v>
      </c>
      <c r="X398" s="1">
        <f>'[397]Prof (MC)'!$Z$84</f>
        <v>1.5525590465382788</v>
      </c>
    </row>
    <row r="399" spans="1:24" x14ac:dyDescent="0.2">
      <c r="A399" t="s">
        <v>415</v>
      </c>
      <c r="B399" t="s">
        <v>435</v>
      </c>
      <c r="C399">
        <v>2600</v>
      </c>
      <c r="E399" s="1">
        <f>[398]All!B$9</f>
        <v>1.532241942112859</v>
      </c>
      <c r="F399" s="1">
        <f>[398]All!C$9</f>
        <v>1.2645588927927476</v>
      </c>
      <c r="G399" s="1">
        <f>[398]All!D$9</f>
        <v>1.2333495928985891</v>
      </c>
      <c r="H399" s="1">
        <f>[398]All!E$9</f>
        <v>1.5877966864095416</v>
      </c>
      <c r="I399" s="1">
        <f>[398]All!F$9</f>
        <v>1.6138857264626987</v>
      </c>
      <c r="J399" s="1">
        <f>[398]All!G$9</f>
        <v>0.9670841376713093</v>
      </c>
      <c r="K399" s="1">
        <f>[398]All!H$9</f>
        <v>1.1691567204089675</v>
      </c>
      <c r="L399" s="1">
        <f>[398]All!I$9</f>
        <v>1.3180091030990415</v>
      </c>
      <c r="M399" s="1">
        <f>[398]All!J$9</f>
        <v>1.9387614167911722</v>
      </c>
      <c r="N399" s="1">
        <f>[398]All!K$9</f>
        <v>1.3186667456871533</v>
      </c>
      <c r="O399" s="1">
        <f>[398]All!L$9</f>
        <v>1.6624932252942133</v>
      </c>
      <c r="Q399" s="1">
        <f>[398]All!N$9</f>
        <v>1.3877055393690894</v>
      </c>
      <c r="R399" s="1">
        <f>[398]All!O$9</f>
        <v>1.4187276536025719</v>
      </c>
      <c r="S399" s="1">
        <f>[398]All!P$9</f>
        <v>1.3186667456871533</v>
      </c>
      <c r="U399" s="1">
        <f>'[398]Prof (MC)'!$B$4</f>
        <v>1.3541923965846272</v>
      </c>
      <c r="V399" s="1">
        <f>'[398]Prof (MC)'!$C$4</f>
        <v>1.2879296515352974</v>
      </c>
      <c r="W399" s="1">
        <f>'[398]Prof (MC)'!$W$78</f>
        <v>0.27129605231137133</v>
      </c>
      <c r="X399" s="1">
        <f>'[398]Prof (MC)'!$Z$78</f>
        <v>2.1400670111342692</v>
      </c>
    </row>
    <row r="400" spans="1:24" x14ac:dyDescent="0.2">
      <c r="A400" t="s">
        <v>416</v>
      </c>
      <c r="B400" t="s">
        <v>434</v>
      </c>
      <c r="C400">
        <v>1250</v>
      </c>
      <c r="E400" s="1">
        <f>[399]All!B$9</f>
        <v>4.7941766584665784</v>
      </c>
      <c r="F400" s="1">
        <f>[399]All!C$9</f>
        <v>3.6824285968591877</v>
      </c>
      <c r="G400" s="1">
        <f>[399]All!D$9</f>
        <v>4.7866891136857888</v>
      </c>
      <c r="H400" s="1">
        <f>[399]All!E$9</f>
        <v>5.2379082220127913</v>
      </c>
      <c r="I400" s="1">
        <f>[399]All!F$9</f>
        <v>4.1496852941274209</v>
      </c>
      <c r="J400" s="1">
        <f>[399]All!G$9</f>
        <v>4.0229256042118706</v>
      </c>
      <c r="K400" s="1">
        <f>[399]All!H$9</f>
        <v>4.200608839589016</v>
      </c>
      <c r="L400" s="1">
        <f>[399]All!I$9</f>
        <v>4.4980465594465819</v>
      </c>
      <c r="M400" s="1">
        <f>[399]All!J$9</f>
        <v>4.4836271977279827</v>
      </c>
      <c r="N400" s="1">
        <f>[399]All!K$9</f>
        <v>5.1928894834029009</v>
      </c>
      <c r="O400" s="1">
        <f>[399]All!L$9</f>
        <v>4.1889691629167105</v>
      </c>
      <c r="Q400" s="1">
        <f>[399]All!N$9</f>
        <v>4.4778730358682992</v>
      </c>
      <c r="R400" s="1">
        <f>[399]All!O$9</f>
        <v>4.4761777029497125</v>
      </c>
      <c r="S400" s="1">
        <f>[399]All!P$9</f>
        <v>4.4836271977279827</v>
      </c>
      <c r="U400" s="1">
        <f>'[399]Prof (MC)'!$B$4</f>
        <v>4.4714810677768426</v>
      </c>
      <c r="V400" s="1">
        <f>'[399]Prof (MC)'!$C$4</f>
        <v>4.4294756185303257</v>
      </c>
      <c r="W400" s="1">
        <f>'[399]Prof (MC)'!$W$106</f>
        <v>3.3976663914669181</v>
      </c>
      <c r="X400" s="1">
        <f>'[399]Prof (MC)'!$Z$106</f>
        <v>5.2971143852031837</v>
      </c>
    </row>
    <row r="401" spans="1:24" x14ac:dyDescent="0.2">
      <c r="A401" t="s">
        <v>417</v>
      </c>
      <c r="B401" t="s">
        <v>436</v>
      </c>
      <c r="C401">
        <v>1250</v>
      </c>
      <c r="E401" s="1">
        <f>[400]All!B$9</f>
        <v>6.1209156486828224E-2</v>
      </c>
      <c r="F401" s="1">
        <f>[400]All!C$9</f>
        <v>2.4625454603513481</v>
      </c>
      <c r="G401" s="1">
        <f>[400]All!D$9</f>
        <v>6.5148944823786694</v>
      </c>
      <c r="H401" s="1">
        <f>[400]All!E$9</f>
        <v>3.2265195253160308</v>
      </c>
      <c r="I401" s="1">
        <f>[400]All!F$9</f>
        <v>1.4502846898455295</v>
      </c>
      <c r="J401" s="1">
        <f>[400]All!G$9</f>
        <v>3.2525971356660355</v>
      </c>
      <c r="K401" s="1">
        <f>[400]All!H$9</f>
        <v>6.1907422838779667</v>
      </c>
      <c r="L401" s="1">
        <f>[400]All!I$9</f>
        <v>5.4758073031833021</v>
      </c>
      <c r="M401" s="1">
        <f>[400]All!J$9</f>
        <v>3.5144969509635189</v>
      </c>
      <c r="N401" s="1">
        <f>[400]All!K$9</f>
        <v>2.6707776368903886</v>
      </c>
      <c r="O401" s="1">
        <f>[400]All!L$9</f>
        <v>3.2815180547555669</v>
      </c>
      <c r="Q401" s="1">
        <f>[400]All!N$9</f>
        <v>3.6646286603365379</v>
      </c>
      <c r="R401" s="1">
        <f>[400]All!O$9</f>
        <v>3.4637629708831992</v>
      </c>
      <c r="S401" s="1">
        <f>[400]All!P$9</f>
        <v>3.2525971356660355</v>
      </c>
      <c r="U401" s="1">
        <f>'[400]Prof (MC)'!$B$4</f>
        <v>3.4453341686638579</v>
      </c>
      <c r="V401" s="1">
        <f>'[400]Prof (MC)'!$C$4</f>
        <v>3.5614142305490035</v>
      </c>
      <c r="W401" s="1">
        <f>'[400]Prof (MC)'!$W$124</f>
        <v>0.2591526063448647</v>
      </c>
      <c r="X401" s="1">
        <f>'[400]Prof (MC)'!$Z$124</f>
        <v>8.2999437647016201</v>
      </c>
    </row>
    <row r="402" spans="1:24" x14ac:dyDescent="0.2">
      <c r="A402" t="s">
        <v>418</v>
      </c>
      <c r="B402" t="s">
        <v>435</v>
      </c>
      <c r="C402">
        <v>1250</v>
      </c>
      <c r="E402" s="1">
        <f>[401]All!B$9</f>
        <v>2.0886788703877244</v>
      </c>
      <c r="F402" s="1">
        <f>[401]All!C$9</f>
        <v>4.554732596117435</v>
      </c>
      <c r="G402" s="1">
        <f>[401]All!D$9</f>
        <v>2.0674083375152392</v>
      </c>
      <c r="H402" s="1">
        <f>[401]All!E$9</f>
        <v>3.4323385521030332</v>
      </c>
      <c r="I402" s="1">
        <f>[401]All!F$9</f>
        <v>0.29736009964552274</v>
      </c>
      <c r="J402" s="1">
        <f>[401]All!G$9</f>
        <v>0.25726108737638836</v>
      </c>
      <c r="K402" s="1">
        <f>[401]All!H$9</f>
        <v>2.0594552508533179</v>
      </c>
      <c r="L402" s="1">
        <f>[401]All!I$9</f>
        <v>4.8602148085630112</v>
      </c>
      <c r="M402" s="1">
        <f>[401]All!J$9</f>
        <v>0.8375251658769528</v>
      </c>
      <c r="N402" s="1">
        <f>[401]All!K$9</f>
        <v>1.6491911760846485</v>
      </c>
      <c r="O402" s="1">
        <f>[401]All!L$9</f>
        <v>3.5082849891180872</v>
      </c>
      <c r="Q402" s="1">
        <f>[401]All!N$9</f>
        <v>2.5645741013223557</v>
      </c>
      <c r="R402" s="1">
        <f>[401]All!O$9</f>
        <v>2.3284046303310331</v>
      </c>
      <c r="S402" s="1">
        <f>[401]All!P$9</f>
        <v>2.0674083375152392</v>
      </c>
      <c r="U402" s="1">
        <f>'[401]Prof (MC)'!$B$4</f>
        <v>2.2087650090120299</v>
      </c>
      <c r="V402" s="1">
        <f>'[401]Prof (MC)'!$C$4</f>
        <v>2.3570314499828893</v>
      </c>
      <c r="W402" s="1">
        <f>'[401]Prof (MC)'!$W$84</f>
        <v>2.2257433054286887E-7</v>
      </c>
      <c r="X402" s="1">
        <f>'[401]Prof (MC)'!$Z$84</f>
        <v>7.7932143843517192</v>
      </c>
    </row>
    <row r="403" spans="1:24" x14ac:dyDescent="0.2">
      <c r="A403" t="s">
        <v>419</v>
      </c>
      <c r="B403" t="s">
        <v>435</v>
      </c>
      <c r="C403">
        <v>1250</v>
      </c>
      <c r="E403" s="1">
        <f>[402]All!B$9</f>
        <v>3.4443640675942135</v>
      </c>
      <c r="F403" s="1">
        <f>[402]All!C$9</f>
        <v>3.4641055194628447</v>
      </c>
      <c r="G403" s="1">
        <f>[402]All!D$9</f>
        <v>5.6017773214469431</v>
      </c>
      <c r="H403" s="1">
        <f>[402]All!E$9</f>
        <v>4.0715605402759669</v>
      </c>
      <c r="I403" s="1">
        <f>[402]All!F$9</f>
        <v>4.6084578576699524</v>
      </c>
      <c r="J403" s="1">
        <f>[402]All!G$9</f>
        <v>1.2303773308819443</v>
      </c>
      <c r="K403" s="1">
        <f>[402]All!H$9</f>
        <v>3.0387324361384787</v>
      </c>
      <c r="L403" s="1">
        <f>[402]All!I$9</f>
        <v>5.4611211200207688</v>
      </c>
      <c r="M403" s="1">
        <f>[402]All!J$9</f>
        <v>3.7810121412407374</v>
      </c>
      <c r="N403" s="1">
        <f>[402]All!K$9</f>
        <v>3.0921630309480257</v>
      </c>
      <c r="O403" s="1">
        <f>[402]All!L$9</f>
        <v>5.1200235489670902</v>
      </c>
      <c r="Q403" s="1">
        <f>[402]All!N$9</f>
        <v>3.8990636665229381</v>
      </c>
      <c r="R403" s="1">
        <f>[402]All!O$9</f>
        <v>3.9012449922406329</v>
      </c>
      <c r="S403" s="1">
        <f>[402]All!P$9</f>
        <v>3.7810121412407374</v>
      </c>
      <c r="U403" s="1">
        <f>'[402]Prof (MC)'!$B$4</f>
        <v>3.7772672476505358</v>
      </c>
      <c r="V403" s="1">
        <f>'[402]Prof (MC)'!$C$4</f>
        <v>4.0512744557575164</v>
      </c>
      <c r="W403" s="1">
        <f>'[402]Prof (MC)'!$W$112</f>
        <v>2.240313263095794</v>
      </c>
      <c r="X403" s="1">
        <f>'[402]Prof (MC)'!$Z$112</f>
        <v>7.9364976789086148</v>
      </c>
    </row>
    <row r="404" spans="1:24" x14ac:dyDescent="0.2">
      <c r="A404" t="s">
        <v>420</v>
      </c>
      <c r="B404" t="s">
        <v>435</v>
      </c>
      <c r="C404">
        <v>1250</v>
      </c>
      <c r="E404" s="1">
        <f>[403]All!B$9</f>
        <v>4.7059894955333616E-3</v>
      </c>
      <c r="F404" s="1">
        <f>[403]All!C$9</f>
        <v>3.1235078288977394</v>
      </c>
      <c r="G404" s="1">
        <f>[403]All!D$9</f>
        <v>3.6939512343204584</v>
      </c>
      <c r="H404" s="1">
        <f>[403]All!E$9</f>
        <v>3.1035370531155699</v>
      </c>
      <c r="I404" s="1">
        <f>[403]All!F$9</f>
        <v>0.59585702641902849</v>
      </c>
      <c r="J404" s="1">
        <f>[403]All!G$9</f>
        <v>2.2093334522363262</v>
      </c>
      <c r="K404" s="1">
        <f>[403]All!H$9</f>
        <v>2.7241929856564</v>
      </c>
      <c r="L404" s="1">
        <f>[403]All!I$9</f>
        <v>3.5292521211241783</v>
      </c>
      <c r="M404" s="1">
        <f>[403]All!J$9</f>
        <v>1.4662329312638893</v>
      </c>
      <c r="N404" s="1">
        <f>[403]All!K$9</f>
        <v>3.4703050271035849</v>
      </c>
      <c r="O404" s="1">
        <f>[403]All!L$9</f>
        <v>4.0496643097225871</v>
      </c>
      <c r="Q404" s="1">
        <f>[403]All!N$9</f>
        <v>2.7177915770994323</v>
      </c>
      <c r="R404" s="1">
        <f>[403]All!O$9</f>
        <v>2.5427763599413904</v>
      </c>
      <c r="S404" s="1">
        <f>[403]All!P$9</f>
        <v>3.1035370531155699</v>
      </c>
      <c r="U404" s="1">
        <f>'[403]Prof (MC)'!$B$4</f>
        <v>2.7264115263000432</v>
      </c>
      <c r="V404" s="1">
        <f>'[403]Prof (MC)'!$C$4</f>
        <v>2.660008229576432</v>
      </c>
      <c r="W404" s="1">
        <f>'[403]Prof (MC)'!$W$84</f>
        <v>0.26187728977175195</v>
      </c>
      <c r="X404" s="1">
        <f>'[403]Prof (MC)'!$Z$84</f>
        <v>5.1950947109713494</v>
      </c>
    </row>
    <row r="405" spans="1:24" x14ac:dyDescent="0.2">
      <c r="A405" t="s">
        <v>421</v>
      </c>
      <c r="B405" t="s">
        <v>433</v>
      </c>
      <c r="C405">
        <v>1250</v>
      </c>
      <c r="E405" s="1">
        <f>[404]All!B$9</f>
        <v>0.24679051933956342</v>
      </c>
      <c r="F405" s="1">
        <f>[404]All!C$9</f>
        <v>3.300399930453235</v>
      </c>
      <c r="G405" s="1">
        <f>[404]All!D$9</f>
        <v>1.7947533431169662</v>
      </c>
      <c r="H405" s="1">
        <f>[404]All!E$9</f>
        <v>4.368663643886932</v>
      </c>
      <c r="I405" s="1">
        <f>[404]All!F$9</f>
        <v>1.3551812675767707</v>
      </c>
      <c r="J405" s="1">
        <f>[404]All!G$9</f>
        <v>0.19621029346494945</v>
      </c>
      <c r="K405" s="1">
        <f>[404]All!H$9</f>
        <v>0.16941688650289169</v>
      </c>
      <c r="L405" s="1">
        <f>[404]All!I$9</f>
        <v>1.971512048054231</v>
      </c>
      <c r="M405" s="1">
        <f>[404]All!J$9</f>
        <v>1.7054914155143632</v>
      </c>
      <c r="N405" s="1">
        <f>[404]All!K$9</f>
        <v>1.4505182391645421</v>
      </c>
      <c r="O405" s="1">
        <f>[404]All!L$9</f>
        <v>2.4751288534065354</v>
      </c>
      <c r="Q405" s="1">
        <f>[404]All!N$9</f>
        <v>1.6699824896396804</v>
      </c>
      <c r="R405" s="1">
        <f>[404]All!O$9</f>
        <v>1.7303696764073619</v>
      </c>
      <c r="S405" s="1">
        <f>[404]All!P$9</f>
        <v>1.7054914155143632</v>
      </c>
      <c r="U405" s="1">
        <f>'[404]Prof (MC)'!$B$4</f>
        <v>1.368759999213681</v>
      </c>
      <c r="V405" s="1">
        <f>'[404]Prof (MC)'!$C$4</f>
        <v>2.3247961699854982</v>
      </c>
      <c r="W405" s="1">
        <f>'[404]Prof (MC)'!$W$82</f>
        <v>6.1762575074446616E-2</v>
      </c>
      <c r="X405" s="1">
        <f>'[404]Prof (MC)'!$Z$82</f>
        <v>6.8944047972614815</v>
      </c>
    </row>
    <row r="406" spans="1:24" x14ac:dyDescent="0.2">
      <c r="A406" t="s">
        <v>422</v>
      </c>
      <c r="B406" t="s">
        <v>434</v>
      </c>
      <c r="C406">
        <v>1800</v>
      </c>
      <c r="E406" s="1">
        <f>[405]All!B$9</f>
        <v>5.2838242170544243</v>
      </c>
      <c r="F406" s="1">
        <f>[405]All!C$9</f>
        <v>6.0148002777798792</v>
      </c>
      <c r="G406" s="1">
        <f>[405]All!D$9</f>
        <v>5.4292643058286387</v>
      </c>
      <c r="H406" s="1">
        <f>[405]All!E$9</f>
        <v>3.9867707334666287</v>
      </c>
      <c r="I406" s="1">
        <f>[405]All!F$9</f>
        <v>4.8459813688401887</v>
      </c>
      <c r="J406" s="1">
        <f>[405]All!G$9</f>
        <v>5.8753328794928681</v>
      </c>
      <c r="K406" s="1">
        <f>[405]All!H$9</f>
        <v>6.1918169485170838</v>
      </c>
      <c r="L406" s="1">
        <f>[405]All!I$9</f>
        <v>6.1653943244665106</v>
      </c>
      <c r="M406" s="1">
        <f>[405]All!J$9</f>
        <v>6.4234154018921057</v>
      </c>
      <c r="N406" s="1">
        <f>[405]All!K$9</f>
        <v>6.415705831984682</v>
      </c>
      <c r="O406" s="1">
        <f>[405]All!L$9</f>
        <v>5.607642371544749</v>
      </c>
      <c r="Q406" s="1">
        <f>[405]All!N$9</f>
        <v>5.6890398789402434</v>
      </c>
      <c r="R406" s="1">
        <f>[405]All!O$9</f>
        <v>5.6581771509879779</v>
      </c>
      <c r="S406" s="1">
        <f>[405]All!P$9</f>
        <v>5.8753328794928681</v>
      </c>
      <c r="U406" s="1">
        <f>'[405]Prof (MC)'!$B$4</f>
        <v>5.6787381488667767</v>
      </c>
      <c r="V406" s="1">
        <f>'[405]Prof (MC)'!$C$4</f>
        <v>5.7241223855533265</v>
      </c>
      <c r="W406" s="1">
        <f>'[405]Prof (MC)'!$W$126</f>
        <v>4.6636907413846433</v>
      </c>
      <c r="X406" s="1">
        <f>'[405]Prof (MC)'!$Z$126</f>
        <v>7.2912238246768597</v>
      </c>
    </row>
    <row r="407" spans="1:24" x14ac:dyDescent="0.2">
      <c r="A407" t="s">
        <v>423</v>
      </c>
      <c r="B407" t="s">
        <v>434</v>
      </c>
      <c r="C407">
        <v>1800</v>
      </c>
      <c r="E407" s="1">
        <f>[406]All!B$9</f>
        <v>4.8037985413152411</v>
      </c>
      <c r="F407" s="1">
        <f>[406]All!C$9</f>
        <v>2.029042183440287</v>
      </c>
      <c r="G407" s="1">
        <f>[406]All!D$9</f>
        <v>3.3916348859191716</v>
      </c>
      <c r="H407" s="1">
        <f>[406]All!E$9</f>
        <v>3.7342297715355643</v>
      </c>
      <c r="I407" s="1">
        <f>[406]All!F$9</f>
        <v>3.9338785801073617</v>
      </c>
      <c r="J407" s="1">
        <f>[406]All!G$9</f>
        <v>5.1910992819263218</v>
      </c>
      <c r="K407" s="1">
        <f>[406]All!H$9</f>
        <v>5.0653496570894516</v>
      </c>
      <c r="L407" s="1">
        <f>[406]All!I$9</f>
        <v>5.7773447548025922</v>
      </c>
      <c r="M407" s="1">
        <f>[406]All!J$9</f>
        <v>4.5551403060873037</v>
      </c>
      <c r="N407" s="1">
        <f>[406]All!K$9</f>
        <v>3.8552847380680619</v>
      </c>
      <c r="O407" s="1">
        <f>[406]All!L$9</f>
        <v>5.2947938931430256</v>
      </c>
      <c r="Q407" s="1">
        <f>[406]All!N$9</f>
        <v>4.4231449117659851</v>
      </c>
      <c r="R407" s="1">
        <f>[406]All!O$9</f>
        <v>4.3301451448576707</v>
      </c>
      <c r="S407" s="1">
        <f>[406]All!P$9</f>
        <v>4.5551403060873037</v>
      </c>
      <c r="U407" s="1">
        <f>'[406]Prof (MC)'!$B$4</f>
        <v>4.4313881999999998</v>
      </c>
      <c r="V407" s="1">
        <f>'[406]Prof (MC)'!$C$4</f>
        <v>4.4115397870695876</v>
      </c>
      <c r="W407" s="1">
        <f>'[406]Prof (MC)'!$W$102</f>
        <v>2.422712420615202</v>
      </c>
      <c r="X407" s="1">
        <f>'[406]Prof (MC)'!$Z$102</f>
        <v>6.6924759870669943</v>
      </c>
    </row>
    <row r="408" spans="1:24" x14ac:dyDescent="0.2">
      <c r="A408" t="s">
        <v>424</v>
      </c>
      <c r="B408" t="s">
        <v>434</v>
      </c>
      <c r="C408">
        <v>1800</v>
      </c>
      <c r="E408" s="1">
        <f>[407]All!B$9</f>
        <v>3.0785313006920982</v>
      </c>
      <c r="F408" s="1">
        <f>[407]All!C$9</f>
        <v>3.6821024502901945</v>
      </c>
      <c r="G408" s="1">
        <f>[407]All!D$9</f>
        <v>1.5009692234856649</v>
      </c>
      <c r="H408" s="1">
        <f>[407]All!E$9</f>
        <v>1.4691011471776081</v>
      </c>
      <c r="I408" s="1">
        <f>[407]All!F$9</f>
        <v>3.9084104720131245</v>
      </c>
      <c r="J408" s="1">
        <f>[407]All!G$9</f>
        <v>1.2048774043554296</v>
      </c>
      <c r="K408" s="1">
        <f>[407]All!H$9</f>
        <v>1.1090377614346618</v>
      </c>
      <c r="L408" s="1">
        <f>[407]All!I$9</f>
        <v>1.7650026664237637</v>
      </c>
      <c r="M408" s="1">
        <f>[407]All!J$9</f>
        <v>0.99338785235481564</v>
      </c>
      <c r="N408" s="1">
        <f>[407]All!K$9</f>
        <v>1.7456159928376107</v>
      </c>
      <c r="O408" s="1">
        <f>[407]All!L$9</f>
        <v>3.3743851306940496</v>
      </c>
      <c r="Q408" s="1">
        <f>[407]All!N$9</f>
        <v>2.3462706452634174</v>
      </c>
      <c r="R408" s="1">
        <f>[407]All!O$9</f>
        <v>2.166492854705365</v>
      </c>
      <c r="S408" s="1">
        <f>[407]All!P$9</f>
        <v>1.7456159928376107</v>
      </c>
      <c r="U408" s="1">
        <f>'[407]Prof (MC)'!$B$4</f>
        <v>2.1313764611365045</v>
      </c>
      <c r="V408" s="1">
        <f>'[407]Prof (MC)'!$C$4</f>
        <v>2.2854825842654845</v>
      </c>
      <c r="W408" s="1">
        <f>'[407]Prof (MC)'!$W$114</f>
        <v>0.22605977709413944</v>
      </c>
      <c r="X408" s="1">
        <f>'[407]Prof (MC)'!$Z$114</f>
        <v>5.6142991260994277</v>
      </c>
    </row>
    <row r="409" spans="1:24" x14ac:dyDescent="0.2">
      <c r="A409" t="s">
        <v>425</v>
      </c>
      <c r="B409" t="s">
        <v>435</v>
      </c>
      <c r="C409">
        <v>1800</v>
      </c>
      <c r="E409" s="1">
        <f>[408]All!B$9</f>
        <v>2.7196350526142434</v>
      </c>
      <c r="F409" s="1">
        <f>[408]All!C$9</f>
        <v>2.4635586899422783</v>
      </c>
      <c r="G409" s="1">
        <f>[408]All!D$9</f>
        <v>2.4118274442897434</v>
      </c>
      <c r="H409" s="1">
        <f>[408]All!E$9</f>
        <v>3.1140861937346882</v>
      </c>
      <c r="I409" s="1">
        <f>[408]All!F$9</f>
        <v>2.7700763536851714</v>
      </c>
      <c r="J409" s="1">
        <f>[408]All!G$9</f>
        <v>2.9623869391392215</v>
      </c>
      <c r="K409" s="1">
        <f>[408]All!H$9</f>
        <v>2.8283131849870475</v>
      </c>
      <c r="L409" s="1">
        <f>[408]All!I$9</f>
        <v>2.0449200597106345</v>
      </c>
      <c r="M409" s="1">
        <f>[408]All!J$9</f>
        <v>1.8523776331719308</v>
      </c>
      <c r="N409" s="1">
        <f>[408]All!K$9</f>
        <v>2.0528494433853544</v>
      </c>
      <c r="O409" s="1">
        <f>[408]All!L$9</f>
        <v>2.3421504177965971</v>
      </c>
      <c r="Q409" s="1">
        <f>[408]All!N$9</f>
        <v>2.5476290237210626</v>
      </c>
      <c r="R409" s="1">
        <f>[408]All!O$9</f>
        <v>2.5056528556779005</v>
      </c>
      <c r="S409" s="1">
        <f>[408]All!P$9</f>
        <v>2.4635586899422783</v>
      </c>
      <c r="U409" s="1">
        <f>'[408]Prof (MC)'!$B$4</f>
        <v>2.4855913509507026</v>
      </c>
      <c r="V409" s="1">
        <f>'[408]Prof (MC)'!$C$4</f>
        <v>2.504746445706556</v>
      </c>
      <c r="W409" s="1">
        <f>'[408]Prof (MC)'!$W$76</f>
        <v>1.6246669983373225</v>
      </c>
      <c r="X409" s="1">
        <f>'[408]Prof (MC)'!$Z$76</f>
        <v>3.6303358000000001</v>
      </c>
    </row>
    <row r="410" spans="1:24" x14ac:dyDescent="0.2">
      <c r="A410" t="s">
        <v>426</v>
      </c>
      <c r="B410" t="s">
        <v>435</v>
      </c>
      <c r="C410">
        <v>1800</v>
      </c>
      <c r="E410" s="1">
        <f>[409]All!B$9</f>
        <v>3.5815328683684093</v>
      </c>
      <c r="F410" s="1">
        <f>[409]All!C$9</f>
        <v>3.7743252022700617</v>
      </c>
      <c r="G410" s="1">
        <f>[409]All!D$9</f>
        <v>4.7982843105370101</v>
      </c>
      <c r="H410" s="1">
        <f>[409]All!E$9</f>
        <v>2.9987844075125287</v>
      </c>
      <c r="I410" s="1">
        <f>[409]All!F$9</f>
        <v>3.5640773098203882</v>
      </c>
      <c r="J410" s="1">
        <f>[409]All!G$9</f>
        <v>3.3040148620880108</v>
      </c>
      <c r="K410" s="1">
        <f>[409]All!H$9</f>
        <v>4.2594284474265756</v>
      </c>
      <c r="L410" s="1">
        <f>[409]All!I$9</f>
        <v>3.7251537354147248</v>
      </c>
      <c r="M410" s="1">
        <f>[409]All!J$9</f>
        <v>2.359601340686333</v>
      </c>
      <c r="N410" s="1">
        <f>[409]All!K$9</f>
        <v>2.7087462480470985</v>
      </c>
      <c r="O410" s="1">
        <f>[409]All!L$9</f>
        <v>3.0766266797120063</v>
      </c>
      <c r="Q410" s="1">
        <f>[409]All!N$9</f>
        <v>3.4821063992586829</v>
      </c>
      <c r="R410" s="1">
        <f>[409]All!O$9</f>
        <v>3.4682341283530134</v>
      </c>
      <c r="S410" s="1">
        <f>[409]All!P$9</f>
        <v>3.5640773098203882</v>
      </c>
      <c r="U410" s="1">
        <f>'[409]Prof (MC)'!$B$4</f>
        <v>3.4535575922707684</v>
      </c>
      <c r="V410" s="1">
        <f>'[409]Prof (MC)'!$C$4</f>
        <v>3.500481673813606</v>
      </c>
      <c r="W410" s="1">
        <f>'[409]Prof (MC)'!$W$94</f>
        <v>2.4801765910384597</v>
      </c>
      <c r="X410" s="1">
        <f>'[409]Prof (MC)'!$Z$94</f>
        <v>4.5434649042566324</v>
      </c>
    </row>
    <row r="411" spans="1:24" x14ac:dyDescent="0.2">
      <c r="A411" t="s">
        <v>427</v>
      </c>
      <c r="B411" t="s">
        <v>435</v>
      </c>
      <c r="C411">
        <v>1800</v>
      </c>
      <c r="E411" s="1">
        <f>[410]All!B$9</f>
        <v>1.7826564926385395</v>
      </c>
      <c r="F411" s="1">
        <f>[410]All!C$9</f>
        <v>1.5475899429582782</v>
      </c>
      <c r="G411" s="1">
        <f>[410]All!D$9</f>
        <v>1.1928554602539534</v>
      </c>
      <c r="H411" s="1">
        <f>[410]All!E$9</f>
        <v>1.2891329415288766</v>
      </c>
      <c r="I411" s="1">
        <f>[410]All!F$9</f>
        <v>1.9256913360886045</v>
      </c>
      <c r="J411" s="1">
        <f>[410]All!G$9</f>
        <v>1.3880926485618235</v>
      </c>
      <c r="K411" s="1">
        <f>[410]All!H$9</f>
        <v>2.4499315731142457</v>
      </c>
      <c r="L411" s="1">
        <f>[410]All!I$9</f>
        <v>2.1721981279436653</v>
      </c>
      <c r="M411" s="1">
        <f>[410]All!J$9</f>
        <v>1.728156756740366</v>
      </c>
      <c r="N411" s="1">
        <f>[410]All!K$9</f>
        <v>1.1887299070334005</v>
      </c>
      <c r="O411" s="1">
        <f>[410]All!L$9</f>
        <v>1.4188039168175424</v>
      </c>
      <c r="Q411" s="1">
        <f>[410]All!N$9</f>
        <v>1.6148839045755503</v>
      </c>
      <c r="R411" s="1">
        <f>[410]All!O$9</f>
        <v>1.6439853730617542</v>
      </c>
      <c r="S411" s="1">
        <f>[410]All!P$9</f>
        <v>1.5475899429582782</v>
      </c>
      <c r="U411" s="1">
        <f>'[410]Prof (MC)'!$B$4</f>
        <v>1.5070958271056727</v>
      </c>
      <c r="V411" s="1">
        <f>'[410]Prof (MC)'!$C$4</f>
        <v>1.5574883515564217</v>
      </c>
      <c r="W411" s="1">
        <f>'[410]Prof (MC)'!$W$70</f>
        <v>0.34693489992462873</v>
      </c>
      <c r="X411" s="1">
        <f>'[410]Prof (MC)'!$Z$70</f>
        <v>2.5111590702252395</v>
      </c>
    </row>
    <row r="412" spans="1:24" x14ac:dyDescent="0.2">
      <c r="A412" t="s">
        <v>428</v>
      </c>
      <c r="B412" t="s">
        <v>437</v>
      </c>
      <c r="C412">
        <v>1800</v>
      </c>
      <c r="E412" s="1">
        <f>[411]All!B$9</f>
        <v>0.12568665162676787</v>
      </c>
      <c r="F412" s="1">
        <f>[411]All!C$9</f>
        <v>5.3235684994595599E-2</v>
      </c>
      <c r="G412" s="1">
        <f>[411]All!D$9</f>
        <v>8.6955845187728607E-3</v>
      </c>
      <c r="H412" s="1">
        <f>[411]All!E$9</f>
        <v>0.16364191934208702</v>
      </c>
      <c r="I412" s="1">
        <f>[411]All!F$9</f>
        <v>2.5811313342786652E-2</v>
      </c>
      <c r="J412" s="1">
        <f>[411]All!G$9</f>
        <v>0.1350119673877028</v>
      </c>
      <c r="K412" s="1">
        <f>[411]All!H$9</f>
        <v>3.6796889999999999E-3</v>
      </c>
      <c r="L412" s="1">
        <f>[411]All!I$9</f>
        <v>3.1376827000000003E-2</v>
      </c>
      <c r="M412" s="1">
        <f>[411]All!J$9</f>
        <v>0.154071488861488</v>
      </c>
      <c r="N412" s="1">
        <f>[411]All!K$9</f>
        <v>1.7877314665231754</v>
      </c>
      <c r="O412" s="1">
        <f>[411]All!L$9</f>
        <v>0.05</v>
      </c>
      <c r="Q412" s="1">
        <f>[411]All!N$9</f>
        <v>0.10198216271874812</v>
      </c>
      <c r="R412" s="1">
        <f>[411]All!O$9</f>
        <v>0.23081296296339782</v>
      </c>
      <c r="S412" s="1">
        <f>[411]All!P$9</f>
        <v>5.3235684994595599E-2</v>
      </c>
      <c r="U412" s="1">
        <f>'[411]Prof (MC)'!$B$4</f>
        <v>0.10191601173050926</v>
      </c>
      <c r="V412" s="1">
        <f>'[411]Prof (MC)'!$C$4</f>
        <v>0.11100478562456191</v>
      </c>
      <c r="W412" s="1">
        <f>'[411]Prof (MC)'!$W$74</f>
        <v>0.10018325461982788</v>
      </c>
      <c r="X412" s="1">
        <f>'[411]Prof (MC)'!$Z$74</f>
        <v>0.10406892715848781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_t"/>
  <dimension ref="A1:AD412"/>
  <sheetViews>
    <sheetView zoomScaleNormal="100" workbookViewId="0">
      <pane ySplit="1" topLeftCell="A2" activePane="bottomLeft" state="frozen"/>
      <selection activeCell="M1" sqref="M1"/>
      <selection pane="bottomLeft"/>
    </sheetView>
  </sheetViews>
  <sheetFormatPr baseColWidth="10" defaultColWidth="9.1640625" defaultRowHeight="15" x14ac:dyDescent="0.2"/>
  <cols>
    <col min="1" max="1" width="26.1640625" bestFit="1" customWidth="1"/>
    <col min="2" max="2" width="13.6640625" customWidth="1"/>
    <col min="3" max="3" width="13.33203125" customWidth="1"/>
    <col min="4" max="4" width="15.83203125" customWidth="1"/>
    <col min="5" max="5" width="12.6640625" customWidth="1"/>
    <col min="6" max="6" width="16" customWidth="1"/>
    <col min="7" max="7" width="10.5" customWidth="1"/>
    <col min="8" max="8" width="11.6640625" customWidth="1"/>
    <col min="9" max="19" width="9.5" customWidth="1"/>
    <col min="21" max="21" width="12.1640625" bestFit="1" customWidth="1"/>
    <col min="22" max="23" width="9.5" customWidth="1"/>
    <col min="25" max="25" width="17.6640625" bestFit="1" customWidth="1"/>
    <col min="26" max="26" width="14.1640625" bestFit="1" customWidth="1"/>
    <col min="27" max="27" width="16.5" bestFit="1" customWidth="1"/>
    <col min="28" max="28" width="17" bestFit="1" customWidth="1"/>
    <col min="29" max="30" width="17" customWidth="1"/>
  </cols>
  <sheetData>
    <row r="1" spans="1:30" s="5" customFormat="1" x14ac:dyDescent="0.2">
      <c r="A1" s="5" t="s">
        <v>439</v>
      </c>
      <c r="B1" s="5" t="s">
        <v>440</v>
      </c>
      <c r="C1" s="5" t="s">
        <v>447</v>
      </c>
      <c r="D1" s="5" t="s">
        <v>442</v>
      </c>
      <c r="E1" s="5" t="s">
        <v>441</v>
      </c>
      <c r="F1" s="5" t="s">
        <v>443</v>
      </c>
      <c r="H1" s="10" t="s">
        <v>863</v>
      </c>
      <c r="I1" s="7" t="s">
        <v>17</v>
      </c>
      <c r="J1" s="7" t="s">
        <v>16</v>
      </c>
      <c r="K1" s="7" t="s">
        <v>15</v>
      </c>
      <c r="L1" s="7" t="s">
        <v>14</v>
      </c>
      <c r="M1" s="7" t="s">
        <v>13</v>
      </c>
      <c r="N1" s="7" t="s">
        <v>12</v>
      </c>
      <c r="O1" s="7" t="s">
        <v>11</v>
      </c>
      <c r="P1" s="7" t="s">
        <v>10</v>
      </c>
      <c r="Q1" s="7" t="s">
        <v>9</v>
      </c>
      <c r="R1" s="7" t="s">
        <v>8</v>
      </c>
      <c r="S1" s="7" t="s">
        <v>7</v>
      </c>
      <c r="T1" s="8"/>
      <c r="U1" s="8" t="s">
        <v>6</v>
      </c>
      <c r="V1" s="8" t="s">
        <v>5</v>
      </c>
      <c r="W1" s="8" t="s">
        <v>4</v>
      </c>
      <c r="Y1" s="8" t="s">
        <v>3</v>
      </c>
      <c r="Z1" s="8" t="s">
        <v>2</v>
      </c>
      <c r="AA1" s="8" t="s">
        <v>444</v>
      </c>
      <c r="AB1" s="8" t="s">
        <v>445</v>
      </c>
      <c r="AC1" s="8" t="s">
        <v>429</v>
      </c>
      <c r="AD1" s="8" t="s">
        <v>430</v>
      </c>
    </row>
    <row r="2" spans="1:30" x14ac:dyDescent="0.2">
      <c r="A2" t="str">
        <f>'L-Values'!A2</f>
        <v>CGI001-qtz01-CL-fit-1-offset</v>
      </c>
      <c r="B2">
        <v>750</v>
      </c>
      <c r="C2">
        <f>0.00000007*EXP(-273/(0.00831451*(B2+273)))</f>
        <v>8.0537892000481889E-22</v>
      </c>
      <c r="D2">
        <v>2100</v>
      </c>
      <c r="E2">
        <v>1024</v>
      </c>
      <c r="F2">
        <f>D2/E2</f>
        <v>2.05078125</v>
      </c>
      <c r="I2" s="2">
        <f>('L-Values'!E2*'D(Ti_Cherniak) Times'!$F2*0.000001)^2/(4*'D(Ti_Cherniak) Times'!$C2)/(365.35*24*3600)</f>
        <v>1332.0011238203681</v>
      </c>
      <c r="J2" s="2">
        <f>('L-Values'!F2*'D(Ti_Cherniak) Times'!$F2*0.000001)^2/(4*'D(Ti_Cherniak) Times'!$C2)/(365.35*24*3600)</f>
        <v>1662.2644622736036</v>
      </c>
      <c r="K2" s="2">
        <f>('L-Values'!G2*'D(Ti_Cherniak) Times'!$F2*0.000001)^2/(4*'D(Ti_Cherniak) Times'!$C2)/(365.35*24*3600)</f>
        <v>2974.416324102408</v>
      </c>
      <c r="L2" s="2">
        <f>('L-Values'!H2*'D(Ti_Cherniak) Times'!$F2*0.000001)^2/(4*'D(Ti_Cherniak) Times'!$C2)/(365.35*24*3600)</f>
        <v>3159.8695757741712</v>
      </c>
      <c r="M2" s="2">
        <f>('L-Values'!I2*'D(Ti_Cherniak) Times'!$F2*0.000001)^2/(4*'D(Ti_Cherniak) Times'!$C2)/(365.35*24*3600)</f>
        <v>2981.0496736662649</v>
      </c>
      <c r="N2" s="2">
        <f>('L-Values'!J2*'D(Ti_Cherniak) Times'!$F2*0.000001)^2/(4*'D(Ti_Cherniak) Times'!$C2)/(365.35*24*3600)</f>
        <v>889.64000085570376</v>
      </c>
      <c r="O2" s="2">
        <f>('L-Values'!K2*'D(Ti_Cherniak) Times'!$F2*0.000001)^2/(4*'D(Ti_Cherniak) Times'!$C2)/(365.35*24*3600)</f>
        <v>1323.7177311251592</v>
      </c>
      <c r="P2" s="2">
        <f>('L-Values'!L2*'D(Ti_Cherniak) Times'!$F2*0.000001)^2/(4*'D(Ti_Cherniak) Times'!$C2)/(365.35*24*3600)</f>
        <v>1001.437684507216</v>
      </c>
      <c r="Q2" s="2">
        <f>('L-Values'!M2*'D(Ti_Cherniak) Times'!$F2*0.000001)^2/(4*'D(Ti_Cherniak) Times'!$C2)/(365.35*24*3600)</f>
        <v>784.84610788650264</v>
      </c>
      <c r="R2" s="2">
        <f>('L-Values'!N2*'D(Ti_Cherniak) Times'!$F2*0.000001)^2/(4*'D(Ti_Cherniak) Times'!$C2)/(365.35*24*3600)</f>
        <v>878.79171479090257</v>
      </c>
      <c r="S2" s="2">
        <f>('L-Values'!O2*'D(Ti_Cherniak) Times'!$F2*0.000001)^2/(4*'D(Ti_Cherniak) Times'!$C2)/(365.35*24*3600)</f>
        <v>784.11389198052075</v>
      </c>
      <c r="T2" s="2"/>
      <c r="U2" s="2">
        <f>('L-Values'!Q2*'D(Ti_Cherniak) Times'!$F2*0.000001)^2/(4*'D(Ti_Cherniak) Times'!$C2)/(365.35*24*3600)</f>
        <v>1325.4920287047491</v>
      </c>
      <c r="V2" s="2">
        <f>('L-Values'!R2*'D(Ti_Cherniak) Times'!$F2*0.000001)^2/(4*'D(Ti_Cherniak) Times'!$C2)/(365.35*24*3600)</f>
        <v>1500.7468213270904</v>
      </c>
      <c r="W2" s="2">
        <f>('L-Values'!S2*'D(Ti_Cherniak) Times'!$F2*0.000001)^2/(4*'D(Ti_Cherniak) Times'!$C2)/(365.35*24*3600)</f>
        <v>1323.7177311251592</v>
      </c>
      <c r="X2" s="2"/>
      <c r="Y2" s="2">
        <f>('L-Values'!U2*'D(Ti_Cherniak) Times'!$F2*0.000001)^2/(4*'D(Ti_Cherniak) Times'!$C2)/(365.35*24*3600)</f>
        <v>1307.3489996993692</v>
      </c>
      <c r="Z2" s="2">
        <f>('L-Values'!V2*'D(Ti_Cherniak) Times'!$F2*0.000001)^2/(4*'D(Ti_Cherniak) Times'!$C2)/(365.35*24*3600)</f>
        <v>1332.054413461698</v>
      </c>
      <c r="AA2" s="2">
        <f>('L-Values'!W2*'D(Ti_Cherniak) Times'!$F2*0.000001)^2/(4*'D(Ti_Cherniak) Times'!$C2)/(365.35*24*3600)</f>
        <v>383.70743232615541</v>
      </c>
      <c r="AB2" s="2">
        <f>('L-Values'!X2*'D(Ti_Cherniak) Times'!$F2*0.000001)^2/(4*'D(Ti_Cherniak) Times'!$C2)/(365.35*24*3600)</f>
        <v>2903.2998980790239</v>
      </c>
      <c r="AC2" s="2">
        <f>Z2-AA2</f>
        <v>948.34698113554259</v>
      </c>
      <c r="AD2" s="2">
        <f>AB2-Z2</f>
        <v>1571.2454846173259</v>
      </c>
    </row>
    <row r="3" spans="1:30" x14ac:dyDescent="0.2">
      <c r="A3" t="str">
        <f>'L-Values'!A3</f>
        <v>CGI001-qtz01-CL-fit-2</v>
      </c>
      <c r="B3">
        <v>750</v>
      </c>
      <c r="C3">
        <f t="shared" ref="C3:C66" si="0">0.00000007*EXP(-273/(0.00831451*(B3+273)))</f>
        <v>8.0537892000481889E-22</v>
      </c>
      <c r="D3">
        <v>2100</v>
      </c>
      <c r="E3">
        <v>1024</v>
      </c>
      <c r="F3">
        <f t="shared" ref="F3:F66" si="1">D3/E3</f>
        <v>2.05078125</v>
      </c>
      <c r="I3" s="2">
        <f>('L-Values'!E3*'D(Ti_Cherniak) Times'!$F3*0.000001)^2/(4*'D(Ti_Cherniak) Times'!$C3)/(365.35*24*3600)</f>
        <v>5170.9691160561688</v>
      </c>
      <c r="J3" s="2">
        <f>('L-Values'!F3*'D(Ti_Cherniak) Times'!$F3*0.000001)^2/(4*'D(Ti_Cherniak) Times'!$C3)/(365.35*24*3600)</f>
        <v>4795.8259814528146</v>
      </c>
      <c r="K3" s="2">
        <f>('L-Values'!G3*'D(Ti_Cherniak) Times'!$F3*0.000001)^2/(4*'D(Ti_Cherniak) Times'!$C3)/(365.35*24*3600)</f>
        <v>4567.0059176433933</v>
      </c>
      <c r="L3" s="2">
        <f>('L-Values'!H3*'D(Ti_Cherniak) Times'!$F3*0.000001)^2/(4*'D(Ti_Cherniak) Times'!$C3)/(365.35*24*3600)</f>
        <v>3727.8864278975743</v>
      </c>
      <c r="M3" s="2">
        <f>('L-Values'!I3*'D(Ti_Cherniak) Times'!$F3*0.000001)^2/(4*'D(Ti_Cherniak) Times'!$C3)/(365.35*24*3600)</f>
        <v>5643.8115402485328</v>
      </c>
      <c r="N3" s="2">
        <f>('L-Values'!J3*'D(Ti_Cherniak) Times'!$F3*0.000001)^2/(4*'D(Ti_Cherniak) Times'!$C3)/(365.35*24*3600)</f>
        <v>5376.6265909829126</v>
      </c>
      <c r="O3" s="2">
        <f>('L-Values'!K3*'D(Ti_Cherniak) Times'!$F3*0.000001)^2/(4*'D(Ti_Cherniak) Times'!$C3)/(365.35*24*3600)</f>
        <v>6011.6209541309954</v>
      </c>
      <c r="P3" s="2">
        <f>('L-Values'!L3*'D(Ti_Cherniak) Times'!$F3*0.000001)^2/(4*'D(Ti_Cherniak) Times'!$C3)/(365.35*24*3600)</f>
        <v>5523.6016385671055</v>
      </c>
      <c r="Q3" s="2">
        <f>('L-Values'!M3*'D(Ti_Cherniak) Times'!$F3*0.000001)^2/(4*'D(Ti_Cherniak) Times'!$C3)/(365.35*24*3600)</f>
        <v>6269.3174949686218</v>
      </c>
      <c r="R3" s="2">
        <f>('L-Values'!N3*'D(Ti_Cherniak) Times'!$F3*0.000001)^2/(4*'D(Ti_Cherniak) Times'!$C3)/(365.35*24*3600)</f>
        <v>5598.4867511476969</v>
      </c>
      <c r="S3" s="2">
        <f>('L-Values'!O3*'D(Ti_Cherniak) Times'!$F3*0.000001)^2/(4*'D(Ti_Cherniak) Times'!$C3)/(365.35*24*3600)</f>
        <v>5356.5297953273239</v>
      </c>
      <c r="T3" s="2"/>
      <c r="U3" s="2">
        <f>('L-Values'!Q3*'D(Ti_Cherniak) Times'!$F3*0.000001)^2/(4*'D(Ti_Cherniak) Times'!$C3)/(365.35*24*3600)</f>
        <v>5247.4316896308219</v>
      </c>
      <c r="V3" s="2">
        <f>('L-Values'!R3*'D(Ti_Cherniak) Times'!$F3*0.000001)^2/(4*'D(Ti_Cherniak) Times'!$C3)/(365.35*24*3600)</f>
        <v>5253.5368060329474</v>
      </c>
      <c r="W3" s="2">
        <f>('L-Values'!S3*'D(Ti_Cherniak) Times'!$F3*0.000001)^2/(4*'D(Ti_Cherniak) Times'!$C3)/(365.35*24*3600)</f>
        <v>5376.6265909829126</v>
      </c>
      <c r="X3" s="2"/>
      <c r="Y3" s="2">
        <f>('L-Values'!U3*'D(Ti_Cherniak) Times'!$F3*0.000001)^2/(4*'D(Ti_Cherniak) Times'!$C3)/(365.35*24*3600)</f>
        <v>5086.2311676823801</v>
      </c>
      <c r="Z3" s="2">
        <f>('L-Values'!V3*'D(Ti_Cherniak) Times'!$F3*0.000001)^2/(4*'D(Ti_Cherniak) Times'!$C3)/(365.35*24*3600)</f>
        <v>5117.758369658889</v>
      </c>
      <c r="AA3" s="2">
        <f>('L-Values'!W3*'D(Ti_Cherniak) Times'!$F3*0.000001)^2/(4*'D(Ti_Cherniak) Times'!$C3)/(365.35*24*3600)</f>
        <v>3644.7718151952804</v>
      </c>
      <c r="AB3" s="2">
        <f>('L-Values'!X3*'D(Ti_Cherniak) Times'!$F3*0.000001)^2/(4*'D(Ti_Cherniak) Times'!$C3)/(365.35*24*3600)</f>
        <v>7022.6611382616493</v>
      </c>
      <c r="AC3" s="2">
        <f t="shared" ref="AC3:AC66" si="2">Z3-AA3</f>
        <v>1472.9865544636086</v>
      </c>
      <c r="AD3" s="2">
        <f t="shared" ref="AD3:AD66" si="3">AB3-Z3</f>
        <v>1904.9027686027603</v>
      </c>
    </row>
    <row r="4" spans="1:30" x14ac:dyDescent="0.2">
      <c r="A4" t="str">
        <f>'L-Values'!A4</f>
        <v>CGI001-qtz01-CL-fit-3</v>
      </c>
      <c r="B4">
        <v>750</v>
      </c>
      <c r="C4">
        <f t="shared" si="0"/>
        <v>8.0537892000481889E-22</v>
      </c>
      <c r="D4">
        <v>2100</v>
      </c>
      <c r="E4">
        <v>1024</v>
      </c>
      <c r="F4">
        <f t="shared" si="1"/>
        <v>2.05078125</v>
      </c>
      <c r="I4" s="2">
        <f>('L-Values'!E4*'D(Ti_Cherniak) Times'!$F4*0.000001)^2/(4*'D(Ti_Cherniak) Times'!$C4)/(365.35*24*3600)</f>
        <v>897.81472526980838</v>
      </c>
      <c r="J4" s="2">
        <f>('L-Values'!F4*'D(Ti_Cherniak) Times'!$F4*0.000001)^2/(4*'D(Ti_Cherniak) Times'!$C4)/(365.35*24*3600)</f>
        <v>1246.93717062418</v>
      </c>
      <c r="K4" s="2">
        <f>('L-Values'!G4*'D(Ti_Cherniak) Times'!$F4*0.000001)^2/(4*'D(Ti_Cherniak) Times'!$C4)/(365.35*24*3600)</f>
        <v>1121.8066404477272</v>
      </c>
      <c r="L4" s="2">
        <f>('L-Values'!H4*'D(Ti_Cherniak) Times'!$F4*0.000001)^2/(4*'D(Ti_Cherniak) Times'!$C4)/(365.35*24*3600)</f>
        <v>1034.2226177471864</v>
      </c>
      <c r="M4" s="2">
        <f>('L-Values'!I4*'D(Ti_Cherniak) Times'!$F4*0.000001)^2/(4*'D(Ti_Cherniak) Times'!$C4)/(365.35*24*3600)</f>
        <v>818.42232464845358</v>
      </c>
      <c r="N4" s="2">
        <f>('L-Values'!J4*'D(Ti_Cherniak) Times'!$F4*0.000001)^2/(4*'D(Ti_Cherniak) Times'!$C4)/(365.35*24*3600)</f>
        <v>733.75470350275282</v>
      </c>
      <c r="O4" s="2">
        <f>('L-Values'!K4*'D(Ti_Cherniak) Times'!$F4*0.000001)^2/(4*'D(Ti_Cherniak) Times'!$C4)/(365.35*24*3600)</f>
        <v>915.69652679326475</v>
      </c>
      <c r="P4" s="2">
        <f>('L-Values'!L4*'D(Ti_Cherniak) Times'!$F4*0.000001)^2/(4*'D(Ti_Cherniak) Times'!$C4)/(365.35*24*3600)</f>
        <v>1143.1517675038804</v>
      </c>
      <c r="Q4" s="2">
        <f>('L-Values'!M4*'D(Ti_Cherniak) Times'!$F4*0.000001)^2/(4*'D(Ti_Cherniak) Times'!$C4)/(365.35*24*3600)</f>
        <v>514.56163627745616</v>
      </c>
      <c r="R4" s="2">
        <f>('L-Values'!N4*'D(Ti_Cherniak) Times'!$F4*0.000001)^2/(4*'D(Ti_Cherniak) Times'!$C4)/(365.35*24*3600)</f>
        <v>1245.630513122923</v>
      </c>
      <c r="S4" s="2">
        <f>('L-Values'!O4*'D(Ti_Cherniak) Times'!$F4*0.000001)^2/(4*'D(Ti_Cherniak) Times'!$C4)/(365.35*24*3600)</f>
        <v>622.00339238232618</v>
      </c>
      <c r="T4" s="2"/>
      <c r="U4" s="2">
        <f>('L-Values'!Q4*'D(Ti_Cherniak) Times'!$F4*0.000001)^2/(4*'D(Ti_Cherniak) Times'!$C4)/(365.35*24*3600)</f>
        <v>907.84233841560388</v>
      </c>
      <c r="V4" s="2">
        <f>('L-Values'!R4*'D(Ti_Cherniak) Times'!$F4*0.000001)^2/(4*'D(Ti_Cherniak) Times'!$C4)/(365.35*24*3600)</f>
        <v>919.8134996701209</v>
      </c>
      <c r="W4" s="2">
        <f>('L-Values'!S4*'D(Ti_Cherniak) Times'!$F4*0.000001)^2/(4*'D(Ti_Cherniak) Times'!$C4)/(365.35*24*3600)</f>
        <v>915.69652679326475</v>
      </c>
      <c r="X4" s="2"/>
      <c r="Y4" s="2">
        <f>('L-Values'!U4*'D(Ti_Cherniak) Times'!$F4*0.000001)^2/(4*'D(Ti_Cherniak) Times'!$C4)/(365.35*24*3600)</f>
        <v>878.91614694580335</v>
      </c>
      <c r="Z4" s="2">
        <f>('L-Values'!V4*'D(Ti_Cherniak) Times'!$F4*0.000001)^2/(4*'D(Ti_Cherniak) Times'!$C4)/(365.35*24*3600)</f>
        <v>915.87039718361336</v>
      </c>
      <c r="AA4" s="2">
        <f>('L-Values'!W4*'D(Ti_Cherniak) Times'!$F4*0.000001)^2/(4*'D(Ti_Cherniak) Times'!$C4)/(365.35*24*3600)</f>
        <v>359.94546981586808</v>
      </c>
      <c r="AB4" s="2">
        <f>('L-Values'!X4*'D(Ti_Cherniak) Times'!$F4*0.000001)^2/(4*'D(Ti_Cherniak) Times'!$C4)/(365.35*24*3600)</f>
        <v>1812.3325082202309</v>
      </c>
      <c r="AC4" s="2">
        <f t="shared" si="2"/>
        <v>555.92492736774534</v>
      </c>
      <c r="AD4" s="2">
        <f t="shared" si="3"/>
        <v>896.46211103661756</v>
      </c>
    </row>
    <row r="5" spans="1:30" x14ac:dyDescent="0.2">
      <c r="A5" t="str">
        <f>'L-Values'!A5</f>
        <v>CGI001-qtz01-CL-fit-4</v>
      </c>
      <c r="B5">
        <v>750</v>
      </c>
      <c r="C5">
        <f t="shared" si="0"/>
        <v>8.0537892000481889E-22</v>
      </c>
      <c r="D5">
        <v>2100</v>
      </c>
      <c r="E5">
        <v>1024</v>
      </c>
      <c r="F5">
        <f t="shared" si="1"/>
        <v>2.05078125</v>
      </c>
      <c r="I5" s="2">
        <f>('L-Values'!E5*'D(Ti_Cherniak) Times'!$F5*0.000001)^2/(4*'D(Ti_Cherniak) Times'!$C5)/(365.35*24*3600)</f>
        <v>359.71067765159154</v>
      </c>
      <c r="J5" s="2">
        <f>('L-Values'!F5*'D(Ti_Cherniak) Times'!$F5*0.000001)^2/(4*'D(Ti_Cherniak) Times'!$C5)/(365.35*24*3600)</f>
        <v>323.35364556425156</v>
      </c>
      <c r="K5" s="2">
        <f>('L-Values'!G5*'D(Ti_Cherniak) Times'!$F5*0.000001)^2/(4*'D(Ti_Cherniak) Times'!$C5)/(365.35*24*3600)</f>
        <v>229.24543858418156</v>
      </c>
      <c r="L5" s="2">
        <f>('L-Values'!H5*'D(Ti_Cherniak) Times'!$F5*0.000001)^2/(4*'D(Ti_Cherniak) Times'!$C5)/(365.35*24*3600)</f>
        <v>207.30847933263877</v>
      </c>
      <c r="M5" s="2">
        <f>('L-Values'!I5*'D(Ti_Cherniak) Times'!$F5*0.000001)^2/(4*'D(Ti_Cherniak) Times'!$C5)/(365.35*24*3600)</f>
        <v>208.13483812091843</v>
      </c>
      <c r="N5" s="2">
        <f>('L-Values'!J5*'D(Ti_Cherniak) Times'!$F5*0.000001)^2/(4*'D(Ti_Cherniak) Times'!$C5)/(365.35*24*3600)</f>
        <v>237.77691919466523</v>
      </c>
      <c r="O5" s="2">
        <f>('L-Values'!K5*'D(Ti_Cherniak) Times'!$F5*0.000001)^2/(4*'D(Ti_Cherniak) Times'!$C5)/(365.35*24*3600)</f>
        <v>273.38380517735231</v>
      </c>
      <c r="P5" s="2">
        <f>('L-Values'!L5*'D(Ti_Cherniak) Times'!$F5*0.000001)^2/(4*'D(Ti_Cherniak) Times'!$C5)/(365.35*24*3600)</f>
        <v>253.6443664441895</v>
      </c>
      <c r="Q5" s="2">
        <f>('L-Values'!M5*'D(Ti_Cherniak) Times'!$F5*0.000001)^2/(4*'D(Ti_Cherniak) Times'!$C5)/(365.35*24*3600)</f>
        <v>243.55110874162176</v>
      </c>
      <c r="R5" s="2">
        <f>('L-Values'!N5*'D(Ti_Cherniak) Times'!$F5*0.000001)^2/(4*'D(Ti_Cherniak) Times'!$C5)/(365.35*24*3600)</f>
        <v>541.29518359229201</v>
      </c>
      <c r="S5" s="2">
        <f>('L-Values'!O5*'D(Ti_Cherniak) Times'!$F5*0.000001)^2/(4*'D(Ti_Cherniak) Times'!$C5)/(365.35*24*3600)</f>
        <v>489.47546675101779</v>
      </c>
      <c r="T5" s="2"/>
      <c r="U5" s="2">
        <f>('L-Values'!Q5*'D(Ti_Cherniak) Times'!$F5*0.000001)^2/(4*'D(Ti_Cherniak) Times'!$C5)/(365.35*24*3600)</f>
        <v>353.91473857465934</v>
      </c>
      <c r="V5" s="2">
        <f>('L-Values'!R5*'D(Ti_Cherniak) Times'!$F5*0.000001)^2/(4*'D(Ti_Cherniak) Times'!$C5)/(365.35*24*3600)</f>
        <v>297.6896717316198</v>
      </c>
      <c r="W5" s="2">
        <f>('L-Values'!S5*'D(Ti_Cherniak) Times'!$F5*0.000001)^2/(4*'D(Ti_Cherniak) Times'!$C5)/(365.35*24*3600)</f>
        <v>253.6443664441895</v>
      </c>
      <c r="X5" s="2"/>
      <c r="Y5" s="2">
        <f>('L-Values'!U5*'D(Ti_Cherniak) Times'!$F5*0.000001)^2/(4*'D(Ti_Cherniak) Times'!$C5)/(365.35*24*3600)</f>
        <v>341.93744865109056</v>
      </c>
      <c r="Z5" s="2">
        <f>('L-Values'!V5*'D(Ti_Cherniak) Times'!$F5*0.000001)^2/(4*'D(Ti_Cherniak) Times'!$C5)/(365.35*24*3600)</f>
        <v>316.12319347664436</v>
      </c>
      <c r="AA5" s="2">
        <f>('L-Values'!W5*'D(Ti_Cherniak) Times'!$F5*0.000001)^2/(4*'D(Ti_Cherniak) Times'!$C5)/(365.35*24*3600)</f>
        <v>14.222848287502664</v>
      </c>
      <c r="AB5" s="2">
        <f>('L-Values'!X5*'D(Ti_Cherniak) Times'!$F5*0.000001)^2/(4*'D(Ti_Cherniak) Times'!$C5)/(365.35*24*3600)</f>
        <v>656.02489512221177</v>
      </c>
      <c r="AC5" s="2">
        <f t="shared" si="2"/>
        <v>301.90034518914172</v>
      </c>
      <c r="AD5" s="2">
        <f t="shared" si="3"/>
        <v>339.90170164556741</v>
      </c>
    </row>
    <row r="6" spans="1:30" x14ac:dyDescent="0.2">
      <c r="A6" t="str">
        <f>'L-Values'!A6</f>
        <v>CGI001-qtz02-CL-fit-1-offset</v>
      </c>
      <c r="B6">
        <v>750</v>
      </c>
      <c r="C6">
        <f t="shared" si="0"/>
        <v>8.0537892000481889E-22</v>
      </c>
      <c r="D6">
        <v>1700</v>
      </c>
      <c r="E6">
        <v>1024</v>
      </c>
      <c r="F6">
        <f t="shared" si="1"/>
        <v>1.66015625</v>
      </c>
      <c r="I6" s="2">
        <f>('L-Values'!E6*'D(Ti_Cherniak) Times'!$F6*0.000001)^2/(4*'D(Ti_Cherniak) Times'!$C6)/(365.35*24*3600)</f>
        <v>476.38593109094387</v>
      </c>
      <c r="J6" s="2">
        <f>('L-Values'!F6*'D(Ti_Cherniak) Times'!$F6*0.000001)^2/(4*'D(Ti_Cherniak) Times'!$C6)/(365.35*24*3600)</f>
        <v>347.11739246118589</v>
      </c>
      <c r="K6" s="2">
        <f>('L-Values'!G6*'D(Ti_Cherniak) Times'!$F6*0.000001)^2/(4*'D(Ti_Cherniak) Times'!$C6)/(365.35*24*3600)</f>
        <v>715.33041964889708</v>
      </c>
      <c r="L6" s="2">
        <f>('L-Values'!H6*'D(Ti_Cherniak) Times'!$F6*0.000001)^2/(4*'D(Ti_Cherniak) Times'!$C6)/(365.35*24*3600)</f>
        <v>576.72979740656831</v>
      </c>
      <c r="M6" s="2">
        <f>('L-Values'!I6*'D(Ti_Cherniak) Times'!$F6*0.000001)^2/(4*'D(Ti_Cherniak) Times'!$C6)/(365.35*24*3600)</f>
        <v>240.9909704856444</v>
      </c>
      <c r="N6" s="2">
        <f>('L-Values'!J6*'D(Ti_Cherniak) Times'!$F6*0.000001)^2/(4*'D(Ti_Cherniak) Times'!$C6)/(365.35*24*3600)</f>
        <v>436.29909455562353</v>
      </c>
      <c r="O6" s="2">
        <f>('L-Values'!K6*'D(Ti_Cherniak) Times'!$F6*0.000001)^2/(4*'D(Ti_Cherniak) Times'!$C6)/(365.35*24*3600)</f>
        <v>436.93387592203356</v>
      </c>
      <c r="P6" s="2">
        <f>('L-Values'!L6*'D(Ti_Cherniak) Times'!$F6*0.000001)^2/(4*'D(Ti_Cherniak) Times'!$C6)/(365.35*24*3600)</f>
        <v>318.59806746174786</v>
      </c>
      <c r="Q6" s="2">
        <f>('L-Values'!M6*'D(Ti_Cherniak) Times'!$F6*0.000001)^2/(4*'D(Ti_Cherniak) Times'!$C6)/(365.35*24*3600)</f>
        <v>458.98668530740008</v>
      </c>
      <c r="R6" s="2">
        <f>('L-Values'!N6*'D(Ti_Cherniak) Times'!$F6*0.000001)^2/(4*'D(Ti_Cherniak) Times'!$C6)/(365.35*24*3600)</f>
        <v>480.17322448236007</v>
      </c>
      <c r="S6" s="2">
        <f>('L-Values'!O6*'D(Ti_Cherniak) Times'!$F6*0.000001)^2/(4*'D(Ti_Cherniak) Times'!$C6)/(365.35*24*3600)</f>
        <v>320.2714627270289</v>
      </c>
      <c r="T6" s="2"/>
      <c r="U6" s="2">
        <f>('L-Values'!Q6*'D(Ti_Cherniak) Times'!$F6*0.000001)^2/(4*'D(Ti_Cherniak) Times'!$C6)/(365.35*24*3600)</f>
        <v>418.1726274268504</v>
      </c>
      <c r="V6" s="2">
        <f>('L-Values'!R6*'D(Ti_Cherniak) Times'!$F6*0.000001)^2/(4*'D(Ti_Cherniak) Times'!$C6)/(365.35*24*3600)</f>
        <v>428.1705679690503</v>
      </c>
      <c r="W6" s="2">
        <f>('L-Values'!S6*'D(Ti_Cherniak) Times'!$F6*0.000001)^2/(4*'D(Ti_Cherniak) Times'!$C6)/(365.35*24*3600)</f>
        <v>436.93387592203356</v>
      </c>
      <c r="X6" s="2"/>
      <c r="Y6" s="2">
        <f>('L-Values'!U6*'D(Ti_Cherniak) Times'!$F6*0.000001)^2/(4*'D(Ti_Cherniak) Times'!$C6)/(365.35*24*3600)</f>
        <v>388.85453898919434</v>
      </c>
      <c r="Z6" s="2">
        <f>('L-Values'!V6*'D(Ti_Cherniak) Times'!$F6*0.000001)^2/(4*'D(Ti_Cherniak) Times'!$C6)/(365.35*24*3600)</f>
        <v>402.86326478621976</v>
      </c>
      <c r="AA6" s="2">
        <f>('L-Values'!W6*'D(Ti_Cherniak) Times'!$F6*0.000001)^2/(4*'D(Ti_Cherniak) Times'!$C6)/(365.35*24*3600)</f>
        <v>151.80596000945857</v>
      </c>
      <c r="AB6" s="2">
        <f>('L-Values'!X6*'D(Ti_Cherniak) Times'!$F6*0.000001)^2/(4*'D(Ti_Cherniak) Times'!$C6)/(365.35*24*3600)</f>
        <v>729.93070130831791</v>
      </c>
      <c r="AC6" s="2">
        <f t="shared" si="2"/>
        <v>251.05730477676119</v>
      </c>
      <c r="AD6" s="2">
        <f t="shared" si="3"/>
        <v>327.06743652209815</v>
      </c>
    </row>
    <row r="7" spans="1:30" x14ac:dyDescent="0.2">
      <c r="A7" t="str">
        <f>'L-Values'!A7</f>
        <v>CGI001-qtz02-CL-fit-2</v>
      </c>
      <c r="B7">
        <v>750</v>
      </c>
      <c r="C7">
        <f t="shared" si="0"/>
        <v>8.0537892000481889E-22</v>
      </c>
      <c r="D7">
        <v>1700</v>
      </c>
      <c r="E7">
        <v>1024</v>
      </c>
      <c r="F7">
        <f t="shared" si="1"/>
        <v>1.66015625</v>
      </c>
      <c r="I7" s="2">
        <f>('L-Values'!E7*'D(Ti_Cherniak) Times'!$F7*0.000001)^2/(4*'D(Ti_Cherniak) Times'!$C7)/(365.35*24*3600)</f>
        <v>667.44055265654936</v>
      </c>
      <c r="J7" s="2">
        <f>('L-Values'!F7*'D(Ti_Cherniak) Times'!$F7*0.000001)^2/(4*'D(Ti_Cherniak) Times'!$C7)/(365.35*24*3600)</f>
        <v>632.21828236269732</v>
      </c>
      <c r="K7" s="2">
        <f>('L-Values'!G7*'D(Ti_Cherniak) Times'!$F7*0.000001)^2/(4*'D(Ti_Cherniak) Times'!$C7)/(365.35*24*3600)</f>
        <v>771.7719814776101</v>
      </c>
      <c r="L7" s="2">
        <f>('L-Values'!H7*'D(Ti_Cherniak) Times'!$F7*0.000001)^2/(4*'D(Ti_Cherniak) Times'!$C7)/(365.35*24*3600)</f>
        <v>966.56367363076663</v>
      </c>
      <c r="M7" s="2">
        <f>('L-Values'!I7*'D(Ti_Cherniak) Times'!$F7*0.000001)^2/(4*'D(Ti_Cherniak) Times'!$C7)/(365.35*24*3600)</f>
        <v>1084.8026399390865</v>
      </c>
      <c r="N7" s="2">
        <f>('L-Values'!J7*'D(Ti_Cherniak) Times'!$F7*0.000001)^2/(4*'D(Ti_Cherniak) Times'!$C7)/(365.35*24*3600)</f>
        <v>929.64106202064704</v>
      </c>
      <c r="O7" s="2">
        <f>('L-Values'!K7*'D(Ti_Cherniak) Times'!$F7*0.000001)^2/(4*'D(Ti_Cherniak) Times'!$C7)/(365.35*24*3600)</f>
        <v>1075.9705814350891</v>
      </c>
      <c r="P7" s="2">
        <f>('L-Values'!L7*'D(Ti_Cherniak) Times'!$F7*0.000001)^2/(4*'D(Ti_Cherniak) Times'!$C7)/(365.35*24*3600)</f>
        <v>950.43206473305895</v>
      </c>
      <c r="Q7" s="2">
        <f>('L-Values'!M7*'D(Ti_Cherniak) Times'!$F7*0.000001)^2/(4*'D(Ti_Cherniak) Times'!$C7)/(365.35*24*3600)</f>
        <v>1142.3486666072829</v>
      </c>
      <c r="R7" s="2">
        <f>('L-Values'!N7*'D(Ti_Cherniak) Times'!$F7*0.000001)^2/(4*'D(Ti_Cherniak) Times'!$C7)/(365.35*24*3600)</f>
        <v>807.54050667135732</v>
      </c>
      <c r="S7" s="2">
        <f>('L-Values'!O7*'D(Ti_Cherniak) Times'!$F7*0.000001)^2/(4*'D(Ti_Cherniak) Times'!$C7)/(365.35*24*3600)</f>
        <v>799.14158353022515</v>
      </c>
      <c r="T7" s="2"/>
      <c r="U7" s="2" t="s">
        <v>438</v>
      </c>
      <c r="V7" s="2">
        <f>('L-Values'!R7*'D(Ti_Cherniak) Times'!$F7*0.000001)^2/(4*'D(Ti_Cherniak) Times'!$C7)/(365.35*24*3600)</f>
        <v>885.82880318841694</v>
      </c>
      <c r="W7" s="2">
        <f>('L-Values'!S7*'D(Ti_Cherniak) Times'!$F7*0.000001)^2/(4*'D(Ti_Cherniak) Times'!$C7)/(365.35*24*3600)</f>
        <v>929.64106202064704</v>
      </c>
      <c r="X7" s="2"/>
      <c r="Y7" s="2">
        <f>('L-Values'!U7*'D(Ti_Cherniak) Times'!$F7*0.000001)^2/(4*'D(Ti_Cherniak) Times'!$C7)/(365.35*24*3600)</f>
        <v>899.72390519300211</v>
      </c>
      <c r="Z7" s="2">
        <f>('L-Values'!V7*'D(Ti_Cherniak) Times'!$F7*0.000001)^2/(4*'D(Ti_Cherniak) Times'!$C7)/(365.35*24*3600)</f>
        <v>897.20546008657686</v>
      </c>
      <c r="AA7" s="2">
        <f>('L-Values'!W7*'D(Ti_Cherniak) Times'!$F7*0.000001)^2/(4*'D(Ti_Cherniak) Times'!$C7)/(365.35*24*3600)</f>
        <v>534.94462723364961</v>
      </c>
      <c r="AB7" s="2">
        <f>('L-Values'!X7*'D(Ti_Cherniak) Times'!$F7*0.000001)^2/(4*'D(Ti_Cherniak) Times'!$C7)/(365.35*24*3600)</f>
        <v>1361.0329088288649</v>
      </c>
      <c r="AC7" s="2">
        <f t="shared" si="2"/>
        <v>362.26083285292725</v>
      </c>
      <c r="AD7" s="2">
        <f t="shared" si="3"/>
        <v>463.82744874228808</v>
      </c>
    </row>
    <row r="8" spans="1:30" x14ac:dyDescent="0.2">
      <c r="A8" t="str">
        <f>'L-Values'!A8</f>
        <v>CGI001-qtz02-CL-fit-3-offset</v>
      </c>
      <c r="B8">
        <v>750</v>
      </c>
      <c r="C8">
        <f t="shared" si="0"/>
        <v>8.0537892000481889E-22</v>
      </c>
      <c r="D8">
        <v>1700</v>
      </c>
      <c r="E8">
        <v>1024</v>
      </c>
      <c r="F8">
        <f t="shared" si="1"/>
        <v>1.66015625</v>
      </c>
      <c r="I8" s="2">
        <f>('L-Values'!E8*'D(Ti_Cherniak) Times'!$F8*0.000001)^2/(4*'D(Ti_Cherniak) Times'!$C8)/(365.35*24*3600)</f>
        <v>297.53236713756871</v>
      </c>
      <c r="J8" s="2">
        <f>('L-Values'!F8*'D(Ti_Cherniak) Times'!$F8*0.000001)^2/(4*'D(Ti_Cherniak) Times'!$C8)/(365.35*24*3600)</f>
        <v>313.48230013668262</v>
      </c>
      <c r="K8" s="2">
        <f>('L-Values'!G8*'D(Ti_Cherniak) Times'!$F8*0.000001)^2/(4*'D(Ti_Cherniak) Times'!$C8)/(365.35*24*3600)</f>
        <v>288.36596042632453</v>
      </c>
      <c r="L8" s="2">
        <f>('L-Values'!H8*'D(Ti_Cherniak) Times'!$F8*0.000001)^2/(4*'D(Ti_Cherniak) Times'!$C8)/(365.35*24*3600)</f>
        <v>353.29295519462892</v>
      </c>
      <c r="M8" s="2">
        <f>('L-Values'!I8*'D(Ti_Cherniak) Times'!$F8*0.000001)^2/(4*'D(Ti_Cherniak) Times'!$C8)/(365.35*24*3600)</f>
        <v>260.40684571937982</v>
      </c>
      <c r="N8" s="2">
        <f>('L-Values'!J8*'D(Ti_Cherniak) Times'!$F8*0.000001)^2/(4*'D(Ti_Cherniak) Times'!$C8)/(365.35*24*3600)</f>
        <v>351.67236171987366</v>
      </c>
      <c r="O8" s="2">
        <f>('L-Values'!K8*'D(Ti_Cherniak) Times'!$F8*0.000001)^2/(4*'D(Ti_Cherniak) Times'!$C8)/(365.35*24*3600)</f>
        <v>313.31718916174685</v>
      </c>
      <c r="P8" s="2">
        <f>('L-Values'!L8*'D(Ti_Cherniak) Times'!$F8*0.000001)^2/(4*'D(Ti_Cherniak) Times'!$C8)/(365.35*24*3600)</f>
        <v>376.28219943579802</v>
      </c>
      <c r="Q8" s="2">
        <f>('L-Values'!M8*'D(Ti_Cherniak) Times'!$F8*0.000001)^2/(4*'D(Ti_Cherniak) Times'!$C8)/(365.35*24*3600)</f>
        <v>343.47402512261573</v>
      </c>
      <c r="R8" s="2">
        <f>('L-Values'!N8*'D(Ti_Cherniak) Times'!$F8*0.000001)^2/(4*'D(Ti_Cherniak) Times'!$C8)/(365.35*24*3600)</f>
        <v>278.89339253452926</v>
      </c>
      <c r="S8" s="2">
        <f>('L-Values'!O8*'D(Ti_Cherniak) Times'!$F8*0.000001)^2/(4*'D(Ti_Cherniak) Times'!$C8)/(365.35*24*3600)</f>
        <v>251.07197233482677</v>
      </c>
      <c r="T8" s="2"/>
      <c r="U8" s="2">
        <f>('L-Values'!Q8*'D(Ti_Cherniak) Times'!$F8*0.000001)^2/(4*'D(Ti_Cherniak) Times'!$C8)/(365.35*24*3600)</f>
        <v>329.84104106367283</v>
      </c>
      <c r="V8" s="2">
        <f>('L-Values'!R8*'D(Ti_Cherniak) Times'!$F8*0.000001)^2/(4*'D(Ti_Cherniak) Times'!$C8)/(365.35*24*3600)</f>
        <v>310.39780441661316</v>
      </c>
      <c r="W8" s="2">
        <f>('L-Values'!S8*'D(Ti_Cherniak) Times'!$F8*0.000001)^2/(4*'D(Ti_Cherniak) Times'!$C8)/(365.35*24*3600)</f>
        <v>313.31718916174685</v>
      </c>
      <c r="X8" s="2"/>
      <c r="Y8" s="2">
        <f>('L-Values'!U8*'D(Ti_Cherniak) Times'!$F8*0.000001)^2/(4*'D(Ti_Cherniak) Times'!$C8)/(365.35*24*3600)</f>
        <v>303.05255896668433</v>
      </c>
      <c r="Z8" s="2">
        <f>('L-Values'!V8*'D(Ti_Cherniak) Times'!$F8*0.000001)^2/(4*'D(Ti_Cherniak) Times'!$C8)/(365.35*24*3600)</f>
        <v>288.12926427366733</v>
      </c>
      <c r="AA8" s="2">
        <f>('L-Values'!W8*'D(Ti_Cherniak) Times'!$F8*0.000001)^2/(4*'D(Ti_Cherniak) Times'!$C8)/(365.35*24*3600)</f>
        <v>15.579167910669765</v>
      </c>
      <c r="AB8" s="2">
        <f>('L-Values'!X8*'D(Ti_Cherniak) Times'!$F8*0.000001)^2/(4*'D(Ti_Cherniak) Times'!$C8)/(365.35*24*3600)</f>
        <v>693.18273376115474</v>
      </c>
      <c r="AC8" s="2">
        <f t="shared" si="2"/>
        <v>272.55009636299758</v>
      </c>
      <c r="AD8" s="2">
        <f t="shared" si="3"/>
        <v>405.0534694874874</v>
      </c>
    </row>
    <row r="9" spans="1:30" x14ac:dyDescent="0.2">
      <c r="A9" t="str">
        <f>'L-Values'!A9</f>
        <v>CGI001-qtz02-CL-fit-4-offset</v>
      </c>
      <c r="B9">
        <v>750</v>
      </c>
      <c r="C9">
        <f t="shared" si="0"/>
        <v>8.0537892000481889E-22</v>
      </c>
      <c r="D9">
        <v>1700</v>
      </c>
      <c r="E9">
        <v>1024</v>
      </c>
      <c r="F9">
        <f t="shared" si="1"/>
        <v>1.66015625</v>
      </c>
      <c r="I9" s="2">
        <f>('L-Values'!E9*'D(Ti_Cherniak) Times'!$F9*0.000001)^2/(4*'D(Ti_Cherniak) Times'!$C9)/(365.35*24*3600)</f>
        <v>1.1382443173876549</v>
      </c>
      <c r="J9" s="2">
        <f>('L-Values'!F9*'D(Ti_Cherniak) Times'!$F9*0.000001)^2/(4*'D(Ti_Cherniak) Times'!$C9)/(365.35*24*3600)</f>
        <v>0.25541299484662566</v>
      </c>
      <c r="K9" s="2">
        <f>('L-Values'!G9*'D(Ti_Cherniak) Times'!$F9*0.000001)^2/(4*'D(Ti_Cherniak) Times'!$C9)/(365.35*24*3600)</f>
        <v>0.64526911130105946</v>
      </c>
      <c r="L9" s="2">
        <f>('L-Values'!H9*'D(Ti_Cherniak) Times'!$F9*0.000001)^2/(4*'D(Ti_Cherniak) Times'!$C9)/(365.35*24*3600)</f>
        <v>8.4101951754268503E-2</v>
      </c>
      <c r="M9" s="2">
        <f>('L-Values'!I9*'D(Ti_Cherniak) Times'!$F9*0.000001)^2/(4*'D(Ti_Cherniak) Times'!$C9)/(365.35*24*3600)</f>
        <v>0.65152867018581329</v>
      </c>
      <c r="N9" s="2">
        <f>('L-Values'!J9*'D(Ti_Cherniak) Times'!$F9*0.000001)^2/(4*'D(Ti_Cherniak) Times'!$C9)/(365.35*24*3600)</f>
        <v>0.13635227771768474</v>
      </c>
      <c r="O9" s="2">
        <f>('L-Values'!K9*'D(Ti_Cherniak) Times'!$F9*0.000001)^2/(4*'D(Ti_Cherniak) Times'!$C9)/(365.35*24*3600)</f>
        <v>2.1442526839541131E-3</v>
      </c>
      <c r="P9" s="2">
        <f>('L-Values'!L9*'D(Ti_Cherniak) Times'!$F9*0.000001)^2/(4*'D(Ti_Cherniak) Times'!$C9)/(365.35*24*3600)</f>
        <v>0.92722085927188846</v>
      </c>
      <c r="Q9" s="2">
        <f>('L-Values'!M9*'D(Ti_Cherniak) Times'!$F9*0.000001)^2/(4*'D(Ti_Cherniak) Times'!$C9)/(365.35*24*3600)</f>
        <v>1.0876628420428291</v>
      </c>
      <c r="R9" s="2">
        <f>('L-Values'!N9*'D(Ti_Cherniak) Times'!$F9*0.000001)^2/(4*'D(Ti_Cherniak) Times'!$C9)/(365.35*24*3600)</f>
        <v>6.4840771910004763E-3</v>
      </c>
      <c r="S9" s="2">
        <f>('L-Values'!O9*'D(Ti_Cherniak) Times'!$F9*0.000001)^2/(4*'D(Ti_Cherniak) Times'!$C9)/(365.35*24*3600)</f>
        <v>0.32267519977600101</v>
      </c>
      <c r="T9" s="2"/>
      <c r="U9" s="2">
        <f>('L-Values'!Q9*'D(Ti_Cherniak) Times'!$F9*0.000001)^2/(4*'D(Ti_Cherniak) Times'!$C9)/(365.35*24*3600)</f>
        <v>0.1518298981742984</v>
      </c>
      <c r="V9" s="2">
        <f>('L-Values'!R9*'D(Ti_Cherniak) Times'!$F9*0.000001)^2/(4*'D(Ti_Cherniak) Times'!$C9)/(365.35*24*3600)</f>
        <v>0.35377625266832669</v>
      </c>
      <c r="W9" s="2">
        <f>('L-Values'!S9*'D(Ti_Cherniak) Times'!$F9*0.000001)^2/(4*'D(Ti_Cherniak) Times'!$C9)/(365.35*24*3600)</f>
        <v>0.32267519977600101</v>
      </c>
      <c r="X9" s="2"/>
      <c r="Y9" s="2">
        <f>('L-Values'!U9*'D(Ti_Cherniak) Times'!$F9*0.000001)^2/(4*'D(Ti_Cherniak) Times'!$C9)/(365.35*24*3600)</f>
        <v>1.1008848618220943</v>
      </c>
      <c r="Z9" s="2">
        <f>('L-Values'!V9*'D(Ti_Cherniak) Times'!$F9*0.000001)^2/(4*'D(Ti_Cherniak) Times'!$C9)/(365.35*24*3600)</f>
        <v>2.1032350063238625</v>
      </c>
      <c r="AA9" s="2">
        <f>('L-Values'!W9*'D(Ti_Cherniak) Times'!$F9*0.000001)^2/(4*'D(Ti_Cherniak) Times'!$C9)/(365.35*24*3600)</f>
        <v>1.1645040047624379E-13</v>
      </c>
      <c r="AB9" s="2">
        <f>('L-Values'!X9*'D(Ti_Cherniak) Times'!$F9*0.000001)^2/(4*'D(Ti_Cherniak) Times'!$C9)/(365.35*24*3600)</f>
        <v>34.043528522496267</v>
      </c>
      <c r="AC9" s="2">
        <f t="shared" si="2"/>
        <v>2.1032350063237462</v>
      </c>
      <c r="AD9" s="2">
        <f t="shared" si="3"/>
        <v>31.940293516172403</v>
      </c>
    </row>
    <row r="10" spans="1:30" x14ac:dyDescent="0.2">
      <c r="A10" t="str">
        <f>'L-Values'!A10</f>
        <v>CGI001-qtz03-CL-fit-1</v>
      </c>
      <c r="B10">
        <v>750</v>
      </c>
      <c r="C10">
        <f t="shared" si="0"/>
        <v>8.0537892000481889E-22</v>
      </c>
      <c r="D10">
        <v>1900</v>
      </c>
      <c r="E10">
        <v>1024</v>
      </c>
      <c r="F10">
        <f t="shared" si="1"/>
        <v>1.85546875</v>
      </c>
      <c r="I10" s="2">
        <f>('L-Values'!E10*'D(Ti_Cherniak) Times'!$F10*0.000001)^2/(4*'D(Ti_Cherniak) Times'!$C10)/(365.35*24*3600)</f>
        <v>3574.7972357360309</v>
      </c>
      <c r="J10" s="2">
        <f>('L-Values'!F10*'D(Ti_Cherniak) Times'!$F10*0.000001)^2/(4*'D(Ti_Cherniak) Times'!$C10)/(365.35*24*3600)</f>
        <v>1888.9959048810392</v>
      </c>
      <c r="K10" s="2">
        <f>('L-Values'!G10*'D(Ti_Cherniak) Times'!$F10*0.000001)^2/(4*'D(Ti_Cherniak) Times'!$C10)/(365.35*24*3600)</f>
        <v>1803.3738794101062</v>
      </c>
      <c r="L10" s="2">
        <f>('L-Values'!H10*'D(Ti_Cherniak) Times'!$F10*0.000001)^2/(4*'D(Ti_Cherniak) Times'!$C10)/(365.35*24*3600)</f>
        <v>2137.2394442952614</v>
      </c>
      <c r="M10" s="2">
        <f>('L-Values'!I10*'D(Ti_Cherniak) Times'!$F10*0.000001)^2/(4*'D(Ti_Cherniak) Times'!$C10)/(365.35*24*3600)</f>
        <v>2022.9233145708993</v>
      </c>
      <c r="N10" s="2">
        <f>('L-Values'!J10*'D(Ti_Cherniak) Times'!$F10*0.000001)^2/(4*'D(Ti_Cherniak) Times'!$C10)/(365.35*24*3600)</f>
        <v>3226.913119253265</v>
      </c>
      <c r="O10" s="2">
        <f>('L-Values'!K10*'D(Ti_Cherniak) Times'!$F10*0.000001)^2/(4*'D(Ti_Cherniak) Times'!$C10)/(365.35*24*3600)</f>
        <v>3079.0488550854416</v>
      </c>
      <c r="P10" s="2">
        <f>('L-Values'!L10*'D(Ti_Cherniak) Times'!$F10*0.000001)^2/(4*'D(Ti_Cherniak) Times'!$C10)/(365.35*24*3600)</f>
        <v>2607.4600909878723</v>
      </c>
      <c r="Q10" s="2">
        <f>('L-Values'!M10*'D(Ti_Cherniak) Times'!$F10*0.000001)^2/(4*'D(Ti_Cherniak) Times'!$C10)/(365.35*24*3600)</f>
        <v>1795.5501381309577</v>
      </c>
      <c r="R10" s="2">
        <f>('L-Values'!N10*'D(Ti_Cherniak) Times'!$F10*0.000001)^2/(4*'D(Ti_Cherniak) Times'!$C10)/(365.35*24*3600)</f>
        <v>2500.5102495578039</v>
      </c>
      <c r="S10" s="2">
        <f>('L-Values'!O10*'D(Ti_Cherniak) Times'!$F10*0.000001)^2/(4*'D(Ti_Cherniak) Times'!$C10)/(365.35*24*3600)</f>
        <v>2392.1802001739675</v>
      </c>
      <c r="T10" s="2"/>
      <c r="U10" s="2">
        <f>('L-Values'!Q10*'D(Ti_Cherniak) Times'!$F10*0.000001)^2/(4*'D(Ti_Cherniak) Times'!$C10)/(365.35*24*3600)</f>
        <v>2406.191286732877</v>
      </c>
      <c r="V10" s="2">
        <f>('L-Values'!R10*'D(Ti_Cherniak) Times'!$F10*0.000001)^2/(4*'D(Ti_Cherniak) Times'!$C10)/(365.35*24*3600)</f>
        <v>2423.9768812320976</v>
      </c>
      <c r="W10" s="2">
        <f>('L-Values'!S10*'D(Ti_Cherniak) Times'!$F10*0.000001)^2/(4*'D(Ti_Cherniak) Times'!$C10)/(365.35*24*3600)</f>
        <v>2392.1802001739675</v>
      </c>
      <c r="X10" s="2"/>
      <c r="Y10" s="2">
        <f>('L-Values'!U10*'D(Ti_Cherniak) Times'!$F10*0.000001)^2/(4*'D(Ti_Cherniak) Times'!$C10)/(365.35*24*3600)</f>
        <v>2416.1983147316541</v>
      </c>
      <c r="Z10" s="2">
        <f>('L-Values'!V10*'D(Ti_Cherniak) Times'!$F10*0.000001)^2/(4*'D(Ti_Cherniak) Times'!$C10)/(365.35*24*3600)</f>
        <v>2357.4076174031529</v>
      </c>
      <c r="AA10" s="2">
        <f>('L-Values'!W10*'D(Ti_Cherniak) Times'!$F10*0.000001)^2/(4*'D(Ti_Cherniak) Times'!$C10)/(365.35*24*3600)</f>
        <v>1346.5200489331919</v>
      </c>
      <c r="AB10" s="2">
        <f>('L-Values'!X10*'D(Ti_Cherniak) Times'!$F10*0.000001)^2/(4*'D(Ti_Cherniak) Times'!$C10)/(365.35*24*3600)</f>
        <v>3397.45873359302</v>
      </c>
      <c r="AC10" s="2">
        <f t="shared" si="2"/>
        <v>1010.887568469961</v>
      </c>
      <c r="AD10" s="2">
        <f t="shared" si="3"/>
        <v>1040.0511161898671</v>
      </c>
    </row>
    <row r="11" spans="1:30" x14ac:dyDescent="0.2">
      <c r="A11" t="str">
        <f>'L-Values'!A11</f>
        <v>CGI001-qtz03-CL-fit-2</v>
      </c>
      <c r="B11">
        <v>750</v>
      </c>
      <c r="C11">
        <f t="shared" si="0"/>
        <v>8.0537892000481889E-22</v>
      </c>
      <c r="D11">
        <v>1900</v>
      </c>
      <c r="E11">
        <v>1024</v>
      </c>
      <c r="F11">
        <f t="shared" si="1"/>
        <v>1.85546875</v>
      </c>
      <c r="I11" s="2">
        <f>('L-Values'!E11*'D(Ti_Cherniak) Times'!$F11*0.000001)^2/(4*'D(Ti_Cherniak) Times'!$C11)/(365.35*24*3600)</f>
        <v>700.80468991527778</v>
      </c>
      <c r="J11" s="2">
        <f>('L-Values'!F11*'D(Ti_Cherniak) Times'!$F11*0.000001)^2/(4*'D(Ti_Cherniak) Times'!$C11)/(365.35*24*3600)</f>
        <v>461.26161441848586</v>
      </c>
      <c r="K11" s="2">
        <f>('L-Values'!G11*'D(Ti_Cherniak) Times'!$F11*0.000001)^2/(4*'D(Ti_Cherniak) Times'!$C11)/(365.35*24*3600)</f>
        <v>315.66146638668982</v>
      </c>
      <c r="L11" s="2">
        <f>('L-Values'!H11*'D(Ti_Cherniak) Times'!$F11*0.000001)^2/(4*'D(Ti_Cherniak) Times'!$C11)/(365.35*24*3600)</f>
        <v>195.4490427564952</v>
      </c>
      <c r="M11" s="2">
        <f>('L-Values'!I11*'D(Ti_Cherniak) Times'!$F11*0.000001)^2/(4*'D(Ti_Cherniak) Times'!$C11)/(365.35*24*3600)</f>
        <v>203.42511413455023</v>
      </c>
      <c r="N11" s="2">
        <f>('L-Values'!J11*'D(Ti_Cherniak) Times'!$F11*0.000001)^2/(4*'D(Ti_Cherniak) Times'!$C11)/(365.35*24*3600)</f>
        <v>192.43559105728983</v>
      </c>
      <c r="O11" s="2">
        <f>('L-Values'!K11*'D(Ti_Cherniak) Times'!$F11*0.000001)^2/(4*'D(Ti_Cherniak) Times'!$C11)/(365.35*24*3600)</f>
        <v>176.30327312004403</v>
      </c>
      <c r="P11" s="2">
        <f>('L-Values'!L11*'D(Ti_Cherniak) Times'!$F11*0.000001)^2/(4*'D(Ti_Cherniak) Times'!$C11)/(365.35*24*3600)</f>
        <v>311.73240870599733</v>
      </c>
      <c r="Q11" s="2">
        <f>('L-Values'!M11*'D(Ti_Cherniak) Times'!$F11*0.000001)^2/(4*'D(Ti_Cherniak) Times'!$C11)/(365.35*24*3600)</f>
        <v>322.12170333619122</v>
      </c>
      <c r="R11" s="2">
        <f>('L-Values'!N11*'D(Ti_Cherniak) Times'!$F11*0.000001)^2/(4*'D(Ti_Cherniak) Times'!$C11)/(365.35*24*3600)</f>
        <v>344.7183705587758</v>
      </c>
      <c r="S11" s="2">
        <f>('L-Values'!O11*'D(Ti_Cherniak) Times'!$F11*0.000001)^2/(4*'D(Ti_Cherniak) Times'!$C11)/(365.35*24*3600)</f>
        <v>323.61059697990618</v>
      </c>
      <c r="T11" s="2"/>
      <c r="U11" s="2">
        <f>('L-Values'!Q11*'D(Ti_Cherniak) Times'!$F11*0.000001)^2/(4*'D(Ti_Cherniak) Times'!$C11)/(365.35*24*3600)</f>
        <v>305.61421113478525</v>
      </c>
      <c r="V11" s="2">
        <f>('L-Values'!R11*'D(Ti_Cherniak) Times'!$F11*0.000001)^2/(4*'D(Ti_Cherniak) Times'!$C11)/(365.35*24*3600)</f>
        <v>308.70207720229109</v>
      </c>
      <c r="W11" s="2">
        <f>('L-Values'!S11*'D(Ti_Cherniak) Times'!$F11*0.000001)^2/(4*'D(Ti_Cherniak) Times'!$C11)/(365.35*24*3600)</f>
        <v>315.66146638668982</v>
      </c>
      <c r="X11" s="2"/>
      <c r="Y11" s="2">
        <f>('L-Values'!U11*'D(Ti_Cherniak) Times'!$F11*0.000001)^2/(4*'D(Ti_Cherniak) Times'!$C11)/(365.35*24*3600)</f>
        <v>305.23624029240364</v>
      </c>
      <c r="Z11" s="2">
        <f>('L-Values'!V11*'D(Ti_Cherniak) Times'!$F11*0.000001)^2/(4*'D(Ti_Cherniak) Times'!$C11)/(365.35*24*3600)</f>
        <v>303.53769558649623</v>
      </c>
      <c r="AA11" s="2">
        <f>('L-Values'!W11*'D(Ti_Cherniak) Times'!$F11*0.000001)^2/(4*'D(Ti_Cherniak) Times'!$C11)/(365.35*24*3600)</f>
        <v>166.13240766409183</v>
      </c>
      <c r="AB11" s="2">
        <f>('L-Values'!X11*'D(Ti_Cherniak) Times'!$F11*0.000001)^2/(4*'D(Ti_Cherniak) Times'!$C11)/(365.35*24*3600)</f>
        <v>520.79536232284522</v>
      </c>
      <c r="AC11" s="2">
        <f t="shared" si="2"/>
        <v>137.4052879224044</v>
      </c>
      <c r="AD11" s="2">
        <f t="shared" si="3"/>
        <v>217.25766673634899</v>
      </c>
    </row>
    <row r="12" spans="1:30" x14ac:dyDescent="0.2">
      <c r="A12" t="str">
        <f>'L-Values'!A12</f>
        <v>CGI001-qtz03-CL-fit-3</v>
      </c>
      <c r="B12">
        <v>750</v>
      </c>
      <c r="C12">
        <f t="shared" si="0"/>
        <v>8.0537892000481889E-22</v>
      </c>
      <c r="D12">
        <v>1900</v>
      </c>
      <c r="E12">
        <v>1024</v>
      </c>
      <c r="F12">
        <f t="shared" si="1"/>
        <v>1.85546875</v>
      </c>
      <c r="I12" s="2">
        <f>('L-Values'!E12*'D(Ti_Cherniak) Times'!$F12*0.000001)^2/(4*'D(Ti_Cherniak) Times'!$C12)/(365.35*24*3600)</f>
        <v>1269.5899356795715</v>
      </c>
      <c r="J12" s="2">
        <f>('L-Values'!F12*'D(Ti_Cherniak) Times'!$F12*0.000001)^2/(4*'D(Ti_Cherniak) Times'!$C12)/(365.35*24*3600)</f>
        <v>181.45056704346837</v>
      </c>
      <c r="K12" s="2">
        <f>('L-Values'!G12*'D(Ti_Cherniak) Times'!$F12*0.000001)^2/(4*'D(Ti_Cherniak) Times'!$C12)/(365.35*24*3600)</f>
        <v>197.5167530127425</v>
      </c>
      <c r="L12" s="2">
        <f>('L-Values'!H12*'D(Ti_Cherniak) Times'!$F12*0.000001)^2/(4*'D(Ti_Cherniak) Times'!$C12)/(365.35*24*3600)</f>
        <v>418.11044116082803</v>
      </c>
      <c r="M12" s="2">
        <f>('L-Values'!I12*'D(Ti_Cherniak) Times'!$F12*0.000001)^2/(4*'D(Ti_Cherniak) Times'!$C12)/(365.35*24*3600)</f>
        <v>44.290209674595353</v>
      </c>
      <c r="N12" s="2">
        <f>('L-Values'!J12*'D(Ti_Cherniak) Times'!$F12*0.000001)^2/(4*'D(Ti_Cherniak) Times'!$C12)/(365.35*24*3600)</f>
        <v>105.9165121811873</v>
      </c>
      <c r="O12" s="2">
        <f>('L-Values'!K12*'D(Ti_Cherniak) Times'!$F12*0.000001)^2/(4*'D(Ti_Cherniak) Times'!$C12)/(365.35*24*3600)</f>
        <v>1.1987145281617555</v>
      </c>
      <c r="P12" s="2">
        <f>('L-Values'!L12*'D(Ti_Cherniak) Times'!$F12*0.000001)^2/(4*'D(Ti_Cherniak) Times'!$C12)/(365.35*24*3600)</f>
        <v>5.6821757804250286</v>
      </c>
      <c r="Q12" s="2">
        <f>('L-Values'!M12*'D(Ti_Cherniak) Times'!$F12*0.000001)^2/(4*'D(Ti_Cherniak) Times'!$C12)/(365.35*24*3600)</f>
        <v>177.51031769701149</v>
      </c>
      <c r="R12" s="2">
        <f>('L-Values'!N12*'D(Ti_Cherniak) Times'!$F12*0.000001)^2/(4*'D(Ti_Cherniak) Times'!$C12)/(365.35*24*3600)</f>
        <v>319.63717943361951</v>
      </c>
      <c r="S12" s="2">
        <f>('L-Values'!O12*'D(Ti_Cherniak) Times'!$F12*0.000001)^2/(4*'D(Ti_Cherniak) Times'!$C12)/(365.35*24*3600)</f>
        <v>146.98450210786928</v>
      </c>
      <c r="T12" s="2"/>
      <c r="U12" s="2">
        <f>('L-Values'!Q12*'D(Ti_Cherniak) Times'!$F12*0.000001)^2/(4*'D(Ti_Cherniak) Times'!$C12)/(365.35*24*3600)</f>
        <v>216.39329504012682</v>
      </c>
      <c r="V12" s="2">
        <f>('L-Values'!R12*'D(Ti_Cherniak) Times'!$F12*0.000001)^2/(4*'D(Ti_Cherniak) Times'!$C12)/(365.35*24*3600)</f>
        <v>179.44830629730788</v>
      </c>
      <c r="W12" s="2">
        <f>('L-Values'!S12*'D(Ti_Cherniak) Times'!$F12*0.000001)^2/(4*'D(Ti_Cherniak) Times'!$C12)/(365.35*24*3600)</f>
        <v>177.51031769701149</v>
      </c>
      <c r="X12" s="2"/>
      <c r="Y12" s="2">
        <f>('L-Values'!U12*'D(Ti_Cherniak) Times'!$F12*0.000001)^2/(4*'D(Ti_Cherniak) Times'!$C12)/(365.35*24*3600)</f>
        <v>177.40437558215251</v>
      </c>
      <c r="Z12" s="2">
        <f>('L-Values'!V12*'D(Ti_Cherniak) Times'!$F12*0.000001)^2/(4*'D(Ti_Cherniak) Times'!$C12)/(365.35*24*3600)</f>
        <v>198.74684585611618</v>
      </c>
      <c r="AA12" s="2">
        <f>('L-Values'!W12*'D(Ti_Cherniak) Times'!$F12*0.000001)^2/(4*'D(Ti_Cherniak) Times'!$C12)/(365.35*24*3600)</f>
        <v>1.4854127462649811</v>
      </c>
      <c r="AB12" s="2">
        <f>('L-Values'!X12*'D(Ti_Cherniak) Times'!$F12*0.000001)^2/(4*'D(Ti_Cherniak) Times'!$C12)/(365.35*24*3600)</f>
        <v>1644.3248302606301</v>
      </c>
      <c r="AC12" s="2">
        <f t="shared" si="2"/>
        <v>197.2614331098512</v>
      </c>
      <c r="AD12" s="2">
        <f t="shared" si="3"/>
        <v>1445.5779844045139</v>
      </c>
    </row>
    <row r="13" spans="1:30" x14ac:dyDescent="0.2">
      <c r="A13" t="str">
        <f>'L-Values'!A13</f>
        <v>CGI001-qtz03-CL-fit-4-offset</v>
      </c>
      <c r="B13">
        <v>750</v>
      </c>
      <c r="C13">
        <f t="shared" si="0"/>
        <v>8.0537892000481889E-22</v>
      </c>
      <c r="D13">
        <v>1900</v>
      </c>
      <c r="E13">
        <v>1024</v>
      </c>
      <c r="F13">
        <f t="shared" si="1"/>
        <v>1.85546875</v>
      </c>
      <c r="I13" s="2">
        <f>('L-Values'!E13*'D(Ti_Cherniak) Times'!$F13*0.000001)^2/(4*'D(Ti_Cherniak) Times'!$C13)/(365.35*24*3600)</f>
        <v>2.2997745260987634</v>
      </c>
      <c r="J13" s="2">
        <f>('L-Values'!F13*'D(Ti_Cherniak) Times'!$F13*0.000001)^2/(4*'D(Ti_Cherniak) Times'!$C13)/(365.35*24*3600)</f>
        <v>0.2745074500260653</v>
      </c>
      <c r="K13" s="2">
        <f>('L-Values'!G13*'D(Ti_Cherniak) Times'!$F13*0.000001)^2/(4*'D(Ti_Cherniak) Times'!$C13)/(365.35*24*3600)</f>
        <v>18.375781816041481</v>
      </c>
      <c r="L13" s="2">
        <f>('L-Values'!H13*'D(Ti_Cherniak) Times'!$F13*0.000001)^2/(4*'D(Ti_Cherniak) Times'!$C13)/(365.35*24*3600)</f>
        <v>9.0609316565967166</v>
      </c>
      <c r="M13" s="2">
        <f>('L-Values'!I13*'D(Ti_Cherniak) Times'!$F13*0.000001)^2/(4*'D(Ti_Cherniak) Times'!$C13)/(365.35*24*3600)</f>
        <v>2.1173717611575111</v>
      </c>
      <c r="N13" s="2">
        <f>('L-Values'!J13*'D(Ti_Cherniak) Times'!$F13*0.000001)^2/(4*'D(Ti_Cherniak) Times'!$C13)/(365.35*24*3600)</f>
        <v>1.8974628034395442</v>
      </c>
      <c r="O13" s="2">
        <f>('L-Values'!K13*'D(Ti_Cherniak) Times'!$F13*0.000001)^2/(4*'D(Ti_Cherniak) Times'!$C13)/(365.35*24*3600)</f>
        <v>26.573332373656736</v>
      </c>
      <c r="P13" s="2">
        <f>('L-Values'!L13*'D(Ti_Cherniak) Times'!$F13*0.000001)^2/(4*'D(Ti_Cherniak) Times'!$C13)/(365.35*24*3600)</f>
        <v>2.2078334951325833</v>
      </c>
      <c r="Q13" s="2">
        <f>('L-Values'!M13*'D(Ti_Cherniak) Times'!$F13*0.000001)^2/(4*'D(Ti_Cherniak) Times'!$C13)/(365.35*24*3600)</f>
        <v>1.6848460916193837</v>
      </c>
      <c r="R13" s="2">
        <f>('L-Values'!N13*'D(Ti_Cherniak) Times'!$F13*0.000001)^2/(4*'D(Ti_Cherniak) Times'!$C13)/(365.35*24*3600)</f>
        <v>17.953571094827264</v>
      </c>
      <c r="S13" s="2">
        <f>('L-Values'!O13*'D(Ti_Cherniak) Times'!$F13*0.000001)^2/(4*'D(Ti_Cherniak) Times'!$C13)/(365.35*24*3600)</f>
        <v>1.9531670872608858E-2</v>
      </c>
      <c r="T13" s="2"/>
      <c r="U13" s="2">
        <f>('L-Values'!Q13*'D(Ti_Cherniak) Times'!$F13*0.000001)^2/(4*'D(Ti_Cherniak) Times'!$C13)/(365.35*24*3600)</f>
        <v>2.3127564537616685</v>
      </c>
      <c r="V13" s="2">
        <f>('L-Values'!R13*'D(Ti_Cherniak) Times'!$F13*0.000001)^2/(4*'D(Ti_Cherniak) Times'!$C13)/(365.35*24*3600)</f>
        <v>4.9549235708033645</v>
      </c>
      <c r="W13" s="2">
        <f>('L-Values'!S13*'D(Ti_Cherniak) Times'!$F13*0.000001)^2/(4*'D(Ti_Cherniak) Times'!$C13)/(365.35*24*3600)</f>
        <v>2.2078334951325833</v>
      </c>
      <c r="X13" s="2"/>
      <c r="Y13" s="2">
        <f>('L-Values'!U13*'D(Ti_Cherniak) Times'!$F13*0.000001)^2/(4*'D(Ti_Cherniak) Times'!$C13)/(365.35*24*3600)</f>
        <v>2.1738457953832437</v>
      </c>
      <c r="Z13" s="2">
        <f>('L-Values'!V13*'D(Ti_Cherniak) Times'!$F13*0.000001)^2/(4*'D(Ti_Cherniak) Times'!$C13)/(365.35*24*3600)</f>
        <v>3.5809042014511565</v>
      </c>
      <c r="AA13" s="2">
        <f>('L-Values'!W13*'D(Ti_Cherniak) Times'!$F13*0.000001)^2/(4*'D(Ti_Cherniak) Times'!$C13)/(365.35*24*3600)</f>
        <v>1.7577914413635859E-9</v>
      </c>
      <c r="AB13" s="2">
        <f>('L-Values'!X13*'D(Ti_Cherniak) Times'!$F13*0.000001)^2/(4*'D(Ti_Cherniak) Times'!$C13)/(365.35*24*3600)</f>
        <v>28.224837639063203</v>
      </c>
      <c r="AC13" s="2">
        <f t="shared" si="2"/>
        <v>3.5809041996933653</v>
      </c>
      <c r="AD13" s="2">
        <f t="shared" si="3"/>
        <v>24.643933437612048</v>
      </c>
    </row>
    <row r="14" spans="1:30" x14ac:dyDescent="0.2">
      <c r="A14" t="str">
        <f>'L-Values'!A14</f>
        <v>CGI001-qtz04-CL-fit-1-offset</v>
      </c>
      <c r="B14">
        <v>750</v>
      </c>
      <c r="C14">
        <f t="shared" si="0"/>
        <v>8.0537892000481889E-22</v>
      </c>
      <c r="D14">
        <v>2050</v>
      </c>
      <c r="E14">
        <v>1024</v>
      </c>
      <c r="F14">
        <f t="shared" si="1"/>
        <v>2.001953125</v>
      </c>
      <c r="I14" s="2">
        <f>('L-Values'!E14*'D(Ti_Cherniak) Times'!$F14*0.000001)^2/(4*'D(Ti_Cherniak) Times'!$C14)/(365.35*24*3600)</f>
        <v>922.26127182939501</v>
      </c>
      <c r="J14" s="2">
        <f>('L-Values'!F14*'D(Ti_Cherniak) Times'!$F14*0.000001)^2/(4*'D(Ti_Cherniak) Times'!$C14)/(365.35*24*3600)</f>
        <v>685.81850385825612</v>
      </c>
      <c r="K14" s="2">
        <f>('L-Values'!G14*'D(Ti_Cherniak) Times'!$F14*0.000001)^2/(4*'D(Ti_Cherniak) Times'!$C14)/(365.35*24*3600)</f>
        <v>2370.9529434063006</v>
      </c>
      <c r="L14" s="2">
        <f>('L-Values'!H14*'D(Ti_Cherniak) Times'!$F14*0.000001)^2/(4*'D(Ti_Cherniak) Times'!$C14)/(365.35*24*3600)</f>
        <v>121.27924208437759</v>
      </c>
      <c r="M14" s="2">
        <f>('L-Values'!I14*'D(Ti_Cherniak) Times'!$F14*0.000001)^2/(4*'D(Ti_Cherniak) Times'!$C14)/(365.35*24*3600)</f>
        <v>1172.5469583451061</v>
      </c>
      <c r="N14" s="2">
        <f>('L-Values'!J14*'D(Ti_Cherniak) Times'!$F14*0.000001)^2/(4*'D(Ti_Cherniak) Times'!$C14)/(365.35*24*3600)</f>
        <v>4.0368359351155854E-2</v>
      </c>
      <c r="O14" s="2">
        <f>('L-Values'!K14*'D(Ti_Cherniak) Times'!$F14*0.000001)^2/(4*'D(Ti_Cherniak) Times'!$C14)/(365.35*24*3600)</f>
        <v>731.186363292142</v>
      </c>
      <c r="P14" s="2">
        <f>('L-Values'!L14*'D(Ti_Cherniak) Times'!$F14*0.000001)^2/(4*'D(Ti_Cherniak) Times'!$C14)/(365.35*24*3600)</f>
        <v>1855.6493573600203</v>
      </c>
      <c r="Q14" s="2">
        <f>('L-Values'!M14*'D(Ti_Cherniak) Times'!$F14*0.000001)^2/(4*'D(Ti_Cherniak) Times'!$C14)/(365.35*24*3600)</f>
        <v>245.77141663409989</v>
      </c>
      <c r="R14" s="2">
        <f>('L-Values'!N14*'D(Ti_Cherniak) Times'!$F14*0.000001)^2/(4*'D(Ti_Cherniak) Times'!$C14)/(365.35*24*3600)</f>
        <v>414.54128830403636</v>
      </c>
      <c r="S14" s="2">
        <f>('L-Values'!O14*'D(Ti_Cherniak) Times'!$F14*0.000001)^2/(4*'D(Ti_Cherniak) Times'!$C14)/(365.35*24*3600)</f>
        <v>634.58707343264189</v>
      </c>
      <c r="T14" s="2"/>
      <c r="U14" s="2">
        <f>('L-Values'!Q14*'D(Ti_Cherniak) Times'!$F14*0.000001)^2/(4*'D(Ti_Cherniak) Times'!$C14)/(365.35*24*3600)</f>
        <v>750.28984933375023</v>
      </c>
      <c r="V14" s="2">
        <f>('L-Values'!R14*'D(Ti_Cherniak) Times'!$F14*0.000001)^2/(4*'D(Ti_Cherniak) Times'!$C14)/(365.35*24*3600)</f>
        <v>657.46323467183754</v>
      </c>
      <c r="W14" s="2">
        <f>('L-Values'!S14*'D(Ti_Cherniak) Times'!$F14*0.000001)^2/(4*'D(Ti_Cherniak) Times'!$C14)/(365.35*24*3600)</f>
        <v>685.81850385825612</v>
      </c>
      <c r="X14" s="2"/>
      <c r="Y14" s="2">
        <f>('L-Values'!U14*'D(Ti_Cherniak) Times'!$F14*0.000001)^2/(4*'D(Ti_Cherniak) Times'!$C14)/(365.35*24*3600)</f>
        <v>578.10151363156263</v>
      </c>
      <c r="Z14" s="2">
        <f>('L-Values'!V14*'D(Ti_Cherniak) Times'!$F14*0.000001)^2/(4*'D(Ti_Cherniak) Times'!$C14)/(365.35*24*3600)</f>
        <v>657.20519925452197</v>
      </c>
      <c r="AA14" s="2">
        <f>('L-Values'!W14*'D(Ti_Cherniak) Times'!$F14*0.000001)^2/(4*'D(Ti_Cherniak) Times'!$C14)/(365.35*24*3600)</f>
        <v>1.6111410849779788</v>
      </c>
      <c r="AB14" s="2">
        <f>('L-Values'!X14*'D(Ti_Cherniak) Times'!$F14*0.000001)^2/(4*'D(Ti_Cherniak) Times'!$C14)/(365.35*24*3600)</f>
        <v>5518.5698361033219</v>
      </c>
      <c r="AC14" s="2">
        <f t="shared" si="2"/>
        <v>655.59405816954404</v>
      </c>
      <c r="AD14" s="2">
        <f t="shared" si="3"/>
        <v>4861.3646368487998</v>
      </c>
    </row>
    <row r="15" spans="1:30" x14ac:dyDescent="0.2">
      <c r="A15" t="str">
        <f>'L-Values'!A15</f>
        <v>CGI001-qtz04-CL-fit-2-offset</v>
      </c>
      <c r="B15">
        <v>750</v>
      </c>
      <c r="C15">
        <f t="shared" si="0"/>
        <v>8.0537892000481889E-22</v>
      </c>
      <c r="D15">
        <v>2050</v>
      </c>
      <c r="E15">
        <v>1024</v>
      </c>
      <c r="F15">
        <f t="shared" si="1"/>
        <v>2.001953125</v>
      </c>
      <c r="I15" s="2">
        <f>('L-Values'!E15*'D(Ti_Cherniak) Times'!$F15*0.000001)^2/(4*'D(Ti_Cherniak) Times'!$C15)/(365.35*24*3600)</f>
        <v>689.28869626011624</v>
      </c>
      <c r="J15" s="2">
        <f>('L-Values'!F15*'D(Ti_Cherniak) Times'!$F15*0.000001)^2/(4*'D(Ti_Cherniak) Times'!$C15)/(365.35*24*3600)</f>
        <v>1108.3476119390095</v>
      </c>
      <c r="K15" s="2">
        <f>('L-Values'!G15*'D(Ti_Cherniak) Times'!$F15*0.000001)^2/(4*'D(Ti_Cherniak) Times'!$C15)/(365.35*24*3600)</f>
        <v>445.83495416928912</v>
      </c>
      <c r="L15" s="2">
        <f>('L-Values'!H15*'D(Ti_Cherniak) Times'!$F15*0.000001)^2/(4*'D(Ti_Cherniak) Times'!$C15)/(365.35*24*3600)</f>
        <v>682.04072956798916</v>
      </c>
      <c r="M15" s="2">
        <f>('L-Values'!I15*'D(Ti_Cherniak) Times'!$F15*0.000001)^2/(4*'D(Ti_Cherniak) Times'!$C15)/(365.35*24*3600)</f>
        <v>502.29931649215888</v>
      </c>
      <c r="N15" s="2">
        <f>('L-Values'!J15*'D(Ti_Cherniak) Times'!$F15*0.000001)^2/(4*'D(Ti_Cherniak) Times'!$C15)/(365.35*24*3600)</f>
        <v>561.47935333322846</v>
      </c>
      <c r="O15" s="2">
        <f>('L-Values'!K15*'D(Ti_Cherniak) Times'!$F15*0.000001)^2/(4*'D(Ti_Cherniak) Times'!$C15)/(365.35*24*3600)</f>
        <v>253.99164375152887</v>
      </c>
      <c r="P15" s="2">
        <f>('L-Values'!L15*'D(Ti_Cherniak) Times'!$F15*0.000001)^2/(4*'D(Ti_Cherniak) Times'!$C15)/(365.35*24*3600)</f>
        <v>593.19149534218002</v>
      </c>
      <c r="Q15" s="2">
        <f>('L-Values'!M15*'D(Ti_Cherniak) Times'!$F15*0.000001)^2/(4*'D(Ti_Cherniak) Times'!$C15)/(365.35*24*3600)</f>
        <v>564.31725919110465</v>
      </c>
      <c r="R15" s="2">
        <f>('L-Values'!N15*'D(Ti_Cherniak) Times'!$F15*0.000001)^2/(4*'D(Ti_Cherniak) Times'!$C15)/(365.35*24*3600)</f>
        <v>908.40318208007034</v>
      </c>
      <c r="S15" s="2">
        <f>('L-Values'!O15*'D(Ti_Cherniak) Times'!$F15*0.000001)^2/(4*'D(Ti_Cherniak) Times'!$C15)/(365.35*24*3600)</f>
        <v>644.90640998575134</v>
      </c>
      <c r="T15" s="2"/>
      <c r="U15" s="2">
        <f>('L-Values'!Q15*'D(Ti_Cherniak) Times'!$F15*0.000001)^2/(4*'D(Ti_Cherniak) Times'!$C15)/(365.35*24*3600)</f>
        <v>609.92320729759138</v>
      </c>
      <c r="V15" s="2">
        <f>('L-Values'!R15*'D(Ti_Cherniak) Times'!$F15*0.000001)^2/(4*'D(Ti_Cherniak) Times'!$C15)/(365.35*24*3600)</f>
        <v>613.54030623461767</v>
      </c>
      <c r="W15" s="2">
        <f>('L-Values'!S15*'D(Ti_Cherniak) Times'!$F15*0.000001)^2/(4*'D(Ti_Cherniak) Times'!$C15)/(365.35*24*3600)</f>
        <v>593.19149534218002</v>
      </c>
      <c r="X15" s="2"/>
      <c r="Y15" s="2">
        <f>('L-Values'!U15*'D(Ti_Cherniak) Times'!$F15*0.000001)^2/(4*'D(Ti_Cherniak) Times'!$C15)/(365.35*24*3600)</f>
        <v>611.23227684249628</v>
      </c>
      <c r="Z15" s="2">
        <f>('L-Values'!V15*'D(Ti_Cherniak) Times'!$F15*0.000001)^2/(4*'D(Ti_Cherniak) Times'!$C15)/(365.35*24*3600)</f>
        <v>623.68242198031044</v>
      </c>
      <c r="AA15" s="2">
        <f>('L-Values'!W15*'D(Ti_Cherniak) Times'!$F15*0.000001)^2/(4*'D(Ti_Cherniak) Times'!$C15)/(365.35*24*3600)</f>
        <v>247.48269671478417</v>
      </c>
      <c r="AB15" s="2">
        <f>('L-Values'!X15*'D(Ti_Cherniak) Times'!$F15*0.000001)^2/(4*'D(Ti_Cherniak) Times'!$C15)/(365.35*24*3600)</f>
        <v>1136.2101609928318</v>
      </c>
      <c r="AC15" s="2">
        <f t="shared" si="2"/>
        <v>376.19972526552624</v>
      </c>
      <c r="AD15" s="2">
        <f t="shared" si="3"/>
        <v>512.52773901252135</v>
      </c>
    </row>
    <row r="16" spans="1:30" x14ac:dyDescent="0.2">
      <c r="A16" t="str">
        <f>'L-Values'!A16</f>
        <v>CGI001-qtz04-CL-fit-3-offset</v>
      </c>
      <c r="B16">
        <v>750</v>
      </c>
      <c r="C16">
        <f t="shared" si="0"/>
        <v>8.0537892000481889E-22</v>
      </c>
      <c r="D16">
        <v>2050</v>
      </c>
      <c r="E16">
        <v>1024</v>
      </c>
      <c r="F16">
        <f t="shared" si="1"/>
        <v>2.001953125</v>
      </c>
      <c r="I16" s="2">
        <f>('L-Values'!E16*'D(Ti_Cherniak) Times'!$F16*0.000001)^2/(4*'D(Ti_Cherniak) Times'!$C16)/(365.35*24*3600)</f>
        <v>619.77117412503776</v>
      </c>
      <c r="J16" s="2">
        <f>('L-Values'!F16*'D(Ti_Cherniak) Times'!$F16*0.000001)^2/(4*'D(Ti_Cherniak) Times'!$C16)/(365.35*24*3600)</f>
        <v>798.79872983238567</v>
      </c>
      <c r="K16" s="2">
        <f>('L-Values'!G16*'D(Ti_Cherniak) Times'!$F16*0.000001)^2/(4*'D(Ti_Cherniak) Times'!$C16)/(365.35*24*3600)</f>
        <v>824.31578580459325</v>
      </c>
      <c r="L16" s="2">
        <f>('L-Values'!H16*'D(Ti_Cherniak) Times'!$F16*0.000001)^2/(4*'D(Ti_Cherniak) Times'!$C16)/(365.35*24*3600)</f>
        <v>1027.5002526589878</v>
      </c>
      <c r="M16" s="2">
        <f>('L-Values'!I16*'D(Ti_Cherniak) Times'!$F16*0.000001)^2/(4*'D(Ti_Cherniak) Times'!$C16)/(365.35*24*3600)</f>
        <v>912.11635439669988</v>
      </c>
      <c r="N16" s="2">
        <f>('L-Values'!J16*'D(Ti_Cherniak) Times'!$F16*0.000001)^2/(4*'D(Ti_Cherniak) Times'!$C16)/(365.35*24*3600)</f>
        <v>501.43488760959013</v>
      </c>
      <c r="O16" s="2">
        <f>('L-Values'!K16*'D(Ti_Cherniak) Times'!$F16*0.000001)^2/(4*'D(Ti_Cherniak) Times'!$C16)/(365.35*24*3600)</f>
        <v>544.12318252835871</v>
      </c>
      <c r="P16" s="2">
        <f>('L-Values'!L16*'D(Ti_Cherniak) Times'!$F16*0.000001)^2/(4*'D(Ti_Cherniak) Times'!$C16)/(365.35*24*3600)</f>
        <v>605.75527013407338</v>
      </c>
      <c r="Q16" s="2">
        <f>('L-Values'!M16*'D(Ti_Cherniak) Times'!$F16*0.000001)^2/(4*'D(Ti_Cherniak) Times'!$C16)/(365.35*24*3600)</f>
        <v>706.95860735882252</v>
      </c>
      <c r="R16" s="2">
        <f>('L-Values'!N16*'D(Ti_Cherniak) Times'!$F16*0.000001)^2/(4*'D(Ti_Cherniak) Times'!$C16)/(365.35*24*3600)</f>
        <v>544.44029832336548</v>
      </c>
      <c r="S16" s="2">
        <f>('L-Values'!O16*'D(Ti_Cherniak) Times'!$F16*0.000001)^2/(4*'D(Ti_Cherniak) Times'!$C16)/(365.35*24*3600)</f>
        <v>561.36762571217446</v>
      </c>
      <c r="T16" s="2"/>
      <c r="U16" s="2">
        <f>('L-Values'!Q16*'D(Ti_Cherniak) Times'!$F16*0.000001)^2/(4*'D(Ti_Cherniak) Times'!$C16)/(365.35*24*3600)</f>
        <v>688.14994794927202</v>
      </c>
      <c r="V16" s="2">
        <f>('L-Values'!R16*'D(Ti_Cherniak) Times'!$F16*0.000001)^2/(4*'D(Ti_Cherniak) Times'!$C16)/(365.35*24*3600)</f>
        <v>685.82782858633402</v>
      </c>
      <c r="W16" s="2">
        <f>('L-Values'!S16*'D(Ti_Cherniak) Times'!$F16*0.000001)^2/(4*'D(Ti_Cherniak) Times'!$C16)/(365.35*24*3600)</f>
        <v>619.77117412503776</v>
      </c>
      <c r="X16" s="2"/>
      <c r="Y16" s="2">
        <f>('L-Values'!U16*'D(Ti_Cherniak) Times'!$F16*0.000001)^2/(4*'D(Ti_Cherniak) Times'!$C16)/(365.35*24*3600)</f>
        <v>680.61485554636215</v>
      </c>
      <c r="Z16" s="2">
        <f>('L-Values'!V16*'D(Ti_Cherniak) Times'!$F16*0.000001)^2/(4*'D(Ti_Cherniak) Times'!$C16)/(365.35*24*3600)</f>
        <v>682.89925780004933</v>
      </c>
      <c r="AA16" s="2">
        <f>('L-Values'!W16*'D(Ti_Cherniak) Times'!$F16*0.000001)^2/(4*'D(Ti_Cherniak) Times'!$C16)/(365.35*24*3600)</f>
        <v>448.63804778539151</v>
      </c>
      <c r="AB16" s="2">
        <f>('L-Values'!X16*'D(Ti_Cherniak) Times'!$F16*0.000001)^2/(4*'D(Ti_Cherniak) Times'!$C16)/(365.35*24*3600)</f>
        <v>937.75803148015473</v>
      </c>
      <c r="AC16" s="2">
        <f t="shared" si="2"/>
        <v>234.26121001465782</v>
      </c>
      <c r="AD16" s="2">
        <f t="shared" si="3"/>
        <v>254.8587736801054</v>
      </c>
    </row>
    <row r="17" spans="1:30" x14ac:dyDescent="0.2">
      <c r="A17" t="str">
        <f>'L-Values'!A17</f>
        <v>CGI001-qtz04-CL-fit-4-offset</v>
      </c>
      <c r="B17">
        <v>750</v>
      </c>
      <c r="C17">
        <f t="shared" si="0"/>
        <v>8.0537892000481889E-22</v>
      </c>
      <c r="D17">
        <v>2050</v>
      </c>
      <c r="E17">
        <v>1024</v>
      </c>
      <c r="F17">
        <f t="shared" si="1"/>
        <v>2.001953125</v>
      </c>
      <c r="I17" s="2">
        <f>('L-Values'!E17*'D(Ti_Cherniak) Times'!$F17*0.000001)^2/(4*'D(Ti_Cherniak) Times'!$C17)/(365.35*24*3600)</f>
        <v>3.7379850005817294</v>
      </c>
      <c r="J17" s="2">
        <f>('L-Values'!F17*'D(Ti_Cherniak) Times'!$F17*0.000001)^2/(4*'D(Ti_Cherniak) Times'!$C17)/(365.35*24*3600)</f>
        <v>21.20437496607185</v>
      </c>
      <c r="K17" s="2">
        <f>('L-Values'!G17*'D(Ti_Cherniak) Times'!$F17*0.000001)^2/(4*'D(Ti_Cherniak) Times'!$C17)/(365.35*24*3600)</f>
        <v>3.7761049238831794</v>
      </c>
      <c r="L17" s="2">
        <f>('L-Values'!H17*'D(Ti_Cherniak) Times'!$F17*0.000001)^2/(4*'D(Ti_Cherniak) Times'!$C17)/(365.35*24*3600)</f>
        <v>3.6037097511923619</v>
      </c>
      <c r="M17" s="2">
        <f>('L-Values'!I17*'D(Ti_Cherniak) Times'!$F17*0.000001)^2/(4*'D(Ti_Cherniak) Times'!$C17)/(365.35*24*3600)</f>
        <v>0.56264114586837977</v>
      </c>
      <c r="N17" s="2">
        <f>('L-Values'!J17*'D(Ti_Cherniak) Times'!$F17*0.000001)^2/(4*'D(Ti_Cherniak) Times'!$C17)/(365.35*24*3600)</f>
        <v>1.2868849585536239</v>
      </c>
      <c r="O17" s="2">
        <f>('L-Values'!K17*'D(Ti_Cherniak) Times'!$F17*0.000001)^2/(4*'D(Ti_Cherniak) Times'!$C17)/(365.35*24*3600)</f>
        <v>2.4804996691319854</v>
      </c>
      <c r="P17" s="2">
        <f>('L-Values'!L17*'D(Ti_Cherniak) Times'!$F17*0.000001)^2/(4*'D(Ti_Cherniak) Times'!$C17)/(365.35*24*3600)</f>
        <v>15.453794755175505</v>
      </c>
      <c r="Q17" s="2">
        <f>('L-Values'!M17*'D(Ti_Cherniak) Times'!$F17*0.000001)^2/(4*'D(Ti_Cherniak) Times'!$C17)/(365.35*24*3600)</f>
        <v>1.3019902095426616</v>
      </c>
      <c r="R17" s="2">
        <f>('L-Values'!N17*'D(Ti_Cherniak) Times'!$F17*0.000001)^2/(4*'D(Ti_Cherniak) Times'!$C17)/(365.35*24*3600)</f>
        <v>0.1096215460263858</v>
      </c>
      <c r="S17" s="2">
        <f>('L-Values'!O17*'D(Ti_Cherniak) Times'!$F17*0.000001)^2/(4*'D(Ti_Cherniak) Times'!$C17)/(365.35*24*3600)</f>
        <v>0.28961757961886736</v>
      </c>
      <c r="T17" s="2"/>
      <c r="U17" s="2">
        <f>('L-Values'!Q17*'D(Ti_Cherniak) Times'!$F17*0.000001)^2/(4*'D(Ti_Cherniak) Times'!$C17)/(365.35*24*3600)</f>
        <v>3.9145102930676448</v>
      </c>
      <c r="V17" s="2">
        <f>('L-Values'!R17*'D(Ti_Cherniak) Times'!$F17*0.000001)^2/(4*'D(Ti_Cherniak) Times'!$C17)/(365.35*24*3600)</f>
        <v>3.2336762084920583</v>
      </c>
      <c r="W17" s="2">
        <f>('L-Values'!S17*'D(Ti_Cherniak) Times'!$F17*0.000001)^2/(4*'D(Ti_Cherniak) Times'!$C17)/(365.35*24*3600)</f>
        <v>2.4804996691319854</v>
      </c>
      <c r="X17" s="2"/>
      <c r="Y17" s="2">
        <f>('L-Values'!U17*'D(Ti_Cherniak) Times'!$F17*0.000001)^2/(4*'D(Ti_Cherniak) Times'!$C17)/(365.35*24*3600)</f>
        <v>3.0504216750630868</v>
      </c>
      <c r="Z17" s="2">
        <f>('L-Values'!V17*'D(Ti_Cherniak) Times'!$F17*0.000001)^2/(4*'D(Ti_Cherniak) Times'!$C17)/(365.35*24*3600)</f>
        <v>3.4199699817336802</v>
      </c>
      <c r="AA17" s="2">
        <f>('L-Values'!W17*'D(Ti_Cherniak) Times'!$F17*0.000001)^2/(4*'D(Ti_Cherniak) Times'!$C17)/(365.35*24*3600)</f>
        <v>2.631397211700548E-2</v>
      </c>
      <c r="AB17" s="2">
        <f>('L-Values'!X17*'D(Ti_Cherniak) Times'!$F17*0.000001)^2/(4*'D(Ti_Cherniak) Times'!$C17)/(365.35*24*3600)</f>
        <v>31.193335233940243</v>
      </c>
      <c r="AC17" s="2">
        <f t="shared" si="2"/>
        <v>3.3936560096166746</v>
      </c>
      <c r="AD17" s="2">
        <f t="shared" si="3"/>
        <v>27.773365252206563</v>
      </c>
    </row>
    <row r="18" spans="1:30" x14ac:dyDescent="0.2">
      <c r="A18" t="str">
        <f>'L-Values'!A18</f>
        <v>CGI001-qtz05-CL-fit-1-offset</v>
      </c>
      <c r="B18">
        <v>750</v>
      </c>
      <c r="C18">
        <f t="shared" si="0"/>
        <v>8.0537892000481889E-22</v>
      </c>
      <c r="D18">
        <v>1800</v>
      </c>
      <c r="E18">
        <v>1024</v>
      </c>
      <c r="F18">
        <f t="shared" si="1"/>
        <v>1.7578125</v>
      </c>
      <c r="I18" s="2">
        <f>('L-Values'!E18*'D(Ti_Cherniak) Times'!$F18*0.000001)^2/(4*'D(Ti_Cherniak) Times'!$C18)/(365.35*24*3600)</f>
        <v>6300.1686991858742</v>
      </c>
      <c r="J18" s="2">
        <f>('L-Values'!F18*'D(Ti_Cherniak) Times'!$F18*0.000001)^2/(4*'D(Ti_Cherniak) Times'!$C18)/(365.35*24*3600)</f>
        <v>3791.3862409898497</v>
      </c>
      <c r="K18" s="2">
        <f>('L-Values'!G18*'D(Ti_Cherniak) Times'!$F18*0.000001)^2/(4*'D(Ti_Cherniak) Times'!$C18)/(365.35*24*3600)</f>
        <v>3445.5497232688372</v>
      </c>
      <c r="L18" s="2">
        <f>('L-Values'!H18*'D(Ti_Cherniak) Times'!$F18*0.000001)^2/(4*'D(Ti_Cherniak) Times'!$C18)/(365.35*24*3600)</f>
        <v>3055.3543060571978</v>
      </c>
      <c r="M18" s="2">
        <f>('L-Values'!I18*'D(Ti_Cherniak) Times'!$F18*0.000001)^2/(4*'D(Ti_Cherniak) Times'!$C18)/(365.35*24*3600)</f>
        <v>360.93125656987473</v>
      </c>
      <c r="N18" s="2">
        <f>('L-Values'!J18*'D(Ti_Cherniak) Times'!$F18*0.000001)^2/(4*'D(Ti_Cherniak) Times'!$C18)/(365.35*24*3600)</f>
        <v>5816.6600509568161</v>
      </c>
      <c r="O18" s="2">
        <f>('L-Values'!K18*'D(Ti_Cherniak) Times'!$F18*0.000001)^2/(4*'D(Ti_Cherniak) Times'!$C18)/(365.35*24*3600)</f>
        <v>2115.1903195111622</v>
      </c>
      <c r="P18" s="2">
        <f>('L-Values'!L18*'D(Ti_Cherniak) Times'!$F18*0.000001)^2/(4*'D(Ti_Cherniak) Times'!$C18)/(365.35*24*3600)</f>
        <v>5316.4109848936787</v>
      </c>
      <c r="Q18" s="2">
        <f>('L-Values'!M18*'D(Ti_Cherniak) Times'!$F18*0.000001)^2/(4*'D(Ti_Cherniak) Times'!$C18)/(365.35*24*3600)</f>
        <v>7735.3251118325616</v>
      </c>
      <c r="R18" s="2">
        <f>('L-Values'!N18*'D(Ti_Cherniak) Times'!$F18*0.000001)^2/(4*'D(Ti_Cherniak) Times'!$C18)/(365.35*24*3600)</f>
        <v>10602.754377959469</v>
      </c>
      <c r="S18" s="2">
        <f>('L-Values'!O18*'D(Ti_Cherniak) Times'!$F18*0.000001)^2/(4*'D(Ti_Cherniak) Times'!$C18)/(365.35*24*3600)</f>
        <v>8723.8322065886405</v>
      </c>
      <c r="T18" s="2"/>
      <c r="U18" s="2">
        <f>('L-Values'!Q18*'D(Ti_Cherniak) Times'!$F18*0.000001)^2/(4*'D(Ti_Cherniak) Times'!$C18)/(365.35*24*3600)</f>
        <v>4591.5733674579569</v>
      </c>
      <c r="V18" s="2">
        <f>('L-Values'!R18*'D(Ti_Cherniak) Times'!$F18*0.000001)^2/(4*'D(Ti_Cherniak) Times'!$C18)/(365.35*24*3600)</f>
        <v>4691.1774094655739</v>
      </c>
      <c r="W18" s="2">
        <f>('L-Values'!S18*'D(Ti_Cherniak) Times'!$F18*0.000001)^2/(4*'D(Ti_Cherniak) Times'!$C18)/(365.35*24*3600)</f>
        <v>5316.4109848936787</v>
      </c>
      <c r="X18" s="2"/>
      <c r="Y18" s="2">
        <f>('L-Values'!U18*'D(Ti_Cherniak) Times'!$F18*0.000001)^2/(4*'D(Ti_Cherniak) Times'!$C18)/(365.35*24*3600)</f>
        <v>4570.6300741855266</v>
      </c>
      <c r="Z18" s="2">
        <f>('L-Values'!V18*'D(Ti_Cherniak) Times'!$F18*0.000001)^2/(4*'D(Ti_Cherniak) Times'!$C18)/(365.35*24*3600)</f>
        <v>4781.156026998271</v>
      </c>
      <c r="AA18" s="2">
        <f>('L-Values'!W18*'D(Ti_Cherniak) Times'!$F18*0.000001)^2/(4*'D(Ti_Cherniak) Times'!$C18)/(365.35*24*3600)</f>
        <v>700.81732210023881</v>
      </c>
      <c r="AB18" s="2">
        <f>('L-Values'!X18*'D(Ti_Cherniak) Times'!$F18*0.000001)^2/(4*'D(Ti_Cherniak) Times'!$C18)/(365.35*24*3600)</f>
        <v>12084.253265460589</v>
      </c>
      <c r="AC18" s="2">
        <f t="shared" si="2"/>
        <v>4080.3387048980321</v>
      </c>
      <c r="AD18" s="2">
        <f t="shared" si="3"/>
        <v>7303.0972384623183</v>
      </c>
    </row>
    <row r="19" spans="1:30" x14ac:dyDescent="0.2">
      <c r="A19" t="str">
        <f>'L-Values'!A19</f>
        <v>CGI001-qtz05-CL-fit-2-offset</v>
      </c>
      <c r="B19">
        <v>750</v>
      </c>
      <c r="C19">
        <f t="shared" si="0"/>
        <v>8.0537892000481889E-22</v>
      </c>
      <c r="D19">
        <v>1800</v>
      </c>
      <c r="E19">
        <v>1024</v>
      </c>
      <c r="F19">
        <f t="shared" si="1"/>
        <v>1.7578125</v>
      </c>
      <c r="I19" s="2">
        <f>('L-Values'!E19*'D(Ti_Cherniak) Times'!$F19*0.000001)^2/(4*'D(Ti_Cherniak) Times'!$C19)/(365.35*24*3600)</f>
        <v>611.17104408148464</v>
      </c>
      <c r="J19" s="2">
        <f>('L-Values'!F19*'D(Ti_Cherniak) Times'!$F19*0.000001)^2/(4*'D(Ti_Cherniak) Times'!$C19)/(365.35*24*3600)</f>
        <v>1200.996524844712</v>
      </c>
      <c r="K19" s="2">
        <f>('L-Values'!G19*'D(Ti_Cherniak) Times'!$F19*0.000001)^2/(4*'D(Ti_Cherniak) Times'!$C19)/(365.35*24*3600)</f>
        <v>610.33823491239184</v>
      </c>
      <c r="L19" s="2">
        <f>('L-Values'!H19*'D(Ti_Cherniak) Times'!$F19*0.000001)^2/(4*'D(Ti_Cherniak) Times'!$C19)/(365.35*24*3600)</f>
        <v>470.83178763176335</v>
      </c>
      <c r="M19" s="2">
        <f>('L-Values'!I19*'D(Ti_Cherniak) Times'!$F19*0.000001)^2/(4*'D(Ti_Cherniak) Times'!$C19)/(365.35*24*3600)</f>
        <v>528.23202546489927</v>
      </c>
      <c r="N19" s="2">
        <f>('L-Values'!J19*'D(Ti_Cherniak) Times'!$F19*0.000001)^2/(4*'D(Ti_Cherniak) Times'!$C19)/(365.35*24*3600)</f>
        <v>1350.3121635999692</v>
      </c>
      <c r="O19" s="2">
        <f>('L-Values'!K19*'D(Ti_Cherniak) Times'!$F19*0.000001)^2/(4*'D(Ti_Cherniak) Times'!$C19)/(365.35*24*3600)</f>
        <v>721.18427781808055</v>
      </c>
      <c r="P19" s="2">
        <f>('L-Values'!L19*'D(Ti_Cherniak) Times'!$F19*0.000001)^2/(4*'D(Ti_Cherniak) Times'!$C19)/(365.35*24*3600)</f>
        <v>637.85496512234977</v>
      </c>
      <c r="Q19" s="2">
        <f>('L-Values'!M19*'D(Ti_Cherniak) Times'!$F19*0.000001)^2/(4*'D(Ti_Cherniak) Times'!$C19)/(365.35*24*3600)</f>
        <v>615.0361808453298</v>
      </c>
      <c r="R19" s="2">
        <f>('L-Values'!N19*'D(Ti_Cherniak) Times'!$F19*0.000001)^2/(4*'D(Ti_Cherniak) Times'!$C19)/(365.35*24*3600)</f>
        <v>717.89124797487852</v>
      </c>
      <c r="S19" s="2">
        <f>('L-Values'!O19*'D(Ti_Cherniak) Times'!$F19*0.000001)^2/(4*'D(Ti_Cherniak) Times'!$C19)/(365.35*24*3600)</f>
        <v>646.06353214928686</v>
      </c>
      <c r="T19" s="2"/>
      <c r="U19" s="2">
        <f>('L-Values'!Q19*'D(Ti_Cherniak) Times'!$F19*0.000001)^2/(4*'D(Ti_Cherniak) Times'!$C19)/(365.35*24*3600)</f>
        <v>696.08871676639365</v>
      </c>
      <c r="V19" s="2">
        <f>('L-Values'!R19*'D(Ti_Cherniak) Times'!$F19*0.000001)^2/(4*'D(Ti_Cherniak) Times'!$C19)/(365.35*24*3600)</f>
        <v>717.42505832316203</v>
      </c>
      <c r="W19" s="2">
        <f>('L-Values'!S19*'D(Ti_Cherniak) Times'!$F19*0.000001)^2/(4*'D(Ti_Cherniak) Times'!$C19)/(365.35*24*3600)</f>
        <v>637.85496512234977</v>
      </c>
      <c r="X19" s="2"/>
      <c r="Y19" s="2">
        <f>('L-Values'!U19*'D(Ti_Cherniak) Times'!$F19*0.000001)^2/(4*'D(Ti_Cherniak) Times'!$C19)/(365.35*24*3600)</f>
        <v>662.06630116106885</v>
      </c>
      <c r="Z19" s="2">
        <f>('L-Values'!V19*'D(Ti_Cherniak) Times'!$F19*0.000001)^2/(4*'D(Ti_Cherniak) Times'!$C19)/(365.35*24*3600)</f>
        <v>685.23504533202663</v>
      </c>
      <c r="AA19" s="2">
        <f>('L-Values'!W19*'D(Ti_Cherniak) Times'!$F19*0.000001)^2/(4*'D(Ti_Cherniak) Times'!$C19)/(365.35*24*3600)</f>
        <v>315.72179140460986</v>
      </c>
      <c r="AB19" s="2">
        <f>('L-Values'!X19*'D(Ti_Cherniak) Times'!$F19*0.000001)^2/(4*'D(Ti_Cherniak) Times'!$C19)/(365.35*24*3600)</f>
        <v>1300.2548625444929</v>
      </c>
      <c r="AC19" s="2">
        <f t="shared" si="2"/>
        <v>369.51325392741677</v>
      </c>
      <c r="AD19" s="2">
        <f t="shared" si="3"/>
        <v>615.01981721246625</v>
      </c>
    </row>
    <row r="20" spans="1:30" x14ac:dyDescent="0.2">
      <c r="A20" t="str">
        <f>'L-Values'!A20</f>
        <v>CGI001-qtz05-CL-fit-3-offset</v>
      </c>
      <c r="B20">
        <v>750</v>
      </c>
      <c r="C20">
        <f t="shared" si="0"/>
        <v>8.0537892000481889E-22</v>
      </c>
      <c r="D20">
        <v>1800</v>
      </c>
      <c r="E20">
        <v>1024</v>
      </c>
      <c r="F20">
        <f t="shared" si="1"/>
        <v>1.7578125</v>
      </c>
      <c r="I20" s="2">
        <f>('L-Values'!E20*'D(Ti_Cherniak) Times'!$F20*0.000001)^2/(4*'D(Ti_Cherniak) Times'!$C20)/(365.35*24*3600)</f>
        <v>154.32141209044906</v>
      </c>
      <c r="J20" s="2">
        <f>('L-Values'!F20*'D(Ti_Cherniak) Times'!$F20*0.000001)^2/(4*'D(Ti_Cherniak) Times'!$C20)/(365.35*24*3600)</f>
        <v>241.77604246703365</v>
      </c>
      <c r="K20" s="2">
        <f>('L-Values'!G20*'D(Ti_Cherniak) Times'!$F20*0.000001)^2/(4*'D(Ti_Cherniak) Times'!$C20)/(365.35*24*3600)</f>
        <v>412.13567998526679</v>
      </c>
      <c r="L20" s="2">
        <f>('L-Values'!H20*'D(Ti_Cherniak) Times'!$F20*0.000001)^2/(4*'D(Ti_Cherniak) Times'!$C20)/(365.35*24*3600)</f>
        <v>166.57163020443087</v>
      </c>
      <c r="M20" s="2">
        <f>('L-Values'!I20*'D(Ti_Cherniak) Times'!$F20*0.000001)^2/(4*'D(Ti_Cherniak) Times'!$C20)/(365.35*24*3600)</f>
        <v>432.48184953995593</v>
      </c>
      <c r="N20" s="2">
        <f>('L-Values'!J20*'D(Ti_Cherniak) Times'!$F20*0.000001)^2/(4*'D(Ti_Cherniak) Times'!$C20)/(365.35*24*3600)</f>
        <v>471.90760550891406</v>
      </c>
      <c r="O20" s="2">
        <f>('L-Values'!K20*'D(Ti_Cherniak) Times'!$F20*0.000001)^2/(4*'D(Ti_Cherniak) Times'!$C20)/(365.35*24*3600)</f>
        <v>800.88922685412774</v>
      </c>
      <c r="P20" s="2">
        <f>('L-Values'!L20*'D(Ti_Cherniak) Times'!$F20*0.000001)^2/(4*'D(Ti_Cherniak) Times'!$C20)/(365.35*24*3600)</f>
        <v>361.24123765234674</v>
      </c>
      <c r="Q20" s="2">
        <f>('L-Values'!M20*'D(Ti_Cherniak) Times'!$F20*0.000001)^2/(4*'D(Ti_Cherniak) Times'!$C20)/(365.35*24*3600)</f>
        <v>734.10323700741321</v>
      </c>
      <c r="R20" s="2">
        <f>('L-Values'!N20*'D(Ti_Cherniak) Times'!$F20*0.000001)^2/(4*'D(Ti_Cherniak) Times'!$C20)/(365.35*24*3600)</f>
        <v>351.50159890704407</v>
      </c>
      <c r="S20" s="2">
        <f>('L-Values'!O20*'D(Ti_Cherniak) Times'!$F20*0.000001)^2/(4*'D(Ti_Cherniak) Times'!$C20)/(365.35*24*3600)</f>
        <v>132.9570511484402</v>
      </c>
      <c r="T20" s="2"/>
      <c r="U20" s="2">
        <f>('L-Values'!Q20*'D(Ti_Cherniak) Times'!$F20*0.000001)^2/(4*'D(Ti_Cherniak) Times'!$C20)/(365.35*24*3600)</f>
        <v>337.19344532300954</v>
      </c>
      <c r="V20" s="2">
        <f>('L-Values'!R20*'D(Ti_Cherniak) Times'!$F20*0.000001)^2/(4*'D(Ti_Cherniak) Times'!$C20)/(365.35*24*3600)</f>
        <v>358.85631777620875</v>
      </c>
      <c r="W20" s="2">
        <f>('L-Values'!S20*'D(Ti_Cherniak) Times'!$F20*0.000001)^2/(4*'D(Ti_Cherniak) Times'!$C20)/(365.35*24*3600)</f>
        <v>361.24123765234674</v>
      </c>
      <c r="X20" s="2"/>
      <c r="Y20" s="2">
        <f>('L-Values'!U20*'D(Ti_Cherniak) Times'!$F20*0.000001)^2/(4*'D(Ti_Cherniak) Times'!$C20)/(365.35*24*3600)</f>
        <v>283.70461020987619</v>
      </c>
      <c r="Z20" s="2">
        <f>('L-Values'!V20*'D(Ti_Cherniak) Times'!$F20*0.000001)^2/(4*'D(Ti_Cherniak) Times'!$C20)/(365.35*24*3600)</f>
        <v>277.43651249493928</v>
      </c>
      <c r="AA20" s="2">
        <f>('L-Values'!W20*'D(Ti_Cherniak) Times'!$F20*0.000001)^2/(4*'D(Ti_Cherniak) Times'!$C20)/(365.35*24*3600)</f>
        <v>4.1963851400438035</v>
      </c>
      <c r="AB20" s="2">
        <f>('L-Values'!X20*'D(Ti_Cherniak) Times'!$F20*0.000001)^2/(4*'D(Ti_Cherniak) Times'!$C20)/(365.35*24*3600)</f>
        <v>1110.1601563350016</v>
      </c>
      <c r="AC20" s="2">
        <f t="shared" si="2"/>
        <v>273.24012735489549</v>
      </c>
      <c r="AD20" s="2">
        <f t="shared" si="3"/>
        <v>832.72364384006232</v>
      </c>
    </row>
    <row r="21" spans="1:30" x14ac:dyDescent="0.2">
      <c r="A21" t="str">
        <f>'L-Values'!A21</f>
        <v>CGI001-qtz05-CL-fit-4-offset</v>
      </c>
      <c r="B21">
        <v>750</v>
      </c>
      <c r="C21">
        <f t="shared" si="0"/>
        <v>8.0537892000481889E-22</v>
      </c>
      <c r="D21">
        <v>1800</v>
      </c>
      <c r="E21">
        <v>1024</v>
      </c>
      <c r="F21">
        <f t="shared" si="1"/>
        <v>1.7578125</v>
      </c>
      <c r="I21" s="2">
        <f>('L-Values'!E21*'D(Ti_Cherniak) Times'!$F21*0.000001)^2/(4*'D(Ti_Cherniak) Times'!$C21)/(365.35*24*3600)</f>
        <v>1.2154140843315736E-3</v>
      </c>
      <c r="J21" s="2">
        <f>('L-Values'!F21*'D(Ti_Cherniak) Times'!$F21*0.000001)^2/(4*'D(Ti_Cherniak) Times'!$C21)/(365.35*24*3600)</f>
        <v>0.11444102651670893</v>
      </c>
      <c r="K21" s="2">
        <f>('L-Values'!G21*'D(Ti_Cherniak) Times'!$F21*0.000001)^2/(4*'D(Ti_Cherniak) Times'!$C21)/(365.35*24*3600)</f>
        <v>1.2852530173824757</v>
      </c>
      <c r="L21" s="2">
        <f>('L-Values'!H21*'D(Ti_Cherniak) Times'!$F21*0.000001)^2/(4*'D(Ti_Cherniak) Times'!$C21)/(365.35*24*3600)</f>
        <v>8.0530589259080934</v>
      </c>
      <c r="M21" s="2">
        <f>('L-Values'!I21*'D(Ti_Cherniak) Times'!$F21*0.000001)^2/(4*'D(Ti_Cherniak) Times'!$C21)/(365.35*24*3600)</f>
        <v>5.8793711931922919E-2</v>
      </c>
      <c r="N21" s="2">
        <f>('L-Values'!J21*'D(Ti_Cherniak) Times'!$F21*0.000001)^2/(4*'D(Ti_Cherniak) Times'!$C21)/(365.35*24*3600)</f>
        <v>7.3096341686547763</v>
      </c>
      <c r="O21" s="2">
        <f>('L-Values'!K21*'D(Ti_Cherniak) Times'!$F21*0.000001)^2/(4*'D(Ti_Cherniak) Times'!$C21)/(365.35*24*3600)</f>
        <v>1.7751051119182923</v>
      </c>
      <c r="P21" s="2">
        <f>('L-Values'!L21*'D(Ti_Cherniak) Times'!$F21*0.000001)^2/(4*'D(Ti_Cherniak) Times'!$C21)/(365.35*24*3600)</f>
        <v>1.3382762526712064E-3</v>
      </c>
      <c r="Q21" s="2">
        <f>('L-Values'!M21*'D(Ti_Cherniak) Times'!$F21*0.000001)^2/(4*'D(Ti_Cherniak) Times'!$C21)/(365.35*24*3600)</f>
        <v>1.524927420548265</v>
      </c>
      <c r="R21" s="2">
        <f>('L-Values'!N21*'D(Ti_Cherniak) Times'!$F21*0.000001)^2/(4*'D(Ti_Cherniak) Times'!$C21)/(365.35*24*3600)</f>
        <v>1.6816510330518914E-2</v>
      </c>
      <c r="S21" s="2">
        <f>('L-Values'!O21*'D(Ti_Cherniak) Times'!$F21*0.000001)^2/(4*'D(Ti_Cherniak) Times'!$C21)/(365.35*24*3600)</f>
        <v>1.4177581883652115</v>
      </c>
      <c r="T21" s="2"/>
      <c r="U21" s="2">
        <f>('L-Values'!Q21*'D(Ti_Cherniak) Times'!$F21*0.000001)^2/(4*'D(Ti_Cherniak) Times'!$C21)/(365.35*24*3600)</f>
        <v>1.2272362782956083</v>
      </c>
      <c r="V21" s="2">
        <f>('L-Values'!R21*'D(Ti_Cherniak) Times'!$F21*0.000001)^2/(4*'D(Ti_Cherniak) Times'!$C21)/(365.35*24*3600)</f>
        <v>1.0394563750948382</v>
      </c>
      <c r="W21" s="2">
        <f>('L-Values'!S21*'D(Ti_Cherniak) Times'!$F21*0.000001)^2/(4*'D(Ti_Cherniak) Times'!$C21)/(365.35*24*3600)</f>
        <v>1.2852530173824757</v>
      </c>
      <c r="X21" s="2"/>
      <c r="Y21" s="2">
        <f>('L-Values'!U21*'D(Ti_Cherniak) Times'!$F21*0.000001)^2/(4*'D(Ti_Cherniak) Times'!$C21)/(365.35*24*3600)</f>
        <v>1.4653154368902925</v>
      </c>
      <c r="Z21" s="2">
        <f>('L-Values'!V21*'D(Ti_Cherniak) Times'!$F21*0.000001)^2/(4*'D(Ti_Cherniak) Times'!$C21)/(365.35*24*3600)</f>
        <v>2.1086827257956267</v>
      </c>
      <c r="AA21" s="2">
        <f>('L-Values'!W21*'D(Ti_Cherniak) Times'!$F21*0.000001)^2/(4*'D(Ti_Cherniak) Times'!$C21)/(365.35*24*3600)</f>
        <v>6.3538008894312567E-3</v>
      </c>
      <c r="AB21" s="2">
        <f>('L-Values'!X21*'D(Ti_Cherniak) Times'!$F21*0.000001)^2/(4*'D(Ti_Cherniak) Times'!$C21)/(365.35*24*3600)</f>
        <v>14.966759772946755</v>
      </c>
      <c r="AC21" s="2">
        <f t="shared" si="2"/>
        <v>2.1023289249061956</v>
      </c>
      <c r="AD21" s="2">
        <f t="shared" si="3"/>
        <v>12.858077047151129</v>
      </c>
    </row>
    <row r="22" spans="1:30" x14ac:dyDescent="0.2">
      <c r="A22" t="str">
        <f>'L-Values'!A22</f>
        <v>CGI001-qtz06-CL-fit-1-offset</v>
      </c>
      <c r="B22">
        <v>750</v>
      </c>
      <c r="C22">
        <f t="shared" si="0"/>
        <v>8.0537892000481889E-22</v>
      </c>
      <c r="D22">
        <v>1500</v>
      </c>
      <c r="E22">
        <v>1024</v>
      </c>
      <c r="F22">
        <f t="shared" si="1"/>
        <v>1.46484375</v>
      </c>
      <c r="I22" s="2">
        <f>('L-Values'!E22*'D(Ti_Cherniak) Times'!$F22*0.000001)^2/(4*'D(Ti_Cherniak) Times'!$C22)/(365.35*24*3600)</f>
        <v>3606.6054648245822</v>
      </c>
      <c r="J22" s="2">
        <f>('L-Values'!F22*'D(Ti_Cherniak) Times'!$F22*0.000001)^2/(4*'D(Ti_Cherniak) Times'!$C22)/(365.35*24*3600)</f>
        <v>2655.539156117366</v>
      </c>
      <c r="K22" s="2">
        <f>('L-Values'!G22*'D(Ti_Cherniak) Times'!$F22*0.000001)^2/(4*'D(Ti_Cherniak) Times'!$C22)/(365.35*24*3600)</f>
        <v>3073.6970752583229</v>
      </c>
      <c r="L22" s="2">
        <f>('L-Values'!H22*'D(Ti_Cherniak) Times'!$F22*0.000001)^2/(4*'D(Ti_Cherniak) Times'!$C22)/(365.35*24*3600)</f>
        <v>3328.4863930973183</v>
      </c>
      <c r="M22" s="2">
        <f>('L-Values'!I22*'D(Ti_Cherniak) Times'!$F22*0.000001)^2/(4*'D(Ti_Cherniak) Times'!$C22)/(365.35*24*3600)</f>
        <v>2804.3424085565352</v>
      </c>
      <c r="N22" s="2">
        <f>('L-Values'!J22*'D(Ti_Cherniak) Times'!$F22*0.000001)^2/(4*'D(Ti_Cherniak) Times'!$C22)/(365.35*24*3600)</f>
        <v>3207.6948507745979</v>
      </c>
      <c r="O22" s="2">
        <f>('L-Values'!K22*'D(Ti_Cherniak) Times'!$F22*0.000001)^2/(4*'D(Ti_Cherniak) Times'!$C22)/(365.35*24*3600)</f>
        <v>3687.638448883547</v>
      </c>
      <c r="P22" s="2">
        <f>('L-Values'!L22*'D(Ti_Cherniak) Times'!$F22*0.000001)^2/(4*'D(Ti_Cherniak) Times'!$C22)/(365.35*24*3600)</f>
        <v>2544.0417335576426</v>
      </c>
      <c r="Q22" s="2">
        <f>('L-Values'!M22*'D(Ti_Cherniak) Times'!$F22*0.000001)^2/(4*'D(Ti_Cherniak) Times'!$C22)/(365.35*24*3600)</f>
        <v>3153.2090482549975</v>
      </c>
      <c r="R22" s="2">
        <f>('L-Values'!N22*'D(Ti_Cherniak) Times'!$F22*0.000001)^2/(4*'D(Ti_Cherniak) Times'!$C22)/(365.35*24*3600)</f>
        <v>2702.3176466385712</v>
      </c>
      <c r="S22" s="2">
        <f>('L-Values'!O22*'D(Ti_Cherniak) Times'!$F22*0.000001)^2/(4*'D(Ti_Cherniak) Times'!$C22)/(365.35*24*3600)</f>
        <v>2557.1391132180975</v>
      </c>
      <c r="T22" s="2"/>
      <c r="U22" s="2">
        <f>('L-Values'!Q22*'D(Ti_Cherniak) Times'!$F22*0.000001)^2/(4*'D(Ti_Cherniak) Times'!$C22)/(365.35*24*3600)</f>
        <v>2999.7302416627685</v>
      </c>
      <c r="V22" s="2">
        <f>('L-Values'!R22*'D(Ti_Cherniak) Times'!$F22*0.000001)^2/(4*'D(Ti_Cherniak) Times'!$C22)/(365.35*24*3600)</f>
        <v>3016.838712853214</v>
      </c>
      <c r="W22" s="2">
        <f>('L-Values'!S22*'D(Ti_Cherniak) Times'!$F22*0.000001)^2/(4*'D(Ti_Cherniak) Times'!$C22)/(365.35*24*3600)</f>
        <v>3073.6970752583229</v>
      </c>
      <c r="X22" s="2"/>
      <c r="Y22" s="2">
        <f>('L-Values'!U22*'D(Ti_Cherniak) Times'!$F22*0.000001)^2/(4*'D(Ti_Cherniak) Times'!$C22)/(365.35*24*3600)</f>
        <v>2956.1790068422188</v>
      </c>
      <c r="Z22" s="2">
        <f>('L-Values'!V22*'D(Ti_Cherniak) Times'!$F22*0.000001)^2/(4*'D(Ti_Cherniak) Times'!$C22)/(365.35*24*3600)</f>
        <v>2997.796284812151</v>
      </c>
      <c r="AA22" s="2">
        <f>('L-Values'!W22*'D(Ti_Cherniak) Times'!$F22*0.000001)^2/(4*'D(Ti_Cherniak) Times'!$C22)/(365.35*24*3600)</f>
        <v>2285.4057392225227</v>
      </c>
      <c r="AB22" s="2">
        <f>('L-Values'!X22*'D(Ti_Cherniak) Times'!$F22*0.000001)^2/(4*'D(Ti_Cherniak) Times'!$C22)/(365.35*24*3600)</f>
        <v>3894.0341086790531</v>
      </c>
      <c r="AC22" s="2">
        <f t="shared" si="2"/>
        <v>712.39054558962835</v>
      </c>
      <c r="AD22" s="2">
        <f t="shared" si="3"/>
        <v>896.23782386690209</v>
      </c>
    </row>
    <row r="23" spans="1:30" x14ac:dyDescent="0.2">
      <c r="A23" t="str">
        <f>'L-Values'!A23</f>
        <v>CGI001-qtz06-CL-fit-2-offset</v>
      </c>
      <c r="B23">
        <v>750</v>
      </c>
      <c r="C23">
        <f t="shared" si="0"/>
        <v>8.0537892000481889E-22</v>
      </c>
      <c r="D23">
        <v>1500</v>
      </c>
      <c r="E23">
        <v>1024</v>
      </c>
      <c r="F23">
        <f t="shared" si="1"/>
        <v>1.46484375</v>
      </c>
      <c r="I23" s="2">
        <f>('L-Values'!E23*'D(Ti_Cherniak) Times'!$F23*0.000001)^2/(4*'D(Ti_Cherniak) Times'!$C23)/(365.35*24*3600)</f>
        <v>334.83735714213913</v>
      </c>
      <c r="J23" s="2">
        <f>('L-Values'!F23*'D(Ti_Cherniak) Times'!$F23*0.000001)^2/(4*'D(Ti_Cherniak) Times'!$C23)/(365.35*24*3600)</f>
        <v>185.33958963205814</v>
      </c>
      <c r="K23" s="2">
        <f>('L-Values'!G23*'D(Ti_Cherniak) Times'!$F23*0.000001)^2/(4*'D(Ti_Cherniak) Times'!$C23)/(365.35*24*3600)</f>
        <v>114.04018038496731</v>
      </c>
      <c r="L23" s="2">
        <f>('L-Values'!H23*'D(Ti_Cherniak) Times'!$F23*0.000001)^2/(4*'D(Ti_Cherniak) Times'!$C23)/(365.35*24*3600)</f>
        <v>60.664551312810431</v>
      </c>
      <c r="M23" s="2">
        <f>('L-Values'!I23*'D(Ti_Cherniak) Times'!$F23*0.000001)^2/(4*'D(Ti_Cherniak) Times'!$C23)/(365.35*24*3600)</f>
        <v>317.70045486024407</v>
      </c>
      <c r="N23" s="2">
        <f>('L-Values'!J23*'D(Ti_Cherniak) Times'!$F23*0.000001)^2/(4*'D(Ti_Cherniak) Times'!$C23)/(365.35*24*3600)</f>
        <v>191.42050125619832</v>
      </c>
      <c r="O23" s="2">
        <f>('L-Values'!K23*'D(Ti_Cherniak) Times'!$F23*0.000001)^2/(4*'D(Ti_Cherniak) Times'!$C23)/(365.35*24*3600)</f>
        <v>257.78594866854388</v>
      </c>
      <c r="P23" s="2">
        <f>('L-Values'!L23*'D(Ti_Cherniak) Times'!$F23*0.000001)^2/(4*'D(Ti_Cherniak) Times'!$C23)/(365.35*24*3600)</f>
        <v>248.75455650860013</v>
      </c>
      <c r="Q23" s="2">
        <f>('L-Values'!M23*'D(Ti_Cherniak) Times'!$F23*0.000001)^2/(4*'D(Ti_Cherniak) Times'!$C23)/(365.35*24*3600)</f>
        <v>99.214641436586632</v>
      </c>
      <c r="R23" s="2">
        <f>('L-Values'!N23*'D(Ti_Cherniak) Times'!$F23*0.000001)^2/(4*'D(Ti_Cherniak) Times'!$C23)/(365.35*24*3600)</f>
        <v>217.5827697967477</v>
      </c>
      <c r="S23" s="2">
        <f>('L-Values'!O23*'D(Ti_Cherniak) Times'!$F23*0.000001)^2/(4*'D(Ti_Cherniak) Times'!$C23)/(365.35*24*3600)</f>
        <v>107.05613578826163</v>
      </c>
      <c r="T23" s="2"/>
      <c r="U23" s="2">
        <f>('L-Values'!Q23*'D(Ti_Cherniak) Times'!$F23*0.000001)^2/(4*'D(Ti_Cherniak) Times'!$C23)/(365.35*24*3600)</f>
        <v>208.46109077716051</v>
      </c>
      <c r="V23" s="2">
        <f>('L-Values'!R23*'D(Ti_Cherniak) Times'!$F23*0.000001)^2/(4*'D(Ti_Cherniak) Times'!$C23)/(365.35*24*3600)</f>
        <v>183.29628011592814</v>
      </c>
      <c r="W23" s="2">
        <f>('L-Values'!S23*'D(Ti_Cherniak) Times'!$F23*0.000001)^2/(4*'D(Ti_Cherniak) Times'!$C23)/(365.35*24*3600)</f>
        <v>191.42050125619832</v>
      </c>
      <c r="X23" s="2"/>
      <c r="Y23" s="2">
        <f>('L-Values'!U23*'D(Ti_Cherniak) Times'!$F23*0.000001)^2/(4*'D(Ti_Cherniak) Times'!$C23)/(365.35*24*3600)</f>
        <v>177.53010281779163</v>
      </c>
      <c r="Z23" s="2">
        <f>('L-Values'!V23*'D(Ti_Cherniak) Times'!$F23*0.000001)^2/(4*'D(Ti_Cherniak) Times'!$C23)/(365.35*24*3600)</f>
        <v>164.32076073439706</v>
      </c>
      <c r="AA23" s="2">
        <f>('L-Values'!W23*'D(Ti_Cherniak) Times'!$F23*0.000001)^2/(4*'D(Ti_Cherniak) Times'!$C23)/(365.35*24*3600)</f>
        <v>2.4454740435747544</v>
      </c>
      <c r="AB23" s="2">
        <f>('L-Values'!X23*'D(Ti_Cherniak) Times'!$F23*0.000001)^2/(4*'D(Ti_Cherniak) Times'!$C23)/(365.35*24*3600)</f>
        <v>540.76484049965143</v>
      </c>
      <c r="AC23" s="2">
        <f t="shared" si="2"/>
        <v>161.87528669082229</v>
      </c>
      <c r="AD23" s="2">
        <f t="shared" si="3"/>
        <v>376.4440797652544</v>
      </c>
    </row>
    <row r="24" spans="1:30" x14ac:dyDescent="0.2">
      <c r="A24" t="str">
        <f>'L-Values'!A24</f>
        <v>CGI001-qtz06-CL-fit-3-offset</v>
      </c>
      <c r="B24">
        <v>750</v>
      </c>
      <c r="C24">
        <f t="shared" si="0"/>
        <v>8.0537892000481889E-22</v>
      </c>
      <c r="D24">
        <v>1500</v>
      </c>
      <c r="E24">
        <v>1024</v>
      </c>
      <c r="F24">
        <f t="shared" si="1"/>
        <v>1.46484375</v>
      </c>
      <c r="I24" s="2">
        <f>('L-Values'!E24*'D(Ti_Cherniak) Times'!$F24*0.000001)^2/(4*'D(Ti_Cherniak) Times'!$C24)/(365.35*24*3600)</f>
        <v>95.156083487705104</v>
      </c>
      <c r="J24" s="2">
        <f>('L-Values'!F24*'D(Ti_Cherniak) Times'!$F24*0.000001)^2/(4*'D(Ti_Cherniak) Times'!$C24)/(365.35*24*3600)</f>
        <v>103.82406558897554</v>
      </c>
      <c r="K24" s="2">
        <f>('L-Values'!G24*'D(Ti_Cherniak) Times'!$F24*0.000001)^2/(4*'D(Ti_Cherniak) Times'!$C24)/(365.35*24*3600)</f>
        <v>291.62399294701515</v>
      </c>
      <c r="L24" s="2">
        <f>('L-Values'!H24*'D(Ti_Cherniak) Times'!$F24*0.000001)^2/(4*'D(Ti_Cherniak) Times'!$C24)/(365.35*24*3600)</f>
        <v>106.53692652737809</v>
      </c>
      <c r="M24" s="2">
        <f>('L-Values'!I24*'D(Ti_Cherniak) Times'!$F24*0.000001)^2/(4*'D(Ti_Cherniak) Times'!$C24)/(365.35*24*3600)</f>
        <v>202.47690433042004</v>
      </c>
      <c r="N24" s="2">
        <f>('L-Values'!J24*'D(Ti_Cherniak) Times'!$F24*0.000001)^2/(4*'D(Ti_Cherniak) Times'!$C24)/(365.35*24*3600)</f>
        <v>85.012186748167679</v>
      </c>
      <c r="O24" s="2">
        <f>('L-Values'!K24*'D(Ti_Cherniak) Times'!$F24*0.000001)^2/(4*'D(Ti_Cherniak) Times'!$C24)/(365.35*24*3600)</f>
        <v>199.48613171089178</v>
      </c>
      <c r="P24" s="2">
        <f>('L-Values'!L24*'D(Ti_Cherniak) Times'!$F24*0.000001)^2/(4*'D(Ti_Cherniak) Times'!$C24)/(365.35*24*3600)</f>
        <v>177.0236298787116</v>
      </c>
      <c r="Q24" s="2">
        <f>('L-Values'!M24*'D(Ti_Cherniak) Times'!$F24*0.000001)^2/(4*'D(Ti_Cherniak) Times'!$C24)/(365.35*24*3600)</f>
        <v>241.36722147993027</v>
      </c>
      <c r="R24" s="2">
        <f>('L-Values'!N24*'D(Ti_Cherniak) Times'!$F24*0.000001)^2/(4*'D(Ti_Cherniak) Times'!$C24)/(365.35*24*3600)</f>
        <v>61.913441822723726</v>
      </c>
      <c r="S24" s="2">
        <f>('L-Values'!O24*'D(Ti_Cherniak) Times'!$F24*0.000001)^2/(4*'D(Ti_Cherniak) Times'!$C24)/(365.35*24*3600)</f>
        <v>118.15415638410175</v>
      </c>
      <c r="T24" s="2"/>
      <c r="U24" s="2">
        <f>('L-Values'!Q24*'D(Ti_Cherniak) Times'!$F24*0.000001)^2/(4*'D(Ti_Cherniak) Times'!$C24)/(365.35*24*3600)</f>
        <v>143.45893452739668</v>
      </c>
      <c r="V24" s="2">
        <f>('L-Values'!R24*'D(Ti_Cherniak) Times'!$F24*0.000001)^2/(4*'D(Ti_Cherniak) Times'!$C24)/(365.35*24*3600)</f>
        <v>145.08396288514982</v>
      </c>
      <c r="W24" s="2">
        <f>('L-Values'!S24*'D(Ti_Cherniak) Times'!$F24*0.000001)^2/(4*'D(Ti_Cherniak) Times'!$C24)/(365.35*24*3600)</f>
        <v>118.15415638410175</v>
      </c>
      <c r="X24" s="2"/>
      <c r="Y24" s="2">
        <f>('L-Values'!U24*'D(Ti_Cherniak) Times'!$F24*0.000001)^2/(4*'D(Ti_Cherniak) Times'!$C24)/(365.35*24*3600)</f>
        <v>135.98122912037019</v>
      </c>
      <c r="Z24" s="2">
        <f>('L-Values'!V24*'D(Ti_Cherniak) Times'!$F24*0.000001)^2/(4*'D(Ti_Cherniak) Times'!$C24)/(365.35*24*3600)</f>
        <v>138.16773383158036</v>
      </c>
      <c r="AA24" s="2">
        <f>('L-Values'!W24*'D(Ti_Cherniak) Times'!$F24*0.000001)^2/(4*'D(Ti_Cherniak) Times'!$C24)/(365.35*24*3600)</f>
        <v>45.864370630553545</v>
      </c>
      <c r="AB24" s="2">
        <f>('L-Values'!X24*'D(Ti_Cherniak) Times'!$F24*0.000001)^2/(4*'D(Ti_Cherniak) Times'!$C24)/(365.35*24*3600)</f>
        <v>306.64410829697914</v>
      </c>
      <c r="AC24" s="2">
        <f t="shared" si="2"/>
        <v>92.303363201026826</v>
      </c>
      <c r="AD24" s="2">
        <f t="shared" si="3"/>
        <v>168.47637446539878</v>
      </c>
    </row>
    <row r="25" spans="1:30" x14ac:dyDescent="0.2">
      <c r="A25" t="str">
        <f>'L-Values'!A25</f>
        <v>CGI001-qtz06-CL-fit-4-offset</v>
      </c>
      <c r="B25">
        <v>750</v>
      </c>
      <c r="C25">
        <f t="shared" si="0"/>
        <v>8.0537892000481889E-22</v>
      </c>
      <c r="D25">
        <v>1500</v>
      </c>
      <c r="E25">
        <v>1024</v>
      </c>
      <c r="F25">
        <f t="shared" si="1"/>
        <v>1.46484375</v>
      </c>
      <c r="I25" s="2">
        <f>('L-Values'!E25*'D(Ti_Cherniak) Times'!$F25*0.000001)^2/(4*'D(Ti_Cherniak) Times'!$C25)/(365.35*24*3600)</f>
        <v>67.237534624103688</v>
      </c>
      <c r="J25" s="2">
        <f>('L-Values'!F25*'D(Ti_Cherniak) Times'!$F25*0.000001)^2/(4*'D(Ti_Cherniak) Times'!$C25)/(365.35*24*3600)</f>
        <v>109.50956410524437</v>
      </c>
      <c r="K25" s="2">
        <f>('L-Values'!G25*'D(Ti_Cherniak) Times'!$F25*0.000001)^2/(4*'D(Ti_Cherniak) Times'!$C25)/(365.35*24*3600)</f>
        <v>103.04637763512784</v>
      </c>
      <c r="L25" s="2">
        <f>('L-Values'!H25*'D(Ti_Cherniak) Times'!$F25*0.000001)^2/(4*'D(Ti_Cherniak) Times'!$C25)/(365.35*24*3600)</f>
        <v>96.178357835761858</v>
      </c>
      <c r="M25" s="2">
        <f>('L-Values'!I25*'D(Ti_Cherniak) Times'!$F25*0.000001)^2/(4*'D(Ti_Cherniak) Times'!$C25)/(365.35*24*3600)</f>
        <v>83.621343358261328</v>
      </c>
      <c r="N25" s="2">
        <f>('L-Values'!J25*'D(Ti_Cherniak) Times'!$F25*0.000001)^2/(4*'D(Ti_Cherniak) Times'!$C25)/(365.35*24*3600)</f>
        <v>80.605114364110293</v>
      </c>
      <c r="O25" s="2">
        <f>('L-Values'!K25*'D(Ti_Cherniak) Times'!$F25*0.000001)^2/(4*'D(Ti_Cherniak) Times'!$C25)/(365.35*24*3600)</f>
        <v>86.604128419228658</v>
      </c>
      <c r="P25" s="2">
        <f>('L-Values'!L25*'D(Ti_Cherniak) Times'!$F25*0.000001)^2/(4*'D(Ti_Cherniak) Times'!$C25)/(365.35*24*3600)</f>
        <v>77.324618948942472</v>
      </c>
      <c r="Q25" s="2">
        <f>('L-Values'!M25*'D(Ti_Cherniak) Times'!$F25*0.000001)^2/(4*'D(Ti_Cherniak) Times'!$C25)/(365.35*24*3600)</f>
        <v>104.1197906922292</v>
      </c>
      <c r="R25" s="2">
        <f>('L-Values'!N25*'D(Ti_Cherniak) Times'!$F25*0.000001)^2/(4*'D(Ti_Cherniak) Times'!$C25)/(365.35*24*3600)</f>
        <v>83.620149963654285</v>
      </c>
      <c r="S25" s="2">
        <f>('L-Values'!O25*'D(Ti_Cherniak) Times'!$F25*0.000001)^2/(4*'D(Ti_Cherniak) Times'!$C25)/(365.35*24*3600)</f>
        <v>95.085716914963839</v>
      </c>
      <c r="T25" s="2"/>
      <c r="U25" s="2">
        <f>('L-Values'!Q25*'D(Ti_Cherniak) Times'!$F25*0.000001)^2/(4*'D(Ti_Cherniak) Times'!$C25)/(365.35*24*3600)</f>
        <v>91.381391204256857</v>
      </c>
      <c r="V25" s="2">
        <f>('L-Values'!R25*'D(Ti_Cherniak) Times'!$F25*0.000001)^2/(4*'D(Ti_Cherniak) Times'!$C25)/(365.35*24*3600)</f>
        <v>89.292796126330529</v>
      </c>
      <c r="W25" s="2">
        <f>('L-Values'!S25*'D(Ti_Cherniak) Times'!$F25*0.000001)^2/(4*'D(Ti_Cherniak) Times'!$C25)/(365.35*24*3600)</f>
        <v>86.604128419228658</v>
      </c>
      <c r="X25" s="2"/>
      <c r="Y25" s="2">
        <f>('L-Values'!U25*'D(Ti_Cherniak) Times'!$F25*0.000001)^2/(4*'D(Ti_Cherniak) Times'!$C25)/(365.35*24*3600)</f>
        <v>90.277711592026336</v>
      </c>
      <c r="Z25" s="2">
        <f>('L-Values'!V25*'D(Ti_Cherniak) Times'!$F25*0.000001)^2/(4*'D(Ti_Cherniak) Times'!$C25)/(365.35*24*3600)</f>
        <v>88.979441883008903</v>
      </c>
      <c r="AA25" s="2">
        <f>('L-Values'!W25*'D(Ti_Cherniak) Times'!$F25*0.000001)^2/(4*'D(Ti_Cherniak) Times'!$C25)/(365.35*24*3600)</f>
        <v>55.385864370450165</v>
      </c>
      <c r="AB25" s="2">
        <f>('L-Values'!X25*'D(Ti_Cherniak) Times'!$F25*0.000001)^2/(4*'D(Ti_Cherniak) Times'!$C25)/(365.35*24*3600)</f>
        <v>133.96392758824817</v>
      </c>
      <c r="AC25" s="2">
        <f t="shared" si="2"/>
        <v>33.593577512558738</v>
      </c>
      <c r="AD25" s="2">
        <f t="shared" si="3"/>
        <v>44.984485705239265</v>
      </c>
    </row>
    <row r="26" spans="1:30" x14ac:dyDescent="0.2">
      <c r="A26" t="str">
        <f>'L-Values'!A26</f>
        <v>CGI001-qtz07-CL-fit-1</v>
      </c>
      <c r="B26">
        <v>750</v>
      </c>
      <c r="C26">
        <f t="shared" si="0"/>
        <v>8.0537892000481889E-22</v>
      </c>
      <c r="D26">
        <v>1850</v>
      </c>
      <c r="E26">
        <v>1024</v>
      </c>
      <c r="F26">
        <f t="shared" si="1"/>
        <v>1.806640625</v>
      </c>
      <c r="I26" s="2">
        <f>('L-Values'!E26*'D(Ti_Cherniak) Times'!$F26*0.000001)^2/(4*'D(Ti_Cherniak) Times'!$C26)/(365.35*24*3600)</f>
        <v>4508.9035194377539</v>
      </c>
      <c r="J26" s="2">
        <f>('L-Values'!F26*'D(Ti_Cherniak) Times'!$F26*0.000001)^2/(4*'D(Ti_Cherniak) Times'!$C26)/(365.35*24*3600)</f>
        <v>3116.2709060970587</v>
      </c>
      <c r="K26" s="2">
        <f>('L-Values'!G26*'D(Ti_Cherniak) Times'!$F26*0.000001)^2/(4*'D(Ti_Cherniak) Times'!$C26)/(365.35*24*3600)</f>
        <v>5009.2147456942575</v>
      </c>
      <c r="L26" s="2">
        <f>('L-Values'!H26*'D(Ti_Cherniak) Times'!$F26*0.000001)^2/(4*'D(Ti_Cherniak) Times'!$C26)/(365.35*24*3600)</f>
        <v>4683.064873363448</v>
      </c>
      <c r="M26" s="2">
        <f>('L-Values'!I26*'D(Ti_Cherniak) Times'!$F26*0.000001)^2/(4*'D(Ti_Cherniak) Times'!$C26)/(365.35*24*3600)</f>
        <v>4390.3831817521695</v>
      </c>
      <c r="N26" s="2">
        <f>('L-Values'!J26*'D(Ti_Cherniak) Times'!$F26*0.000001)^2/(4*'D(Ti_Cherniak) Times'!$C26)/(365.35*24*3600)</f>
        <v>4606.1650591358411</v>
      </c>
      <c r="O26" s="2">
        <f>('L-Values'!K26*'D(Ti_Cherniak) Times'!$F26*0.000001)^2/(4*'D(Ti_Cherniak) Times'!$C26)/(365.35*24*3600)</f>
        <v>5139.6281243057256</v>
      </c>
      <c r="P26" s="2">
        <f>('L-Values'!L26*'D(Ti_Cherniak) Times'!$F26*0.000001)^2/(4*'D(Ti_Cherniak) Times'!$C26)/(365.35*24*3600)</f>
        <v>5345.2996494755653</v>
      </c>
      <c r="Q26" s="2">
        <f>('L-Values'!M26*'D(Ti_Cherniak) Times'!$F26*0.000001)^2/(4*'D(Ti_Cherniak) Times'!$C26)/(365.35*24*3600)</f>
        <v>5214.1377175205953</v>
      </c>
      <c r="R26" s="2">
        <f>('L-Values'!N26*'D(Ti_Cherniak) Times'!$F26*0.000001)^2/(4*'D(Ti_Cherniak) Times'!$C26)/(365.35*24*3600)</f>
        <v>5842.6802710048532</v>
      </c>
      <c r="S26" s="2">
        <f>('L-Values'!O26*'D(Ti_Cherniak) Times'!$F26*0.000001)^2/(4*'D(Ti_Cherniak) Times'!$C26)/(365.35*24*3600)</f>
        <v>2673.8553592302733</v>
      </c>
      <c r="T26" s="2"/>
      <c r="U26" s="2">
        <f>('L-Values'!Q26*'D(Ti_Cherniak) Times'!$F26*0.000001)^2/(4*'D(Ti_Cherniak) Times'!$C26)/(365.35*24*3600)</f>
        <v>4527.3311434304242</v>
      </c>
      <c r="V26" s="2">
        <f>('L-Values'!R26*'D(Ti_Cherniak) Times'!$F26*0.000001)^2/(4*'D(Ti_Cherniak) Times'!$C26)/(365.35*24*3600)</f>
        <v>4543.591791993701</v>
      </c>
      <c r="W26" s="2">
        <f>('L-Values'!S26*'D(Ti_Cherniak) Times'!$F26*0.000001)^2/(4*'D(Ti_Cherniak) Times'!$C26)/(365.35*24*3600)</f>
        <v>4683.064873363448</v>
      </c>
      <c r="X26" s="2"/>
      <c r="Y26" s="2">
        <f>('L-Values'!U26*'D(Ti_Cherniak) Times'!$F26*0.000001)^2/(4*'D(Ti_Cherniak) Times'!$C26)/(365.35*24*3600)</f>
        <v>4570.7730831968984</v>
      </c>
      <c r="Z26" s="2">
        <f>('L-Values'!V26*'D(Ti_Cherniak) Times'!$F26*0.000001)^2/(4*'D(Ti_Cherniak) Times'!$C26)/(365.35*24*3600)</f>
        <v>4661.6251556438965</v>
      </c>
      <c r="AA26" s="2">
        <f>('L-Values'!W26*'D(Ti_Cherniak) Times'!$F26*0.000001)^2/(4*'D(Ti_Cherniak) Times'!$C26)/(365.35*24*3600)</f>
        <v>3130.6518652729019</v>
      </c>
      <c r="AB26" s="2">
        <f>('L-Values'!X26*'D(Ti_Cherniak) Times'!$F26*0.000001)^2/(4*'D(Ti_Cherniak) Times'!$C26)/(365.35*24*3600)</f>
        <v>6976.7988011978168</v>
      </c>
      <c r="AC26" s="2">
        <f t="shared" si="2"/>
        <v>1530.9732903709946</v>
      </c>
      <c r="AD26" s="2">
        <f t="shared" si="3"/>
        <v>2315.1736455539203</v>
      </c>
    </row>
    <row r="27" spans="1:30" x14ac:dyDescent="0.2">
      <c r="A27" t="str">
        <f>'L-Values'!A27</f>
        <v>CGI001-qtz07-CL-fit-2-offset</v>
      </c>
      <c r="B27">
        <v>750</v>
      </c>
      <c r="C27">
        <f t="shared" si="0"/>
        <v>8.0537892000481889E-22</v>
      </c>
      <c r="D27">
        <v>1850</v>
      </c>
      <c r="E27">
        <v>1024</v>
      </c>
      <c r="F27">
        <f t="shared" si="1"/>
        <v>1.806640625</v>
      </c>
      <c r="I27" s="2">
        <f>('L-Values'!E27*'D(Ti_Cherniak) Times'!$F27*0.000001)^2/(4*'D(Ti_Cherniak) Times'!$C27)/(365.35*24*3600)</f>
        <v>392.72014819196738</v>
      </c>
      <c r="J27" s="2">
        <f>('L-Values'!F27*'D(Ti_Cherniak) Times'!$F27*0.000001)^2/(4*'D(Ti_Cherniak) Times'!$C27)/(365.35*24*3600)</f>
        <v>458.33615887035103</v>
      </c>
      <c r="K27" s="2">
        <f>('L-Values'!G27*'D(Ti_Cherniak) Times'!$F27*0.000001)^2/(4*'D(Ti_Cherniak) Times'!$C27)/(365.35*24*3600)</f>
        <v>506.19026389374488</v>
      </c>
      <c r="L27" s="2">
        <f>('L-Values'!H27*'D(Ti_Cherniak) Times'!$F27*0.000001)^2/(4*'D(Ti_Cherniak) Times'!$C27)/(365.35*24*3600)</f>
        <v>259.44184498493922</v>
      </c>
      <c r="M27" s="2">
        <f>('L-Values'!I27*'D(Ti_Cherniak) Times'!$F27*0.000001)^2/(4*'D(Ti_Cherniak) Times'!$C27)/(365.35*24*3600)</f>
        <v>353.78915599464267</v>
      </c>
      <c r="N27" s="2">
        <f>('L-Values'!J27*'D(Ti_Cherniak) Times'!$F27*0.000001)^2/(4*'D(Ti_Cherniak) Times'!$C27)/(365.35*24*3600)</f>
        <v>399.26389728359516</v>
      </c>
      <c r="O27" s="2">
        <f>('L-Values'!K27*'D(Ti_Cherniak) Times'!$F27*0.000001)^2/(4*'D(Ti_Cherniak) Times'!$C27)/(365.35*24*3600)</f>
        <v>422.85783796783153</v>
      </c>
      <c r="P27" s="2">
        <f>('L-Values'!L27*'D(Ti_Cherniak) Times'!$F27*0.000001)^2/(4*'D(Ti_Cherniak) Times'!$C27)/(365.35*24*3600)</f>
        <v>201.76198200831087</v>
      </c>
      <c r="Q27" s="2">
        <f>('L-Values'!M27*'D(Ti_Cherniak) Times'!$F27*0.000001)^2/(4*'D(Ti_Cherniak) Times'!$C27)/(365.35*24*3600)</f>
        <v>195.35082593494016</v>
      </c>
      <c r="R27" s="2">
        <f>('L-Values'!N27*'D(Ti_Cherniak) Times'!$F27*0.000001)^2/(4*'D(Ti_Cherniak) Times'!$C27)/(365.35*24*3600)</f>
        <v>277.8329287358788</v>
      </c>
      <c r="S27" s="2">
        <f>('L-Values'!O27*'D(Ti_Cherniak) Times'!$F27*0.000001)^2/(4*'D(Ti_Cherniak) Times'!$C27)/(365.35*24*3600)</f>
        <v>267.63343585774771</v>
      </c>
      <c r="T27" s="2"/>
      <c r="U27" s="2">
        <f>('L-Values'!Q27*'D(Ti_Cherniak) Times'!$F27*0.000001)^2/(4*'D(Ti_Cherniak) Times'!$C27)/(365.35*24*3600)</f>
        <v>339.64283217028691</v>
      </c>
      <c r="V27" s="2">
        <f>('L-Values'!R27*'D(Ti_Cherniak) Times'!$F27*0.000001)^2/(4*'D(Ti_Cherniak) Times'!$C27)/(365.35*24*3600)</f>
        <v>331.88599684014508</v>
      </c>
      <c r="W27" s="2">
        <f>('L-Values'!S27*'D(Ti_Cherniak) Times'!$F27*0.000001)^2/(4*'D(Ti_Cherniak) Times'!$C27)/(365.35*24*3600)</f>
        <v>353.78915599464267</v>
      </c>
      <c r="X27" s="2"/>
      <c r="Y27" s="2">
        <f>('L-Values'!U27*'D(Ti_Cherniak) Times'!$F27*0.000001)^2/(4*'D(Ti_Cherniak) Times'!$C27)/(365.35*24*3600)</f>
        <v>357.41731796399642</v>
      </c>
      <c r="Z27" s="2">
        <f>('L-Values'!V27*'D(Ti_Cherniak) Times'!$F27*0.000001)^2/(4*'D(Ti_Cherniak) Times'!$C27)/(365.35*24*3600)</f>
        <v>357.40710781454294</v>
      </c>
      <c r="AA27" s="2">
        <f>('L-Values'!W27*'D(Ti_Cherniak) Times'!$F27*0.000001)^2/(4*'D(Ti_Cherniak) Times'!$C27)/(365.35*24*3600)</f>
        <v>160.9800875517376</v>
      </c>
      <c r="AB27" s="2">
        <f>('L-Values'!X27*'D(Ti_Cherniak) Times'!$F27*0.000001)^2/(4*'D(Ti_Cherniak) Times'!$C27)/(365.35*24*3600)</f>
        <v>612.97901339295606</v>
      </c>
      <c r="AC27" s="2">
        <f t="shared" si="2"/>
        <v>196.42702026280534</v>
      </c>
      <c r="AD27" s="2">
        <f t="shared" si="3"/>
        <v>255.57190557841312</v>
      </c>
    </row>
    <row r="28" spans="1:30" x14ac:dyDescent="0.2">
      <c r="A28" t="str">
        <f>'L-Values'!A28</f>
        <v>CGI001-qtz07-CL-fit-3-offset</v>
      </c>
      <c r="B28">
        <v>750</v>
      </c>
      <c r="C28">
        <f t="shared" si="0"/>
        <v>8.0537892000481889E-22</v>
      </c>
      <c r="D28">
        <v>1850</v>
      </c>
      <c r="E28">
        <v>1024</v>
      </c>
      <c r="F28">
        <f t="shared" si="1"/>
        <v>1.806640625</v>
      </c>
      <c r="I28" s="2">
        <f>('L-Values'!E28*'D(Ti_Cherniak) Times'!$F28*0.000001)^2/(4*'D(Ti_Cherniak) Times'!$C28)/(365.35*24*3600)</f>
        <v>217.28295427112874</v>
      </c>
      <c r="J28" s="2">
        <f>('L-Values'!F28*'D(Ti_Cherniak) Times'!$F28*0.000001)^2/(4*'D(Ti_Cherniak) Times'!$C28)/(365.35*24*3600)</f>
        <v>167.1595142125166</v>
      </c>
      <c r="K28" s="2">
        <f>('L-Values'!G28*'D(Ti_Cherniak) Times'!$F28*0.000001)^2/(4*'D(Ti_Cherniak) Times'!$C28)/(365.35*24*3600)</f>
        <v>108.14892661208225</v>
      </c>
      <c r="L28" s="2">
        <f>('L-Values'!H28*'D(Ti_Cherniak) Times'!$F28*0.000001)^2/(4*'D(Ti_Cherniak) Times'!$C28)/(365.35*24*3600)</f>
        <v>147.10691455720089</v>
      </c>
      <c r="M28" s="2">
        <f>('L-Values'!I28*'D(Ti_Cherniak) Times'!$F28*0.000001)^2/(4*'D(Ti_Cherniak) Times'!$C28)/(365.35*24*3600)</f>
        <v>201.42618806581677</v>
      </c>
      <c r="N28" s="2">
        <f>('L-Values'!J28*'D(Ti_Cherniak) Times'!$F28*0.000001)^2/(4*'D(Ti_Cherniak) Times'!$C28)/(365.35*24*3600)</f>
        <v>147.77460153897187</v>
      </c>
      <c r="O28" s="2">
        <f>('L-Values'!K28*'D(Ti_Cherniak) Times'!$F28*0.000001)^2/(4*'D(Ti_Cherniak) Times'!$C28)/(365.35*24*3600)</f>
        <v>128.88181822539642</v>
      </c>
      <c r="P28" s="2">
        <f>('L-Values'!L28*'D(Ti_Cherniak) Times'!$F28*0.000001)^2/(4*'D(Ti_Cherniak) Times'!$C28)/(365.35*24*3600)</f>
        <v>109.76051986463446</v>
      </c>
      <c r="Q28" s="2">
        <f>('L-Values'!M28*'D(Ti_Cherniak) Times'!$F28*0.000001)^2/(4*'D(Ti_Cherniak) Times'!$C28)/(365.35*24*3600)</f>
        <v>155.3582732490118</v>
      </c>
      <c r="R28" s="2">
        <f>('L-Values'!N28*'D(Ti_Cherniak) Times'!$F28*0.000001)^2/(4*'D(Ti_Cherniak) Times'!$C28)/(365.35*24*3600)</f>
        <v>228.40397719762714</v>
      </c>
      <c r="S28" s="2">
        <f>('L-Values'!O28*'D(Ti_Cherniak) Times'!$F28*0.000001)^2/(4*'D(Ti_Cherniak) Times'!$C28)/(365.35*24*3600)</f>
        <v>166.65734215465082</v>
      </c>
      <c r="T28" s="2"/>
      <c r="U28" s="2">
        <f>('L-Values'!Q28*'D(Ti_Cherniak) Times'!$F28*0.000001)^2/(4*'D(Ti_Cherniak) Times'!$C28)/(365.35*24*3600)</f>
        <v>160.57916200362649</v>
      </c>
      <c r="V28" s="2">
        <f>('L-Values'!R28*'D(Ti_Cherniak) Times'!$F28*0.000001)^2/(4*'D(Ti_Cherniak) Times'!$C28)/(365.35*24*3600)</f>
        <v>159.36234473895939</v>
      </c>
      <c r="W28" s="2">
        <f>('L-Values'!S28*'D(Ti_Cherniak) Times'!$F28*0.000001)^2/(4*'D(Ti_Cherniak) Times'!$C28)/(365.35*24*3600)</f>
        <v>155.3582732490118</v>
      </c>
      <c r="X28" s="2"/>
      <c r="Y28" s="2">
        <f>('L-Values'!U28*'D(Ti_Cherniak) Times'!$F28*0.000001)^2/(4*'D(Ti_Cherniak) Times'!$C28)/(365.35*24*3600)</f>
        <v>162.47207414665417</v>
      </c>
      <c r="Z28" s="2">
        <f>('L-Values'!V28*'D(Ti_Cherniak) Times'!$F28*0.000001)^2/(4*'D(Ti_Cherniak) Times'!$C28)/(365.35*24*3600)</f>
        <v>158.07164425338775</v>
      </c>
      <c r="AA28" s="2">
        <f>('L-Values'!W28*'D(Ti_Cherniak) Times'!$F28*0.000001)^2/(4*'D(Ti_Cherniak) Times'!$C28)/(365.35*24*3600)</f>
        <v>64.211608259273874</v>
      </c>
      <c r="AB28" s="2">
        <f>('L-Values'!X28*'D(Ti_Cherniak) Times'!$F28*0.000001)^2/(4*'D(Ti_Cherniak) Times'!$C28)/(365.35*24*3600)</f>
        <v>276.43566816982747</v>
      </c>
      <c r="AC28" s="2">
        <f t="shared" si="2"/>
        <v>93.860035994113872</v>
      </c>
      <c r="AD28" s="2">
        <f t="shared" si="3"/>
        <v>118.36402391643972</v>
      </c>
    </row>
    <row r="29" spans="1:30" x14ac:dyDescent="0.2">
      <c r="A29" t="str">
        <f>'L-Values'!A29</f>
        <v>CGI001-qtz08-CL-fit-1-offset</v>
      </c>
      <c r="B29">
        <v>750</v>
      </c>
      <c r="C29">
        <f t="shared" si="0"/>
        <v>8.0537892000481889E-22</v>
      </c>
      <c r="D29">
        <v>1500</v>
      </c>
      <c r="E29">
        <v>1024</v>
      </c>
      <c r="F29">
        <f t="shared" si="1"/>
        <v>1.46484375</v>
      </c>
      <c r="I29" s="2">
        <f>('L-Values'!E29*'D(Ti_Cherniak) Times'!$F29*0.000001)^2/(4*'D(Ti_Cherniak) Times'!$C29)/(365.35*24*3600)</f>
        <v>4446.1509423222979</v>
      </c>
      <c r="J29" s="2">
        <f>('L-Values'!F29*'D(Ti_Cherniak) Times'!$F29*0.000001)^2/(4*'D(Ti_Cherniak) Times'!$C29)/(365.35*24*3600)</f>
        <v>4079.5205020705994</v>
      </c>
      <c r="K29" s="2">
        <f>('L-Values'!G29*'D(Ti_Cherniak) Times'!$F29*0.000001)^2/(4*'D(Ti_Cherniak) Times'!$C29)/(365.35*24*3600)</f>
        <v>5839.264185739049</v>
      </c>
      <c r="L29" s="2">
        <f>('L-Values'!H29*'D(Ti_Cherniak) Times'!$F29*0.000001)^2/(4*'D(Ti_Cherniak) Times'!$C29)/(365.35*24*3600)</f>
        <v>6282.8746309902326</v>
      </c>
      <c r="M29" s="2">
        <f>('L-Values'!I29*'D(Ti_Cherniak) Times'!$F29*0.000001)^2/(4*'D(Ti_Cherniak) Times'!$C29)/(365.35*24*3600)</f>
        <v>3428.4545662272008</v>
      </c>
      <c r="N29" s="2">
        <f>('L-Values'!J29*'D(Ti_Cherniak) Times'!$F29*0.000001)^2/(4*'D(Ti_Cherniak) Times'!$C29)/(365.35*24*3600)</f>
        <v>4426.2597325543875</v>
      </c>
      <c r="O29" s="2">
        <f>('L-Values'!K29*'D(Ti_Cherniak) Times'!$F29*0.000001)^2/(4*'D(Ti_Cherniak) Times'!$C29)/(365.35*24*3600)</f>
        <v>4401.7207621314228</v>
      </c>
      <c r="P29" s="2">
        <f>('L-Values'!L29*'D(Ti_Cherniak) Times'!$F29*0.000001)^2/(4*'D(Ti_Cherniak) Times'!$C29)/(365.35*24*3600)</f>
        <v>4604.1984340099734</v>
      </c>
      <c r="Q29" s="2">
        <f>('L-Values'!M29*'D(Ti_Cherniak) Times'!$F29*0.000001)^2/(4*'D(Ti_Cherniak) Times'!$C29)/(365.35*24*3600)</f>
        <v>5085.9402577699757</v>
      </c>
      <c r="R29" s="2">
        <f>('L-Values'!N29*'D(Ti_Cherniak) Times'!$F29*0.000001)^2/(4*'D(Ti_Cherniak) Times'!$C29)/(365.35*24*3600)</f>
        <v>3705.5121581104295</v>
      </c>
      <c r="S29" s="2">
        <f>('L-Values'!O29*'D(Ti_Cherniak) Times'!$F29*0.000001)^2/(4*'D(Ti_Cherniak) Times'!$C29)/(365.35*24*3600)</f>
        <v>3249.6969531615614</v>
      </c>
      <c r="T29" s="2"/>
      <c r="U29" s="2">
        <f>('L-Values'!Q29*'D(Ti_Cherniak) Times'!$F29*0.000001)^2/(4*'D(Ti_Cherniak) Times'!$C29)/(365.35*24*3600)</f>
        <v>4412.1884633282662</v>
      </c>
      <c r="V29" s="2">
        <f>('L-Values'!R29*'D(Ti_Cherniak) Times'!$F29*0.000001)^2/(4*'D(Ti_Cherniak) Times'!$C29)/(365.35*24*3600)</f>
        <v>4461.1217166702027</v>
      </c>
      <c r="W29" s="2">
        <f>('L-Values'!S29*'D(Ti_Cherniak) Times'!$F29*0.000001)^2/(4*'D(Ti_Cherniak) Times'!$C29)/(365.35*24*3600)</f>
        <v>4426.2597325543875</v>
      </c>
      <c r="X29" s="2"/>
      <c r="Y29" s="2">
        <f>('L-Values'!U29*'D(Ti_Cherniak) Times'!$F29*0.000001)^2/(4*'D(Ti_Cherniak) Times'!$C29)/(365.35*24*3600)</f>
        <v>4418.8596186307359</v>
      </c>
      <c r="Z29" s="2">
        <f>('L-Values'!V29*'D(Ti_Cherniak) Times'!$F29*0.000001)^2/(4*'D(Ti_Cherniak) Times'!$C29)/(365.35*24*3600)</f>
        <v>4468.6163569085948</v>
      </c>
      <c r="AA29" s="2">
        <f>('L-Values'!W29*'D(Ti_Cherniak) Times'!$F29*0.000001)^2/(4*'D(Ti_Cherniak) Times'!$C29)/(365.35*24*3600)</f>
        <v>2621.2576144926711</v>
      </c>
      <c r="AB29" s="2">
        <f>('L-Values'!X29*'D(Ti_Cherniak) Times'!$F29*0.000001)^2/(4*'D(Ti_Cherniak) Times'!$C29)/(365.35*24*3600)</f>
        <v>6692.5445347330624</v>
      </c>
      <c r="AC29" s="2">
        <f t="shared" si="2"/>
        <v>1847.3587424159236</v>
      </c>
      <c r="AD29" s="2">
        <f t="shared" si="3"/>
        <v>2223.9281778244676</v>
      </c>
    </row>
    <row r="30" spans="1:30" x14ac:dyDescent="0.2">
      <c r="A30" t="str">
        <f>'L-Values'!A30</f>
        <v>CGI001-qtz08-CL-fit-2-offset</v>
      </c>
      <c r="B30">
        <v>750</v>
      </c>
      <c r="C30">
        <f t="shared" si="0"/>
        <v>8.0537892000481889E-22</v>
      </c>
      <c r="D30">
        <v>1500</v>
      </c>
      <c r="E30">
        <v>1024</v>
      </c>
      <c r="F30">
        <f t="shared" si="1"/>
        <v>1.46484375</v>
      </c>
      <c r="I30" s="2">
        <f>('L-Values'!E30*'D(Ti_Cherniak) Times'!$F30*0.000001)^2/(4*'D(Ti_Cherniak) Times'!$C30)/(365.35*24*3600)</f>
        <v>397.01080878312217</v>
      </c>
      <c r="J30" s="2">
        <f>('L-Values'!F30*'D(Ti_Cherniak) Times'!$F30*0.000001)^2/(4*'D(Ti_Cherniak) Times'!$C30)/(365.35*24*3600)</f>
        <v>540.35704485462315</v>
      </c>
      <c r="K30" s="2">
        <f>('L-Values'!G30*'D(Ti_Cherniak) Times'!$F30*0.000001)^2/(4*'D(Ti_Cherniak) Times'!$C30)/(365.35*24*3600)</f>
        <v>422.83160776923427</v>
      </c>
      <c r="L30" s="2">
        <f>('L-Values'!H30*'D(Ti_Cherniak) Times'!$F30*0.000001)^2/(4*'D(Ti_Cherniak) Times'!$C30)/(365.35*24*3600)</f>
        <v>451.19258119859853</v>
      </c>
      <c r="M30" s="2">
        <f>('L-Values'!I30*'D(Ti_Cherniak) Times'!$F30*0.000001)^2/(4*'D(Ti_Cherniak) Times'!$C30)/(365.35*24*3600)</f>
        <v>313.89425759011471</v>
      </c>
      <c r="N30" s="2">
        <f>('L-Values'!J30*'D(Ti_Cherniak) Times'!$F30*0.000001)^2/(4*'D(Ti_Cherniak) Times'!$C30)/(365.35*24*3600)</f>
        <v>275.60751095563046</v>
      </c>
      <c r="O30" s="2">
        <f>('L-Values'!K30*'D(Ti_Cherniak) Times'!$F30*0.000001)^2/(4*'D(Ti_Cherniak) Times'!$C30)/(365.35*24*3600)</f>
        <v>656.35283887085461</v>
      </c>
      <c r="P30" s="2">
        <f>('L-Values'!L30*'D(Ti_Cherniak) Times'!$F30*0.000001)^2/(4*'D(Ti_Cherniak) Times'!$C30)/(365.35*24*3600)</f>
        <v>1110.478073459994</v>
      </c>
      <c r="Q30" s="2">
        <f>('L-Values'!M30*'D(Ti_Cherniak) Times'!$F30*0.000001)^2/(4*'D(Ti_Cherniak) Times'!$C30)/(365.35*24*3600)</f>
        <v>423.64567792983615</v>
      </c>
      <c r="R30" s="2">
        <f>('L-Values'!N30*'D(Ti_Cherniak) Times'!$F30*0.000001)^2/(4*'D(Ti_Cherniak) Times'!$C30)/(365.35*24*3600)</f>
        <v>754.81048354061045</v>
      </c>
      <c r="S30" s="2">
        <f>('L-Values'!O30*'D(Ti_Cherniak) Times'!$F30*0.000001)^2/(4*'D(Ti_Cherniak) Times'!$C30)/(365.35*24*3600)</f>
        <v>630.50835653765398</v>
      </c>
      <c r="T30" s="2"/>
      <c r="U30" s="2">
        <f>('L-Values'!Q30*'D(Ti_Cherniak) Times'!$F30*0.000001)^2/(4*'D(Ti_Cherniak) Times'!$C30)/(365.35*24*3600)</f>
        <v>568.59739400125409</v>
      </c>
      <c r="V30" s="2">
        <f>('L-Values'!R30*'D(Ti_Cherniak) Times'!$F30*0.000001)^2/(4*'D(Ti_Cherniak) Times'!$C30)/(365.35*24*3600)</f>
        <v>522.34264164030913</v>
      </c>
      <c r="W30" s="2">
        <f>('L-Values'!S30*'D(Ti_Cherniak) Times'!$F30*0.000001)^2/(4*'D(Ti_Cherniak) Times'!$C30)/(365.35*24*3600)</f>
        <v>451.19258119859853</v>
      </c>
      <c r="X30" s="2"/>
      <c r="Y30" s="2">
        <f>('L-Values'!U30*'D(Ti_Cherniak) Times'!$F30*0.000001)^2/(4*'D(Ti_Cherniak) Times'!$C30)/(365.35*24*3600)</f>
        <v>551.32963271258473</v>
      </c>
      <c r="Z30" s="2">
        <f>('L-Values'!V30*'D(Ti_Cherniak) Times'!$F30*0.000001)^2/(4*'D(Ti_Cherniak) Times'!$C30)/(365.35*24*3600)</f>
        <v>539.60571259926905</v>
      </c>
      <c r="AA30" s="2">
        <f>('L-Values'!W30*'D(Ti_Cherniak) Times'!$F30*0.000001)^2/(4*'D(Ti_Cherniak) Times'!$C30)/(365.35*24*3600)</f>
        <v>193.85679719303576</v>
      </c>
      <c r="AB30" s="2">
        <f>('L-Values'!X30*'D(Ti_Cherniak) Times'!$F30*0.000001)^2/(4*'D(Ti_Cherniak) Times'!$C30)/(365.35*24*3600)</f>
        <v>1029.9142082330413</v>
      </c>
      <c r="AC30" s="2">
        <f t="shared" si="2"/>
        <v>345.74891540623332</v>
      </c>
      <c r="AD30" s="2">
        <f t="shared" si="3"/>
        <v>490.30849563377228</v>
      </c>
    </row>
    <row r="31" spans="1:30" x14ac:dyDescent="0.2">
      <c r="A31" t="str">
        <f>'L-Values'!A31</f>
        <v>CGI001-qtz08-CL-fit-3</v>
      </c>
      <c r="B31">
        <v>750</v>
      </c>
      <c r="C31">
        <f t="shared" si="0"/>
        <v>8.0537892000481889E-22</v>
      </c>
      <c r="D31">
        <v>1500</v>
      </c>
      <c r="E31">
        <v>1024</v>
      </c>
      <c r="F31">
        <f t="shared" si="1"/>
        <v>1.46484375</v>
      </c>
      <c r="I31" s="2">
        <f>('L-Values'!E31*'D(Ti_Cherniak) Times'!$F31*0.000001)^2/(4*'D(Ti_Cherniak) Times'!$C31)/(365.35*24*3600)</f>
        <v>394.13136283101227</v>
      </c>
      <c r="J31" s="2">
        <f>('L-Values'!F31*'D(Ti_Cherniak) Times'!$F31*0.000001)^2/(4*'D(Ti_Cherniak) Times'!$C31)/(365.35*24*3600)</f>
        <v>728.48964923833375</v>
      </c>
      <c r="K31" s="2">
        <f>('L-Values'!G31*'D(Ti_Cherniak) Times'!$F31*0.000001)^2/(4*'D(Ti_Cherniak) Times'!$C31)/(365.35*24*3600)</f>
        <v>579.43839171186062</v>
      </c>
      <c r="L31" s="2">
        <f>('L-Values'!H31*'D(Ti_Cherniak) Times'!$F31*0.000001)^2/(4*'D(Ti_Cherniak) Times'!$C31)/(365.35*24*3600)</f>
        <v>290.9318778859236</v>
      </c>
      <c r="M31" s="2">
        <f>('L-Values'!I31*'D(Ti_Cherniak) Times'!$F31*0.000001)^2/(4*'D(Ti_Cherniak) Times'!$C31)/(365.35*24*3600)</f>
        <v>594.2992400581652</v>
      </c>
      <c r="N31" s="2">
        <f>('L-Values'!J31*'D(Ti_Cherniak) Times'!$F31*0.000001)^2/(4*'D(Ti_Cherniak) Times'!$C31)/(365.35*24*3600)</f>
        <v>79.035814573808267</v>
      </c>
      <c r="O31" s="2">
        <f>('L-Values'!K31*'D(Ti_Cherniak) Times'!$F31*0.000001)^2/(4*'D(Ti_Cherniak) Times'!$C31)/(365.35*24*3600)</f>
        <v>343.27422046191583</v>
      </c>
      <c r="P31" s="2">
        <f>('L-Values'!L31*'D(Ti_Cherniak) Times'!$F31*0.000001)^2/(4*'D(Ti_Cherniak) Times'!$C31)/(365.35*24*3600)</f>
        <v>0</v>
      </c>
      <c r="Q31" s="2">
        <f>('L-Values'!M31*'D(Ti_Cherniak) Times'!$F31*0.000001)^2/(4*'D(Ti_Cherniak) Times'!$C31)/(365.35*24*3600)</f>
        <v>73.402724043807808</v>
      </c>
      <c r="R31" s="2">
        <f>('L-Values'!N31*'D(Ti_Cherniak) Times'!$F31*0.000001)^2/(4*'D(Ti_Cherniak) Times'!$C31)/(365.35*24*3600)</f>
        <v>138.75426627186926</v>
      </c>
      <c r="S31" s="2">
        <f>('L-Values'!O31*'D(Ti_Cherniak) Times'!$F31*0.000001)^2/(4*'D(Ti_Cherniak) Times'!$C31)/(365.35*24*3600)</f>
        <v>93.914614892009624</v>
      </c>
      <c r="T31" s="2"/>
      <c r="U31" s="2">
        <f>('L-Values'!Q31*'D(Ti_Cherniak) Times'!$F31*0.000001)^2/(4*'D(Ti_Cherniak) Times'!$C31)/(365.35*24*3600)</f>
        <v>447.97777430433979</v>
      </c>
      <c r="V31" s="2">
        <f>('L-Values'!R31*'D(Ti_Cherniak) Times'!$F31*0.000001)^2/(4*'D(Ti_Cherniak) Times'!$C31)/(365.35*24*3600)</f>
        <v>288.33927830067466</v>
      </c>
      <c r="W31" s="2">
        <f>('L-Values'!S31*'D(Ti_Cherniak) Times'!$F31*0.000001)^2/(4*'D(Ti_Cherniak) Times'!$C31)/(365.35*24*3600)</f>
        <v>316.56213624707249</v>
      </c>
      <c r="X31" s="2"/>
      <c r="Y31" s="2">
        <f>('L-Values'!U31*'D(Ti_Cherniak) Times'!$F31*0.000001)^2/(4*'D(Ti_Cherniak) Times'!$C31)/(365.35*24*3600)</f>
        <v>248.74832102104185</v>
      </c>
      <c r="Z31" s="2">
        <f>('L-Values'!V31*'D(Ti_Cherniak) Times'!$F31*0.000001)^2/(4*'D(Ti_Cherniak) Times'!$C31)/(365.35*24*3600)</f>
        <v>337.41473065082596</v>
      </c>
      <c r="AA31" s="2">
        <f>('L-Values'!W31*'D(Ti_Cherniak) Times'!$F31*0.000001)^2/(4*'D(Ti_Cherniak) Times'!$C31)/(365.35*24*3600)</f>
        <v>0.17799863370432034</v>
      </c>
      <c r="AB31" s="2">
        <f>('L-Values'!X31*'D(Ti_Cherniak) Times'!$F31*0.000001)^2/(4*'D(Ti_Cherniak) Times'!$C31)/(365.35*24*3600)</f>
        <v>3789.30741255871</v>
      </c>
      <c r="AC31" s="2">
        <f t="shared" si="2"/>
        <v>337.23673201712165</v>
      </c>
      <c r="AD31" s="2">
        <f t="shared" si="3"/>
        <v>3451.8926819078843</v>
      </c>
    </row>
    <row r="32" spans="1:30" x14ac:dyDescent="0.2">
      <c r="A32" t="str">
        <f>'L-Values'!A32</f>
        <v>CGI001-qtz08-CL-fit-4-offset</v>
      </c>
      <c r="B32">
        <v>750</v>
      </c>
      <c r="C32">
        <f t="shared" si="0"/>
        <v>8.0537892000481889E-22</v>
      </c>
      <c r="D32">
        <v>1500</v>
      </c>
      <c r="E32">
        <v>1024</v>
      </c>
      <c r="F32">
        <f t="shared" si="1"/>
        <v>1.46484375</v>
      </c>
      <c r="I32" s="2">
        <f>('L-Values'!E32*'D(Ti_Cherniak) Times'!$F32*0.000001)^2/(4*'D(Ti_Cherniak) Times'!$C32)/(365.35*24*3600)</f>
        <v>72.580760855548178</v>
      </c>
      <c r="J32" s="2">
        <f>('L-Values'!F32*'D(Ti_Cherniak) Times'!$F32*0.000001)^2/(4*'D(Ti_Cherniak) Times'!$C32)/(365.35*24*3600)</f>
        <v>32.729887042614372</v>
      </c>
      <c r="K32" s="2">
        <f>('L-Values'!G32*'D(Ti_Cherniak) Times'!$F32*0.000001)^2/(4*'D(Ti_Cherniak) Times'!$C32)/(365.35*24*3600)</f>
        <v>71.667500467790092</v>
      </c>
      <c r="L32" s="2">
        <f>('L-Values'!H32*'D(Ti_Cherniak) Times'!$F32*0.000001)^2/(4*'D(Ti_Cherniak) Times'!$C32)/(365.35*24*3600)</f>
        <v>26.646660243155946</v>
      </c>
      <c r="M32" s="2">
        <f>('L-Values'!I32*'D(Ti_Cherniak) Times'!$F32*0.000001)^2/(4*'D(Ti_Cherniak) Times'!$C32)/(365.35*24*3600)</f>
        <v>28.774570363571929</v>
      </c>
      <c r="N32" s="2">
        <f>('L-Values'!J32*'D(Ti_Cherniak) Times'!$F32*0.000001)^2/(4*'D(Ti_Cherniak) Times'!$C32)/(365.35*24*3600)</f>
        <v>67.808286888791073</v>
      </c>
      <c r="O32" s="2">
        <f>('L-Values'!K32*'D(Ti_Cherniak) Times'!$F32*0.000001)^2/(4*'D(Ti_Cherniak) Times'!$C32)/(365.35*24*3600)</f>
        <v>26.247969867388669</v>
      </c>
      <c r="P32" s="2">
        <f>('L-Values'!L32*'D(Ti_Cherniak) Times'!$F32*0.000001)^2/(4*'D(Ti_Cherniak) Times'!$C32)/(365.35*24*3600)</f>
        <v>63.384621979924717</v>
      </c>
      <c r="Q32" s="2">
        <f>('L-Values'!M32*'D(Ti_Cherniak) Times'!$F32*0.000001)^2/(4*'D(Ti_Cherniak) Times'!$C32)/(365.35*24*3600)</f>
        <v>17.722464859046354</v>
      </c>
      <c r="R32" s="2">
        <f>('L-Values'!N32*'D(Ti_Cherniak) Times'!$F32*0.000001)^2/(4*'D(Ti_Cherniak) Times'!$C32)/(365.35*24*3600)</f>
        <v>27.43282571216421</v>
      </c>
      <c r="S32" s="2">
        <f>('L-Values'!O32*'D(Ti_Cherniak) Times'!$F32*0.000001)^2/(4*'D(Ti_Cherniak) Times'!$C32)/(365.35*24*3600)</f>
        <v>18.627112211004192</v>
      </c>
      <c r="T32" s="2"/>
      <c r="U32" s="2">
        <f>('L-Values'!Q32*'D(Ti_Cherniak) Times'!$F32*0.000001)^2/(4*'D(Ti_Cherniak) Times'!$C32)/(365.35*24*3600)</f>
        <v>57.457802241928313</v>
      </c>
      <c r="V32" s="2">
        <f>('L-Values'!R32*'D(Ti_Cherniak) Times'!$F32*0.000001)^2/(4*'D(Ti_Cherniak) Times'!$C32)/(365.35*24*3600)</f>
        <v>38.569740108645611</v>
      </c>
      <c r="W32" s="2">
        <f>('L-Values'!S32*'D(Ti_Cherniak) Times'!$F32*0.000001)^2/(4*'D(Ti_Cherniak) Times'!$C32)/(365.35*24*3600)</f>
        <v>28.774570363571929</v>
      </c>
      <c r="X32" s="2"/>
      <c r="Y32" s="2">
        <f>('L-Values'!U32*'D(Ti_Cherniak) Times'!$F32*0.000001)^2/(4*'D(Ti_Cherniak) Times'!$C32)/(365.35*24*3600)</f>
        <v>54.722906280097646</v>
      </c>
      <c r="Z32" s="2">
        <f>('L-Values'!V32*'D(Ti_Cherniak) Times'!$F32*0.000001)^2/(4*'D(Ti_Cherniak) Times'!$C32)/(365.35*24*3600)</f>
        <v>48.23842321360457</v>
      </c>
      <c r="AA32" s="2">
        <f>('L-Values'!W32*'D(Ti_Cherniak) Times'!$F32*0.000001)^2/(4*'D(Ti_Cherniak) Times'!$C32)/(365.35*24*3600)</f>
        <v>1.7055893023630042</v>
      </c>
      <c r="AB32" s="2">
        <f>('L-Values'!X32*'D(Ti_Cherniak) Times'!$F32*0.000001)^2/(4*'D(Ti_Cherniak) Times'!$C32)/(365.35*24*3600)</f>
        <v>145.25630250273568</v>
      </c>
      <c r="AC32" s="2">
        <f t="shared" si="2"/>
        <v>46.532833911241568</v>
      </c>
      <c r="AD32" s="2">
        <f t="shared" si="3"/>
        <v>97.017879289131116</v>
      </c>
    </row>
    <row r="33" spans="1:30" x14ac:dyDescent="0.2">
      <c r="A33" t="str">
        <f>'L-Values'!A33</f>
        <v>CGI001-qtz09-CL-fit-1-offset</v>
      </c>
      <c r="B33">
        <v>750</v>
      </c>
      <c r="C33">
        <f t="shared" si="0"/>
        <v>8.0537892000481889E-22</v>
      </c>
      <c r="D33">
        <v>1500</v>
      </c>
      <c r="E33">
        <v>1024</v>
      </c>
      <c r="F33">
        <f t="shared" si="1"/>
        <v>1.46484375</v>
      </c>
      <c r="I33" s="2">
        <f>('L-Values'!E33*'D(Ti_Cherniak) Times'!$F33*0.000001)^2/(4*'D(Ti_Cherniak) Times'!$C33)/(365.35*24*3600)</f>
        <v>574.78864251990194</v>
      </c>
      <c r="J33" s="2">
        <f>('L-Values'!F33*'D(Ti_Cherniak) Times'!$F33*0.000001)^2/(4*'D(Ti_Cherniak) Times'!$C33)/(365.35*24*3600)</f>
        <v>532.30592139626617</v>
      </c>
      <c r="K33" s="2">
        <f>('L-Values'!G33*'D(Ti_Cherniak) Times'!$F33*0.000001)^2/(4*'D(Ti_Cherniak) Times'!$C33)/(365.35*24*3600)</f>
        <v>445.00980602760109</v>
      </c>
      <c r="L33" s="2">
        <f>('L-Values'!H33*'D(Ti_Cherniak) Times'!$F33*0.000001)^2/(4*'D(Ti_Cherniak) Times'!$C33)/(365.35*24*3600)</f>
        <v>831.02146719120424</v>
      </c>
      <c r="M33" s="2">
        <f>('L-Values'!I33*'D(Ti_Cherniak) Times'!$F33*0.000001)^2/(4*'D(Ti_Cherniak) Times'!$C33)/(365.35*24*3600)</f>
        <v>442.19602408697722</v>
      </c>
      <c r="N33" s="2">
        <f>('L-Values'!J33*'D(Ti_Cherniak) Times'!$F33*0.000001)^2/(4*'D(Ti_Cherniak) Times'!$C33)/(365.35*24*3600)</f>
        <v>1065.3038134450264</v>
      </c>
      <c r="O33" s="2">
        <f>('L-Values'!K33*'D(Ti_Cherniak) Times'!$F33*0.000001)^2/(4*'D(Ti_Cherniak) Times'!$C33)/(365.35*24*3600)</f>
        <v>382.23375034882588</v>
      </c>
      <c r="P33" s="2">
        <f>('L-Values'!L33*'D(Ti_Cherniak) Times'!$F33*0.000001)^2/(4*'D(Ti_Cherniak) Times'!$C33)/(365.35*24*3600)</f>
        <v>519.23891647069104</v>
      </c>
      <c r="Q33" s="2">
        <f>('L-Values'!M33*'D(Ti_Cherniak) Times'!$F33*0.000001)^2/(4*'D(Ti_Cherniak) Times'!$C33)/(365.35*24*3600)</f>
        <v>858.33027189164875</v>
      </c>
      <c r="R33" s="2">
        <f>('L-Values'!N33*'D(Ti_Cherniak) Times'!$F33*0.000001)^2/(4*'D(Ti_Cherniak) Times'!$C33)/(365.35*24*3600)</f>
        <v>359.55861773593762</v>
      </c>
      <c r="S33" s="2">
        <f>('L-Values'!O33*'D(Ti_Cherniak) Times'!$F33*0.000001)^2/(4*'D(Ti_Cherniak) Times'!$C33)/(365.35*24*3600)</f>
        <v>545.24309048419912</v>
      </c>
      <c r="T33" s="2"/>
      <c r="U33" s="2">
        <f>('L-Values'!Q33*'D(Ti_Cherniak) Times'!$F33*0.000001)^2/(4*'D(Ti_Cherniak) Times'!$C33)/(365.35*24*3600)</f>
        <v>577.01523849676119</v>
      </c>
      <c r="V33" s="2">
        <f>('L-Values'!R33*'D(Ti_Cherniak) Times'!$F33*0.000001)^2/(4*'D(Ti_Cherniak) Times'!$C33)/(365.35*24*3600)</f>
        <v>578.5512433733428</v>
      </c>
      <c r="W33" s="2">
        <f>('L-Values'!S33*'D(Ti_Cherniak) Times'!$F33*0.000001)^2/(4*'D(Ti_Cherniak) Times'!$C33)/(365.35*24*3600)</f>
        <v>532.30592139626617</v>
      </c>
      <c r="X33" s="2"/>
      <c r="Y33" s="2">
        <f>('L-Values'!U33*'D(Ti_Cherniak) Times'!$F33*0.000001)^2/(4*'D(Ti_Cherniak) Times'!$C33)/(365.35*24*3600)</f>
        <v>599.30415636579437</v>
      </c>
      <c r="Z33" s="2">
        <f>('L-Values'!V33*'D(Ti_Cherniak) Times'!$F33*0.000001)^2/(4*'D(Ti_Cherniak) Times'!$C33)/(365.35*24*3600)</f>
        <v>588.0566953098164</v>
      </c>
      <c r="AA33" s="2">
        <f>('L-Values'!W33*'D(Ti_Cherniak) Times'!$F33*0.000001)^2/(4*'D(Ti_Cherniak) Times'!$C33)/(365.35*24*3600)</f>
        <v>273.06694719658293</v>
      </c>
      <c r="AB33" s="2">
        <f>('L-Values'!X33*'D(Ti_Cherniak) Times'!$F33*0.000001)^2/(4*'D(Ti_Cherniak) Times'!$C33)/(365.35*24*3600)</f>
        <v>1078.7825715351428</v>
      </c>
      <c r="AC33" s="2">
        <f t="shared" si="2"/>
        <v>314.98974811323347</v>
      </c>
      <c r="AD33" s="2">
        <f t="shared" si="3"/>
        <v>490.72587622532637</v>
      </c>
    </row>
    <row r="34" spans="1:30" x14ac:dyDescent="0.2">
      <c r="A34" t="str">
        <f>'L-Values'!A34</f>
        <v>CGI001-qtz09-CL-fit-2-offset</v>
      </c>
      <c r="B34">
        <v>750</v>
      </c>
      <c r="C34">
        <f t="shared" si="0"/>
        <v>8.0537892000481889E-22</v>
      </c>
      <c r="D34">
        <v>1500</v>
      </c>
      <c r="E34">
        <v>1024</v>
      </c>
      <c r="F34">
        <f t="shared" si="1"/>
        <v>1.46484375</v>
      </c>
      <c r="I34" s="2">
        <f>('L-Values'!E34*'D(Ti_Cherniak) Times'!$F34*0.000001)^2/(4*'D(Ti_Cherniak) Times'!$C34)/(365.35*24*3600)</f>
        <v>200.58393995133775</v>
      </c>
      <c r="J34" s="2">
        <f>('L-Values'!F34*'D(Ti_Cherniak) Times'!$F34*0.000001)^2/(4*'D(Ti_Cherniak) Times'!$C34)/(365.35*24*3600)</f>
        <v>25.672166719850953</v>
      </c>
      <c r="K34" s="2">
        <f>('L-Values'!G34*'D(Ti_Cherniak) Times'!$F34*0.000001)^2/(4*'D(Ti_Cherniak) Times'!$C34)/(365.35*24*3600)</f>
        <v>180.26052780071296</v>
      </c>
      <c r="L34" s="2">
        <f>('L-Values'!H34*'D(Ti_Cherniak) Times'!$F34*0.000001)^2/(4*'D(Ti_Cherniak) Times'!$C34)/(365.35*24*3600)</f>
        <v>178.13258884725019</v>
      </c>
      <c r="M34" s="2">
        <f>('L-Values'!I34*'D(Ti_Cherniak) Times'!$F34*0.000001)^2/(4*'D(Ti_Cherniak) Times'!$C34)/(365.35*24*3600)</f>
        <v>117.63688367620615</v>
      </c>
      <c r="N34" s="2">
        <f>('L-Values'!J34*'D(Ti_Cherniak) Times'!$F34*0.000001)^2/(4*'D(Ti_Cherniak) Times'!$C34)/(365.35*24*3600)</f>
        <v>50.947124643693606</v>
      </c>
      <c r="O34" s="2">
        <f>('L-Values'!K34*'D(Ti_Cherniak) Times'!$F34*0.000001)^2/(4*'D(Ti_Cherniak) Times'!$C34)/(365.35*24*3600)</f>
        <v>303.51068800419301</v>
      </c>
      <c r="P34" s="2">
        <f>('L-Values'!L34*'D(Ti_Cherniak) Times'!$F34*0.000001)^2/(4*'D(Ti_Cherniak) Times'!$C34)/(365.35*24*3600)</f>
        <v>116.70193590681005</v>
      </c>
      <c r="Q34" s="2">
        <f>('L-Values'!M34*'D(Ti_Cherniak) Times'!$F34*0.000001)^2/(4*'D(Ti_Cherniak) Times'!$C34)/(365.35*24*3600)</f>
        <v>17.410147855298231</v>
      </c>
      <c r="R34" s="2">
        <f>('L-Values'!N34*'D(Ti_Cherniak) Times'!$F34*0.000001)^2/(4*'D(Ti_Cherniak) Times'!$C34)/(365.35*24*3600)</f>
        <v>38.803560099712548</v>
      </c>
      <c r="S34" s="2">
        <f>('L-Values'!O34*'D(Ti_Cherniak) Times'!$F34*0.000001)^2/(4*'D(Ti_Cherniak) Times'!$C34)/(365.35*24*3600)</f>
        <v>260.40013645673946</v>
      </c>
      <c r="T34" s="2"/>
      <c r="U34" s="2">
        <f>('L-Values'!Q34*'D(Ti_Cherniak) Times'!$F34*0.000001)^2/(4*'D(Ti_Cherniak) Times'!$C34)/(365.35*24*3600)</f>
        <v>140.4878299744345</v>
      </c>
      <c r="V34" s="2">
        <f>('L-Values'!R34*'D(Ti_Cherniak) Times'!$F34*0.000001)^2/(4*'D(Ti_Cherniak) Times'!$C34)/(365.35*24*3600)</f>
        <v>116.54027398591124</v>
      </c>
      <c r="W34" s="2">
        <f>('L-Values'!S34*'D(Ti_Cherniak) Times'!$F34*0.000001)^2/(4*'D(Ti_Cherniak) Times'!$C34)/(365.35*24*3600)</f>
        <v>117.63688367620615</v>
      </c>
      <c r="X34" s="2"/>
      <c r="Y34" s="2">
        <f>('L-Values'!U34*'D(Ti_Cherniak) Times'!$F34*0.000001)^2/(4*'D(Ti_Cherniak) Times'!$C34)/(365.35*24*3600)</f>
        <v>120.24589696517586</v>
      </c>
      <c r="Z34" s="2">
        <f>('L-Values'!V34*'D(Ti_Cherniak) Times'!$F34*0.000001)^2/(4*'D(Ti_Cherniak) Times'!$C34)/(365.35*24*3600)</f>
        <v>111.96105812843216</v>
      </c>
      <c r="AA34" s="2">
        <f>('L-Values'!W34*'D(Ti_Cherniak) Times'!$F34*0.000001)^2/(4*'D(Ti_Cherniak) Times'!$C34)/(365.35*24*3600)</f>
        <v>0.55379426078562344</v>
      </c>
      <c r="AB34" s="2">
        <f>('L-Values'!X34*'D(Ti_Cherniak) Times'!$F34*0.000001)^2/(4*'D(Ti_Cherniak) Times'!$C34)/(365.35*24*3600)</f>
        <v>492.97552194287624</v>
      </c>
      <c r="AC34" s="2">
        <f t="shared" si="2"/>
        <v>111.40726386764653</v>
      </c>
      <c r="AD34" s="2">
        <f t="shared" si="3"/>
        <v>381.01446381444407</v>
      </c>
    </row>
    <row r="35" spans="1:30" x14ac:dyDescent="0.2">
      <c r="A35" t="str">
        <f>'L-Values'!A35</f>
        <v>CGI001-qtz09-CL-fit-3-offset</v>
      </c>
      <c r="B35">
        <v>750</v>
      </c>
      <c r="C35">
        <f t="shared" si="0"/>
        <v>8.0537892000481889E-22</v>
      </c>
      <c r="D35">
        <v>1500</v>
      </c>
      <c r="E35">
        <v>1024</v>
      </c>
      <c r="F35">
        <f t="shared" si="1"/>
        <v>1.46484375</v>
      </c>
      <c r="I35" s="2">
        <f>('L-Values'!E35*'D(Ti_Cherniak) Times'!$F35*0.000001)^2/(4*'D(Ti_Cherniak) Times'!$C35)/(365.35*24*3600)</f>
        <v>141.12905044265162</v>
      </c>
      <c r="J35" s="2">
        <f>('L-Values'!F35*'D(Ti_Cherniak) Times'!$F35*0.000001)^2/(4*'D(Ti_Cherniak) Times'!$C35)/(365.35*24*3600)</f>
        <v>238.87334350402168</v>
      </c>
      <c r="K35" s="2">
        <f>('L-Values'!G35*'D(Ti_Cherniak) Times'!$F35*0.000001)^2/(4*'D(Ti_Cherniak) Times'!$C35)/(365.35*24*3600)</f>
        <v>54.243425571077076</v>
      </c>
      <c r="L35" s="2">
        <f>('L-Values'!H35*'D(Ti_Cherniak) Times'!$F35*0.000001)^2/(4*'D(Ti_Cherniak) Times'!$C35)/(365.35*24*3600)</f>
        <v>101.70045014181963</v>
      </c>
      <c r="M35" s="2">
        <f>('L-Values'!I35*'D(Ti_Cherniak) Times'!$F35*0.000001)^2/(4*'D(Ti_Cherniak) Times'!$C35)/(365.35*24*3600)</f>
        <v>111.34162243998514</v>
      </c>
      <c r="N35" s="2">
        <f>('L-Values'!J35*'D(Ti_Cherniak) Times'!$F35*0.000001)^2/(4*'D(Ti_Cherniak) Times'!$C35)/(365.35*24*3600)</f>
        <v>41.306736187990857</v>
      </c>
      <c r="O35" s="2">
        <f>('L-Values'!K35*'D(Ti_Cherniak) Times'!$F35*0.000001)^2/(4*'D(Ti_Cherniak) Times'!$C35)/(365.35*24*3600)</f>
        <v>55.840160461083251</v>
      </c>
      <c r="P35" s="2">
        <f>('L-Values'!L35*'D(Ti_Cherniak) Times'!$F35*0.000001)^2/(4*'D(Ti_Cherniak) Times'!$C35)/(365.35*24*3600)</f>
        <v>73.54498683566004</v>
      </c>
      <c r="Q35" s="2">
        <f>('L-Values'!M35*'D(Ti_Cherniak) Times'!$F35*0.000001)^2/(4*'D(Ti_Cherniak) Times'!$C35)/(365.35*24*3600)</f>
        <v>125.14683190722805</v>
      </c>
      <c r="R35" s="2">
        <f>('L-Values'!N35*'D(Ti_Cherniak) Times'!$F35*0.000001)^2/(4*'D(Ti_Cherniak) Times'!$C35)/(365.35*24*3600)</f>
        <v>60.277608554882782</v>
      </c>
      <c r="S35" s="2">
        <f>('L-Values'!O35*'D(Ti_Cherniak) Times'!$F35*0.000001)^2/(4*'D(Ti_Cherniak) Times'!$C35)/(365.35*24*3600)</f>
        <v>0.99984696937382811</v>
      </c>
      <c r="T35" s="2"/>
      <c r="U35" s="2">
        <f>('L-Values'!Q35*'D(Ti_Cherniak) Times'!$F35*0.000001)^2/(4*'D(Ti_Cherniak) Times'!$C35)/(365.35*24*3600)</f>
        <v>60.634987667903395</v>
      </c>
      <c r="V35" s="2">
        <f>('L-Values'!R35*'D(Ti_Cherniak) Times'!$F35*0.000001)^2/(4*'D(Ti_Cherniak) Times'!$C35)/(365.35*24*3600)</f>
        <v>78.988503775662153</v>
      </c>
      <c r="W35" s="2">
        <f>('L-Values'!S35*'D(Ti_Cherniak) Times'!$F35*0.000001)^2/(4*'D(Ti_Cherniak) Times'!$C35)/(365.35*24*3600)</f>
        <v>73.54498683566004</v>
      </c>
      <c r="X35" s="2"/>
      <c r="Y35" s="2">
        <f>('L-Values'!U35*'D(Ti_Cherniak) Times'!$F35*0.000001)^2/(4*'D(Ti_Cherniak) Times'!$C35)/(365.35*24*3600)</f>
        <v>66.864689424776273</v>
      </c>
      <c r="Z35" s="2">
        <f>('L-Values'!V35*'D(Ti_Cherniak) Times'!$F35*0.000001)^2/(4*'D(Ti_Cherniak) Times'!$C35)/(365.35*24*3600)</f>
        <v>84.868464718814238</v>
      </c>
      <c r="AA35" s="2">
        <f>('L-Values'!W35*'D(Ti_Cherniak) Times'!$F35*0.000001)^2/(4*'D(Ti_Cherniak) Times'!$C35)/(365.35*24*3600)</f>
        <v>1.2107819436482834</v>
      </c>
      <c r="AB35" s="2">
        <f>('L-Values'!X35*'D(Ti_Cherniak) Times'!$F35*0.000001)^2/(4*'D(Ti_Cherniak) Times'!$C35)/(365.35*24*3600)</f>
        <v>613.24166192305961</v>
      </c>
      <c r="AC35" s="2">
        <f t="shared" si="2"/>
        <v>83.657682775165952</v>
      </c>
      <c r="AD35" s="2">
        <f t="shared" si="3"/>
        <v>528.37319720424534</v>
      </c>
    </row>
    <row r="36" spans="1:30" x14ac:dyDescent="0.2">
      <c r="A36" t="str">
        <f>'L-Values'!A36</f>
        <v>CGI001-qtz10-CL-fit-1-offset</v>
      </c>
      <c r="B36">
        <v>750</v>
      </c>
      <c r="C36">
        <f t="shared" si="0"/>
        <v>8.0537892000481889E-22</v>
      </c>
      <c r="D36">
        <v>2000</v>
      </c>
      <c r="E36">
        <v>1024</v>
      </c>
      <c r="F36">
        <f t="shared" si="1"/>
        <v>1.953125</v>
      </c>
      <c r="I36" s="2">
        <f>('L-Values'!E36*'D(Ti_Cherniak) Times'!$F36*0.000001)^2/(4*'D(Ti_Cherniak) Times'!$C36)/(365.35*24*3600)</f>
        <v>885.74411423181243</v>
      </c>
      <c r="J36" s="2">
        <f>('L-Values'!F36*'D(Ti_Cherniak) Times'!$F36*0.000001)^2/(4*'D(Ti_Cherniak) Times'!$C36)/(365.35*24*3600)</f>
        <v>776.62882287026639</v>
      </c>
      <c r="K36" s="2">
        <f>('L-Values'!G36*'D(Ti_Cherniak) Times'!$F36*0.000001)^2/(4*'D(Ti_Cherniak) Times'!$C36)/(365.35*24*3600)</f>
        <v>583.99173932369899</v>
      </c>
      <c r="L36" s="2">
        <f>('L-Values'!H36*'D(Ti_Cherniak) Times'!$F36*0.000001)^2/(4*'D(Ti_Cherniak) Times'!$C36)/(365.35*24*3600)</f>
        <v>842.38616032665755</v>
      </c>
      <c r="M36" s="2">
        <f>('L-Values'!I36*'D(Ti_Cherniak) Times'!$F36*0.000001)^2/(4*'D(Ti_Cherniak) Times'!$C36)/(365.35*24*3600)</f>
        <v>463.65002814853335</v>
      </c>
      <c r="N36" s="2">
        <f>('L-Values'!J36*'D(Ti_Cherniak) Times'!$F36*0.000001)^2/(4*'D(Ti_Cherniak) Times'!$C36)/(365.35*24*3600)</f>
        <v>860.76397748133036</v>
      </c>
      <c r="O36" s="2">
        <f>('L-Values'!K36*'D(Ti_Cherniak) Times'!$F36*0.000001)^2/(4*'D(Ti_Cherniak) Times'!$C36)/(365.35*24*3600)</f>
        <v>693.66828327791188</v>
      </c>
      <c r="P36" s="2">
        <f>('L-Values'!L36*'D(Ti_Cherniak) Times'!$F36*0.000001)^2/(4*'D(Ti_Cherniak) Times'!$C36)/(365.35*24*3600)</f>
        <v>817.77858580802479</v>
      </c>
      <c r="Q36" s="2">
        <f>('L-Values'!M36*'D(Ti_Cherniak) Times'!$F36*0.000001)^2/(4*'D(Ti_Cherniak) Times'!$C36)/(365.35*24*3600)</f>
        <v>1225.0177961852391</v>
      </c>
      <c r="R36" s="2">
        <f>('L-Values'!N36*'D(Ti_Cherniak) Times'!$F36*0.000001)^2/(4*'D(Ti_Cherniak) Times'!$C36)/(365.35*24*3600)</f>
        <v>1157.6531485791354</v>
      </c>
      <c r="S36" s="2">
        <f>('L-Values'!O36*'D(Ti_Cherniak) Times'!$F36*0.000001)^2/(4*'D(Ti_Cherniak) Times'!$C36)/(365.35*24*3600)</f>
        <v>873.60098784836214</v>
      </c>
      <c r="T36" s="2"/>
      <c r="U36" s="2">
        <f>('L-Values'!Q36*'D(Ti_Cherniak) Times'!$F36*0.000001)^2/(4*'D(Ti_Cherniak) Times'!$C36)/(365.35*24*3600)</f>
        <v>833.17193481185257</v>
      </c>
      <c r="V36" s="2">
        <f>('L-Values'!R36*'D(Ti_Cherniak) Times'!$F36*0.000001)^2/(4*'D(Ti_Cherniak) Times'!$C36)/(365.35*24*3600)</f>
        <v>821.11604970093947</v>
      </c>
      <c r="W36" s="2">
        <f>('L-Values'!S36*'D(Ti_Cherniak) Times'!$F36*0.000001)^2/(4*'D(Ti_Cherniak) Times'!$C36)/(365.35*24*3600)</f>
        <v>842.38616032665755</v>
      </c>
      <c r="X36" s="2"/>
      <c r="Y36" s="2">
        <f>('L-Values'!U36*'D(Ti_Cherniak) Times'!$F36*0.000001)^2/(4*'D(Ti_Cherniak) Times'!$C36)/(365.35*24*3600)</f>
        <v>819.07117713676632</v>
      </c>
      <c r="Z36" s="2">
        <f>('L-Values'!V36*'D(Ti_Cherniak) Times'!$F36*0.000001)^2/(4*'D(Ti_Cherniak) Times'!$C36)/(365.35*24*3600)</f>
        <v>821.48509655199234</v>
      </c>
      <c r="AA36" s="2">
        <f>('L-Values'!W36*'D(Ti_Cherniak) Times'!$F36*0.000001)^2/(4*'D(Ti_Cherniak) Times'!$C36)/(365.35*24*3600)</f>
        <v>417.17274863302498</v>
      </c>
      <c r="AB36" s="2">
        <f>('L-Values'!X36*'D(Ti_Cherniak) Times'!$F36*0.000001)^2/(4*'D(Ti_Cherniak) Times'!$C36)/(365.35*24*3600)</f>
        <v>1360.4540906026102</v>
      </c>
      <c r="AC36" s="2">
        <f t="shared" si="2"/>
        <v>404.31234791896736</v>
      </c>
      <c r="AD36" s="2">
        <f t="shared" si="3"/>
        <v>538.96899405061788</v>
      </c>
    </row>
    <row r="37" spans="1:30" x14ac:dyDescent="0.2">
      <c r="A37" t="str">
        <f>'L-Values'!A37</f>
        <v>CGI001-qtz10-CL-fit-2</v>
      </c>
      <c r="B37">
        <v>750</v>
      </c>
      <c r="C37">
        <f t="shared" si="0"/>
        <v>8.0537892000481889E-22</v>
      </c>
      <c r="D37">
        <v>2000</v>
      </c>
      <c r="E37">
        <v>1024</v>
      </c>
      <c r="F37">
        <f t="shared" si="1"/>
        <v>1.953125</v>
      </c>
      <c r="I37" s="2">
        <f>('L-Values'!E37*'D(Ti_Cherniak) Times'!$F37*0.000001)^2/(4*'D(Ti_Cherniak) Times'!$C37)/(365.35*24*3600)</f>
        <v>406.66344632527068</v>
      </c>
      <c r="J37" s="2">
        <f>('L-Values'!F37*'D(Ti_Cherniak) Times'!$F37*0.000001)^2/(4*'D(Ti_Cherniak) Times'!$C37)/(365.35*24*3600)</f>
        <v>199.79350540103746</v>
      </c>
      <c r="K37" s="2">
        <f>('L-Values'!G37*'D(Ti_Cherniak) Times'!$F37*0.000001)^2/(4*'D(Ti_Cherniak) Times'!$C37)/(365.35*24*3600)</f>
        <v>527.25522188774994</v>
      </c>
      <c r="L37" s="2">
        <f>('L-Values'!H37*'D(Ti_Cherniak) Times'!$F37*0.000001)^2/(4*'D(Ti_Cherniak) Times'!$C37)/(365.35*24*3600)</f>
        <v>233.16586834490295</v>
      </c>
      <c r="M37" s="2">
        <f>('L-Values'!I37*'D(Ti_Cherniak) Times'!$F37*0.000001)^2/(4*'D(Ti_Cherniak) Times'!$C37)/(365.35*24*3600)</f>
        <v>234.13695733486472</v>
      </c>
      <c r="N37" s="2">
        <f>('L-Values'!J37*'D(Ti_Cherniak) Times'!$F37*0.000001)^2/(4*'D(Ti_Cherniak) Times'!$C37)/(365.35*24*3600)</f>
        <v>314.51254611825601</v>
      </c>
      <c r="O37" s="2">
        <f>('L-Values'!K37*'D(Ti_Cherniak) Times'!$F37*0.000001)^2/(4*'D(Ti_Cherniak) Times'!$C37)/(365.35*24*3600)</f>
        <v>282.29761684070183</v>
      </c>
      <c r="P37" s="2">
        <f>('L-Values'!L37*'D(Ti_Cherniak) Times'!$F37*0.000001)^2/(4*'D(Ti_Cherniak) Times'!$C37)/(365.35*24*3600)</f>
        <v>387.02230744689524</v>
      </c>
      <c r="Q37" s="2">
        <f>('L-Values'!M37*'D(Ti_Cherniak) Times'!$F37*0.000001)^2/(4*'D(Ti_Cherniak) Times'!$C37)/(365.35*24*3600)</f>
        <v>299.49230555049678</v>
      </c>
      <c r="R37" s="2">
        <f>('L-Values'!N37*'D(Ti_Cherniak) Times'!$F37*0.000001)^2/(4*'D(Ti_Cherniak) Times'!$C37)/(365.35*24*3600)</f>
        <v>174.20152531613337</v>
      </c>
      <c r="S37" s="2">
        <f>('L-Values'!O37*'D(Ti_Cherniak) Times'!$F37*0.000001)^2/(4*'D(Ti_Cherniak) Times'!$C37)/(365.35*24*3600)</f>
        <v>172.40687295935095</v>
      </c>
      <c r="T37" s="2"/>
      <c r="U37" s="2">
        <f>('L-Values'!Q37*'D(Ti_Cherniak) Times'!$F37*0.000001)^2/(4*'D(Ti_Cherniak) Times'!$C37)/(365.35*24*3600)</f>
        <v>269.9591039591192</v>
      </c>
      <c r="V37" s="2">
        <f>('L-Values'!R37*'D(Ti_Cherniak) Times'!$F37*0.000001)^2/(4*'D(Ti_Cherniak) Times'!$C37)/(365.35*24*3600)</f>
        <v>284.92808146834818</v>
      </c>
      <c r="W37" s="2">
        <f>('L-Values'!S37*'D(Ti_Cherniak) Times'!$F37*0.000001)^2/(4*'D(Ti_Cherniak) Times'!$C37)/(365.35*24*3600)</f>
        <v>282.29761684070183</v>
      </c>
      <c r="X37" s="2"/>
      <c r="Y37" s="2">
        <f>('L-Values'!U37*'D(Ti_Cherniak) Times'!$F37*0.000001)^2/(4*'D(Ti_Cherniak) Times'!$C37)/(365.35*24*3600)</f>
        <v>269.36933978897156</v>
      </c>
      <c r="Z37" s="2">
        <f>('L-Values'!V37*'D(Ti_Cherniak) Times'!$F37*0.000001)^2/(4*'D(Ti_Cherniak) Times'!$C37)/(365.35*24*3600)</f>
        <v>272.36911881466455</v>
      </c>
      <c r="AA37" s="2">
        <f>('L-Values'!W37*'D(Ti_Cherniak) Times'!$F37*0.000001)^2/(4*'D(Ti_Cherniak) Times'!$C37)/(365.35*24*3600)</f>
        <v>142.1153678310047</v>
      </c>
      <c r="AB37" s="2">
        <f>('L-Values'!X37*'D(Ti_Cherniak) Times'!$F37*0.000001)^2/(4*'D(Ti_Cherniak) Times'!$C37)/(365.35*24*3600)</f>
        <v>471.37240360705658</v>
      </c>
      <c r="AC37" s="2">
        <f t="shared" si="2"/>
        <v>130.25375098365984</v>
      </c>
      <c r="AD37" s="2">
        <f t="shared" si="3"/>
        <v>199.00328479239204</v>
      </c>
    </row>
    <row r="38" spans="1:30" x14ac:dyDescent="0.2">
      <c r="A38" t="str">
        <f>'L-Values'!A38</f>
        <v>CGI001-qtz10-CL-fit-3-offset</v>
      </c>
      <c r="B38">
        <v>750</v>
      </c>
      <c r="C38">
        <f t="shared" si="0"/>
        <v>8.0537892000481889E-22</v>
      </c>
      <c r="D38">
        <v>2000</v>
      </c>
      <c r="E38">
        <v>1024</v>
      </c>
      <c r="F38">
        <f t="shared" si="1"/>
        <v>1.953125</v>
      </c>
      <c r="I38" s="2">
        <f>('L-Values'!E38*'D(Ti_Cherniak) Times'!$F38*0.000001)^2/(4*'D(Ti_Cherniak) Times'!$C38)/(365.35*24*3600)</f>
        <v>7595.423208962532</v>
      </c>
      <c r="J38" s="2">
        <f>('L-Values'!F38*'D(Ti_Cherniak) Times'!$F38*0.000001)^2/(4*'D(Ti_Cherniak) Times'!$C38)/(365.35*24*3600)</f>
        <v>9179.5134414329477</v>
      </c>
      <c r="K38" s="2">
        <f>('L-Values'!G38*'D(Ti_Cherniak) Times'!$F38*0.000001)^2/(4*'D(Ti_Cherniak) Times'!$C38)/(365.35*24*3600)</f>
        <v>9160.1587036864494</v>
      </c>
      <c r="L38" s="2">
        <f>('L-Values'!H38*'D(Ti_Cherniak) Times'!$F38*0.000001)^2/(4*'D(Ti_Cherniak) Times'!$C38)/(365.35*24*3600)</f>
        <v>7970.7271038881236</v>
      </c>
      <c r="M38" s="2">
        <f>('L-Values'!I38*'D(Ti_Cherniak) Times'!$F38*0.000001)^2/(4*'D(Ti_Cherniak) Times'!$C38)/(365.35*24*3600)</f>
        <v>7145.8386429746724</v>
      </c>
      <c r="N38" s="2">
        <f>('L-Values'!J38*'D(Ti_Cherniak) Times'!$F38*0.000001)^2/(4*'D(Ti_Cherniak) Times'!$C38)/(365.35*24*3600)</f>
        <v>7238.6189325354899</v>
      </c>
      <c r="O38" s="2">
        <f>('L-Values'!K38*'D(Ti_Cherniak) Times'!$F38*0.000001)^2/(4*'D(Ti_Cherniak) Times'!$C38)/(365.35*24*3600)</f>
        <v>6152.0889378060128</v>
      </c>
      <c r="P38" s="2">
        <f>('L-Values'!L38*'D(Ti_Cherniak) Times'!$F38*0.000001)^2/(4*'D(Ti_Cherniak) Times'!$C38)/(365.35*24*3600)</f>
        <v>7657.1237236480374</v>
      </c>
      <c r="Q38" s="2">
        <f>('L-Values'!M38*'D(Ti_Cherniak) Times'!$F38*0.000001)^2/(4*'D(Ti_Cherniak) Times'!$C38)/(365.35*24*3600)</f>
        <v>6848.6151883028861</v>
      </c>
      <c r="R38" s="2">
        <f>('L-Values'!N38*'D(Ti_Cherniak) Times'!$F38*0.000001)^2/(4*'D(Ti_Cherniak) Times'!$C38)/(365.35*24*3600)</f>
        <v>6125.8610800653687</v>
      </c>
      <c r="S38" s="2">
        <f>('L-Values'!O38*'D(Ti_Cherniak) Times'!$F38*0.000001)^2/(4*'D(Ti_Cherniak) Times'!$C38)/(365.35*24*3600)</f>
        <v>4363.8858963559833</v>
      </c>
      <c r="T38" s="2"/>
      <c r="U38" s="2">
        <f>('L-Values'!Q38*'D(Ti_Cherniak) Times'!$F38*0.000001)^2/(4*'D(Ti_Cherniak) Times'!$C38)/(365.35*24*3600)</f>
        <v>7118.4459945228737</v>
      </c>
      <c r="V38" s="2">
        <f>('L-Values'!R38*'D(Ti_Cherniak) Times'!$F38*0.000001)^2/(4*'D(Ti_Cherniak) Times'!$C38)/(365.35*24*3600)</f>
        <v>7156.9521373159596</v>
      </c>
      <c r="W38" s="2">
        <f>('L-Values'!S38*'D(Ti_Cherniak) Times'!$F38*0.000001)^2/(4*'D(Ti_Cherniak) Times'!$C38)/(365.35*24*3600)</f>
        <v>7238.6189325354899</v>
      </c>
      <c r="X38" s="2"/>
      <c r="Y38" s="2">
        <f>('L-Values'!U38*'D(Ti_Cherniak) Times'!$F38*0.000001)^2/(4*'D(Ti_Cherniak) Times'!$C38)/(365.35*24*3600)</f>
        <v>6999.8926947439668</v>
      </c>
      <c r="Z38" s="2">
        <f>('L-Values'!V38*'D(Ti_Cherniak) Times'!$F38*0.000001)^2/(4*'D(Ti_Cherniak) Times'!$C38)/(365.35*24*3600)</f>
        <v>7136.8747954462933</v>
      </c>
      <c r="AA38" s="2">
        <f>('L-Values'!W38*'D(Ti_Cherniak) Times'!$F38*0.000001)^2/(4*'D(Ti_Cherniak) Times'!$C38)/(365.35*24*3600)</f>
        <v>4945.8232081567357</v>
      </c>
      <c r="AB38" s="2">
        <f>('L-Values'!X38*'D(Ti_Cherniak) Times'!$F38*0.000001)^2/(4*'D(Ti_Cherniak) Times'!$C38)/(365.35*24*3600)</f>
        <v>9845.7847461932179</v>
      </c>
      <c r="AC38" s="2">
        <f t="shared" si="2"/>
        <v>2191.0515872895576</v>
      </c>
      <c r="AD38" s="2">
        <f t="shared" si="3"/>
        <v>2708.9099507469246</v>
      </c>
    </row>
    <row r="39" spans="1:30" x14ac:dyDescent="0.2">
      <c r="A39" t="str">
        <f>'L-Values'!A39</f>
        <v>CGI001-qtz10-CL-fit-4</v>
      </c>
      <c r="B39">
        <v>750</v>
      </c>
      <c r="C39">
        <f t="shared" si="0"/>
        <v>8.0537892000481889E-22</v>
      </c>
      <c r="D39">
        <v>2000</v>
      </c>
      <c r="E39">
        <v>1024</v>
      </c>
      <c r="F39">
        <f t="shared" si="1"/>
        <v>1.953125</v>
      </c>
      <c r="I39" s="2">
        <f>('L-Values'!E39*'D(Ti_Cherniak) Times'!$F39*0.000001)^2/(4*'D(Ti_Cherniak) Times'!$C39)/(365.35*24*3600)</f>
        <v>158.49819390016597</v>
      </c>
      <c r="J39" s="2">
        <f>('L-Values'!F39*'D(Ti_Cherniak) Times'!$F39*0.000001)^2/(4*'D(Ti_Cherniak) Times'!$C39)/(365.35*24*3600)</f>
        <v>177.33341545433643</v>
      </c>
      <c r="K39" s="2">
        <f>('L-Values'!G39*'D(Ti_Cherniak) Times'!$F39*0.000001)^2/(4*'D(Ti_Cherniak) Times'!$C39)/(365.35*24*3600)</f>
        <v>199.11388543943588</v>
      </c>
      <c r="L39" s="2">
        <f>('L-Values'!H39*'D(Ti_Cherniak) Times'!$F39*0.000001)^2/(4*'D(Ti_Cherniak) Times'!$C39)/(365.35*24*3600)</f>
        <v>134.65294163635315</v>
      </c>
      <c r="M39" s="2">
        <f>('L-Values'!I39*'D(Ti_Cherniak) Times'!$F39*0.000001)^2/(4*'D(Ti_Cherniak) Times'!$C39)/(365.35*24*3600)</f>
        <v>87.795621840702793</v>
      </c>
      <c r="N39" s="2">
        <f>('L-Values'!J39*'D(Ti_Cherniak) Times'!$F39*0.000001)^2/(4*'D(Ti_Cherniak) Times'!$C39)/(365.35*24*3600)</f>
        <v>126.11695253828141</v>
      </c>
      <c r="O39" s="2">
        <f>('L-Values'!K39*'D(Ti_Cherniak) Times'!$F39*0.000001)^2/(4*'D(Ti_Cherniak) Times'!$C39)/(365.35*24*3600)</f>
        <v>199.47248569202847</v>
      </c>
      <c r="P39" s="2">
        <f>('L-Values'!L39*'D(Ti_Cherniak) Times'!$F39*0.000001)^2/(4*'D(Ti_Cherniak) Times'!$C39)/(365.35*24*3600)</f>
        <v>185.19404657174738</v>
      </c>
      <c r="Q39" s="2">
        <f>('L-Values'!M39*'D(Ti_Cherniak) Times'!$F39*0.000001)^2/(4*'D(Ti_Cherniak) Times'!$C39)/(365.35*24*3600)</f>
        <v>168.9526087432935</v>
      </c>
      <c r="R39" s="2">
        <f>('L-Values'!N39*'D(Ti_Cherniak) Times'!$F39*0.000001)^2/(4*'D(Ti_Cherniak) Times'!$C39)/(365.35*24*3600)</f>
        <v>138.23313803205139</v>
      </c>
      <c r="S39" s="2">
        <f>('L-Values'!O39*'D(Ti_Cherniak) Times'!$F39*0.000001)^2/(4*'D(Ti_Cherniak) Times'!$C39)/(365.35*24*3600)</f>
        <v>70.412486606248166</v>
      </c>
      <c r="T39" s="2"/>
      <c r="U39" s="2">
        <f>('L-Values'!Q39*'D(Ti_Cherniak) Times'!$F39*0.000001)^2/(4*'D(Ti_Cherniak) Times'!$C39)/(365.35*24*3600)</f>
        <v>147.95976784052039</v>
      </c>
      <c r="V39" s="2">
        <f>('L-Values'!R39*'D(Ti_Cherniak) Times'!$F39*0.000001)^2/(4*'D(Ti_Cherniak) Times'!$C39)/(365.35*24*3600)</f>
        <v>146.40973871127369</v>
      </c>
      <c r="W39" s="2">
        <f>('L-Values'!S39*'D(Ti_Cherniak) Times'!$F39*0.000001)^2/(4*'D(Ti_Cherniak) Times'!$C39)/(365.35*24*3600)</f>
        <v>158.49819390016597</v>
      </c>
      <c r="X39" s="2"/>
      <c r="Y39" s="2">
        <f>('L-Values'!U39*'D(Ti_Cherniak) Times'!$F39*0.000001)^2/(4*'D(Ti_Cherniak) Times'!$C39)/(365.35*24*3600)</f>
        <v>145.67060213895181</v>
      </c>
      <c r="Z39" s="2">
        <f>('L-Values'!V39*'D(Ti_Cherniak) Times'!$F39*0.000001)^2/(4*'D(Ti_Cherniak) Times'!$C39)/(365.35*24*3600)</f>
        <v>145.72793171138218</v>
      </c>
      <c r="AA39" s="2">
        <f>('L-Values'!W39*'D(Ti_Cherniak) Times'!$F39*0.000001)^2/(4*'D(Ti_Cherniak) Times'!$C39)/(365.35*24*3600)</f>
        <v>61.470592467365748</v>
      </c>
      <c r="AB39" s="2">
        <f>('L-Values'!X39*'D(Ti_Cherniak) Times'!$F39*0.000001)^2/(4*'D(Ti_Cherniak) Times'!$C39)/(365.35*24*3600)</f>
        <v>276.59793978172905</v>
      </c>
      <c r="AC39" s="2">
        <f t="shared" si="2"/>
        <v>84.257339244016435</v>
      </c>
      <c r="AD39" s="2">
        <f t="shared" si="3"/>
        <v>130.87000807034687</v>
      </c>
    </row>
    <row r="40" spans="1:30" x14ac:dyDescent="0.2">
      <c r="A40" t="str">
        <f>'L-Values'!A40</f>
        <v>CGI001-qtz10-CL-fit-5-offset</v>
      </c>
      <c r="B40">
        <v>750</v>
      </c>
      <c r="C40">
        <f t="shared" si="0"/>
        <v>8.0537892000481889E-22</v>
      </c>
      <c r="D40">
        <v>2000</v>
      </c>
      <c r="E40">
        <v>1024</v>
      </c>
      <c r="F40">
        <f t="shared" si="1"/>
        <v>1.953125</v>
      </c>
      <c r="I40" s="2">
        <f>('L-Values'!E40*'D(Ti_Cherniak) Times'!$F40*0.000001)^2/(4*'D(Ti_Cherniak) Times'!$C40)/(365.35*24*3600)</f>
        <v>34.28845975800084</v>
      </c>
      <c r="J40" s="2">
        <f>('L-Values'!F40*'D(Ti_Cherniak) Times'!$F40*0.000001)^2/(4*'D(Ti_Cherniak) Times'!$C40)/(365.35*24*3600)</f>
        <v>54.852627915569357</v>
      </c>
      <c r="K40" s="2">
        <f>('L-Values'!G40*'D(Ti_Cherniak) Times'!$F40*0.000001)^2/(4*'D(Ti_Cherniak) Times'!$C40)/(365.35*24*3600)</f>
        <v>43.007534116374543</v>
      </c>
      <c r="L40" s="2">
        <f>('L-Values'!H40*'D(Ti_Cherniak) Times'!$F40*0.000001)^2/(4*'D(Ti_Cherniak) Times'!$C40)/(365.35*24*3600)</f>
        <v>52.648253215330449</v>
      </c>
      <c r="M40" s="2">
        <f>('L-Values'!I40*'D(Ti_Cherniak) Times'!$F40*0.000001)^2/(4*'D(Ti_Cherniak) Times'!$C40)/(365.35*24*3600)</f>
        <v>37.306511825381989</v>
      </c>
      <c r="N40" s="2">
        <f>('L-Values'!J40*'D(Ti_Cherniak) Times'!$F40*0.000001)^2/(4*'D(Ti_Cherniak) Times'!$C40)/(365.35*24*3600)</f>
        <v>40.097214629829402</v>
      </c>
      <c r="O40" s="2">
        <f>('L-Values'!K40*'D(Ti_Cherniak) Times'!$F40*0.000001)^2/(4*'D(Ti_Cherniak) Times'!$C40)/(365.35*24*3600)</f>
        <v>16.229175658818971</v>
      </c>
      <c r="P40" s="2">
        <f>('L-Values'!L40*'D(Ti_Cherniak) Times'!$F40*0.000001)^2/(4*'D(Ti_Cherniak) Times'!$C40)/(365.35*24*3600)</f>
        <v>20.441814045455001</v>
      </c>
      <c r="Q40" s="2">
        <f>('L-Values'!M40*'D(Ti_Cherniak) Times'!$F40*0.000001)^2/(4*'D(Ti_Cherniak) Times'!$C40)/(365.35*24*3600)</f>
        <v>25.069866449985689</v>
      </c>
      <c r="R40" s="2">
        <f>('L-Values'!N40*'D(Ti_Cherniak) Times'!$F40*0.000001)^2/(4*'D(Ti_Cherniak) Times'!$C40)/(365.35*24*3600)</f>
        <v>29.618455894789985</v>
      </c>
      <c r="S40" s="2">
        <f>('L-Values'!O40*'D(Ti_Cherniak) Times'!$F40*0.000001)^2/(4*'D(Ti_Cherniak) Times'!$C40)/(365.35*24*3600)</f>
        <v>47.089091185641287</v>
      </c>
      <c r="T40" s="2"/>
      <c r="U40" s="2">
        <f>('L-Values'!Q40*'D(Ti_Cherniak) Times'!$F40*0.000001)^2/(4*'D(Ti_Cherniak) Times'!$C40)/(365.35*24*3600)</f>
        <v>46.921179355983121</v>
      </c>
      <c r="V40" s="2">
        <f>('L-Values'!R40*'D(Ti_Cherniak) Times'!$F40*0.000001)^2/(4*'D(Ti_Cherniak) Times'!$C40)/(365.35*24*3600)</f>
        <v>35.323765636812219</v>
      </c>
      <c r="W40" s="2">
        <f>('L-Values'!S40*'D(Ti_Cherniak) Times'!$F40*0.000001)^2/(4*'D(Ti_Cherniak) Times'!$C40)/(365.35*24*3600)</f>
        <v>37.306511825381989</v>
      </c>
      <c r="X40" s="2"/>
      <c r="Y40" s="2">
        <f>('L-Values'!U40*'D(Ti_Cherniak) Times'!$F40*0.000001)^2/(4*'D(Ti_Cherniak) Times'!$C40)/(365.35*24*3600)</f>
        <v>32.559293189566951</v>
      </c>
      <c r="Z40" s="2">
        <f>('L-Values'!V40*'D(Ti_Cherniak) Times'!$F40*0.000001)^2/(4*'D(Ti_Cherniak) Times'!$C40)/(365.35*24*3600)</f>
        <v>29.910723660189436</v>
      </c>
      <c r="AA40" s="2">
        <f>('L-Values'!W40*'D(Ti_Cherniak) Times'!$F40*0.000001)^2/(4*'D(Ti_Cherniak) Times'!$C40)/(365.35*24*3600)</f>
        <v>1.3657159143533486</v>
      </c>
      <c r="AB40" s="2">
        <f>('L-Values'!X40*'D(Ti_Cherniak) Times'!$F40*0.000001)^2/(4*'D(Ti_Cherniak) Times'!$C40)/(365.35*24*3600)</f>
        <v>101.00514223500841</v>
      </c>
      <c r="AC40" s="2">
        <f t="shared" si="2"/>
        <v>28.545007745836088</v>
      </c>
      <c r="AD40" s="2">
        <f t="shared" si="3"/>
        <v>71.094418574818974</v>
      </c>
    </row>
    <row r="41" spans="1:30" x14ac:dyDescent="0.2">
      <c r="A41" t="str">
        <f>'L-Values'!A41</f>
        <v>CGI001-qtz11-CL-fit-1</v>
      </c>
      <c r="B41">
        <v>750</v>
      </c>
      <c r="C41">
        <f t="shared" si="0"/>
        <v>8.0537892000481889E-22</v>
      </c>
      <c r="D41">
        <v>1500</v>
      </c>
      <c r="E41">
        <v>1024</v>
      </c>
      <c r="F41">
        <f t="shared" si="1"/>
        <v>1.46484375</v>
      </c>
      <c r="I41" s="2">
        <f>('L-Values'!E41*'D(Ti_Cherniak) Times'!$F41*0.000001)^2/(4*'D(Ti_Cherniak) Times'!$C41)/(365.35*24*3600)</f>
        <v>2372.3255204754455</v>
      </c>
      <c r="J41" s="2">
        <f>('L-Values'!F41*'D(Ti_Cherniak) Times'!$F41*0.000001)^2/(4*'D(Ti_Cherniak) Times'!$C41)/(365.35*24*3600)</f>
        <v>1673.4320884589993</v>
      </c>
      <c r="K41" s="2">
        <f>('L-Values'!G41*'D(Ti_Cherniak) Times'!$F41*0.000001)^2/(4*'D(Ti_Cherniak) Times'!$C41)/(365.35*24*3600)</f>
        <v>2303.470815632134</v>
      </c>
      <c r="L41" s="2">
        <f>('L-Values'!H41*'D(Ti_Cherniak) Times'!$F41*0.000001)^2/(4*'D(Ti_Cherniak) Times'!$C41)/(365.35*24*3600)</f>
        <v>1981.7693451109481</v>
      </c>
      <c r="M41" s="2">
        <f>('L-Values'!I41*'D(Ti_Cherniak) Times'!$F41*0.000001)^2/(4*'D(Ti_Cherniak) Times'!$C41)/(365.35*24*3600)</f>
        <v>3723.8312078940644</v>
      </c>
      <c r="N41" s="2">
        <f>('L-Values'!J41*'D(Ti_Cherniak) Times'!$F41*0.000001)^2/(4*'D(Ti_Cherniak) Times'!$C41)/(365.35*24*3600)</f>
        <v>2307.6895615711628</v>
      </c>
      <c r="O41" s="2">
        <f>('L-Values'!K41*'D(Ti_Cherniak) Times'!$F41*0.000001)^2/(4*'D(Ti_Cherniak) Times'!$C41)/(365.35*24*3600)</f>
        <v>2774.544035306511</v>
      </c>
      <c r="P41" s="2">
        <f>('L-Values'!L41*'D(Ti_Cherniak) Times'!$F41*0.000001)^2/(4*'D(Ti_Cherniak) Times'!$C41)/(365.35*24*3600)</f>
        <v>2398.9928156655783</v>
      </c>
      <c r="Q41" s="2">
        <f>('L-Values'!M41*'D(Ti_Cherniak) Times'!$F41*0.000001)^2/(4*'D(Ti_Cherniak) Times'!$C41)/(365.35*24*3600)</f>
        <v>1663.0828778940806</v>
      </c>
      <c r="R41" s="2">
        <f>('L-Values'!N41*'D(Ti_Cherniak) Times'!$F41*0.000001)^2/(4*'D(Ti_Cherniak) Times'!$C41)/(365.35*24*3600)</f>
        <v>2606.6707545238069</v>
      </c>
      <c r="S41" s="2">
        <f>('L-Values'!O41*'D(Ti_Cherniak) Times'!$F41*0.000001)^2/(4*'D(Ti_Cherniak) Times'!$C41)/(365.35*24*3600)</f>
        <v>1992.427052389467</v>
      </c>
      <c r="T41" s="2"/>
      <c r="U41" s="2">
        <f>('L-Values'!Q41*'D(Ti_Cherniak) Times'!$F41*0.000001)^2/(4*'D(Ti_Cherniak) Times'!$C41)/(365.35*24*3600)</f>
        <v>2265.4502841256945</v>
      </c>
      <c r="V41" s="2">
        <f>('L-Values'!R41*'D(Ti_Cherniak) Times'!$F41*0.000001)^2/(4*'D(Ti_Cherniak) Times'!$C41)/(365.35*24*3600)</f>
        <v>2315.4805801226275</v>
      </c>
      <c r="W41" s="2">
        <f>('L-Values'!S41*'D(Ti_Cherniak) Times'!$F41*0.000001)^2/(4*'D(Ti_Cherniak) Times'!$C41)/(365.35*24*3600)</f>
        <v>2307.6895615711628</v>
      </c>
      <c r="X41" s="2"/>
      <c r="Y41" s="2">
        <f>('L-Values'!U41*'D(Ti_Cherniak) Times'!$F41*0.000001)^2/(4*'D(Ti_Cherniak) Times'!$C41)/(365.35*24*3600)</f>
        <v>2282.9368442917121</v>
      </c>
      <c r="Z41" s="2">
        <f>('L-Values'!V41*'D(Ti_Cherniak) Times'!$F41*0.000001)^2/(4*'D(Ti_Cherniak) Times'!$C41)/(365.35*24*3600)</f>
        <v>2353.032819442692</v>
      </c>
      <c r="AA41" s="2">
        <f>('L-Values'!W41*'D(Ti_Cherniak) Times'!$F41*0.000001)^2/(4*'D(Ti_Cherniak) Times'!$C41)/(365.35*24*3600)</f>
        <v>858.96449887364508</v>
      </c>
      <c r="AB41" s="2">
        <f>('L-Values'!X41*'D(Ti_Cherniak) Times'!$F41*0.000001)^2/(4*'D(Ti_Cherniak) Times'!$C41)/(365.35*24*3600)</f>
        <v>5586.3534744268391</v>
      </c>
      <c r="AC41" s="2">
        <f t="shared" si="2"/>
        <v>1494.068320569047</v>
      </c>
      <c r="AD41" s="2">
        <f t="shared" si="3"/>
        <v>3233.320654984147</v>
      </c>
    </row>
    <row r="42" spans="1:30" x14ac:dyDescent="0.2">
      <c r="A42" t="str">
        <f>'L-Values'!A42</f>
        <v>CGI001-qtz11-CL-fit-2-offset</v>
      </c>
      <c r="B42">
        <v>750</v>
      </c>
      <c r="C42">
        <f t="shared" si="0"/>
        <v>8.0537892000481889E-22</v>
      </c>
      <c r="D42">
        <v>1500</v>
      </c>
      <c r="E42">
        <v>1024</v>
      </c>
      <c r="F42">
        <f t="shared" si="1"/>
        <v>1.46484375</v>
      </c>
      <c r="I42" s="2">
        <f>('L-Values'!E42*'D(Ti_Cherniak) Times'!$F42*0.000001)^2/(4*'D(Ti_Cherniak) Times'!$C42)/(365.35*24*3600)</f>
        <v>27.471743184451025</v>
      </c>
      <c r="J42" s="2">
        <f>('L-Values'!F42*'D(Ti_Cherniak) Times'!$F42*0.000001)^2/(4*'D(Ti_Cherniak) Times'!$C42)/(365.35*24*3600)</f>
        <v>37.173650271854342</v>
      </c>
      <c r="K42" s="2">
        <f>('L-Values'!G42*'D(Ti_Cherniak) Times'!$F42*0.000001)^2/(4*'D(Ti_Cherniak) Times'!$C42)/(365.35*24*3600)</f>
        <v>12.106418137748475</v>
      </c>
      <c r="L42" s="2">
        <f>('L-Values'!H42*'D(Ti_Cherniak) Times'!$F42*0.000001)^2/(4*'D(Ti_Cherniak) Times'!$C42)/(365.35*24*3600)</f>
        <v>58.128460856262677</v>
      </c>
      <c r="M42" s="2">
        <f>('L-Values'!I42*'D(Ti_Cherniak) Times'!$F42*0.000001)^2/(4*'D(Ti_Cherniak) Times'!$C42)/(365.35*24*3600)</f>
        <v>33.080413516178758</v>
      </c>
      <c r="N42" s="2">
        <f>('L-Values'!J42*'D(Ti_Cherniak) Times'!$F42*0.000001)^2/(4*'D(Ti_Cherniak) Times'!$C42)/(365.35*24*3600)</f>
        <v>32.298336190321088</v>
      </c>
      <c r="O42" s="2">
        <f>('L-Values'!K42*'D(Ti_Cherniak) Times'!$F42*0.000001)^2/(4*'D(Ti_Cherniak) Times'!$C42)/(365.35*24*3600)</f>
        <v>33.88743658385004</v>
      </c>
      <c r="P42" s="2">
        <f>('L-Values'!L42*'D(Ti_Cherniak) Times'!$F42*0.000001)^2/(4*'D(Ti_Cherniak) Times'!$C42)/(365.35*24*3600)</f>
        <v>60.921503793893002</v>
      </c>
      <c r="Q42" s="2">
        <f>('L-Values'!M42*'D(Ti_Cherniak) Times'!$F42*0.000001)^2/(4*'D(Ti_Cherniak) Times'!$C42)/(365.35*24*3600)</f>
        <v>16.60995027679316</v>
      </c>
      <c r="R42" s="2">
        <f>('L-Values'!N42*'D(Ti_Cherniak) Times'!$F42*0.000001)^2/(4*'D(Ti_Cherniak) Times'!$C42)/(365.35*24*3600)</f>
        <v>44.423337573559927</v>
      </c>
      <c r="S42" s="2">
        <f>('L-Values'!O42*'D(Ti_Cherniak) Times'!$F42*0.000001)^2/(4*'D(Ti_Cherniak) Times'!$C42)/(365.35*24*3600)</f>
        <v>102.44044181081773</v>
      </c>
      <c r="T42" s="2"/>
      <c r="U42" s="2">
        <f>('L-Values'!Q42*'D(Ti_Cherniak) Times'!$F42*0.000001)^2/(4*'D(Ti_Cherniak) Times'!$C42)/(365.35*24*3600)</f>
        <v>45.151116732761167</v>
      </c>
      <c r="V42" s="2">
        <f>('L-Values'!R42*'D(Ti_Cherniak) Times'!$F42*0.000001)^2/(4*'D(Ti_Cherniak) Times'!$C42)/(365.35*24*3600)</f>
        <v>38.626377020124174</v>
      </c>
      <c r="W42" s="2">
        <f>('L-Values'!S42*'D(Ti_Cherniak) Times'!$F42*0.000001)^2/(4*'D(Ti_Cherniak) Times'!$C42)/(365.35*24*3600)</f>
        <v>33.88743658385004</v>
      </c>
      <c r="X42" s="2"/>
      <c r="Y42" s="2">
        <f>('L-Values'!U42*'D(Ti_Cherniak) Times'!$F42*0.000001)^2/(4*'D(Ti_Cherniak) Times'!$C42)/(365.35*24*3600)</f>
        <v>39.652024046113574</v>
      </c>
      <c r="Z42" s="2">
        <f>('L-Values'!V42*'D(Ti_Cherniak) Times'!$F42*0.000001)^2/(4*'D(Ti_Cherniak) Times'!$C42)/(365.35*24*3600)</f>
        <v>35.554084211458303</v>
      </c>
      <c r="AA42" s="2">
        <f>('L-Values'!W42*'D(Ti_Cherniak) Times'!$F42*0.000001)^2/(4*'D(Ti_Cherniak) Times'!$C42)/(365.35*24*3600)</f>
        <v>1.2344185211205989</v>
      </c>
      <c r="AB42" s="2">
        <f>('L-Values'!X42*'D(Ti_Cherniak) Times'!$F42*0.000001)^2/(4*'D(Ti_Cherniak) Times'!$C42)/(365.35*24*3600)</f>
        <v>107.9067640731907</v>
      </c>
      <c r="AC42" s="2">
        <f t="shared" si="2"/>
        <v>34.3196656903377</v>
      </c>
      <c r="AD42" s="2">
        <f t="shared" si="3"/>
        <v>72.352679861732398</v>
      </c>
    </row>
    <row r="43" spans="1:30" x14ac:dyDescent="0.2">
      <c r="A43" t="str">
        <f>'L-Values'!A43</f>
        <v>CGI001-qtz12-CL-fit-1</v>
      </c>
      <c r="B43">
        <v>750</v>
      </c>
      <c r="C43">
        <f t="shared" si="0"/>
        <v>8.0537892000481889E-22</v>
      </c>
      <c r="D43">
        <v>2100</v>
      </c>
      <c r="E43">
        <v>1024</v>
      </c>
      <c r="F43">
        <f t="shared" si="1"/>
        <v>2.05078125</v>
      </c>
      <c r="I43" s="2">
        <f>('L-Values'!E43*'D(Ti_Cherniak) Times'!$F43*0.000001)^2/(4*'D(Ti_Cherniak) Times'!$C43)/(365.35*24*3600)</f>
        <v>1700.0711905166563</v>
      </c>
      <c r="J43" s="2">
        <f>('L-Values'!F43*'D(Ti_Cherniak) Times'!$F43*0.000001)^2/(4*'D(Ti_Cherniak) Times'!$C43)/(365.35*24*3600)</f>
        <v>297.5707130325921</v>
      </c>
      <c r="K43" s="2">
        <f>('L-Values'!G43*'D(Ti_Cherniak) Times'!$F43*0.000001)^2/(4*'D(Ti_Cherniak) Times'!$C43)/(365.35*24*3600)</f>
        <v>2074.5197035814635</v>
      </c>
      <c r="L43" s="2">
        <f>('L-Values'!H43*'D(Ti_Cherniak) Times'!$F43*0.000001)^2/(4*'D(Ti_Cherniak) Times'!$C43)/(365.35*24*3600)</f>
        <v>1073.81108717393</v>
      </c>
      <c r="M43" s="2">
        <f>('L-Values'!I43*'D(Ti_Cherniak) Times'!$F43*0.000001)^2/(4*'D(Ti_Cherniak) Times'!$C43)/(365.35*24*3600)</f>
        <v>1242.6745307536212</v>
      </c>
      <c r="N43" s="2">
        <f>('L-Values'!J43*'D(Ti_Cherniak) Times'!$F43*0.000001)^2/(4*'D(Ti_Cherniak) Times'!$C43)/(365.35*24*3600)</f>
        <v>389.32921870812436</v>
      </c>
      <c r="O43" s="2">
        <f>('L-Values'!K43*'D(Ti_Cherniak) Times'!$F43*0.000001)^2/(4*'D(Ti_Cherniak) Times'!$C43)/(365.35*24*3600)</f>
        <v>849.18372075877335</v>
      </c>
      <c r="P43" s="2">
        <f>('L-Values'!L43*'D(Ti_Cherniak) Times'!$F43*0.000001)^2/(4*'D(Ti_Cherniak) Times'!$C43)/(365.35*24*3600)</f>
        <v>2378.696683212816</v>
      </c>
      <c r="Q43" s="2">
        <f>('L-Values'!M43*'D(Ti_Cherniak) Times'!$F43*0.000001)^2/(4*'D(Ti_Cherniak) Times'!$C43)/(365.35*24*3600)</f>
        <v>3336.0636124719554</v>
      </c>
      <c r="R43" s="2">
        <f>('L-Values'!N43*'D(Ti_Cherniak) Times'!$F43*0.000001)^2/(4*'D(Ti_Cherniak) Times'!$C43)/(365.35*24*3600)</f>
        <v>68.274661929832774</v>
      </c>
      <c r="S43" s="2">
        <f>('L-Values'!O43*'D(Ti_Cherniak) Times'!$F43*0.000001)^2/(4*'D(Ti_Cherniak) Times'!$C43)/(365.35*24*3600)</f>
        <v>362.22005257596817</v>
      </c>
      <c r="T43" s="2"/>
      <c r="U43" s="2">
        <f>('L-Values'!Q43*'D(Ti_Cherniak) Times'!$F43*0.000001)^2/(4*'D(Ti_Cherniak) Times'!$C43)/(365.35*24*3600)</f>
        <v>1665.5606718286194</v>
      </c>
      <c r="V43" s="2">
        <f>('L-Values'!R43*'D(Ti_Cherniak) Times'!$F43*0.000001)^2/(4*'D(Ti_Cherniak) Times'!$C43)/(365.35*24*3600)</f>
        <v>1040.0470340987979</v>
      </c>
      <c r="W43" s="2">
        <f>('L-Values'!S43*'D(Ti_Cherniak) Times'!$F43*0.000001)^2/(4*'D(Ti_Cherniak) Times'!$C43)/(365.35*24*3600)</f>
        <v>1073.81108717393</v>
      </c>
      <c r="X43" s="2"/>
      <c r="Y43" s="2">
        <f>('L-Values'!U43*'D(Ti_Cherniak) Times'!$F43*0.000001)^2/(4*'D(Ti_Cherniak) Times'!$C43)/(365.35*24*3600)</f>
        <v>1547.7435253591618</v>
      </c>
      <c r="Z43" s="2">
        <f>('L-Values'!V43*'D(Ti_Cherniak) Times'!$F43*0.000001)^2/(4*'D(Ti_Cherniak) Times'!$C43)/(365.35*24*3600)</f>
        <v>1804.371789414716</v>
      </c>
      <c r="AA43" s="2">
        <f>('L-Values'!W43*'D(Ti_Cherniak) Times'!$F43*0.000001)^2/(4*'D(Ti_Cherniak) Times'!$C43)/(365.35*24*3600)</f>
        <v>13.729493718253217</v>
      </c>
      <c r="AB43" s="2">
        <f>('L-Values'!X43*'D(Ti_Cherniak) Times'!$F43*0.000001)^2/(4*'D(Ti_Cherniak) Times'!$C43)/(365.35*24*3600)</f>
        <v>9921.2877457639988</v>
      </c>
      <c r="AC43" s="2">
        <f t="shared" si="2"/>
        <v>1790.6422956964627</v>
      </c>
      <c r="AD43" s="2">
        <f t="shared" si="3"/>
        <v>8116.9159563492831</v>
      </c>
    </row>
    <row r="44" spans="1:30" x14ac:dyDescent="0.2">
      <c r="A44" t="str">
        <f>'L-Values'!A44</f>
        <v>CGI001-qtz12-CL-fit-2-offset</v>
      </c>
      <c r="B44">
        <v>750</v>
      </c>
      <c r="C44">
        <f t="shared" si="0"/>
        <v>8.0537892000481889E-22</v>
      </c>
      <c r="D44">
        <v>2100</v>
      </c>
      <c r="E44">
        <v>1024</v>
      </c>
      <c r="F44">
        <f t="shared" si="1"/>
        <v>2.05078125</v>
      </c>
      <c r="I44" s="2">
        <f>('L-Values'!E44*'D(Ti_Cherniak) Times'!$F44*0.000001)^2/(4*'D(Ti_Cherniak) Times'!$C44)/(365.35*24*3600)</f>
        <v>3135.961356506954</v>
      </c>
      <c r="J44" s="2">
        <f>('L-Values'!F44*'D(Ti_Cherniak) Times'!$F44*0.000001)^2/(4*'D(Ti_Cherniak) Times'!$C44)/(365.35*24*3600)</f>
        <v>2745.4846856292115</v>
      </c>
      <c r="K44" s="2">
        <f>('L-Values'!G44*'D(Ti_Cherniak) Times'!$F44*0.000001)^2/(4*'D(Ti_Cherniak) Times'!$C44)/(365.35*24*3600)</f>
        <v>1777.2695268761286</v>
      </c>
      <c r="L44" s="2">
        <f>('L-Values'!H44*'D(Ti_Cherniak) Times'!$F44*0.000001)^2/(4*'D(Ti_Cherniak) Times'!$C44)/(365.35*24*3600)</f>
        <v>1404.8690407172103</v>
      </c>
      <c r="M44" s="2">
        <f>('L-Values'!I44*'D(Ti_Cherniak) Times'!$F44*0.000001)^2/(4*'D(Ti_Cherniak) Times'!$C44)/(365.35*24*3600)</f>
        <v>2128.7934686935573</v>
      </c>
      <c r="N44" s="2">
        <f>('L-Values'!J44*'D(Ti_Cherniak) Times'!$F44*0.000001)^2/(4*'D(Ti_Cherniak) Times'!$C44)/(365.35*24*3600)</f>
        <v>2526.0521317939056</v>
      </c>
      <c r="O44" s="2">
        <f>('L-Values'!K44*'D(Ti_Cherniak) Times'!$F44*0.000001)^2/(4*'D(Ti_Cherniak) Times'!$C44)/(365.35*24*3600)</f>
        <v>1925.1771960820226</v>
      </c>
      <c r="P44" s="2">
        <f>('L-Values'!L44*'D(Ti_Cherniak) Times'!$F44*0.000001)^2/(4*'D(Ti_Cherniak) Times'!$C44)/(365.35*24*3600)</f>
        <v>2112.7697149506134</v>
      </c>
      <c r="Q44" s="2">
        <f>('L-Values'!M44*'D(Ti_Cherniak) Times'!$F44*0.000001)^2/(4*'D(Ti_Cherniak) Times'!$C44)/(365.35*24*3600)</f>
        <v>2105.1203794798294</v>
      </c>
      <c r="R44" s="2">
        <f>('L-Values'!N44*'D(Ti_Cherniak) Times'!$F44*0.000001)^2/(4*'D(Ti_Cherniak) Times'!$C44)/(365.35*24*3600)</f>
        <v>3410.0508577106734</v>
      </c>
      <c r="S44" s="2">
        <f>('L-Values'!O44*'D(Ti_Cherniak) Times'!$F44*0.000001)^2/(4*'D(Ti_Cherniak) Times'!$C44)/(365.35*24*3600)</f>
        <v>2156.1930851349694</v>
      </c>
      <c r="T44" s="2"/>
      <c r="U44" s="2">
        <f>('L-Values'!Q44*'D(Ti_Cherniak) Times'!$F44*0.000001)^2/(4*'D(Ti_Cherniak) Times'!$C44)/(365.35*24*3600)</f>
        <v>2352.8245865704685</v>
      </c>
      <c r="V44" s="2">
        <f>('L-Values'!R44*'D(Ti_Cherniak) Times'!$F44*0.000001)^2/(4*'D(Ti_Cherniak) Times'!$C44)/(365.35*24*3600)</f>
        <v>2277.7949821659113</v>
      </c>
      <c r="W44" s="2">
        <f>('L-Values'!S44*'D(Ti_Cherniak) Times'!$F44*0.000001)^2/(4*'D(Ti_Cherniak) Times'!$C44)/(365.35*24*3600)</f>
        <v>2128.7934686935573</v>
      </c>
      <c r="X44" s="2"/>
      <c r="Y44" s="2">
        <f>('L-Values'!U44*'D(Ti_Cherniak) Times'!$F44*0.000001)^2/(4*'D(Ti_Cherniak) Times'!$C44)/(365.35*24*3600)</f>
        <v>2263.7163911317703</v>
      </c>
      <c r="Z44" s="2">
        <f>('L-Values'!V44*'D(Ti_Cherniak) Times'!$F44*0.000001)^2/(4*'D(Ti_Cherniak) Times'!$C44)/(365.35*24*3600)</f>
        <v>2282.5195585620945</v>
      </c>
      <c r="AA44" s="2">
        <f>('L-Values'!W44*'D(Ti_Cherniak) Times'!$F44*0.000001)^2/(4*'D(Ti_Cherniak) Times'!$C44)/(365.35*24*3600)</f>
        <v>1141.5152628327889</v>
      </c>
      <c r="AB44" s="2">
        <f>('L-Values'!X44*'D(Ti_Cherniak) Times'!$F44*0.000001)^2/(4*'D(Ti_Cherniak) Times'!$C44)/(365.35*24*3600)</f>
        <v>3888.5834418865325</v>
      </c>
      <c r="AC44" s="2">
        <f t="shared" si="2"/>
        <v>1141.0042957293056</v>
      </c>
      <c r="AD44" s="2">
        <f t="shared" si="3"/>
        <v>1606.0638833244379</v>
      </c>
    </row>
    <row r="45" spans="1:30" x14ac:dyDescent="0.2">
      <c r="A45" t="str">
        <f>'L-Values'!A45</f>
        <v>CGI001-qtz12-CL-fit-3-offset</v>
      </c>
      <c r="B45">
        <v>750</v>
      </c>
      <c r="C45">
        <f t="shared" si="0"/>
        <v>8.0537892000481889E-22</v>
      </c>
      <c r="D45">
        <v>2100</v>
      </c>
      <c r="E45">
        <v>1024</v>
      </c>
      <c r="F45">
        <f t="shared" si="1"/>
        <v>2.05078125</v>
      </c>
      <c r="I45" s="2">
        <f>('L-Values'!E45*'D(Ti_Cherniak) Times'!$F45*0.000001)^2/(4*'D(Ti_Cherniak) Times'!$C45)/(365.35*24*3600)</f>
        <v>34.8987061179823</v>
      </c>
      <c r="J45" s="2">
        <f>('L-Values'!F45*'D(Ti_Cherniak) Times'!$F45*0.000001)^2/(4*'D(Ti_Cherniak) Times'!$C45)/(365.35*24*3600)</f>
        <v>0.75238746385139899</v>
      </c>
      <c r="K45" s="2">
        <f>('L-Values'!G45*'D(Ti_Cherniak) Times'!$F45*0.000001)^2/(4*'D(Ti_Cherniak) Times'!$C45)/(365.35*24*3600)</f>
        <v>9.7376149309758991E-2</v>
      </c>
      <c r="L45" s="2">
        <f>('L-Values'!H45*'D(Ti_Cherniak) Times'!$F45*0.000001)^2/(4*'D(Ti_Cherniak) Times'!$C45)/(365.35*24*3600)</f>
        <v>120.84416694196027</v>
      </c>
      <c r="M45" s="2">
        <f>('L-Values'!I45*'D(Ti_Cherniak) Times'!$F45*0.000001)^2/(4*'D(Ti_Cherniak) Times'!$C45)/(365.35*24*3600)</f>
        <v>167.10389142963135</v>
      </c>
      <c r="N45" s="2">
        <f>('L-Values'!J45*'D(Ti_Cherniak) Times'!$F45*0.000001)^2/(4*'D(Ti_Cherniak) Times'!$C45)/(365.35*24*3600)</f>
        <v>296.41707149633265</v>
      </c>
      <c r="O45" s="2">
        <f>('L-Values'!K45*'D(Ti_Cherniak) Times'!$F45*0.000001)^2/(4*'D(Ti_Cherniak) Times'!$C45)/(365.35*24*3600)</f>
        <v>166.89125905373885</v>
      </c>
      <c r="P45" s="2">
        <f>('L-Values'!L45*'D(Ti_Cherniak) Times'!$F45*0.000001)^2/(4*'D(Ti_Cherniak) Times'!$C45)/(365.35*24*3600)</f>
        <v>338.28992338066809</v>
      </c>
      <c r="Q45" s="2">
        <f>('L-Values'!M45*'D(Ti_Cherniak) Times'!$F45*0.000001)^2/(4*'D(Ti_Cherniak) Times'!$C45)/(365.35*24*3600)</f>
        <v>396.57517076578944</v>
      </c>
      <c r="R45" s="2">
        <f>('L-Values'!N45*'D(Ti_Cherniak) Times'!$F45*0.000001)^2/(4*'D(Ti_Cherniak) Times'!$C45)/(365.35*24*3600)</f>
        <v>703.26085684509928</v>
      </c>
      <c r="S45" s="2">
        <f>('L-Values'!O45*'D(Ti_Cherniak) Times'!$F45*0.000001)^2/(4*'D(Ti_Cherniak) Times'!$C45)/(365.35*24*3600)</f>
        <v>794.32848536960648</v>
      </c>
      <c r="T45" s="2"/>
      <c r="U45" s="2">
        <f>('L-Values'!Q45*'D(Ti_Cherniak) Times'!$F45*0.000001)^2/(4*'D(Ti_Cherniak) Times'!$C45)/(365.35*24*3600)</f>
        <v>46.857293428085782</v>
      </c>
      <c r="V45" s="2">
        <f>('L-Values'!R45*'D(Ti_Cherniak) Times'!$F45*0.000001)^2/(4*'D(Ti_Cherniak) Times'!$C45)/(365.35*24*3600)</f>
        <v>196.38687038729589</v>
      </c>
      <c r="W45" s="2">
        <f>('L-Values'!S45*'D(Ti_Cherniak) Times'!$F45*0.000001)^2/(4*'D(Ti_Cherniak) Times'!$C45)/(365.35*24*3600)</f>
        <v>167.10389142963135</v>
      </c>
      <c r="X45" s="2"/>
      <c r="Y45" s="2">
        <f>('L-Values'!U45*'D(Ti_Cherniak) Times'!$F45*0.000001)^2/(4*'D(Ti_Cherniak) Times'!$C45)/(365.35*24*3600)</f>
        <v>39.839129444215217</v>
      </c>
      <c r="Z45" s="2">
        <f>('L-Values'!V45*'D(Ti_Cherniak) Times'!$F45*0.000001)^2/(4*'D(Ti_Cherniak) Times'!$C45)/(365.35*24*3600)</f>
        <v>75.165493769254027</v>
      </c>
      <c r="AA45" s="2">
        <f>('L-Values'!W45*'D(Ti_Cherniak) Times'!$F45*0.000001)^2/(4*'D(Ti_Cherniak) Times'!$C45)/(365.35*24*3600)</f>
        <v>1.1411864903815107E-9</v>
      </c>
      <c r="AB45" s="2">
        <f>('L-Values'!X45*'D(Ti_Cherniak) Times'!$F45*0.000001)^2/(4*'D(Ti_Cherniak) Times'!$C45)/(365.35*24*3600)</f>
        <v>566.53443491292762</v>
      </c>
      <c r="AC45" s="2">
        <f t="shared" si="2"/>
        <v>75.165493768112839</v>
      </c>
      <c r="AD45" s="2">
        <f t="shared" si="3"/>
        <v>491.36894114367362</v>
      </c>
    </row>
    <row r="46" spans="1:30" x14ac:dyDescent="0.2">
      <c r="A46" t="str">
        <f>'L-Values'!A46</f>
        <v>CGI001-qtz12-CL-fit-4-offset</v>
      </c>
      <c r="B46">
        <v>750</v>
      </c>
      <c r="C46">
        <f t="shared" si="0"/>
        <v>8.0537892000481889E-22</v>
      </c>
      <c r="D46">
        <v>2100</v>
      </c>
      <c r="E46">
        <v>1024</v>
      </c>
      <c r="F46">
        <f t="shared" si="1"/>
        <v>2.05078125</v>
      </c>
      <c r="I46" s="2">
        <f>('L-Values'!E46*'D(Ti_Cherniak) Times'!$F46*0.000001)^2/(4*'D(Ti_Cherniak) Times'!$C46)/(365.35*24*3600)</f>
        <v>5.2218506508952487</v>
      </c>
      <c r="J46" s="2">
        <f>('L-Values'!F46*'D(Ti_Cherniak) Times'!$F46*0.000001)^2/(4*'D(Ti_Cherniak) Times'!$C46)/(365.35*24*3600)</f>
        <v>34.428221413955079</v>
      </c>
      <c r="K46" s="2">
        <f>('L-Values'!G46*'D(Ti_Cherniak) Times'!$F46*0.000001)^2/(4*'D(Ti_Cherniak) Times'!$C46)/(365.35*24*3600)</f>
        <v>91.59006046056642</v>
      </c>
      <c r="L46" s="2">
        <f>('L-Values'!H46*'D(Ti_Cherniak) Times'!$F46*0.000001)^2/(4*'D(Ti_Cherniak) Times'!$C46)/(365.35*24*3600)</f>
        <v>74.228425530137699</v>
      </c>
      <c r="M46" s="2">
        <f>('L-Values'!I46*'D(Ti_Cherniak) Times'!$F46*0.000001)^2/(4*'D(Ti_Cherniak) Times'!$C46)/(365.35*24*3600)</f>
        <v>24.466455952965198</v>
      </c>
      <c r="N46" s="2">
        <f>('L-Values'!J46*'D(Ti_Cherniak) Times'!$F46*0.000001)^2/(4*'D(Ti_Cherniak) Times'!$C46)/(365.35*24*3600)</f>
        <v>18.565986622955197</v>
      </c>
      <c r="O46" s="2">
        <f>('L-Values'!K46*'D(Ti_Cherniak) Times'!$F46*0.000001)^2/(4*'D(Ti_Cherniak) Times'!$C46)/(365.35*24*3600)</f>
        <v>58.255138868121023</v>
      </c>
      <c r="P46" s="2">
        <f>('L-Values'!L46*'D(Ti_Cherniak) Times'!$F46*0.000001)^2/(4*'D(Ti_Cherniak) Times'!$C46)/(365.35*24*3600)</f>
        <v>2.9056560088082222</v>
      </c>
      <c r="Q46" s="2">
        <f>('L-Values'!M46*'D(Ti_Cherniak) Times'!$F46*0.000001)^2/(4*'D(Ti_Cherniak) Times'!$C46)/(365.35*24*3600)</f>
        <v>16.475754431424107</v>
      </c>
      <c r="R46" s="2">
        <f>('L-Values'!N46*'D(Ti_Cherniak) Times'!$F46*0.000001)^2/(4*'D(Ti_Cherniak) Times'!$C46)/(365.35*24*3600)</f>
        <v>2.3916949456971524</v>
      </c>
      <c r="S46" s="2">
        <f>('L-Values'!O46*'D(Ti_Cherniak) Times'!$F46*0.000001)^2/(4*'D(Ti_Cherniak) Times'!$C46)/(365.35*24*3600)</f>
        <v>3.814120900532473</v>
      </c>
      <c r="T46" s="2"/>
      <c r="U46" s="2">
        <f>('L-Values'!Q46*'D(Ti_Cherniak) Times'!$F46*0.000001)^2/(4*'D(Ti_Cherniak) Times'!$C46)/(365.35*24*3600)</f>
        <v>44.77223690281766</v>
      </c>
      <c r="V46" s="2">
        <f>('L-Values'!R46*'D(Ti_Cherniak) Times'!$F46*0.000001)^2/(4*'D(Ti_Cherniak) Times'!$C46)/(365.35*24*3600)</f>
        <v>22.769698040711638</v>
      </c>
      <c r="W46" s="2">
        <f>('L-Values'!S46*'D(Ti_Cherniak) Times'!$F46*0.000001)^2/(4*'D(Ti_Cherniak) Times'!$C46)/(365.35*24*3600)</f>
        <v>18.565986622955197</v>
      </c>
      <c r="X46" s="2"/>
      <c r="Y46" s="2">
        <f>('L-Values'!U46*'D(Ti_Cherniak) Times'!$F46*0.000001)^2/(4*'D(Ti_Cherniak) Times'!$C46)/(365.35*24*3600)</f>
        <v>29.867772937744768</v>
      </c>
      <c r="Z46" s="2">
        <f>('L-Values'!V46*'D(Ti_Cherniak) Times'!$F46*0.000001)^2/(4*'D(Ti_Cherniak) Times'!$C46)/(365.35*24*3600)</f>
        <v>27.01109297962163</v>
      </c>
      <c r="AA46" s="2">
        <f>('L-Values'!W46*'D(Ti_Cherniak) Times'!$F46*0.000001)^2/(4*'D(Ti_Cherniak) Times'!$C46)/(365.35*24*3600)</f>
        <v>4.622826714498396E-6</v>
      </c>
      <c r="AB46" s="2">
        <f>('L-Values'!X46*'D(Ti_Cherniak) Times'!$F46*0.000001)^2/(4*'D(Ti_Cherniak) Times'!$C46)/(365.35*24*3600)</f>
        <v>121.30856084816124</v>
      </c>
      <c r="AC46" s="2">
        <f t="shared" si="2"/>
        <v>27.011088356794914</v>
      </c>
      <c r="AD46" s="2">
        <f t="shared" si="3"/>
        <v>94.297467868539599</v>
      </c>
    </row>
    <row r="47" spans="1:30" x14ac:dyDescent="0.2">
      <c r="A47" t="str">
        <f>'L-Values'!A47</f>
        <v>CGI005-qtz01-CL-fit-1-offset</v>
      </c>
      <c r="B47">
        <v>750</v>
      </c>
      <c r="C47">
        <f t="shared" si="0"/>
        <v>8.0537892000481889E-22</v>
      </c>
      <c r="D47">
        <v>1700</v>
      </c>
      <c r="E47">
        <v>1024</v>
      </c>
      <c r="F47">
        <f t="shared" si="1"/>
        <v>1.66015625</v>
      </c>
      <c r="I47" s="2">
        <f>('L-Values'!E47*'D(Ti_Cherniak) Times'!$F47*0.000001)^2/(4*'D(Ti_Cherniak) Times'!$C47)/(365.35*24*3600)</f>
        <v>1363.8088516342623</v>
      </c>
      <c r="J47" s="2">
        <f>('L-Values'!F47*'D(Ti_Cherniak) Times'!$F47*0.000001)^2/(4*'D(Ti_Cherniak) Times'!$C47)/(365.35*24*3600)</f>
        <v>2124.4646931223542</v>
      </c>
      <c r="K47" s="2">
        <f>('L-Values'!G47*'D(Ti_Cherniak) Times'!$F47*0.000001)^2/(4*'D(Ti_Cherniak) Times'!$C47)/(365.35*24*3600)</f>
        <v>1596.8220540315331</v>
      </c>
      <c r="L47" s="2">
        <f>('L-Values'!H47*'D(Ti_Cherniak) Times'!$F47*0.000001)^2/(4*'D(Ti_Cherniak) Times'!$C47)/(365.35*24*3600)</f>
        <v>1351.4546759101263</v>
      </c>
      <c r="M47" s="2">
        <f>('L-Values'!I47*'D(Ti_Cherniak) Times'!$F47*0.000001)^2/(4*'D(Ti_Cherniak) Times'!$C47)/(365.35*24*3600)</f>
        <v>297.34036179676087</v>
      </c>
      <c r="N47" s="2">
        <f>('L-Values'!J47*'D(Ti_Cherniak) Times'!$F47*0.000001)^2/(4*'D(Ti_Cherniak) Times'!$C47)/(365.35*24*3600)</f>
        <v>605.86754003780652</v>
      </c>
      <c r="O47" s="2">
        <f>('L-Values'!K47*'D(Ti_Cherniak) Times'!$F47*0.000001)^2/(4*'D(Ti_Cherniak) Times'!$C47)/(365.35*24*3600)</f>
        <v>1250.8119511585937</v>
      </c>
      <c r="P47" s="2">
        <f>('L-Values'!L47*'D(Ti_Cherniak) Times'!$F47*0.000001)^2/(4*'D(Ti_Cherniak) Times'!$C47)/(365.35*24*3600)</f>
        <v>1947.0129158795044</v>
      </c>
      <c r="Q47" s="2">
        <f>('L-Values'!M47*'D(Ti_Cherniak) Times'!$F47*0.000001)^2/(4*'D(Ti_Cherniak) Times'!$C47)/(365.35*24*3600)</f>
        <v>3058.3349374426962</v>
      </c>
      <c r="R47" s="2">
        <f>('L-Values'!N47*'D(Ti_Cherniak) Times'!$F47*0.000001)^2/(4*'D(Ti_Cherniak) Times'!$C47)/(365.35*24*3600)</f>
        <v>1694.3177043848252</v>
      </c>
      <c r="S47" s="2">
        <f>('L-Values'!O47*'D(Ti_Cherniak) Times'!$F47*0.000001)^2/(4*'D(Ti_Cherniak) Times'!$C47)/(365.35*24*3600)</f>
        <v>1713.8615389268164</v>
      </c>
      <c r="T47" s="2"/>
      <c r="U47" s="2">
        <f>('L-Values'!Q47*'D(Ti_Cherniak) Times'!$F47*0.000001)^2/(4*'D(Ti_Cherniak) Times'!$C47)/(365.35*24*3600)</f>
        <v>1430.1936276204317</v>
      </c>
      <c r="V47" s="2">
        <f>('L-Values'!R47*'D(Ti_Cherniak) Times'!$F47*0.000001)^2/(4*'D(Ti_Cherniak) Times'!$C47)/(365.35*24*3600)</f>
        <v>1450.6191033734719</v>
      </c>
      <c r="W47" s="2">
        <f>('L-Values'!S47*'D(Ti_Cherniak) Times'!$F47*0.000001)^2/(4*'D(Ti_Cherniak) Times'!$C47)/(365.35*24*3600)</f>
        <v>1596.8220540315331</v>
      </c>
      <c r="X47" s="2"/>
      <c r="Y47" s="2">
        <f>('L-Values'!U47*'D(Ti_Cherniak) Times'!$F47*0.000001)^2/(4*'D(Ti_Cherniak) Times'!$C47)/(365.35*24*3600)</f>
        <v>1206.3832158788794</v>
      </c>
      <c r="Z47" s="2">
        <f>('L-Values'!V47*'D(Ti_Cherniak) Times'!$F47*0.000001)^2/(4*'D(Ti_Cherniak) Times'!$C47)/(365.35*24*3600)</f>
        <v>1306.9586841622684</v>
      </c>
      <c r="AA47" s="2">
        <f>('L-Values'!W47*'D(Ti_Cherniak) Times'!$F47*0.000001)^2/(4*'D(Ti_Cherniak) Times'!$C47)/(365.35*24*3600)</f>
        <v>42.650744805138885</v>
      </c>
      <c r="AB47" s="2">
        <f>('L-Values'!X47*'D(Ti_Cherniak) Times'!$F47*0.000001)^2/(4*'D(Ti_Cherniak) Times'!$C47)/(365.35*24*3600)</f>
        <v>4580.8884977335401</v>
      </c>
      <c r="AC47" s="2">
        <f t="shared" si="2"/>
        <v>1264.3079393571295</v>
      </c>
      <c r="AD47" s="2">
        <f t="shared" si="3"/>
        <v>3273.9298135712716</v>
      </c>
    </row>
    <row r="48" spans="1:30" x14ac:dyDescent="0.2">
      <c r="A48" t="str">
        <f>'L-Values'!A48</f>
        <v>CGI005-qtz01-CL-fit-2</v>
      </c>
      <c r="B48">
        <v>750</v>
      </c>
      <c r="C48">
        <f t="shared" si="0"/>
        <v>8.0537892000481889E-22</v>
      </c>
      <c r="D48">
        <v>1700</v>
      </c>
      <c r="E48">
        <v>1024</v>
      </c>
      <c r="F48">
        <f t="shared" si="1"/>
        <v>1.66015625</v>
      </c>
      <c r="I48" s="2">
        <f>('L-Values'!E48*'D(Ti_Cherniak) Times'!$F48*0.000001)^2/(4*'D(Ti_Cherniak) Times'!$C48)/(365.35*24*3600)</f>
        <v>1972.7577154134431</v>
      </c>
      <c r="J48" s="2">
        <f>('L-Values'!F48*'D(Ti_Cherniak) Times'!$F48*0.000001)^2/(4*'D(Ti_Cherniak) Times'!$C48)/(365.35*24*3600)</f>
        <v>2319.0596323321247</v>
      </c>
      <c r="K48" s="2">
        <f>('L-Values'!G48*'D(Ti_Cherniak) Times'!$F48*0.000001)^2/(4*'D(Ti_Cherniak) Times'!$C48)/(365.35*24*3600)</f>
        <v>2062.7604122176181</v>
      </c>
      <c r="L48" s="2">
        <f>('L-Values'!H48*'D(Ti_Cherniak) Times'!$F48*0.000001)^2/(4*'D(Ti_Cherniak) Times'!$C48)/(365.35*24*3600)</f>
        <v>1006.0549737288445</v>
      </c>
      <c r="M48" s="2">
        <f>('L-Values'!I48*'D(Ti_Cherniak) Times'!$F48*0.000001)^2/(4*'D(Ti_Cherniak) Times'!$C48)/(365.35*24*3600)</f>
        <v>1213.3893064766553</v>
      </c>
      <c r="N48" s="2">
        <f>('L-Values'!J48*'D(Ti_Cherniak) Times'!$F48*0.000001)^2/(4*'D(Ti_Cherniak) Times'!$C48)/(365.35*24*3600)</f>
        <v>2408.7413807521689</v>
      </c>
      <c r="O48" s="2">
        <f>('L-Values'!K48*'D(Ti_Cherniak) Times'!$F48*0.000001)^2/(4*'D(Ti_Cherniak) Times'!$C48)/(365.35*24*3600)</f>
        <v>1780.2175455537467</v>
      </c>
      <c r="P48" s="2">
        <f>('L-Values'!L48*'D(Ti_Cherniak) Times'!$F48*0.000001)^2/(4*'D(Ti_Cherniak) Times'!$C48)/(365.35*24*3600)</f>
        <v>2750.3350875548012</v>
      </c>
      <c r="Q48" s="2">
        <f>('L-Values'!M48*'D(Ti_Cherniak) Times'!$F48*0.000001)^2/(4*'D(Ti_Cherniak) Times'!$C48)/(365.35*24*3600)</f>
        <v>2990.01070362376</v>
      </c>
      <c r="R48" s="2">
        <f>('L-Values'!N48*'D(Ti_Cherniak) Times'!$F48*0.000001)^2/(4*'D(Ti_Cherniak) Times'!$C48)/(365.35*24*3600)</f>
        <v>2185.3964348531645</v>
      </c>
      <c r="S48" s="2">
        <f>('L-Values'!O48*'D(Ti_Cherniak) Times'!$F48*0.000001)^2/(4*'D(Ti_Cherniak) Times'!$C48)/(365.35*24*3600)</f>
        <v>2886.2025706642103</v>
      </c>
      <c r="T48" s="2"/>
      <c r="U48" s="2">
        <f>('L-Values'!Q48*'D(Ti_Cherniak) Times'!$F48*0.000001)^2/(4*'D(Ti_Cherniak) Times'!$C48)/(365.35*24*3600)</f>
        <v>2037.0466461274661</v>
      </c>
      <c r="V48" s="2">
        <f>('L-Values'!R48*'D(Ti_Cherniak) Times'!$F48*0.000001)^2/(4*'D(Ti_Cherniak) Times'!$C48)/(365.35*24*3600)</f>
        <v>2094.3926068837623</v>
      </c>
      <c r="W48" s="2">
        <f>('L-Values'!S48*'D(Ti_Cherniak) Times'!$F48*0.000001)^2/(4*'D(Ti_Cherniak) Times'!$C48)/(365.35*24*3600)</f>
        <v>2185.3964348531645</v>
      </c>
      <c r="X48" s="2"/>
      <c r="Y48" s="2">
        <f>('L-Values'!U48*'D(Ti_Cherniak) Times'!$F48*0.000001)^2/(4*'D(Ti_Cherniak) Times'!$C48)/(365.35*24*3600)</f>
        <v>1847.9244863225431</v>
      </c>
      <c r="Z48" s="2">
        <f>('L-Values'!V48*'D(Ti_Cherniak) Times'!$F48*0.000001)^2/(4*'D(Ti_Cherniak) Times'!$C48)/(365.35*24*3600)</f>
        <v>1899.3967238572552</v>
      </c>
      <c r="AA48" s="2">
        <f>('L-Values'!W48*'D(Ti_Cherniak) Times'!$F48*0.000001)^2/(4*'D(Ti_Cherniak) Times'!$C48)/(365.35*24*3600)</f>
        <v>916.6912142688733</v>
      </c>
      <c r="AB48" s="2">
        <f>('L-Values'!X48*'D(Ti_Cherniak) Times'!$F48*0.000001)^2/(4*'D(Ti_Cherniak) Times'!$C48)/(365.35*24*3600)</f>
        <v>3836.7117617252825</v>
      </c>
      <c r="AC48" s="2">
        <f t="shared" si="2"/>
        <v>982.70550958838191</v>
      </c>
      <c r="AD48" s="2">
        <f t="shared" si="3"/>
        <v>1937.3150378680273</v>
      </c>
    </row>
    <row r="49" spans="1:30" x14ac:dyDescent="0.2">
      <c r="A49" t="str">
        <f>'L-Values'!A49</f>
        <v>CGI005-qtz01-CL-fit-3-offset</v>
      </c>
      <c r="B49">
        <v>750</v>
      </c>
      <c r="C49">
        <f t="shared" si="0"/>
        <v>8.0537892000481889E-22</v>
      </c>
      <c r="D49">
        <v>1700</v>
      </c>
      <c r="E49">
        <v>1024</v>
      </c>
      <c r="F49">
        <f t="shared" si="1"/>
        <v>1.66015625</v>
      </c>
      <c r="I49" s="2">
        <f>('L-Values'!E49*'D(Ti_Cherniak) Times'!$F49*0.000001)^2/(4*'D(Ti_Cherniak) Times'!$C49)/(365.35*24*3600)</f>
        <v>1417.3778850976878</v>
      </c>
      <c r="J49" s="2">
        <f>('L-Values'!F49*'D(Ti_Cherniak) Times'!$F49*0.000001)^2/(4*'D(Ti_Cherniak) Times'!$C49)/(365.35*24*3600)</f>
        <v>1174.2266809264029</v>
      </c>
      <c r="K49" s="2">
        <f>('L-Values'!G49*'D(Ti_Cherniak) Times'!$F49*0.000001)^2/(4*'D(Ti_Cherniak) Times'!$C49)/(365.35*24*3600)</f>
        <v>835.72825923745745</v>
      </c>
      <c r="L49" s="2">
        <f>('L-Values'!H49*'D(Ti_Cherniak) Times'!$F49*0.000001)^2/(4*'D(Ti_Cherniak) Times'!$C49)/(365.35*24*3600)</f>
        <v>1302.0171622902662</v>
      </c>
      <c r="M49" s="2">
        <f>('L-Values'!I49*'D(Ti_Cherniak) Times'!$F49*0.000001)^2/(4*'D(Ti_Cherniak) Times'!$C49)/(365.35*24*3600)</f>
        <v>271.48989713218555</v>
      </c>
      <c r="N49" s="2">
        <f>('L-Values'!J49*'D(Ti_Cherniak) Times'!$F49*0.000001)^2/(4*'D(Ti_Cherniak) Times'!$C49)/(365.35*24*3600)</f>
        <v>1002.4588340185289</v>
      </c>
      <c r="O49" s="2">
        <f>('L-Values'!K49*'D(Ti_Cherniak) Times'!$F49*0.000001)^2/(4*'D(Ti_Cherniak) Times'!$C49)/(365.35*24*3600)</f>
        <v>1137.9636796208595</v>
      </c>
      <c r="P49" s="2">
        <f>('L-Values'!L49*'D(Ti_Cherniak) Times'!$F49*0.000001)^2/(4*'D(Ti_Cherniak) Times'!$C49)/(365.35*24*3600)</f>
        <v>1177.8987876902399</v>
      </c>
      <c r="Q49" s="2">
        <f>('L-Values'!M49*'D(Ti_Cherniak) Times'!$F49*0.000001)^2/(4*'D(Ti_Cherniak) Times'!$C49)/(365.35*24*3600)</f>
        <v>1107.9418612712925</v>
      </c>
      <c r="R49" s="2">
        <f>('L-Values'!N49*'D(Ti_Cherniak) Times'!$F49*0.000001)^2/(4*'D(Ti_Cherniak) Times'!$C49)/(365.35*24*3600)</f>
        <v>1378.5521547254946</v>
      </c>
      <c r="S49" s="2">
        <f>('L-Values'!O49*'D(Ti_Cherniak) Times'!$F49*0.000001)^2/(4*'D(Ti_Cherniak) Times'!$C49)/(365.35*24*3600)</f>
        <v>884.61056808600688</v>
      </c>
      <c r="T49" s="2"/>
      <c r="U49" s="2">
        <f>('L-Values'!Q49*'D(Ti_Cherniak) Times'!$F49*0.000001)^2/(4*'D(Ti_Cherniak) Times'!$C49)/(365.35*24*3600)</f>
        <v>1076.8327153940659</v>
      </c>
      <c r="V49" s="2">
        <f>('L-Values'!R49*'D(Ti_Cherniak) Times'!$F49*0.000001)^2/(4*'D(Ti_Cherniak) Times'!$C49)/(365.35*24*3600)</f>
        <v>1031.3286243889274</v>
      </c>
      <c r="W49" s="2">
        <f>('L-Values'!S49*'D(Ti_Cherniak) Times'!$F49*0.000001)^2/(4*'D(Ti_Cherniak) Times'!$C49)/(365.35*24*3600)</f>
        <v>1137.9636796208595</v>
      </c>
      <c r="X49" s="2"/>
      <c r="Y49" s="2">
        <f>('L-Values'!U49*'D(Ti_Cherniak) Times'!$F49*0.000001)^2/(4*'D(Ti_Cherniak) Times'!$C49)/(365.35*24*3600)</f>
        <v>1067.652838260967</v>
      </c>
      <c r="Z49" s="2">
        <f>('L-Values'!V49*'D(Ti_Cherniak) Times'!$F49*0.000001)^2/(4*'D(Ti_Cherniak) Times'!$C49)/(365.35*24*3600)</f>
        <v>1055.4176700275823</v>
      </c>
      <c r="AA49" s="2">
        <f>('L-Values'!W49*'D(Ti_Cherniak) Times'!$F49*0.000001)^2/(4*'D(Ti_Cherniak) Times'!$C49)/(365.35*24*3600)</f>
        <v>512.8328775714624</v>
      </c>
      <c r="AB49" s="2">
        <f>('L-Values'!X49*'D(Ti_Cherniak) Times'!$F49*0.000001)^2/(4*'D(Ti_Cherniak) Times'!$C49)/(365.35*24*3600)</f>
        <v>1744.5687554411754</v>
      </c>
      <c r="AC49" s="2">
        <f t="shared" si="2"/>
        <v>542.58479245611989</v>
      </c>
      <c r="AD49" s="2">
        <f t="shared" si="3"/>
        <v>689.15108541359314</v>
      </c>
    </row>
    <row r="50" spans="1:30" x14ac:dyDescent="0.2">
      <c r="A50" t="str">
        <f>'L-Values'!A50</f>
        <v>CGI005-qtz01-CL-fit-4-offset</v>
      </c>
      <c r="B50">
        <v>750</v>
      </c>
      <c r="C50">
        <f t="shared" si="0"/>
        <v>8.0537892000481889E-22</v>
      </c>
      <c r="D50">
        <v>1700</v>
      </c>
      <c r="E50">
        <v>1024</v>
      </c>
      <c r="F50">
        <f t="shared" si="1"/>
        <v>1.66015625</v>
      </c>
      <c r="I50" s="2">
        <f>('L-Values'!E50*'D(Ti_Cherniak) Times'!$F50*0.000001)^2/(4*'D(Ti_Cherniak) Times'!$C50)/(365.35*24*3600)</f>
        <v>59.764570626081259</v>
      </c>
      <c r="J50" s="2">
        <f>('L-Values'!F50*'D(Ti_Cherniak) Times'!$F50*0.000001)^2/(4*'D(Ti_Cherniak) Times'!$C50)/(365.35*24*3600)</f>
        <v>58.320553072454111</v>
      </c>
      <c r="K50" s="2">
        <f>('L-Values'!G50*'D(Ti_Cherniak) Times'!$F50*0.000001)^2/(4*'D(Ti_Cherniak) Times'!$C50)/(365.35*24*3600)</f>
        <v>89.525034170026345</v>
      </c>
      <c r="L50" s="2">
        <f>('L-Values'!H50*'D(Ti_Cherniak) Times'!$F50*0.000001)^2/(4*'D(Ti_Cherniak) Times'!$C50)/(365.35*24*3600)</f>
        <v>91.522216663775893</v>
      </c>
      <c r="M50" s="2">
        <f>('L-Values'!I50*'D(Ti_Cherniak) Times'!$F50*0.000001)^2/(4*'D(Ti_Cherniak) Times'!$C50)/(365.35*24*3600)</f>
        <v>136.65737348253282</v>
      </c>
      <c r="N50" s="2">
        <f>('L-Values'!J50*'D(Ti_Cherniak) Times'!$F50*0.000001)^2/(4*'D(Ti_Cherniak) Times'!$C50)/(365.35*24*3600)</f>
        <v>86.52297436163721</v>
      </c>
      <c r="O50" s="2">
        <f>('L-Values'!K50*'D(Ti_Cherniak) Times'!$F50*0.000001)^2/(4*'D(Ti_Cherniak) Times'!$C50)/(365.35*24*3600)</f>
        <v>106.5694771283477</v>
      </c>
      <c r="P50" s="2">
        <f>('L-Values'!L50*'D(Ti_Cherniak) Times'!$F50*0.000001)^2/(4*'D(Ti_Cherniak) Times'!$C50)/(365.35*24*3600)</f>
        <v>91.248551805071543</v>
      </c>
      <c r="Q50" s="2">
        <f>('L-Values'!M50*'D(Ti_Cherniak) Times'!$F50*0.000001)^2/(4*'D(Ti_Cherniak) Times'!$C50)/(365.35*24*3600)</f>
        <v>105.60442915841335</v>
      </c>
      <c r="R50" s="2">
        <f>('L-Values'!N50*'D(Ti_Cherniak) Times'!$F50*0.000001)^2/(4*'D(Ti_Cherniak) Times'!$C50)/(365.35*24*3600)</f>
        <v>119.07008775686445</v>
      </c>
      <c r="S50" s="2">
        <f>('L-Values'!O50*'D(Ti_Cherniak) Times'!$F50*0.000001)^2/(4*'D(Ti_Cherniak) Times'!$C50)/(365.35*24*3600)</f>
        <v>90.052122801065252</v>
      </c>
      <c r="T50" s="2"/>
      <c r="U50" s="2">
        <f>('L-Values'!Q50*'D(Ti_Cherniak) Times'!$F50*0.000001)^2/(4*'D(Ti_Cherniak) Times'!$C50)/(365.35*24*3600)</f>
        <v>94.360336998189752</v>
      </c>
      <c r="V50" s="2">
        <f>('L-Values'!R50*'D(Ti_Cherniak) Times'!$F50*0.000001)^2/(4*'D(Ti_Cherniak) Times'!$C50)/(365.35*24*3600)</f>
        <v>92.756911063691874</v>
      </c>
      <c r="W50" s="2">
        <f>('L-Values'!S50*'D(Ti_Cherniak) Times'!$F50*0.000001)^2/(4*'D(Ti_Cherniak) Times'!$C50)/(365.35*24*3600)</f>
        <v>91.248551805071543</v>
      </c>
      <c r="X50" s="2"/>
      <c r="Y50" s="2">
        <f>('L-Values'!U50*'D(Ti_Cherniak) Times'!$F50*0.000001)^2/(4*'D(Ti_Cherniak) Times'!$C50)/(365.35*24*3600)</f>
        <v>94.508104346599026</v>
      </c>
      <c r="Z50" s="2">
        <f>('L-Values'!V50*'D(Ti_Cherniak) Times'!$F50*0.000001)^2/(4*'D(Ti_Cherniak) Times'!$C50)/(365.35*24*3600)</f>
        <v>91.375086146466302</v>
      </c>
      <c r="AA50" s="2">
        <f>('L-Values'!W50*'D(Ti_Cherniak) Times'!$F50*0.000001)^2/(4*'D(Ti_Cherniak) Times'!$C50)/(365.35*24*3600)</f>
        <v>22.819882654141541</v>
      </c>
      <c r="AB50" s="2">
        <f>('L-Values'!X50*'D(Ti_Cherniak) Times'!$F50*0.000001)^2/(4*'D(Ti_Cherniak) Times'!$C50)/(365.35*24*3600)</f>
        <v>170.6574669091118</v>
      </c>
      <c r="AC50" s="2">
        <f t="shared" si="2"/>
        <v>68.555203492324765</v>
      </c>
      <c r="AD50" s="2">
        <f t="shared" si="3"/>
        <v>79.282380762645502</v>
      </c>
    </row>
    <row r="51" spans="1:30" x14ac:dyDescent="0.2">
      <c r="A51" t="str">
        <f>'L-Values'!A51</f>
        <v>CGI005-qtz01-CL-fit-5-offset</v>
      </c>
      <c r="B51">
        <v>750</v>
      </c>
      <c r="C51">
        <f t="shared" si="0"/>
        <v>8.0537892000481889E-22</v>
      </c>
      <c r="D51">
        <v>1700</v>
      </c>
      <c r="E51">
        <v>1024</v>
      </c>
      <c r="F51">
        <f t="shared" si="1"/>
        <v>1.66015625</v>
      </c>
      <c r="I51" s="2">
        <f>('L-Values'!E51*'D(Ti_Cherniak) Times'!$F51*0.000001)^2/(4*'D(Ti_Cherniak) Times'!$C51)/(365.35*24*3600)</f>
        <v>518.94234119507666</v>
      </c>
      <c r="J51" s="2">
        <f>('L-Values'!F51*'D(Ti_Cherniak) Times'!$F51*0.000001)^2/(4*'D(Ti_Cherniak) Times'!$C51)/(365.35*24*3600)</f>
        <v>258.41421752439521</v>
      </c>
      <c r="K51" s="2">
        <f>('L-Values'!G51*'D(Ti_Cherniak) Times'!$F51*0.000001)^2/(4*'D(Ti_Cherniak) Times'!$C51)/(365.35*24*3600)</f>
        <v>335.50248203829136</v>
      </c>
      <c r="L51" s="2">
        <f>('L-Values'!H51*'D(Ti_Cherniak) Times'!$F51*0.000001)^2/(4*'D(Ti_Cherniak) Times'!$C51)/(365.35*24*3600)</f>
        <v>367.64821450912581</v>
      </c>
      <c r="M51" s="2">
        <f>('L-Values'!I51*'D(Ti_Cherniak) Times'!$F51*0.000001)^2/(4*'D(Ti_Cherniak) Times'!$C51)/(365.35*24*3600)</f>
        <v>330.11242767307073</v>
      </c>
      <c r="N51" s="2">
        <f>('L-Values'!J51*'D(Ti_Cherniak) Times'!$F51*0.000001)^2/(4*'D(Ti_Cherniak) Times'!$C51)/(365.35*24*3600)</f>
        <v>438.77253811027043</v>
      </c>
      <c r="O51" s="2">
        <f>('L-Values'!K51*'D(Ti_Cherniak) Times'!$F51*0.000001)^2/(4*'D(Ti_Cherniak) Times'!$C51)/(365.35*24*3600)</f>
        <v>465.1087085272527</v>
      </c>
      <c r="P51" s="2">
        <f>('L-Values'!L51*'D(Ti_Cherniak) Times'!$F51*0.000001)^2/(4*'D(Ti_Cherniak) Times'!$C51)/(365.35*24*3600)</f>
        <v>294.32124310076011</v>
      </c>
      <c r="Q51" s="2">
        <f>('L-Values'!M51*'D(Ti_Cherniak) Times'!$F51*0.000001)^2/(4*'D(Ti_Cherniak) Times'!$C51)/(365.35*24*3600)</f>
        <v>580.69529102597403</v>
      </c>
      <c r="R51" s="2">
        <f>('L-Values'!N51*'D(Ti_Cherniak) Times'!$F51*0.000001)^2/(4*'D(Ti_Cherniak) Times'!$C51)/(365.35*24*3600)</f>
        <v>451.32526182297443</v>
      </c>
      <c r="S51" s="2">
        <f>('L-Values'!O51*'D(Ti_Cherniak) Times'!$F51*0.000001)^2/(4*'D(Ti_Cherniak) Times'!$C51)/(365.35*24*3600)</f>
        <v>1108.8557776964053</v>
      </c>
      <c r="T51" s="2"/>
      <c r="U51" s="2">
        <f>('L-Values'!Q51*'D(Ti_Cherniak) Times'!$F51*0.000001)^2/(4*'D(Ti_Cherniak) Times'!$C51)/(365.35*24*3600)</f>
        <v>428.33134478149157</v>
      </c>
      <c r="V51" s="2">
        <f>('L-Values'!R51*'D(Ti_Cherniak) Times'!$F51*0.000001)^2/(4*'D(Ti_Cherniak) Times'!$C51)/(365.35*24*3600)</f>
        <v>447.99972959736198</v>
      </c>
      <c r="W51" s="2">
        <f>('L-Values'!S51*'D(Ti_Cherniak) Times'!$F51*0.000001)^2/(4*'D(Ti_Cherniak) Times'!$C51)/(365.35*24*3600)</f>
        <v>438.77253811027043</v>
      </c>
      <c r="X51" s="2"/>
      <c r="Y51" s="2">
        <f>('L-Values'!U51*'D(Ti_Cherniak) Times'!$F51*0.000001)^2/(4*'D(Ti_Cherniak) Times'!$C51)/(365.35*24*3600)</f>
        <v>392.19933493556044</v>
      </c>
      <c r="Z51" s="2">
        <f>('L-Values'!V51*'D(Ti_Cherniak) Times'!$F51*0.000001)^2/(4*'D(Ti_Cherniak) Times'!$C51)/(365.35*24*3600)</f>
        <v>419.75867788100334</v>
      </c>
      <c r="AA51" s="2">
        <f>('L-Values'!W51*'D(Ti_Cherniak) Times'!$F51*0.000001)^2/(4*'D(Ti_Cherniak) Times'!$C51)/(365.35*24*3600)</f>
        <v>178.31347842681541</v>
      </c>
      <c r="AB51" s="2">
        <f>('L-Values'!X51*'D(Ti_Cherniak) Times'!$F51*0.000001)^2/(4*'D(Ti_Cherniak) Times'!$C51)/(365.35*24*3600)</f>
        <v>885.13876352370517</v>
      </c>
      <c r="AC51" s="2">
        <f t="shared" si="2"/>
        <v>241.44519945418793</v>
      </c>
      <c r="AD51" s="2">
        <f t="shared" si="3"/>
        <v>465.38008564270183</v>
      </c>
    </row>
    <row r="52" spans="1:30" x14ac:dyDescent="0.2">
      <c r="A52" t="str">
        <f>'L-Values'!A52</f>
        <v>CGI005-qtz03-CL-fit-1-offset</v>
      </c>
      <c r="B52">
        <v>750</v>
      </c>
      <c r="C52">
        <f t="shared" si="0"/>
        <v>8.0537892000481889E-22</v>
      </c>
      <c r="D52">
        <v>1400</v>
      </c>
      <c r="E52">
        <v>1024</v>
      </c>
      <c r="F52">
        <f t="shared" si="1"/>
        <v>1.3671875</v>
      </c>
      <c r="I52" s="2">
        <f>('L-Values'!E52*'D(Ti_Cherniak) Times'!$F52*0.000001)^2/(4*'D(Ti_Cherniak) Times'!$C52)/(365.35*24*3600)</f>
        <v>3664.9424785072297</v>
      </c>
      <c r="J52" s="2">
        <f>('L-Values'!F52*'D(Ti_Cherniak) Times'!$F52*0.000001)^2/(4*'D(Ti_Cherniak) Times'!$C52)/(365.35*24*3600)</f>
        <v>2503.7909451528863</v>
      </c>
      <c r="K52" s="2">
        <f>('L-Values'!G52*'D(Ti_Cherniak) Times'!$F52*0.000001)^2/(4*'D(Ti_Cherniak) Times'!$C52)/(365.35*24*3600)</f>
        <v>4569.0265644678175</v>
      </c>
      <c r="L52" s="2">
        <f>('L-Values'!H52*'D(Ti_Cherniak) Times'!$F52*0.000001)^2/(4*'D(Ti_Cherniak) Times'!$C52)/(365.35*24*3600)</f>
        <v>1799.0859180569394</v>
      </c>
      <c r="M52" s="2">
        <f>('L-Values'!I52*'D(Ti_Cherniak) Times'!$F52*0.000001)^2/(4*'D(Ti_Cherniak) Times'!$C52)/(365.35*24*3600)</f>
        <v>3751.4569436106331</v>
      </c>
      <c r="N52" s="2">
        <f>('L-Values'!J52*'D(Ti_Cherniak) Times'!$F52*0.000001)^2/(4*'D(Ti_Cherniak) Times'!$C52)/(365.35*24*3600)</f>
        <v>3353.1915414746936</v>
      </c>
      <c r="O52" s="2">
        <f>('L-Values'!K52*'D(Ti_Cherniak) Times'!$F52*0.000001)^2/(4*'D(Ti_Cherniak) Times'!$C52)/(365.35*24*3600)</f>
        <v>4587.6069855470842</v>
      </c>
      <c r="P52" s="2">
        <f>('L-Values'!L52*'D(Ti_Cherniak) Times'!$F52*0.000001)^2/(4*'D(Ti_Cherniak) Times'!$C52)/(365.35*24*3600)</f>
        <v>1384.5879015169407</v>
      </c>
      <c r="Q52" s="2">
        <f>('L-Values'!M52*'D(Ti_Cherniak) Times'!$F52*0.000001)^2/(4*'D(Ti_Cherniak) Times'!$C52)/(365.35*24*3600)</f>
        <v>1912.3250192525747</v>
      </c>
      <c r="R52" s="2">
        <f>('L-Values'!N52*'D(Ti_Cherniak) Times'!$F52*0.000001)^2/(4*'D(Ti_Cherniak) Times'!$C52)/(365.35*24*3600)</f>
        <v>1689.11586031876</v>
      </c>
      <c r="S52" s="2">
        <f>('L-Values'!O52*'D(Ti_Cherniak) Times'!$F52*0.000001)^2/(4*'D(Ti_Cherniak) Times'!$C52)/(365.35*24*3600)</f>
        <v>2884.6113626831911</v>
      </c>
      <c r="T52" s="2"/>
      <c r="U52" s="2">
        <f>('L-Values'!Q52*'D(Ti_Cherniak) Times'!$F52*0.000001)^2/(4*'D(Ti_Cherniak) Times'!$C52)/(365.35*24*3600)</f>
        <v>2782.6145896069288</v>
      </c>
      <c r="V52" s="2">
        <f>('L-Values'!R52*'D(Ti_Cherniak) Times'!$F52*0.000001)^2/(4*'D(Ti_Cherniak) Times'!$C52)/(365.35*24*3600)</f>
        <v>2811.1421532982044</v>
      </c>
      <c r="W52" s="2">
        <f>('L-Values'!S52*'D(Ti_Cherniak) Times'!$F52*0.000001)^2/(4*'D(Ti_Cherniak) Times'!$C52)/(365.35*24*3600)</f>
        <v>2884.6113626831911</v>
      </c>
      <c r="X52" s="2"/>
      <c r="Y52" s="2">
        <f>('L-Values'!U52*'D(Ti_Cherniak) Times'!$F52*0.000001)^2/(4*'D(Ti_Cherniak) Times'!$C52)/(365.35*24*3600)</f>
        <v>2736.6951074072472</v>
      </c>
      <c r="Z52" s="2">
        <f>('L-Values'!V52*'D(Ti_Cherniak) Times'!$F52*0.000001)^2/(4*'D(Ti_Cherniak) Times'!$C52)/(365.35*24*3600)</f>
        <v>2848.9086237129536</v>
      </c>
      <c r="AA52" s="2">
        <f>('L-Values'!W52*'D(Ti_Cherniak) Times'!$F52*0.000001)^2/(4*'D(Ti_Cherniak) Times'!$C52)/(365.35*24*3600)</f>
        <v>1305.9290135118156</v>
      </c>
      <c r="AB52" s="2">
        <f>('L-Values'!X52*'D(Ti_Cherniak) Times'!$F52*0.000001)^2/(4*'D(Ti_Cherniak) Times'!$C52)/(365.35*24*3600)</f>
        <v>5581.415625357954</v>
      </c>
      <c r="AC52" s="2">
        <f t="shared" si="2"/>
        <v>1542.979610201138</v>
      </c>
      <c r="AD52" s="2">
        <f t="shared" si="3"/>
        <v>2732.5070016450004</v>
      </c>
    </row>
    <row r="53" spans="1:30" x14ac:dyDescent="0.2">
      <c r="A53" t="str">
        <f>'L-Values'!A53</f>
        <v>CGI005-qtz03-CL-fit-2-offset</v>
      </c>
      <c r="B53">
        <v>750</v>
      </c>
      <c r="C53">
        <f t="shared" si="0"/>
        <v>8.0537892000481889E-22</v>
      </c>
      <c r="D53">
        <v>1400</v>
      </c>
      <c r="E53">
        <v>1024</v>
      </c>
      <c r="F53">
        <f t="shared" si="1"/>
        <v>1.3671875</v>
      </c>
      <c r="I53" s="2">
        <f>('L-Values'!E53*'D(Ti_Cherniak) Times'!$F53*0.000001)^2/(4*'D(Ti_Cherniak) Times'!$C53)/(365.35*24*3600)</f>
        <v>1504.3515556904363</v>
      </c>
      <c r="J53" s="2">
        <f>('L-Values'!F53*'D(Ti_Cherniak) Times'!$F53*0.000001)^2/(4*'D(Ti_Cherniak) Times'!$C53)/(365.35*24*3600)</f>
        <v>1215.1416858851314</v>
      </c>
      <c r="K53" s="2">
        <f>('L-Values'!G53*'D(Ti_Cherniak) Times'!$F53*0.000001)^2/(4*'D(Ti_Cherniak) Times'!$C53)/(365.35*24*3600)</f>
        <v>1299.4939471770799</v>
      </c>
      <c r="L53" s="2">
        <f>('L-Values'!H53*'D(Ti_Cherniak) Times'!$F53*0.000001)^2/(4*'D(Ti_Cherniak) Times'!$C53)/(365.35*24*3600)</f>
        <v>1368.907859681183</v>
      </c>
      <c r="M53" s="2">
        <f>('L-Values'!I53*'D(Ti_Cherniak) Times'!$F53*0.000001)^2/(4*'D(Ti_Cherniak) Times'!$C53)/(365.35*24*3600)</f>
        <v>1060.8848358690666</v>
      </c>
      <c r="N53" s="2">
        <f>('L-Values'!J53*'D(Ti_Cherniak) Times'!$F53*0.000001)^2/(4*'D(Ti_Cherniak) Times'!$C53)/(365.35*24*3600)</f>
        <v>1527.8399620427836</v>
      </c>
      <c r="O53" s="2">
        <f>('L-Values'!K53*'D(Ti_Cherniak) Times'!$F53*0.000001)^2/(4*'D(Ti_Cherniak) Times'!$C53)/(365.35*24*3600)</f>
        <v>1226.3503548825083</v>
      </c>
      <c r="P53" s="2">
        <f>('L-Values'!L53*'D(Ti_Cherniak) Times'!$F53*0.000001)^2/(4*'D(Ti_Cherniak) Times'!$C53)/(365.35*24*3600)</f>
        <v>1170.1311283327625</v>
      </c>
      <c r="Q53" s="2">
        <f>('L-Values'!M53*'D(Ti_Cherniak) Times'!$F53*0.000001)^2/(4*'D(Ti_Cherniak) Times'!$C53)/(365.35*24*3600)</f>
        <v>1268.3241702090972</v>
      </c>
      <c r="R53" s="2">
        <f>('L-Values'!N53*'D(Ti_Cherniak) Times'!$F53*0.000001)^2/(4*'D(Ti_Cherniak) Times'!$C53)/(365.35*24*3600)</f>
        <v>1013.3373718141364</v>
      </c>
      <c r="S53" s="2">
        <f>('L-Values'!O53*'D(Ti_Cherniak) Times'!$F53*0.000001)^2/(4*'D(Ti_Cherniak) Times'!$C53)/(365.35*24*3600)</f>
        <v>1233.7483902782271</v>
      </c>
      <c r="T53" s="2"/>
      <c r="U53" s="2">
        <f>('L-Values'!Q53*'D(Ti_Cherniak) Times'!$F53*0.000001)^2/(4*'D(Ti_Cherniak) Times'!$C53)/(365.35*24*3600)</f>
        <v>1268.7792852621953</v>
      </c>
      <c r="V53" s="2">
        <f>('L-Values'!R53*'D(Ti_Cherniak) Times'!$F53*0.000001)^2/(4*'D(Ti_Cherniak) Times'!$C53)/(365.35*24*3600)</f>
        <v>1257.9831678913829</v>
      </c>
      <c r="W53" s="2">
        <f>('L-Values'!S53*'D(Ti_Cherniak) Times'!$F53*0.000001)^2/(4*'D(Ti_Cherniak) Times'!$C53)/(365.35*24*3600)</f>
        <v>1233.7483902782271</v>
      </c>
      <c r="X53" s="2"/>
      <c r="Y53" s="2">
        <f>('L-Values'!U53*'D(Ti_Cherniak) Times'!$F53*0.000001)^2/(4*'D(Ti_Cherniak) Times'!$C53)/(365.35*24*3600)</f>
        <v>1263.0777231753291</v>
      </c>
      <c r="Z53" s="2">
        <f>('L-Values'!V53*'D(Ti_Cherniak) Times'!$F53*0.000001)^2/(4*'D(Ti_Cherniak) Times'!$C53)/(365.35*24*3600)</f>
        <v>1264.2684576857339</v>
      </c>
      <c r="AA53" s="2">
        <f>('L-Values'!W53*'D(Ti_Cherniak) Times'!$F53*0.000001)^2/(4*'D(Ti_Cherniak) Times'!$C53)/(365.35*24*3600)</f>
        <v>962.45496201291269</v>
      </c>
      <c r="AB53" s="2">
        <f>('L-Values'!X53*'D(Ti_Cherniak) Times'!$F53*0.000001)^2/(4*'D(Ti_Cherniak) Times'!$C53)/(365.35*24*3600)</f>
        <v>1640.0667529946902</v>
      </c>
      <c r="AC53" s="2">
        <f t="shared" si="2"/>
        <v>301.8134956728212</v>
      </c>
      <c r="AD53" s="2">
        <f t="shared" si="3"/>
        <v>375.79829530895631</v>
      </c>
    </row>
    <row r="54" spans="1:30" x14ac:dyDescent="0.2">
      <c r="A54" t="str">
        <f>'L-Values'!A54</f>
        <v>CGI005-qtz03-CL-fit-3</v>
      </c>
      <c r="B54">
        <v>750</v>
      </c>
      <c r="C54">
        <f t="shared" si="0"/>
        <v>8.0537892000481889E-22</v>
      </c>
      <c r="D54">
        <v>1400</v>
      </c>
      <c r="E54">
        <v>1024</v>
      </c>
      <c r="F54">
        <f t="shared" si="1"/>
        <v>1.3671875</v>
      </c>
      <c r="I54" s="2">
        <f>('L-Values'!E54*'D(Ti_Cherniak) Times'!$F54*0.000001)^2/(4*'D(Ti_Cherniak) Times'!$C54)/(365.35*24*3600)</f>
        <v>1863.0637655162795</v>
      </c>
      <c r="J54" s="2">
        <f>('L-Values'!F54*'D(Ti_Cherniak) Times'!$F54*0.000001)^2/(4*'D(Ti_Cherniak) Times'!$C54)/(365.35*24*3600)</f>
        <v>1463.7207436090816</v>
      </c>
      <c r="K54" s="2">
        <f>('L-Values'!G54*'D(Ti_Cherniak) Times'!$F54*0.000001)^2/(4*'D(Ti_Cherniak) Times'!$C54)/(365.35*24*3600)</f>
        <v>1231.7996897500923</v>
      </c>
      <c r="L54" s="2">
        <f>('L-Values'!H54*'D(Ti_Cherniak) Times'!$F54*0.000001)^2/(4*'D(Ti_Cherniak) Times'!$C54)/(365.35*24*3600)</f>
        <v>1269.5953156973517</v>
      </c>
      <c r="M54" s="2">
        <f>('L-Values'!I54*'D(Ti_Cherniak) Times'!$F54*0.000001)^2/(4*'D(Ti_Cherniak) Times'!$C54)/(365.35*24*3600)</f>
        <v>1749.9225980464264</v>
      </c>
      <c r="N54" s="2">
        <f>('L-Values'!J54*'D(Ti_Cherniak) Times'!$F54*0.000001)^2/(4*'D(Ti_Cherniak) Times'!$C54)/(365.35*24*3600)</f>
        <v>1428.8041060993942</v>
      </c>
      <c r="O54" s="2">
        <f>('L-Values'!K54*'D(Ti_Cherniak) Times'!$F54*0.000001)^2/(4*'D(Ti_Cherniak) Times'!$C54)/(365.35*24*3600)</f>
        <v>1866.9026675364155</v>
      </c>
      <c r="P54" s="2">
        <f>('L-Values'!L54*'D(Ti_Cherniak) Times'!$F54*0.000001)^2/(4*'D(Ti_Cherniak) Times'!$C54)/(365.35*24*3600)</f>
        <v>1508.5954651122217</v>
      </c>
      <c r="Q54" s="2">
        <f>('L-Values'!M54*'D(Ti_Cherniak) Times'!$F54*0.000001)^2/(4*'D(Ti_Cherniak) Times'!$C54)/(365.35*24*3600)</f>
        <v>1208.7093749812759</v>
      </c>
      <c r="R54" s="2">
        <f>('L-Values'!N54*'D(Ti_Cherniak) Times'!$F54*0.000001)^2/(4*'D(Ti_Cherniak) Times'!$C54)/(365.35*24*3600)</f>
        <v>1502.1727819786342</v>
      </c>
      <c r="S54" s="2">
        <f>('L-Values'!O54*'D(Ti_Cherniak) Times'!$F54*0.000001)^2/(4*'D(Ti_Cherniak) Times'!$C54)/(365.35*24*3600)</f>
        <v>1572.6234684685976</v>
      </c>
      <c r="T54" s="2"/>
      <c r="U54" s="2">
        <f>('L-Values'!Q54*'D(Ti_Cherniak) Times'!$F54*0.000001)^2/(4*'D(Ti_Cherniak) Times'!$C54)/(365.35*24*3600)</f>
        <v>1509.1397097239083</v>
      </c>
      <c r="V54" s="2">
        <f>('L-Values'!R54*'D(Ti_Cherniak) Times'!$F54*0.000001)^2/(4*'D(Ti_Cherniak) Times'!$C54)/(365.35*24*3600)</f>
        <v>1506.9275495511076</v>
      </c>
      <c r="W54" s="2">
        <f>('L-Values'!S54*'D(Ti_Cherniak) Times'!$F54*0.000001)^2/(4*'D(Ti_Cherniak) Times'!$C54)/(365.35*24*3600)</f>
        <v>1502.1727819786342</v>
      </c>
      <c r="X54" s="2"/>
      <c r="Y54" s="2">
        <f>('L-Values'!U54*'D(Ti_Cherniak) Times'!$F54*0.000001)^2/(4*'D(Ti_Cherniak) Times'!$C54)/(365.35*24*3600)</f>
        <v>1500.3611041852664</v>
      </c>
      <c r="Z54" s="2">
        <f>('L-Values'!V54*'D(Ti_Cherniak) Times'!$F54*0.000001)^2/(4*'D(Ti_Cherniak) Times'!$C54)/(365.35*24*3600)</f>
        <v>1520.9932709451339</v>
      </c>
      <c r="AA54" s="2">
        <f>('L-Values'!W54*'D(Ti_Cherniak) Times'!$F54*0.000001)^2/(4*'D(Ti_Cherniak) Times'!$C54)/(365.35*24*3600)</f>
        <v>1011.2361252281323</v>
      </c>
      <c r="AB54" s="2">
        <f>('L-Values'!X54*'D(Ti_Cherniak) Times'!$F54*0.000001)^2/(4*'D(Ti_Cherniak) Times'!$C54)/(365.35*24*3600)</f>
        <v>2220.5927945059375</v>
      </c>
      <c r="AC54" s="2">
        <f t="shared" si="2"/>
        <v>509.75714571700155</v>
      </c>
      <c r="AD54" s="2">
        <f t="shared" si="3"/>
        <v>699.59952356080362</v>
      </c>
    </row>
    <row r="55" spans="1:30" x14ac:dyDescent="0.2">
      <c r="A55" t="str">
        <f>'L-Values'!A55</f>
        <v>CGI005-qtz03-CL-fit-4-offset</v>
      </c>
      <c r="B55">
        <v>750</v>
      </c>
      <c r="C55">
        <f t="shared" si="0"/>
        <v>8.0537892000481889E-22</v>
      </c>
      <c r="D55">
        <v>1400</v>
      </c>
      <c r="E55">
        <v>1024</v>
      </c>
      <c r="F55">
        <f t="shared" si="1"/>
        <v>1.3671875</v>
      </c>
      <c r="I55" s="2">
        <f>('L-Values'!E55*'D(Ti_Cherniak) Times'!$F55*0.000001)^2/(4*'D(Ti_Cherniak) Times'!$C55)/(365.35*24*3600)</f>
        <v>1009.0873934107525</v>
      </c>
      <c r="J55" s="2">
        <f>('L-Values'!F55*'D(Ti_Cherniak) Times'!$F55*0.000001)^2/(4*'D(Ti_Cherniak) Times'!$C55)/(365.35*24*3600)</f>
        <v>1227.0384039422131</v>
      </c>
      <c r="K55" s="2">
        <f>('L-Values'!G55*'D(Ti_Cherniak) Times'!$F55*0.000001)^2/(4*'D(Ti_Cherniak) Times'!$C55)/(365.35*24*3600)</f>
        <v>893.94971385192923</v>
      </c>
      <c r="L55" s="2">
        <f>('L-Values'!H55*'D(Ti_Cherniak) Times'!$F55*0.000001)^2/(4*'D(Ti_Cherniak) Times'!$C55)/(365.35*24*3600)</f>
        <v>1160.3344126841282</v>
      </c>
      <c r="M55" s="2">
        <f>('L-Values'!I55*'D(Ti_Cherniak) Times'!$F55*0.000001)^2/(4*'D(Ti_Cherniak) Times'!$C55)/(365.35*24*3600)</f>
        <v>827.64558455317842</v>
      </c>
      <c r="N55" s="2">
        <f>('L-Values'!J55*'D(Ti_Cherniak) Times'!$F55*0.000001)^2/(4*'D(Ti_Cherniak) Times'!$C55)/(365.35*24*3600)</f>
        <v>1316.0423758970301</v>
      </c>
      <c r="O55" s="2">
        <f>('L-Values'!K55*'D(Ti_Cherniak) Times'!$F55*0.000001)^2/(4*'D(Ti_Cherniak) Times'!$C55)/(365.35*24*3600)</f>
        <v>871.36232959831193</v>
      </c>
      <c r="P55" s="2">
        <f>('L-Values'!L55*'D(Ti_Cherniak) Times'!$F55*0.000001)^2/(4*'D(Ti_Cherniak) Times'!$C55)/(365.35*24*3600)</f>
        <v>1449.5996555870568</v>
      </c>
      <c r="Q55" s="2">
        <f>('L-Values'!M55*'D(Ti_Cherniak) Times'!$F55*0.000001)^2/(4*'D(Ti_Cherniak) Times'!$C55)/(365.35*24*3600)</f>
        <v>1225.7920838157586</v>
      </c>
      <c r="R55" s="2">
        <f>('L-Values'!N55*'D(Ti_Cherniak) Times'!$F55*0.000001)^2/(4*'D(Ti_Cherniak) Times'!$C55)/(365.35*24*3600)</f>
        <v>1005.2018553689906</v>
      </c>
      <c r="S55" s="2">
        <f>('L-Values'!O55*'D(Ti_Cherniak) Times'!$F55*0.000001)^2/(4*'D(Ti_Cherniak) Times'!$C55)/(365.35*24*3600)</f>
        <v>923.69565533522757</v>
      </c>
      <c r="T55" s="2"/>
      <c r="U55" s="2">
        <f>('L-Values'!Q55*'D(Ti_Cherniak) Times'!$F55*0.000001)^2/(4*'D(Ti_Cherniak) Times'!$C55)/(365.35*24*3600)</f>
        <v>1088.8223994043344</v>
      </c>
      <c r="V55" s="2">
        <f>('L-Values'!R55*'D(Ti_Cherniak) Times'!$F55*0.000001)^2/(4*'D(Ti_Cherniak) Times'!$C55)/(365.35*24*3600)</f>
        <v>1074.08201409498</v>
      </c>
      <c r="W55" s="2">
        <f>('L-Values'!S55*'D(Ti_Cherniak) Times'!$F55*0.000001)^2/(4*'D(Ti_Cherniak) Times'!$C55)/(365.35*24*3600)</f>
        <v>1009.0873934107525</v>
      </c>
      <c r="X55" s="2"/>
      <c r="Y55" s="2">
        <f>('L-Values'!U55*'D(Ti_Cherniak) Times'!$F55*0.000001)^2/(4*'D(Ti_Cherniak) Times'!$C55)/(365.35*24*3600)</f>
        <v>1061.0680384869613</v>
      </c>
      <c r="Z55" s="2">
        <f>('L-Values'!V55*'D(Ti_Cherniak) Times'!$F55*0.000001)^2/(4*'D(Ti_Cherniak) Times'!$C55)/(365.35*24*3600)</f>
        <v>1066.234236395863</v>
      </c>
      <c r="AA55" s="2">
        <f>('L-Values'!W55*'D(Ti_Cherniak) Times'!$F55*0.000001)^2/(4*'D(Ti_Cherniak) Times'!$C55)/(365.35*24*3600)</f>
        <v>702.32342211048069</v>
      </c>
      <c r="AB55" s="2">
        <f>('L-Values'!X55*'D(Ti_Cherniak) Times'!$F55*0.000001)^2/(4*'D(Ti_Cherniak) Times'!$C55)/(365.35*24*3600)</f>
        <v>1577.0232578763566</v>
      </c>
      <c r="AC55" s="2">
        <f t="shared" si="2"/>
        <v>363.91081428538234</v>
      </c>
      <c r="AD55" s="2">
        <f t="shared" si="3"/>
        <v>510.7890214804936</v>
      </c>
    </row>
    <row r="56" spans="1:30" x14ac:dyDescent="0.2">
      <c r="A56" t="str">
        <f>'L-Values'!A56</f>
        <v>CGI005-qtz03-CL-fit-5-offset</v>
      </c>
      <c r="B56">
        <v>750</v>
      </c>
      <c r="C56">
        <f t="shared" si="0"/>
        <v>8.0537892000481889E-22</v>
      </c>
      <c r="D56">
        <v>1400</v>
      </c>
      <c r="E56">
        <v>1024</v>
      </c>
      <c r="F56">
        <f t="shared" si="1"/>
        <v>1.3671875</v>
      </c>
      <c r="I56" s="2">
        <f>('L-Values'!E56*'D(Ti_Cherniak) Times'!$F56*0.000001)^2/(4*'D(Ti_Cherniak) Times'!$C56)/(365.35*24*3600)</f>
        <v>89.876215478860118</v>
      </c>
      <c r="J56" s="2">
        <f>('L-Values'!F56*'D(Ti_Cherniak) Times'!$F56*0.000001)^2/(4*'D(Ti_Cherniak) Times'!$C56)/(365.35*24*3600)</f>
        <v>43.548632350975673</v>
      </c>
      <c r="K56" s="2">
        <f>('L-Values'!G56*'D(Ti_Cherniak) Times'!$F56*0.000001)^2/(4*'D(Ti_Cherniak) Times'!$C56)/(365.35*24*3600)</f>
        <v>41.689822555740299</v>
      </c>
      <c r="L56" s="2">
        <f>('L-Values'!H56*'D(Ti_Cherniak) Times'!$F56*0.000001)^2/(4*'D(Ti_Cherniak) Times'!$C56)/(365.35*24*3600)</f>
        <v>59.796523966160478</v>
      </c>
      <c r="M56" s="2">
        <f>('L-Values'!I56*'D(Ti_Cherniak) Times'!$F56*0.000001)^2/(4*'D(Ti_Cherniak) Times'!$C56)/(365.35*24*3600)</f>
        <v>53.260132447670067</v>
      </c>
      <c r="N56" s="2">
        <f>('L-Values'!J56*'D(Ti_Cherniak) Times'!$F56*0.000001)^2/(4*'D(Ti_Cherniak) Times'!$C56)/(365.35*24*3600)</f>
        <v>97.371078240901952</v>
      </c>
      <c r="O56" s="2">
        <f>('L-Values'!K56*'D(Ti_Cherniak) Times'!$F56*0.000001)^2/(4*'D(Ti_Cherniak) Times'!$C56)/(365.35*24*3600)</f>
        <v>62.490441536117629</v>
      </c>
      <c r="P56" s="2">
        <f>('L-Values'!L56*'D(Ti_Cherniak) Times'!$F56*0.000001)^2/(4*'D(Ti_Cherniak) Times'!$C56)/(365.35*24*3600)</f>
        <v>75.602401623504136</v>
      </c>
      <c r="Q56" s="2">
        <f>('L-Values'!M56*'D(Ti_Cherniak) Times'!$F56*0.000001)^2/(4*'D(Ti_Cherniak) Times'!$C56)/(365.35*24*3600)</f>
        <v>130.52069804065644</v>
      </c>
      <c r="R56" s="2">
        <f>('L-Values'!N56*'D(Ti_Cherniak) Times'!$F56*0.000001)^2/(4*'D(Ti_Cherniak) Times'!$C56)/(365.35*24*3600)</f>
        <v>67.523325774277779</v>
      </c>
      <c r="S56" s="2">
        <f>('L-Values'!O56*'D(Ti_Cherniak) Times'!$F56*0.000001)^2/(4*'D(Ti_Cherniak) Times'!$C56)/(365.35*24*3600)</f>
        <v>57.802437984666504</v>
      </c>
      <c r="T56" s="2"/>
      <c r="U56" s="2">
        <f>('L-Values'!Q56*'D(Ti_Cherniak) Times'!$F56*0.000001)^2/(4*'D(Ti_Cherniak) Times'!$C56)/(365.35*24*3600)</f>
        <v>71.711651709751195</v>
      </c>
      <c r="V56" s="2">
        <f>('L-Values'!R56*'D(Ti_Cherniak) Times'!$F56*0.000001)^2/(4*'D(Ti_Cherniak) Times'!$C56)/(365.35*24*3600)</f>
        <v>68.858815678370064</v>
      </c>
      <c r="W56" s="2">
        <f>('L-Values'!S56*'D(Ti_Cherniak) Times'!$F56*0.000001)^2/(4*'D(Ti_Cherniak) Times'!$C56)/(365.35*24*3600)</f>
        <v>62.490441536117629</v>
      </c>
      <c r="X56" s="2"/>
      <c r="Y56" s="2">
        <f>('L-Values'!U56*'D(Ti_Cherniak) Times'!$F56*0.000001)^2/(4*'D(Ti_Cherniak) Times'!$C56)/(365.35*24*3600)</f>
        <v>63.613135530635837</v>
      </c>
      <c r="Z56" s="2">
        <f>('L-Values'!V56*'D(Ti_Cherniak) Times'!$F56*0.000001)^2/(4*'D(Ti_Cherniak) Times'!$C56)/(365.35*24*3600)</f>
        <v>65.665369687152335</v>
      </c>
      <c r="AA56" s="2">
        <f>('L-Values'!W56*'D(Ti_Cherniak) Times'!$F56*0.000001)^2/(4*'D(Ti_Cherniak) Times'!$C56)/(365.35*24*3600)</f>
        <v>19.877780253744245</v>
      </c>
      <c r="AB56" s="2">
        <f>('L-Values'!X56*'D(Ti_Cherniak) Times'!$F56*0.000001)^2/(4*'D(Ti_Cherniak) Times'!$C56)/(365.35*24*3600)</f>
        <v>145.56281956948578</v>
      </c>
      <c r="AC56" s="2">
        <f t="shared" si="2"/>
        <v>45.787589433408087</v>
      </c>
      <c r="AD56" s="2">
        <f t="shared" si="3"/>
        <v>79.897449882333447</v>
      </c>
    </row>
    <row r="57" spans="1:30" x14ac:dyDescent="0.2">
      <c r="A57" t="str">
        <f>'L-Values'!A57</f>
        <v>CGI005-qtz03-CL-fit-6-offset</v>
      </c>
      <c r="B57">
        <v>750</v>
      </c>
      <c r="C57">
        <f t="shared" si="0"/>
        <v>8.0537892000481889E-22</v>
      </c>
      <c r="D57">
        <v>1400</v>
      </c>
      <c r="E57">
        <v>1024</v>
      </c>
      <c r="F57">
        <f t="shared" si="1"/>
        <v>1.3671875</v>
      </c>
      <c r="I57" s="2">
        <f>('L-Values'!E57*'D(Ti_Cherniak) Times'!$F57*0.000001)^2/(4*'D(Ti_Cherniak) Times'!$C57)/(365.35*24*3600)</f>
        <v>58.943221267861972</v>
      </c>
      <c r="J57" s="2">
        <f>('L-Values'!F57*'D(Ti_Cherniak) Times'!$F57*0.000001)^2/(4*'D(Ti_Cherniak) Times'!$C57)/(365.35*24*3600)</f>
        <v>43.106277662573987</v>
      </c>
      <c r="K57" s="2">
        <f>('L-Values'!G57*'D(Ti_Cherniak) Times'!$F57*0.000001)^2/(4*'D(Ti_Cherniak) Times'!$C57)/(365.35*24*3600)</f>
        <v>55.774859732530054</v>
      </c>
      <c r="L57" s="2">
        <f>('L-Values'!H57*'D(Ti_Cherniak) Times'!$F57*0.000001)^2/(4*'D(Ti_Cherniak) Times'!$C57)/(365.35*24*3600)</f>
        <v>5.9566247978035776</v>
      </c>
      <c r="M57" s="2">
        <f>('L-Values'!I57*'D(Ti_Cherniak) Times'!$F57*0.000001)^2/(4*'D(Ti_Cherniak) Times'!$C57)/(365.35*24*3600)</f>
        <v>19.10530444772057</v>
      </c>
      <c r="N57" s="2">
        <f>('L-Values'!J57*'D(Ti_Cherniak) Times'!$F57*0.000001)^2/(4*'D(Ti_Cherniak) Times'!$C57)/(365.35*24*3600)</f>
        <v>28.630416064336838</v>
      </c>
      <c r="O57" s="2">
        <f>('L-Values'!K57*'D(Ti_Cherniak) Times'!$F57*0.000001)^2/(4*'D(Ti_Cherniak) Times'!$C57)/(365.35*24*3600)</f>
        <v>2.0596596235733671</v>
      </c>
      <c r="P57" s="2">
        <f>('L-Values'!L57*'D(Ti_Cherniak) Times'!$F57*0.000001)^2/(4*'D(Ti_Cherniak) Times'!$C57)/(365.35*24*3600)</f>
        <v>6.1235695301855323E-3</v>
      </c>
      <c r="Q57" s="2">
        <f>('L-Values'!M57*'D(Ti_Cherniak) Times'!$F57*0.000001)^2/(4*'D(Ti_Cherniak) Times'!$C57)/(365.35*24*3600)</f>
        <v>2.7726688426946617E-3</v>
      </c>
      <c r="R57" s="2">
        <f>('L-Values'!N57*'D(Ti_Cherniak) Times'!$F57*0.000001)^2/(4*'D(Ti_Cherniak) Times'!$C57)/(365.35*24*3600)</f>
        <v>11.335954909456497</v>
      </c>
      <c r="S57" s="2">
        <f>('L-Values'!O57*'D(Ti_Cherniak) Times'!$F57*0.000001)^2/(4*'D(Ti_Cherniak) Times'!$C57)/(365.35*24*3600)</f>
        <v>32.254700884821332</v>
      </c>
      <c r="T57" s="2"/>
      <c r="U57" s="2">
        <f>('L-Values'!Q57*'D(Ti_Cherniak) Times'!$F57*0.000001)^2/(4*'D(Ti_Cherniak) Times'!$C57)/(365.35*24*3600)</f>
        <v>27.085483107948789</v>
      </c>
      <c r="V57" s="2">
        <f>('L-Values'!R57*'D(Ti_Cherniak) Times'!$F57*0.000001)^2/(4*'D(Ti_Cherniak) Times'!$C57)/(365.35*24*3600)</f>
        <v>16.355287343313172</v>
      </c>
      <c r="W57" s="2">
        <f>('L-Values'!S57*'D(Ti_Cherniak) Times'!$F57*0.000001)^2/(4*'D(Ti_Cherniak) Times'!$C57)/(365.35*24*3600)</f>
        <v>19.10530444772057</v>
      </c>
      <c r="X57" s="2"/>
      <c r="Y57" s="2">
        <f>('L-Values'!U57*'D(Ti_Cherniak) Times'!$F57*0.000001)^2/(4*'D(Ti_Cherniak) Times'!$C57)/(365.35*24*3600)</f>
        <v>24.001468810950314</v>
      </c>
      <c r="Z57" s="2">
        <f>('L-Values'!V57*'D(Ti_Cherniak) Times'!$F57*0.000001)^2/(4*'D(Ti_Cherniak) Times'!$C57)/(365.35*24*3600)</f>
        <v>21.518984679198322</v>
      </c>
      <c r="AA57" s="2">
        <f>('L-Values'!W57*'D(Ti_Cherniak) Times'!$F57*0.000001)^2/(4*'D(Ti_Cherniak) Times'!$C57)/(365.35*24*3600)</f>
        <v>0.38878797160418566</v>
      </c>
      <c r="AB57" s="2">
        <f>('L-Values'!X57*'D(Ti_Cherniak) Times'!$F57*0.000001)^2/(4*'D(Ti_Cherniak) Times'!$C57)/(365.35*24*3600)</f>
        <v>79.082268937635249</v>
      </c>
      <c r="AC57" s="2">
        <f t="shared" si="2"/>
        <v>21.130196707594138</v>
      </c>
      <c r="AD57" s="2">
        <f t="shared" si="3"/>
        <v>57.563284258436923</v>
      </c>
    </row>
    <row r="58" spans="1:30" x14ac:dyDescent="0.2">
      <c r="A58" t="str">
        <f>'L-Values'!A58</f>
        <v>CGI005-qtz04-CL-fit-1-offset</v>
      </c>
      <c r="B58">
        <v>750</v>
      </c>
      <c r="C58">
        <f t="shared" si="0"/>
        <v>8.0537892000481889E-22</v>
      </c>
      <c r="D58">
        <v>1900</v>
      </c>
      <c r="E58">
        <v>1024</v>
      </c>
      <c r="F58">
        <f t="shared" si="1"/>
        <v>1.85546875</v>
      </c>
      <c r="I58" s="2">
        <f>('L-Values'!E58*'D(Ti_Cherniak) Times'!$F58*0.000001)^2/(4*'D(Ti_Cherniak) Times'!$C58)/(365.35*24*3600)</f>
        <v>654.64695740264585</v>
      </c>
      <c r="J58" s="2">
        <f>('L-Values'!F58*'D(Ti_Cherniak) Times'!$F58*0.000001)^2/(4*'D(Ti_Cherniak) Times'!$C58)/(365.35*24*3600)</f>
        <v>569.22707622576479</v>
      </c>
      <c r="K58" s="2">
        <f>('L-Values'!G58*'D(Ti_Cherniak) Times'!$F58*0.000001)^2/(4*'D(Ti_Cherniak) Times'!$C58)/(365.35*24*3600)</f>
        <v>559.90789517235714</v>
      </c>
      <c r="L58" s="2">
        <f>('L-Values'!H58*'D(Ti_Cherniak) Times'!$F58*0.000001)^2/(4*'D(Ti_Cherniak) Times'!$C58)/(365.35*24*3600)</f>
        <v>552.65528769621017</v>
      </c>
      <c r="M58" s="2">
        <f>('L-Values'!I58*'D(Ti_Cherniak) Times'!$F58*0.000001)^2/(4*'D(Ti_Cherniak) Times'!$C58)/(365.35*24*3600)</f>
        <v>435.55718841457184</v>
      </c>
      <c r="N58" s="2">
        <f>('L-Values'!J58*'D(Ti_Cherniak) Times'!$F58*0.000001)^2/(4*'D(Ti_Cherniak) Times'!$C58)/(365.35*24*3600)</f>
        <v>616.3007550889871</v>
      </c>
      <c r="O58" s="2">
        <f>('L-Values'!K58*'D(Ti_Cherniak) Times'!$F58*0.000001)^2/(4*'D(Ti_Cherniak) Times'!$C58)/(365.35*24*3600)</f>
        <v>580.81378741846015</v>
      </c>
      <c r="P58" s="2">
        <f>('L-Values'!L58*'D(Ti_Cherniak) Times'!$F58*0.000001)^2/(4*'D(Ti_Cherniak) Times'!$C58)/(365.35*24*3600)</f>
        <v>799.21219492463752</v>
      </c>
      <c r="Q58" s="2">
        <f>('L-Values'!M58*'D(Ti_Cherniak) Times'!$F58*0.000001)^2/(4*'D(Ti_Cherniak) Times'!$C58)/(365.35*24*3600)</f>
        <v>977.66826802140554</v>
      </c>
      <c r="R58" s="2">
        <f>('L-Values'!N58*'D(Ti_Cherniak) Times'!$F58*0.000001)^2/(4*'D(Ti_Cherniak) Times'!$C58)/(365.35*24*3600)</f>
        <v>770.97813019649516</v>
      </c>
      <c r="S58" s="2">
        <f>('L-Values'!O58*'D(Ti_Cherniak) Times'!$F58*0.000001)^2/(4*'D(Ti_Cherniak) Times'!$C58)/(365.35*24*3600)</f>
        <v>884.83765870164768</v>
      </c>
      <c r="T58" s="2"/>
      <c r="U58" s="2">
        <f>('L-Values'!Q58*'D(Ti_Cherniak) Times'!$F58*0.000001)^2/(4*'D(Ti_Cherniak) Times'!$C58)/(365.35*24*3600)</f>
        <v>650.28611169784813</v>
      </c>
      <c r="V58" s="2">
        <f>('L-Values'!R58*'D(Ti_Cherniak) Times'!$F58*0.000001)^2/(4*'D(Ti_Cherniak) Times'!$C58)/(365.35*24*3600)</f>
        <v>664.05437504132556</v>
      </c>
      <c r="W58" s="2">
        <f>('L-Values'!S58*'D(Ti_Cherniak) Times'!$F58*0.000001)^2/(4*'D(Ti_Cherniak) Times'!$C58)/(365.35*24*3600)</f>
        <v>616.3007550889871</v>
      </c>
      <c r="X58" s="2"/>
      <c r="Y58" s="2">
        <f>('L-Values'!U58*'D(Ti_Cherniak) Times'!$F58*0.000001)^2/(4*'D(Ti_Cherniak) Times'!$C58)/(365.35*24*3600)</f>
        <v>628.87480058563312</v>
      </c>
      <c r="Z58" s="2">
        <f>('L-Values'!V58*'D(Ti_Cherniak) Times'!$F58*0.000001)^2/(4*'D(Ti_Cherniak) Times'!$C58)/(365.35*24*3600)</f>
        <v>631.77293164761738</v>
      </c>
      <c r="AA58" s="2">
        <f>('L-Values'!W58*'D(Ti_Cherniak) Times'!$F58*0.000001)^2/(4*'D(Ti_Cherniak) Times'!$C58)/(365.35*24*3600)</f>
        <v>377.01124406894252</v>
      </c>
      <c r="AB58" s="2">
        <f>('L-Values'!X58*'D(Ti_Cherniak) Times'!$F58*0.000001)^2/(4*'D(Ti_Cherniak) Times'!$C58)/(365.35*24*3600)</f>
        <v>959.08398041104954</v>
      </c>
      <c r="AC58" s="2">
        <f t="shared" si="2"/>
        <v>254.76168757867487</v>
      </c>
      <c r="AD58" s="2">
        <f t="shared" si="3"/>
        <v>327.31104876343215</v>
      </c>
    </row>
    <row r="59" spans="1:30" x14ac:dyDescent="0.2">
      <c r="A59" t="str">
        <f>'L-Values'!A59</f>
        <v>CGI005-qtz04-CL-fit-2-offset</v>
      </c>
      <c r="B59">
        <v>750</v>
      </c>
      <c r="C59">
        <f t="shared" si="0"/>
        <v>8.0537892000481889E-22</v>
      </c>
      <c r="D59">
        <v>1900</v>
      </c>
      <c r="E59">
        <v>1024</v>
      </c>
      <c r="F59">
        <f t="shared" si="1"/>
        <v>1.85546875</v>
      </c>
      <c r="I59" s="2">
        <f>('L-Values'!E59*'D(Ti_Cherniak) Times'!$F59*0.000001)^2/(4*'D(Ti_Cherniak) Times'!$C59)/(365.35*24*3600)</f>
        <v>1035.4827778185172</v>
      </c>
      <c r="J59" s="2">
        <f>('L-Values'!F59*'D(Ti_Cherniak) Times'!$F59*0.000001)^2/(4*'D(Ti_Cherniak) Times'!$C59)/(365.35*24*3600)</f>
        <v>1264.9904758046694</v>
      </c>
      <c r="K59" s="2">
        <f>('L-Values'!G59*'D(Ti_Cherniak) Times'!$F59*0.000001)^2/(4*'D(Ti_Cherniak) Times'!$C59)/(365.35*24*3600)</f>
        <v>1497.2384477242483</v>
      </c>
      <c r="L59" s="2">
        <f>('L-Values'!H59*'D(Ti_Cherniak) Times'!$F59*0.000001)^2/(4*'D(Ti_Cherniak) Times'!$C59)/(365.35*24*3600)</f>
        <v>1393.2649702746842</v>
      </c>
      <c r="M59" s="2">
        <f>('L-Values'!I59*'D(Ti_Cherniak) Times'!$F59*0.000001)^2/(4*'D(Ti_Cherniak) Times'!$C59)/(365.35*24*3600)</f>
        <v>911.09656085473364</v>
      </c>
      <c r="N59" s="2">
        <f>('L-Values'!J59*'D(Ti_Cherniak) Times'!$F59*0.000001)^2/(4*'D(Ti_Cherniak) Times'!$C59)/(365.35*24*3600)</f>
        <v>1084.7215017371009</v>
      </c>
      <c r="O59" s="2">
        <f>('L-Values'!K59*'D(Ti_Cherniak) Times'!$F59*0.000001)^2/(4*'D(Ti_Cherniak) Times'!$C59)/(365.35*24*3600)</f>
        <v>812.84441196861144</v>
      </c>
      <c r="P59" s="2">
        <f>('L-Values'!L59*'D(Ti_Cherniak) Times'!$F59*0.000001)^2/(4*'D(Ti_Cherniak) Times'!$C59)/(365.35*24*3600)</f>
        <v>913.76134689931541</v>
      </c>
      <c r="Q59" s="2">
        <f>('L-Values'!M59*'D(Ti_Cherniak) Times'!$F59*0.000001)^2/(4*'D(Ti_Cherniak) Times'!$C59)/(365.35*24*3600)</f>
        <v>795.92966725471365</v>
      </c>
      <c r="R59" s="2">
        <f>('L-Values'!N59*'D(Ti_Cherniak) Times'!$F59*0.000001)^2/(4*'D(Ti_Cherniak) Times'!$C59)/(365.35*24*3600)</f>
        <v>956.77970571312778</v>
      </c>
      <c r="S59" s="2">
        <f>('L-Values'!O59*'D(Ti_Cherniak) Times'!$F59*0.000001)^2/(4*'D(Ti_Cherniak) Times'!$C59)/(365.35*24*3600)</f>
        <v>1170.641699647203</v>
      </c>
      <c r="T59" s="2"/>
      <c r="U59" s="2">
        <f>('L-Values'!Q59*'D(Ti_Cherniak) Times'!$F59*0.000001)^2/(4*'D(Ti_Cherniak) Times'!$C59)/(365.35*24*3600)</f>
        <v>1063.4729606707886</v>
      </c>
      <c r="V59" s="2">
        <f>('L-Values'!R59*'D(Ti_Cherniak) Times'!$F59*0.000001)^2/(4*'D(Ti_Cherniak) Times'!$C59)/(365.35*24*3600)</f>
        <v>1065.0335809476808</v>
      </c>
      <c r="W59" s="2">
        <f>('L-Values'!S59*'D(Ti_Cherniak) Times'!$F59*0.000001)^2/(4*'D(Ti_Cherniak) Times'!$C59)/(365.35*24*3600)</f>
        <v>1035.4827778185172</v>
      </c>
      <c r="X59" s="2"/>
      <c r="Y59" s="2">
        <f>('L-Values'!U59*'D(Ti_Cherniak) Times'!$F59*0.000001)^2/(4*'D(Ti_Cherniak) Times'!$C59)/(365.35*24*3600)</f>
        <v>1070.1480464009217</v>
      </c>
      <c r="Z59" s="2">
        <f>('L-Values'!V59*'D(Ti_Cherniak) Times'!$F59*0.000001)^2/(4*'D(Ti_Cherniak) Times'!$C59)/(365.35*24*3600)</f>
        <v>1071.5348571383852</v>
      </c>
      <c r="AA59" s="2">
        <f>('L-Values'!W59*'D(Ti_Cherniak) Times'!$F59*0.000001)^2/(4*'D(Ti_Cherniak) Times'!$C59)/(365.35*24*3600)</f>
        <v>785.3725239645845</v>
      </c>
      <c r="AB59" s="2">
        <f>('L-Values'!X59*'D(Ti_Cherniak) Times'!$F59*0.000001)^2/(4*'D(Ti_Cherniak) Times'!$C59)/(365.35*24*3600)</f>
        <v>1479.2693130157206</v>
      </c>
      <c r="AC59" s="2">
        <f t="shared" si="2"/>
        <v>286.16233317380068</v>
      </c>
      <c r="AD59" s="2">
        <f t="shared" si="3"/>
        <v>407.73445587733545</v>
      </c>
    </row>
    <row r="60" spans="1:30" x14ac:dyDescent="0.2">
      <c r="A60" t="str">
        <f>'L-Values'!A60</f>
        <v>CGI005-qtz04-CL-fit-3</v>
      </c>
      <c r="B60">
        <v>750</v>
      </c>
      <c r="C60">
        <f t="shared" si="0"/>
        <v>8.0537892000481889E-22</v>
      </c>
      <c r="D60">
        <v>1900</v>
      </c>
      <c r="E60">
        <v>1024</v>
      </c>
      <c r="F60">
        <f t="shared" si="1"/>
        <v>1.85546875</v>
      </c>
      <c r="I60" s="2">
        <f>('L-Values'!E60*'D(Ti_Cherniak) Times'!$F60*0.000001)^2/(4*'D(Ti_Cherniak) Times'!$C60)/(365.35*24*3600)</f>
        <v>115.30273882672243</v>
      </c>
      <c r="J60" s="2">
        <f>('L-Values'!F60*'D(Ti_Cherniak) Times'!$F60*0.000001)^2/(4*'D(Ti_Cherniak) Times'!$C60)/(365.35*24*3600)</f>
        <v>174.17580824538973</v>
      </c>
      <c r="K60" s="2">
        <f>('L-Values'!G60*'D(Ti_Cherniak) Times'!$F60*0.000001)^2/(4*'D(Ti_Cherniak) Times'!$C60)/(365.35*24*3600)</f>
        <v>258.90098860502155</v>
      </c>
      <c r="L60" s="2">
        <f>('L-Values'!H60*'D(Ti_Cherniak) Times'!$F60*0.000001)^2/(4*'D(Ti_Cherniak) Times'!$C60)/(365.35*24*3600)</f>
        <v>245.5635186036489</v>
      </c>
      <c r="M60" s="2">
        <f>('L-Values'!I60*'D(Ti_Cherniak) Times'!$F60*0.000001)^2/(4*'D(Ti_Cherniak) Times'!$C60)/(365.35*24*3600)</f>
        <v>157.74013711383404</v>
      </c>
      <c r="N60" s="2">
        <f>('L-Values'!J60*'D(Ti_Cherniak) Times'!$F60*0.000001)^2/(4*'D(Ti_Cherniak) Times'!$C60)/(365.35*24*3600)</f>
        <v>191.02019395868749</v>
      </c>
      <c r="O60" s="2">
        <f>('L-Values'!K60*'D(Ti_Cherniak) Times'!$F60*0.000001)^2/(4*'D(Ti_Cherniak) Times'!$C60)/(365.35*24*3600)</f>
        <v>171.90526832154438</v>
      </c>
      <c r="P60" s="2">
        <f>('L-Values'!L60*'D(Ti_Cherniak) Times'!$F60*0.000001)^2/(4*'D(Ti_Cherniak) Times'!$C60)/(365.35*24*3600)</f>
        <v>211.35314967602139</v>
      </c>
      <c r="Q60" s="2">
        <f>('L-Values'!M60*'D(Ti_Cherniak) Times'!$F60*0.000001)^2/(4*'D(Ti_Cherniak) Times'!$C60)/(365.35*24*3600)</f>
        <v>151.34238881416348</v>
      </c>
      <c r="R60" s="2">
        <f>('L-Values'!N60*'D(Ti_Cherniak) Times'!$F60*0.000001)^2/(4*'D(Ti_Cherniak) Times'!$C60)/(365.35*24*3600)</f>
        <v>134.5517475162934</v>
      </c>
      <c r="S60" s="2">
        <f>('L-Values'!O60*'D(Ti_Cherniak) Times'!$F60*0.000001)^2/(4*'D(Ti_Cherniak) Times'!$C60)/(365.35*24*3600)</f>
        <v>220.16372281457922</v>
      </c>
      <c r="T60" s="2"/>
      <c r="U60" s="2">
        <f>('L-Values'!Q60*'D(Ti_Cherniak) Times'!$F60*0.000001)^2/(4*'D(Ti_Cherniak) Times'!$C60)/(365.35*24*3600)</f>
        <v>181.55905767815133</v>
      </c>
      <c r="V60" s="2">
        <f>('L-Values'!R60*'D(Ti_Cherniak) Times'!$F60*0.000001)^2/(4*'D(Ti_Cherniak) Times'!$C60)/(365.35*24*3600)</f>
        <v>182.16596526619603</v>
      </c>
      <c r="W60" s="2">
        <f>('L-Values'!S60*'D(Ti_Cherniak) Times'!$F60*0.000001)^2/(4*'D(Ti_Cherniak) Times'!$C60)/(365.35*24*3600)</f>
        <v>174.17580824538973</v>
      </c>
      <c r="X60" s="2"/>
      <c r="Y60" s="2">
        <f>('L-Values'!U60*'D(Ti_Cherniak) Times'!$F60*0.000001)^2/(4*'D(Ti_Cherniak) Times'!$C60)/(365.35*24*3600)</f>
        <v>181.38877703579217</v>
      </c>
      <c r="Z60" s="2">
        <f>('L-Values'!V60*'D(Ti_Cherniak) Times'!$F60*0.000001)^2/(4*'D(Ti_Cherniak) Times'!$C60)/(365.35*24*3600)</f>
        <v>186.15287265730228</v>
      </c>
      <c r="AA60" s="2">
        <f>('L-Values'!W60*'D(Ti_Cherniak) Times'!$F60*0.000001)^2/(4*'D(Ti_Cherniak) Times'!$C60)/(365.35*24*3600)</f>
        <v>74.469569172731411</v>
      </c>
      <c r="AB60" s="2">
        <f>('L-Values'!X60*'D(Ti_Cherniak) Times'!$F60*0.000001)^2/(4*'D(Ti_Cherniak) Times'!$C60)/(365.35*24*3600)</f>
        <v>352.3041967439687</v>
      </c>
      <c r="AC60" s="2">
        <f t="shared" si="2"/>
        <v>111.68330348457087</v>
      </c>
      <c r="AD60" s="2">
        <f t="shared" si="3"/>
        <v>166.15132408666642</v>
      </c>
    </row>
    <row r="61" spans="1:30" x14ac:dyDescent="0.2">
      <c r="A61" t="str">
        <f>'L-Values'!A61</f>
        <v>CGI005-qtz04-CL-fit-4-offset</v>
      </c>
      <c r="B61">
        <v>750</v>
      </c>
      <c r="C61">
        <f t="shared" si="0"/>
        <v>8.0537892000481889E-22</v>
      </c>
      <c r="D61">
        <v>1900</v>
      </c>
      <c r="E61">
        <v>1024</v>
      </c>
      <c r="F61">
        <f t="shared" si="1"/>
        <v>1.85546875</v>
      </c>
      <c r="I61" s="2">
        <f>('L-Values'!E61*'D(Ti_Cherniak) Times'!$F61*0.000001)^2/(4*'D(Ti_Cherniak) Times'!$C61)/(365.35*24*3600)</f>
        <v>192.43417257284216</v>
      </c>
      <c r="J61" s="2">
        <f>('L-Values'!F61*'D(Ti_Cherniak) Times'!$F61*0.000001)^2/(4*'D(Ti_Cherniak) Times'!$C61)/(365.35*24*3600)</f>
        <v>278.56878441837711</v>
      </c>
      <c r="K61" s="2">
        <f>('L-Values'!G61*'D(Ti_Cherniak) Times'!$F61*0.000001)^2/(4*'D(Ti_Cherniak) Times'!$C61)/(365.35*24*3600)</f>
        <v>424.48087329592209</v>
      </c>
      <c r="L61" s="2">
        <f>('L-Values'!H61*'D(Ti_Cherniak) Times'!$F61*0.000001)^2/(4*'D(Ti_Cherniak) Times'!$C61)/(365.35*24*3600)</f>
        <v>528.99435482549563</v>
      </c>
      <c r="M61" s="2">
        <f>('L-Values'!I61*'D(Ti_Cherniak) Times'!$F61*0.000001)^2/(4*'D(Ti_Cherniak) Times'!$C61)/(365.35*24*3600)</f>
        <v>337.19801389766849</v>
      </c>
      <c r="N61" s="2">
        <f>('L-Values'!J61*'D(Ti_Cherniak) Times'!$F61*0.000001)^2/(4*'D(Ti_Cherniak) Times'!$C61)/(365.35*24*3600)</f>
        <v>185.52223341387531</v>
      </c>
      <c r="O61" s="2">
        <f>('L-Values'!K61*'D(Ti_Cherniak) Times'!$F61*0.000001)^2/(4*'D(Ti_Cherniak) Times'!$C61)/(365.35*24*3600)</f>
        <v>384.26708739087479</v>
      </c>
      <c r="P61" s="2">
        <f>('L-Values'!L61*'D(Ti_Cherniak) Times'!$F61*0.000001)^2/(4*'D(Ti_Cherniak) Times'!$C61)/(365.35*24*3600)</f>
        <v>318.43851216820815</v>
      </c>
      <c r="Q61" s="2">
        <f>('L-Values'!M61*'D(Ti_Cherniak) Times'!$F61*0.000001)^2/(4*'D(Ti_Cherniak) Times'!$C61)/(365.35*24*3600)</f>
        <v>288.99958757148232</v>
      </c>
      <c r="R61" s="2">
        <f>('L-Values'!N61*'D(Ti_Cherniak) Times'!$F61*0.000001)^2/(4*'D(Ti_Cherniak) Times'!$C61)/(365.35*24*3600)</f>
        <v>168.18294864787845</v>
      </c>
      <c r="S61" s="2">
        <f>('L-Values'!O61*'D(Ti_Cherniak) Times'!$F61*0.000001)^2/(4*'D(Ti_Cherniak) Times'!$C61)/(365.35*24*3600)</f>
        <v>233.32661251650424</v>
      </c>
      <c r="T61" s="2"/>
      <c r="U61" s="2">
        <f>('L-Values'!Q61*'D(Ti_Cherniak) Times'!$F61*0.000001)^2/(4*'D(Ti_Cherniak) Times'!$C61)/(365.35*24*3600)</f>
        <v>295.6724632772893</v>
      </c>
      <c r="V61" s="2">
        <f>('L-Values'!R61*'D(Ti_Cherniak) Times'!$F61*0.000001)^2/(4*'D(Ti_Cherniak) Times'!$C61)/(365.35*24*3600)</f>
        <v>294.71524183404921</v>
      </c>
      <c r="W61" s="2">
        <f>('L-Values'!S61*'D(Ti_Cherniak) Times'!$F61*0.000001)^2/(4*'D(Ti_Cherniak) Times'!$C61)/(365.35*24*3600)</f>
        <v>288.99958757148232</v>
      </c>
      <c r="X61" s="2"/>
      <c r="Y61" s="2">
        <f>('L-Values'!U61*'D(Ti_Cherniak) Times'!$F61*0.000001)^2/(4*'D(Ti_Cherniak) Times'!$C61)/(365.35*24*3600)</f>
        <v>278.72808959499946</v>
      </c>
      <c r="Z61" s="2">
        <f>('L-Values'!V61*'D(Ti_Cherniak) Times'!$F61*0.000001)^2/(4*'D(Ti_Cherniak) Times'!$C61)/(365.35*24*3600)</f>
        <v>288.61399668584215</v>
      </c>
      <c r="AA61" s="2">
        <f>('L-Values'!W61*'D(Ti_Cherniak) Times'!$F61*0.000001)^2/(4*'D(Ti_Cherniak) Times'!$C61)/(365.35*24*3600)</f>
        <v>100.5320286715946</v>
      </c>
      <c r="AB61" s="2">
        <f>('L-Values'!X61*'D(Ti_Cherniak) Times'!$F61*0.000001)^2/(4*'D(Ti_Cherniak) Times'!$C61)/(365.35*24*3600)</f>
        <v>746.15139019184437</v>
      </c>
      <c r="AC61" s="2">
        <f t="shared" si="2"/>
        <v>188.08196801424754</v>
      </c>
      <c r="AD61" s="2">
        <f t="shared" si="3"/>
        <v>457.53739350600222</v>
      </c>
    </row>
    <row r="62" spans="1:30" x14ac:dyDescent="0.2">
      <c r="A62" t="str">
        <f>'L-Values'!A62</f>
        <v>CGI005-qtz04-CL-fit-5-offset</v>
      </c>
      <c r="B62">
        <v>750</v>
      </c>
      <c r="C62">
        <f t="shared" si="0"/>
        <v>8.0537892000481889E-22</v>
      </c>
      <c r="D62">
        <v>1900</v>
      </c>
      <c r="E62">
        <v>1024</v>
      </c>
      <c r="F62">
        <f t="shared" si="1"/>
        <v>1.85546875</v>
      </c>
      <c r="I62" s="2">
        <f>('L-Values'!E62*'D(Ti_Cherniak) Times'!$F62*0.000001)^2/(4*'D(Ti_Cherniak) Times'!$C62)/(365.35*24*3600)</f>
        <v>124.4483809218935</v>
      </c>
      <c r="J62" s="2">
        <f>('L-Values'!F62*'D(Ti_Cherniak) Times'!$F62*0.000001)^2/(4*'D(Ti_Cherniak) Times'!$C62)/(365.35*24*3600)</f>
        <v>191.20156859896363</v>
      </c>
      <c r="K62" s="2">
        <f>('L-Values'!G62*'D(Ti_Cherniak) Times'!$F62*0.000001)^2/(4*'D(Ti_Cherniak) Times'!$C62)/(365.35*24*3600)</f>
        <v>149.54362160806554</v>
      </c>
      <c r="L62" s="2">
        <f>('L-Values'!H62*'D(Ti_Cherniak) Times'!$F62*0.000001)^2/(4*'D(Ti_Cherniak) Times'!$C62)/(365.35*24*3600)</f>
        <v>180.91408856750502</v>
      </c>
      <c r="M62" s="2">
        <f>('L-Values'!I62*'D(Ti_Cherniak) Times'!$F62*0.000001)^2/(4*'D(Ti_Cherniak) Times'!$C62)/(365.35*24*3600)</f>
        <v>234.21066459195492</v>
      </c>
      <c r="N62" s="2">
        <f>('L-Values'!J62*'D(Ti_Cherniak) Times'!$F62*0.000001)^2/(4*'D(Ti_Cherniak) Times'!$C62)/(365.35*24*3600)</f>
        <v>144.61185242911466</v>
      </c>
      <c r="O62" s="2">
        <f>('L-Values'!K62*'D(Ti_Cherniak) Times'!$F62*0.000001)^2/(4*'D(Ti_Cherniak) Times'!$C62)/(365.35*24*3600)</f>
        <v>175.18998977807325</v>
      </c>
      <c r="P62" s="2">
        <f>('L-Values'!L62*'D(Ti_Cherniak) Times'!$F62*0.000001)^2/(4*'D(Ti_Cherniak) Times'!$C62)/(365.35*24*3600)</f>
        <v>196.2048120581249</v>
      </c>
      <c r="Q62" s="2">
        <f>('L-Values'!M62*'D(Ti_Cherniak) Times'!$F62*0.000001)^2/(4*'D(Ti_Cherniak) Times'!$C62)/(365.35*24*3600)</f>
        <v>258.56238987173043</v>
      </c>
      <c r="R62" s="2">
        <f>('L-Values'!N62*'D(Ti_Cherniak) Times'!$F62*0.000001)^2/(4*'D(Ti_Cherniak) Times'!$C62)/(365.35*24*3600)</f>
        <v>141.85193223170143</v>
      </c>
      <c r="S62" s="2">
        <f>('L-Values'!O62*'D(Ti_Cherniak) Times'!$F62*0.000001)^2/(4*'D(Ti_Cherniak) Times'!$C62)/(365.35*24*3600)</f>
        <v>251.21248432768618</v>
      </c>
      <c r="T62" s="2"/>
      <c r="U62" s="2">
        <f>('L-Values'!Q62*'D(Ti_Cherniak) Times'!$F62*0.000001)^2/(4*'D(Ti_Cherniak) Times'!$C62)/(365.35*24*3600)</f>
        <v>192.45285892158029</v>
      </c>
      <c r="V62" s="2">
        <f>('L-Values'!R62*'D(Ti_Cherniak) Times'!$F62*0.000001)^2/(4*'D(Ti_Cherniak) Times'!$C62)/(365.35*24*3600)</f>
        <v>183.66365483464057</v>
      </c>
      <c r="W62" s="2">
        <f>('L-Values'!S62*'D(Ti_Cherniak) Times'!$F62*0.000001)^2/(4*'D(Ti_Cherniak) Times'!$C62)/(365.35*24*3600)</f>
        <v>180.91408856750502</v>
      </c>
      <c r="X62" s="2"/>
      <c r="Y62" s="2">
        <f>('L-Values'!U62*'D(Ti_Cherniak) Times'!$F62*0.000001)^2/(4*'D(Ti_Cherniak) Times'!$C62)/(365.35*24*3600)</f>
        <v>189.99342803516473</v>
      </c>
      <c r="Z62" s="2">
        <f>('L-Values'!V62*'D(Ti_Cherniak) Times'!$F62*0.000001)^2/(4*'D(Ti_Cherniak) Times'!$C62)/(365.35*24*3600)</f>
        <v>195.82554426334272</v>
      </c>
      <c r="AA62" s="2">
        <f>('L-Values'!W62*'D(Ti_Cherniak) Times'!$F62*0.000001)^2/(4*'D(Ti_Cherniak) Times'!$C62)/(365.35*24*3600)</f>
        <v>86.821748160203825</v>
      </c>
      <c r="AB62" s="2">
        <f>('L-Values'!X62*'D(Ti_Cherniak) Times'!$F62*0.000001)^2/(4*'D(Ti_Cherniak) Times'!$C62)/(365.35*24*3600)</f>
        <v>380.8268299211249</v>
      </c>
      <c r="AC62" s="2">
        <f t="shared" si="2"/>
        <v>109.0037961031389</v>
      </c>
      <c r="AD62" s="2">
        <f t="shared" si="3"/>
        <v>185.00128565778218</v>
      </c>
    </row>
    <row r="63" spans="1:30" x14ac:dyDescent="0.2">
      <c r="A63" t="str">
        <f>'L-Values'!A63</f>
        <v>CGI005-qtz05-CL-fit-1-offset</v>
      </c>
      <c r="B63">
        <v>750</v>
      </c>
      <c r="C63">
        <f t="shared" si="0"/>
        <v>8.0537892000481889E-22</v>
      </c>
      <c r="D63">
        <v>1900</v>
      </c>
      <c r="E63">
        <v>1024</v>
      </c>
      <c r="F63">
        <f t="shared" si="1"/>
        <v>1.85546875</v>
      </c>
      <c r="I63" s="2">
        <f>('L-Values'!E63*'D(Ti_Cherniak) Times'!$F63*0.000001)^2/(4*'D(Ti_Cherniak) Times'!$C63)/(365.35*24*3600)</f>
        <v>491.94107312410006</v>
      </c>
      <c r="J63" s="2">
        <f>('L-Values'!F63*'D(Ti_Cherniak) Times'!$F63*0.000001)^2/(4*'D(Ti_Cherniak) Times'!$C63)/(365.35*24*3600)</f>
        <v>1.4338269934908952</v>
      </c>
      <c r="K63" s="2">
        <f>('L-Values'!G63*'D(Ti_Cherniak) Times'!$F63*0.000001)^2/(4*'D(Ti_Cherniak) Times'!$C63)/(365.35*24*3600)</f>
        <v>948.33724287296855</v>
      </c>
      <c r="L63" s="2">
        <f>('L-Values'!H63*'D(Ti_Cherniak) Times'!$F63*0.000001)^2/(4*'D(Ti_Cherniak) Times'!$C63)/(365.35*24*3600)</f>
        <v>2.9435163403302878</v>
      </c>
      <c r="M63" s="2">
        <f>('L-Values'!I63*'D(Ti_Cherniak) Times'!$F63*0.000001)^2/(4*'D(Ti_Cherniak) Times'!$C63)/(365.35*24*3600)</f>
        <v>1322.5300023166396</v>
      </c>
      <c r="N63" s="2">
        <f>('L-Values'!J63*'D(Ti_Cherniak) Times'!$F63*0.000001)^2/(4*'D(Ti_Cherniak) Times'!$C63)/(365.35*24*3600)</f>
        <v>17.367260938951059</v>
      </c>
      <c r="O63" s="2">
        <f>('L-Values'!K63*'D(Ti_Cherniak) Times'!$F63*0.000001)^2/(4*'D(Ti_Cherniak) Times'!$C63)/(365.35*24*3600)</f>
        <v>183.91723961036067</v>
      </c>
      <c r="P63" s="2">
        <f>('L-Values'!L63*'D(Ti_Cherniak) Times'!$F63*0.000001)^2/(4*'D(Ti_Cherniak) Times'!$C63)/(365.35*24*3600)</f>
        <v>338.94056472250406</v>
      </c>
      <c r="Q63" s="2">
        <f>('L-Values'!M63*'D(Ti_Cherniak) Times'!$F63*0.000001)^2/(4*'D(Ti_Cherniak) Times'!$C63)/(365.35*24*3600)</f>
        <v>2410.5607159043097</v>
      </c>
      <c r="R63" s="2">
        <f>('L-Values'!N63*'D(Ti_Cherniak) Times'!$F63*0.000001)^2/(4*'D(Ti_Cherniak) Times'!$C63)/(365.35*24*3600)</f>
        <v>527.72401579758309</v>
      </c>
      <c r="S63" s="2">
        <f>('L-Values'!O63*'D(Ti_Cherniak) Times'!$F63*0.000001)^2/(4*'D(Ti_Cherniak) Times'!$C63)/(365.35*24*3600)</f>
        <v>7.2347185048394339E-2</v>
      </c>
      <c r="T63" s="2"/>
      <c r="U63" s="2">
        <f>('L-Values'!Q63*'D(Ti_Cherniak) Times'!$F63*0.000001)^2/(4*'D(Ti_Cherniak) Times'!$C63)/(365.35*24*3600)</f>
        <v>467.01251664669428</v>
      </c>
      <c r="V63" s="2">
        <f>('L-Values'!R63*'D(Ti_Cherniak) Times'!$F63*0.000001)^2/(4*'D(Ti_Cherniak) Times'!$C63)/(365.35*24*3600)</f>
        <v>333.00463458672408</v>
      </c>
      <c r="W63" s="2">
        <f>('L-Values'!S63*'D(Ti_Cherniak) Times'!$F63*0.000001)^2/(4*'D(Ti_Cherniak) Times'!$C63)/(365.35*24*3600)</f>
        <v>338.94056472250406</v>
      </c>
      <c r="X63" s="2"/>
      <c r="Y63" s="2">
        <f>('L-Values'!U63*'D(Ti_Cherniak) Times'!$F63*0.000001)^2/(4*'D(Ti_Cherniak) Times'!$C63)/(365.35*24*3600)</f>
        <v>371.50080882068931</v>
      </c>
      <c r="Z63" s="2">
        <f>('L-Values'!V63*'D(Ti_Cherniak) Times'!$F63*0.000001)^2/(4*'D(Ti_Cherniak) Times'!$C63)/(365.35*24*3600)</f>
        <v>378.08509833138953</v>
      </c>
      <c r="AA63" s="2">
        <f>('L-Values'!W63*'D(Ti_Cherniak) Times'!$F63*0.000001)^2/(4*'D(Ti_Cherniak) Times'!$C63)/(365.35*24*3600)</f>
        <v>2.4935397482857091E-9</v>
      </c>
      <c r="AB63" s="2">
        <f>('L-Values'!X63*'D(Ti_Cherniak) Times'!$F63*0.000001)^2/(4*'D(Ti_Cherniak) Times'!$C63)/(365.35*24*3600)</f>
        <v>1612.0882505144712</v>
      </c>
      <c r="AC63" s="2">
        <f t="shared" si="2"/>
        <v>378.08509832889598</v>
      </c>
      <c r="AD63" s="2">
        <f t="shared" si="3"/>
        <v>1234.0031521830815</v>
      </c>
    </row>
    <row r="64" spans="1:30" x14ac:dyDescent="0.2">
      <c r="A64" t="str">
        <f>'L-Values'!A64</f>
        <v>CGI005-qtz05-CL-fit-2-offset</v>
      </c>
      <c r="B64">
        <v>750</v>
      </c>
      <c r="C64">
        <f t="shared" si="0"/>
        <v>8.0537892000481889E-22</v>
      </c>
      <c r="D64">
        <v>1900</v>
      </c>
      <c r="E64">
        <v>1024</v>
      </c>
      <c r="F64">
        <f t="shared" si="1"/>
        <v>1.85546875</v>
      </c>
      <c r="I64" s="2">
        <f>('L-Values'!E64*'D(Ti_Cherniak) Times'!$F64*0.000001)^2/(4*'D(Ti_Cherniak) Times'!$C64)/(365.35*24*3600)</f>
        <v>1747.1944981492575</v>
      </c>
      <c r="J64" s="2">
        <f>('L-Values'!F64*'D(Ti_Cherniak) Times'!$F64*0.000001)^2/(4*'D(Ti_Cherniak) Times'!$C64)/(365.35*24*3600)</f>
        <v>949.3862437895101</v>
      </c>
      <c r="K64" s="2">
        <f>('L-Values'!G64*'D(Ti_Cherniak) Times'!$F64*0.000001)^2/(4*'D(Ti_Cherniak) Times'!$C64)/(365.35*24*3600)</f>
        <v>871.17090034472039</v>
      </c>
      <c r="L64" s="2">
        <f>('L-Values'!H64*'D(Ti_Cherniak) Times'!$F64*0.000001)^2/(4*'D(Ti_Cherniak) Times'!$C64)/(365.35*24*3600)</f>
        <v>2392.671649245221</v>
      </c>
      <c r="M64" s="2">
        <f>('L-Values'!I64*'D(Ti_Cherniak) Times'!$F64*0.000001)^2/(4*'D(Ti_Cherniak) Times'!$C64)/(365.35*24*3600)</f>
        <v>1640.3823175910452</v>
      </c>
      <c r="N64" s="2">
        <f>('L-Values'!J64*'D(Ti_Cherniak) Times'!$F64*0.000001)^2/(4*'D(Ti_Cherniak) Times'!$C64)/(365.35*24*3600)</f>
        <v>979.78708079319154</v>
      </c>
      <c r="O64" s="2">
        <f>('L-Values'!K64*'D(Ti_Cherniak) Times'!$F64*0.000001)^2/(4*'D(Ti_Cherniak) Times'!$C64)/(365.35*24*3600)</f>
        <v>1474.4631442688253</v>
      </c>
      <c r="P64" s="2">
        <f>('L-Values'!L64*'D(Ti_Cherniak) Times'!$F64*0.000001)^2/(4*'D(Ti_Cherniak) Times'!$C64)/(365.35*24*3600)</f>
        <v>960.15639848184958</v>
      </c>
      <c r="Q64" s="2">
        <f>('L-Values'!M64*'D(Ti_Cherniak) Times'!$F64*0.000001)^2/(4*'D(Ti_Cherniak) Times'!$C64)/(365.35*24*3600)</f>
        <v>1913.685930951674</v>
      </c>
      <c r="R64" s="2">
        <f>('L-Values'!N64*'D(Ti_Cherniak) Times'!$F64*0.000001)^2/(4*'D(Ti_Cherniak) Times'!$C64)/(365.35*24*3600)</f>
        <v>4353.3036552428839</v>
      </c>
      <c r="S64" s="2">
        <f>('L-Values'!O64*'D(Ti_Cherniak) Times'!$F64*0.000001)^2/(4*'D(Ti_Cherniak) Times'!$C64)/(365.35*24*3600)</f>
        <v>2518.6872670623134</v>
      </c>
      <c r="T64" s="2"/>
      <c r="U64" s="2">
        <f>('L-Values'!Q64*'D(Ti_Cherniak) Times'!$F64*0.000001)^2/(4*'D(Ti_Cherniak) Times'!$C64)/(365.35*24*3600)</f>
        <v>1521.0428426547403</v>
      </c>
      <c r="V64" s="2">
        <f>('L-Values'!R64*'D(Ti_Cherniak) Times'!$F64*0.000001)^2/(4*'D(Ti_Cherniak) Times'!$C64)/(365.35*24*3600)</f>
        <v>1689.5255101853772</v>
      </c>
      <c r="W64" s="2">
        <f>('L-Values'!S64*'D(Ti_Cherniak) Times'!$F64*0.000001)^2/(4*'D(Ti_Cherniak) Times'!$C64)/(365.35*24*3600)</f>
        <v>1640.3823175910452</v>
      </c>
      <c r="X64" s="2"/>
      <c r="Y64" s="2">
        <f>('L-Values'!U64*'D(Ti_Cherniak) Times'!$F64*0.000001)^2/(4*'D(Ti_Cherniak) Times'!$C64)/(365.35*24*3600)</f>
        <v>1628.4408333950937</v>
      </c>
      <c r="Z64" s="2">
        <f>('L-Values'!V64*'D(Ti_Cherniak) Times'!$F64*0.000001)^2/(4*'D(Ti_Cherniak) Times'!$C64)/(365.35*24*3600)</f>
        <v>1754.3745334940584</v>
      </c>
      <c r="AA64" s="2">
        <f>('L-Values'!W64*'D(Ti_Cherniak) Times'!$F64*0.000001)^2/(4*'D(Ti_Cherniak) Times'!$C64)/(365.35*24*3600)</f>
        <v>85.693039371994473</v>
      </c>
      <c r="AB64" s="2">
        <f>('L-Values'!X64*'D(Ti_Cherniak) Times'!$F64*0.000001)^2/(4*'D(Ti_Cherniak) Times'!$C64)/(365.35*24*3600)</f>
        <v>7876.1273877424555</v>
      </c>
      <c r="AC64" s="2">
        <f t="shared" si="2"/>
        <v>1668.6814941220639</v>
      </c>
      <c r="AD64" s="2">
        <f t="shared" si="3"/>
        <v>6121.7528542483969</v>
      </c>
    </row>
    <row r="65" spans="1:30" x14ac:dyDescent="0.2">
      <c r="A65" t="str">
        <f>'L-Values'!A65</f>
        <v>CGI005-qtz05-CL-fit-3-offset</v>
      </c>
      <c r="B65">
        <v>750</v>
      </c>
      <c r="C65">
        <f t="shared" si="0"/>
        <v>8.0537892000481889E-22</v>
      </c>
      <c r="D65">
        <v>1900</v>
      </c>
      <c r="E65">
        <v>1024</v>
      </c>
      <c r="F65">
        <f t="shared" si="1"/>
        <v>1.85546875</v>
      </c>
      <c r="I65" s="2">
        <f>('L-Values'!E65*'D(Ti_Cherniak) Times'!$F65*0.000001)^2/(4*'D(Ti_Cherniak) Times'!$C65)/(365.35*24*3600)</f>
        <v>735.51873699773876</v>
      </c>
      <c r="J65" s="2">
        <f>('L-Values'!F65*'D(Ti_Cherniak) Times'!$F65*0.000001)^2/(4*'D(Ti_Cherniak) Times'!$C65)/(365.35*24*3600)</f>
        <v>7.7463599217617816</v>
      </c>
      <c r="K65" s="2">
        <f>('L-Values'!G65*'D(Ti_Cherniak) Times'!$F65*0.000001)^2/(4*'D(Ti_Cherniak) Times'!$C65)/(365.35*24*3600)</f>
        <v>1397.6286154240881</v>
      </c>
      <c r="L65" s="2">
        <f>('L-Values'!H65*'D(Ti_Cherniak) Times'!$F65*0.000001)^2/(4*'D(Ti_Cherniak) Times'!$C65)/(365.35*24*3600)</f>
        <v>865.85930354418485</v>
      </c>
      <c r="M65" s="2">
        <f>('L-Values'!I65*'D(Ti_Cherniak) Times'!$F65*0.000001)^2/(4*'D(Ti_Cherniak) Times'!$C65)/(365.35*24*3600)</f>
        <v>1535.840957655467</v>
      </c>
      <c r="N65" s="2">
        <f>('L-Values'!J65*'D(Ti_Cherniak) Times'!$F65*0.000001)^2/(4*'D(Ti_Cherniak) Times'!$C65)/(365.35*24*3600)</f>
        <v>1582.1612300973111</v>
      </c>
      <c r="O65" s="2">
        <f>('L-Values'!K65*'D(Ti_Cherniak) Times'!$F65*0.000001)^2/(4*'D(Ti_Cherniak) Times'!$C65)/(365.35*24*3600)</f>
        <v>780.07076168723279</v>
      </c>
      <c r="P65" s="2">
        <f>('L-Values'!L65*'D(Ti_Cherniak) Times'!$F65*0.000001)^2/(4*'D(Ti_Cherniak) Times'!$C65)/(365.35*24*3600)</f>
        <v>0</v>
      </c>
      <c r="Q65" s="2">
        <f>('L-Values'!M65*'D(Ti_Cherniak) Times'!$F65*0.000001)^2/(4*'D(Ti_Cherniak) Times'!$C65)/(365.35*24*3600)</f>
        <v>2588.4394021812604</v>
      </c>
      <c r="R65" s="2">
        <f>('L-Values'!N65*'D(Ti_Cherniak) Times'!$F65*0.000001)^2/(4*'D(Ti_Cherniak) Times'!$C65)/(365.35*24*3600)</f>
        <v>1486.7093770406243</v>
      </c>
      <c r="S65" s="2">
        <f>('L-Values'!O65*'D(Ti_Cherniak) Times'!$F65*0.000001)^2/(4*'D(Ti_Cherniak) Times'!$C65)/(365.35*24*3600)</f>
        <v>1259.0019202129874</v>
      </c>
      <c r="T65" s="2"/>
      <c r="U65" s="2">
        <f>('L-Values'!Q65*'D(Ti_Cherniak) Times'!$F65*0.000001)^2/(4*'D(Ti_Cherniak) Times'!$C65)/(365.35*24*3600)</f>
        <v>1356.3490343511378</v>
      </c>
      <c r="V65" s="2">
        <f>('L-Values'!R65*'D(Ti_Cherniak) Times'!$F65*0.000001)^2/(4*'D(Ti_Cherniak) Times'!$C65)/(365.35*24*3600)</f>
        <v>1079.2997348362946</v>
      </c>
      <c r="W65" s="2">
        <f>('L-Values'!S65*'D(Ti_Cherniak) Times'!$F65*0.000001)^2/(4*'D(Ti_Cherniak) Times'!$C65)/(365.35*24*3600)</f>
        <v>1327.4104346126562</v>
      </c>
      <c r="X65" s="2"/>
      <c r="Y65" s="2">
        <f>('L-Values'!U65*'D(Ti_Cherniak) Times'!$F65*0.000001)^2/(4*'D(Ti_Cherniak) Times'!$C65)/(365.35*24*3600)</f>
        <v>1293.0997912740211</v>
      </c>
      <c r="Z65" s="2">
        <f>('L-Values'!V65*'D(Ti_Cherniak) Times'!$F65*0.000001)^2/(4*'D(Ti_Cherniak) Times'!$C65)/(365.35*24*3600)</f>
        <v>1376.2136315744076</v>
      </c>
      <c r="AA65" s="2">
        <f>('L-Values'!W65*'D(Ti_Cherniak) Times'!$F65*0.000001)^2/(4*'D(Ti_Cherniak) Times'!$C65)/(365.35*24*3600)</f>
        <v>334.31659612351245</v>
      </c>
      <c r="AB65" s="2">
        <f>('L-Values'!X65*'D(Ti_Cherniak) Times'!$F65*0.000001)^2/(4*'D(Ti_Cherniak) Times'!$C65)/(365.35*24*3600)</f>
        <v>4776.8191420442308</v>
      </c>
      <c r="AC65" s="2">
        <f t="shared" si="2"/>
        <v>1041.8970354508951</v>
      </c>
      <c r="AD65" s="2">
        <f t="shared" si="3"/>
        <v>3400.6055104698235</v>
      </c>
    </row>
    <row r="66" spans="1:30" x14ac:dyDescent="0.2">
      <c r="A66" t="str">
        <f>'L-Values'!A66</f>
        <v>CGI005-qtz06-CL-fit-1-offset</v>
      </c>
      <c r="B66">
        <v>750</v>
      </c>
      <c r="C66">
        <f t="shared" si="0"/>
        <v>8.0537892000481889E-22</v>
      </c>
      <c r="D66">
        <v>2050</v>
      </c>
      <c r="E66">
        <v>1024</v>
      </c>
      <c r="F66">
        <f t="shared" si="1"/>
        <v>2.001953125</v>
      </c>
      <c r="I66" s="2">
        <f>('L-Values'!E66*'D(Ti_Cherniak) Times'!$F66*0.000001)^2/(4*'D(Ti_Cherniak) Times'!$C66)/(365.35*24*3600)</f>
        <v>5148.9788709077829</v>
      </c>
      <c r="J66" s="2">
        <f>('L-Values'!F66*'D(Ti_Cherniak) Times'!$F66*0.000001)^2/(4*'D(Ti_Cherniak) Times'!$C66)/(365.35*24*3600)</f>
        <v>3995.7952012641053</v>
      </c>
      <c r="K66" s="2">
        <f>('L-Values'!G66*'D(Ti_Cherniak) Times'!$F66*0.000001)^2/(4*'D(Ti_Cherniak) Times'!$C66)/(365.35*24*3600)</f>
        <v>6769.5253703864018</v>
      </c>
      <c r="L66" s="2">
        <f>('L-Values'!H66*'D(Ti_Cherniak) Times'!$F66*0.000001)^2/(4*'D(Ti_Cherniak) Times'!$C66)/(365.35*24*3600)</f>
        <v>5122.5597541339384</v>
      </c>
      <c r="M66" s="2">
        <f>('L-Values'!I66*'D(Ti_Cherniak) Times'!$F66*0.000001)^2/(4*'D(Ti_Cherniak) Times'!$C66)/(365.35*24*3600)</f>
        <v>4060.6460796073193</v>
      </c>
      <c r="N66" s="2">
        <f>('L-Values'!J66*'D(Ti_Cherniak) Times'!$F66*0.000001)^2/(4*'D(Ti_Cherniak) Times'!$C66)/(365.35*24*3600)</f>
        <v>4250.2996423091645</v>
      </c>
      <c r="O66" s="2">
        <f>('L-Values'!K66*'D(Ti_Cherniak) Times'!$F66*0.000001)^2/(4*'D(Ti_Cherniak) Times'!$C66)/(365.35*24*3600)</f>
        <v>6026.4135807957382</v>
      </c>
      <c r="P66" s="2">
        <f>('L-Values'!L66*'D(Ti_Cherniak) Times'!$F66*0.000001)^2/(4*'D(Ti_Cherniak) Times'!$C66)/(365.35*24*3600)</f>
        <v>5906.8585352940527</v>
      </c>
      <c r="Q66" s="2">
        <f>('L-Values'!M66*'D(Ti_Cherniak) Times'!$F66*0.000001)^2/(4*'D(Ti_Cherniak) Times'!$C66)/(365.35*24*3600)</f>
        <v>3575.4538173126434</v>
      </c>
      <c r="R66" s="2">
        <f>('L-Values'!N66*'D(Ti_Cherniak) Times'!$F66*0.000001)^2/(4*'D(Ti_Cherniak) Times'!$C66)/(365.35*24*3600)</f>
        <v>6680.6639875486153</v>
      </c>
      <c r="S66" s="2">
        <f>('L-Values'!O66*'D(Ti_Cherniak) Times'!$F66*0.000001)^2/(4*'D(Ti_Cherniak) Times'!$C66)/(365.35*24*3600)</f>
        <v>4309.5024418696776</v>
      </c>
      <c r="T66" s="2"/>
      <c r="U66" s="2">
        <f>('L-Values'!Q66*'D(Ti_Cherniak) Times'!$F66*0.000001)^2/(4*'D(Ti_Cherniak) Times'!$C66)/(365.35*24*3600)</f>
        <v>5003.6462012146449</v>
      </c>
      <c r="V66" s="2">
        <f>('L-Values'!R66*'D(Ti_Cherniak) Times'!$F66*0.000001)^2/(4*'D(Ti_Cherniak) Times'!$C66)/(365.35*24*3600)</f>
        <v>5020.349750161874</v>
      </c>
      <c r="W66" s="2">
        <f>('L-Values'!S66*'D(Ti_Cherniak) Times'!$F66*0.000001)^2/(4*'D(Ti_Cherniak) Times'!$C66)/(365.35*24*3600)</f>
        <v>5122.5597541339384</v>
      </c>
      <c r="X66" s="2"/>
      <c r="Y66" s="2">
        <f>('L-Values'!U66*'D(Ti_Cherniak) Times'!$F66*0.000001)^2/(4*'D(Ti_Cherniak) Times'!$C66)/(365.35*24*3600)</f>
        <v>5036.5919525179279</v>
      </c>
      <c r="Z66" s="2">
        <f>('L-Values'!V66*'D(Ti_Cherniak) Times'!$F66*0.000001)^2/(4*'D(Ti_Cherniak) Times'!$C66)/(365.35*24*3600)</f>
        <v>5064.2790352963539</v>
      </c>
      <c r="AA66" s="2">
        <f>('L-Values'!W66*'D(Ti_Cherniak) Times'!$F66*0.000001)^2/(4*'D(Ti_Cherniak) Times'!$C66)/(365.35*24*3600)</f>
        <v>3527.9263178103333</v>
      </c>
      <c r="AB66" s="2">
        <f>('L-Values'!X66*'D(Ti_Cherniak) Times'!$F66*0.000001)^2/(4*'D(Ti_Cherniak) Times'!$C66)/(365.35*24*3600)</f>
        <v>6962.6758880849193</v>
      </c>
      <c r="AC66" s="2">
        <f t="shared" si="2"/>
        <v>1536.3527174860205</v>
      </c>
      <c r="AD66" s="2">
        <f t="shared" si="3"/>
        <v>1898.3968527885654</v>
      </c>
    </row>
    <row r="67" spans="1:30" x14ac:dyDescent="0.2">
      <c r="A67" t="str">
        <f>'L-Values'!A67</f>
        <v>CGI005-qtz06-CL-fit-2-offset</v>
      </c>
      <c r="B67">
        <v>750</v>
      </c>
      <c r="C67">
        <f t="shared" ref="C67:C130" si="4">0.00000007*EXP(-273/(0.00831451*(B67+273)))</f>
        <v>8.0537892000481889E-22</v>
      </c>
      <c r="D67">
        <v>2050</v>
      </c>
      <c r="E67">
        <v>1024</v>
      </c>
      <c r="F67">
        <f t="shared" ref="F67:F130" si="5">D67/E67</f>
        <v>2.001953125</v>
      </c>
      <c r="I67" s="2">
        <f>('L-Values'!E67*'D(Ti_Cherniak) Times'!$F67*0.000001)^2/(4*'D(Ti_Cherniak) Times'!$C67)/(365.35*24*3600)</f>
        <v>1544.8831492228676</v>
      </c>
      <c r="J67" s="2">
        <f>('L-Values'!F67*'D(Ti_Cherniak) Times'!$F67*0.000001)^2/(4*'D(Ti_Cherniak) Times'!$C67)/(365.35*24*3600)</f>
        <v>1497.891616812105</v>
      </c>
      <c r="K67" s="2">
        <f>('L-Values'!G67*'D(Ti_Cherniak) Times'!$F67*0.000001)^2/(4*'D(Ti_Cherniak) Times'!$C67)/(365.35*24*3600)</f>
        <v>1742.1325535028759</v>
      </c>
      <c r="L67" s="2">
        <f>('L-Values'!H67*'D(Ti_Cherniak) Times'!$F67*0.000001)^2/(4*'D(Ti_Cherniak) Times'!$C67)/(365.35*24*3600)</f>
        <v>1448.7780951874433</v>
      </c>
      <c r="M67" s="2">
        <f>('L-Values'!I67*'D(Ti_Cherniak) Times'!$F67*0.000001)^2/(4*'D(Ti_Cherniak) Times'!$C67)/(365.35*24*3600)</f>
        <v>1321.836013840365</v>
      </c>
      <c r="N67" s="2">
        <f>('L-Values'!J67*'D(Ti_Cherniak) Times'!$F67*0.000001)^2/(4*'D(Ti_Cherniak) Times'!$C67)/(365.35*24*3600)</f>
        <v>1468.9304147676824</v>
      </c>
      <c r="O67" s="2">
        <f>('L-Values'!K67*'D(Ti_Cherniak) Times'!$F67*0.000001)^2/(4*'D(Ti_Cherniak) Times'!$C67)/(365.35*24*3600)</f>
        <v>1350.1249716795555</v>
      </c>
      <c r="P67" s="2">
        <f>('L-Values'!L67*'D(Ti_Cherniak) Times'!$F67*0.000001)^2/(4*'D(Ti_Cherniak) Times'!$C67)/(365.35*24*3600)</f>
        <v>1274.2116602200717</v>
      </c>
      <c r="Q67" s="2">
        <f>('L-Values'!M67*'D(Ti_Cherniak) Times'!$F67*0.000001)^2/(4*'D(Ti_Cherniak) Times'!$C67)/(365.35*24*3600)</f>
        <v>1649.4533546025136</v>
      </c>
      <c r="R67" s="2">
        <f>('L-Values'!N67*'D(Ti_Cherniak) Times'!$F67*0.000001)^2/(4*'D(Ti_Cherniak) Times'!$C67)/(365.35*24*3600)</f>
        <v>1898.7409989625612</v>
      </c>
      <c r="S67" s="2">
        <f>('L-Values'!O67*'D(Ti_Cherniak) Times'!$F67*0.000001)^2/(4*'D(Ti_Cherniak) Times'!$C67)/(365.35*24*3600)</f>
        <v>1493.9985798659809</v>
      </c>
      <c r="T67" s="2"/>
      <c r="U67" s="2">
        <f>('L-Values'!Q67*'D(Ti_Cherniak) Times'!$F67*0.000001)^2/(4*'D(Ti_Cherniak) Times'!$C67)/(365.35*24*3600)</f>
        <v>1523.1858433713887</v>
      </c>
      <c r="V67" s="2">
        <f>('L-Values'!R67*'D(Ti_Cherniak) Times'!$F67*0.000001)^2/(4*'D(Ti_Cherniak) Times'!$C67)/(365.35*24*3600)</f>
        <v>1512.314798726122</v>
      </c>
      <c r="W67" s="2">
        <f>('L-Values'!S67*'D(Ti_Cherniak) Times'!$F67*0.000001)^2/(4*'D(Ti_Cherniak) Times'!$C67)/(365.35*24*3600)</f>
        <v>1493.9985798659809</v>
      </c>
      <c r="X67" s="2"/>
      <c r="Y67" s="2">
        <f>('L-Values'!U67*'D(Ti_Cherniak) Times'!$F67*0.000001)^2/(4*'D(Ti_Cherniak) Times'!$C67)/(365.35*24*3600)</f>
        <v>1498.4678808589056</v>
      </c>
      <c r="Z67" s="2">
        <f>('L-Values'!V67*'D(Ti_Cherniak) Times'!$F67*0.000001)^2/(4*'D(Ti_Cherniak) Times'!$C67)/(365.35*24*3600)</f>
        <v>1503.2793801574458</v>
      </c>
      <c r="AA67" s="2">
        <f>('L-Values'!W67*'D(Ti_Cherniak) Times'!$F67*0.000001)^2/(4*'D(Ti_Cherniak) Times'!$C67)/(365.35*24*3600)</f>
        <v>1032.9868260285527</v>
      </c>
      <c r="AB67" s="2">
        <f>('L-Values'!X67*'D(Ti_Cherniak) Times'!$F67*0.000001)^2/(4*'D(Ti_Cherniak) Times'!$C67)/(365.35*24*3600)</f>
        <v>2073.4921910339131</v>
      </c>
      <c r="AC67" s="2">
        <f t="shared" ref="AC67:AC130" si="6">Z67-AA67</f>
        <v>470.29255412889302</v>
      </c>
      <c r="AD67" s="2">
        <f t="shared" ref="AD67:AD130" si="7">AB67-Z67</f>
        <v>570.2128108764673</v>
      </c>
    </row>
    <row r="68" spans="1:30" x14ac:dyDescent="0.2">
      <c r="A68" t="str">
        <f>'L-Values'!A68</f>
        <v>CGI005-qtz06-CL-fit-3-offset</v>
      </c>
      <c r="B68">
        <v>750</v>
      </c>
      <c r="C68">
        <f t="shared" si="4"/>
        <v>8.0537892000481889E-22</v>
      </c>
      <c r="D68">
        <v>2050</v>
      </c>
      <c r="E68">
        <v>1024</v>
      </c>
      <c r="F68">
        <f t="shared" si="5"/>
        <v>2.001953125</v>
      </c>
      <c r="I68" s="2">
        <f>('L-Values'!E68*'D(Ti_Cherniak) Times'!$F68*0.000001)^2/(4*'D(Ti_Cherniak) Times'!$C68)/(365.35*24*3600)</f>
        <v>787.14035232604476</v>
      </c>
      <c r="J68" s="2">
        <f>('L-Values'!F68*'D(Ti_Cherniak) Times'!$F68*0.000001)^2/(4*'D(Ti_Cherniak) Times'!$C68)/(365.35*24*3600)</f>
        <v>955.62771821928322</v>
      </c>
      <c r="K68" s="2">
        <f>('L-Values'!G68*'D(Ti_Cherniak) Times'!$F68*0.000001)^2/(4*'D(Ti_Cherniak) Times'!$C68)/(365.35*24*3600)</f>
        <v>1262.1040353891742</v>
      </c>
      <c r="L68" s="2">
        <f>('L-Values'!H68*'D(Ti_Cherniak) Times'!$F68*0.000001)^2/(4*'D(Ti_Cherniak) Times'!$C68)/(365.35*24*3600)</f>
        <v>923.26818515645277</v>
      </c>
      <c r="M68" s="2">
        <f>('L-Values'!I68*'D(Ti_Cherniak) Times'!$F68*0.000001)^2/(4*'D(Ti_Cherniak) Times'!$C68)/(365.35*24*3600)</f>
        <v>1310.4646600948097</v>
      </c>
      <c r="N68" s="2">
        <f>('L-Values'!J68*'D(Ti_Cherniak) Times'!$F68*0.000001)^2/(4*'D(Ti_Cherniak) Times'!$C68)/(365.35*24*3600)</f>
        <v>1677.9353614508875</v>
      </c>
      <c r="O68" s="2">
        <f>('L-Values'!K68*'D(Ti_Cherniak) Times'!$F68*0.000001)^2/(4*'D(Ti_Cherniak) Times'!$C68)/(365.35*24*3600)</f>
        <v>1092.040194045956</v>
      </c>
      <c r="P68" s="2">
        <f>('L-Values'!L68*'D(Ti_Cherniak) Times'!$F68*0.000001)^2/(4*'D(Ti_Cherniak) Times'!$C68)/(365.35*24*3600)</f>
        <v>572.42901825518584</v>
      </c>
      <c r="Q68" s="2">
        <f>('L-Values'!M68*'D(Ti_Cherniak) Times'!$F68*0.000001)^2/(4*'D(Ti_Cherniak) Times'!$C68)/(365.35*24*3600)</f>
        <v>952.0975332793289</v>
      </c>
      <c r="R68" s="2">
        <f>('L-Values'!N68*'D(Ti_Cherniak) Times'!$F68*0.000001)^2/(4*'D(Ti_Cherniak) Times'!$C68)/(365.35*24*3600)</f>
        <v>451.51824922039543</v>
      </c>
      <c r="S68" s="2">
        <f>('L-Values'!O68*'D(Ti_Cherniak) Times'!$F68*0.000001)^2/(4*'D(Ti_Cherniak) Times'!$C68)/(365.35*24*3600)</f>
        <v>1132.7733565786843</v>
      </c>
      <c r="T68" s="2"/>
      <c r="U68" s="2">
        <f>('L-Values'!Q68*'D(Ti_Cherniak) Times'!$F68*0.000001)^2/(4*'D(Ti_Cherniak) Times'!$C68)/(365.35*24*3600)</f>
        <v>979.73186428674558</v>
      </c>
      <c r="V68" s="2">
        <f>('L-Values'!R68*'D(Ti_Cherniak) Times'!$F68*0.000001)^2/(4*'D(Ti_Cherniak) Times'!$C68)/(365.35*24*3600)</f>
        <v>982.40580496582447</v>
      </c>
      <c r="W68" s="2">
        <f>('L-Values'!S68*'D(Ti_Cherniak) Times'!$F68*0.000001)^2/(4*'D(Ti_Cherniak) Times'!$C68)/(365.35*24*3600)</f>
        <v>955.62771821928322</v>
      </c>
      <c r="X68" s="2"/>
      <c r="Y68" s="2">
        <f>('L-Values'!U68*'D(Ti_Cherniak) Times'!$F68*0.000001)^2/(4*'D(Ti_Cherniak) Times'!$C68)/(365.35*24*3600)</f>
        <v>1027.7863111246618</v>
      </c>
      <c r="Z68" s="2">
        <f>('L-Values'!V68*'D(Ti_Cherniak) Times'!$F68*0.000001)^2/(4*'D(Ti_Cherniak) Times'!$C68)/(365.35*24*3600)</f>
        <v>1050.0103118998134</v>
      </c>
      <c r="AA68" s="2">
        <f>('L-Values'!W68*'D(Ti_Cherniak) Times'!$F68*0.000001)^2/(4*'D(Ti_Cherniak) Times'!$C68)/(365.35*24*3600)</f>
        <v>468.04450976886977</v>
      </c>
      <c r="AB68" s="2">
        <f>('L-Values'!X68*'D(Ti_Cherniak) Times'!$F68*0.000001)^2/(4*'D(Ti_Cherniak) Times'!$C68)/(365.35*24*3600)</f>
        <v>2142.1868510386794</v>
      </c>
      <c r="AC68" s="2">
        <f t="shared" si="6"/>
        <v>581.96580213094353</v>
      </c>
      <c r="AD68" s="2">
        <f t="shared" si="7"/>
        <v>1092.176539138866</v>
      </c>
    </row>
    <row r="69" spans="1:30" x14ac:dyDescent="0.2">
      <c r="A69" t="str">
        <f>'L-Values'!A69</f>
        <v>CGI005-qtz06-CL-fit-4</v>
      </c>
      <c r="B69">
        <v>750</v>
      </c>
      <c r="C69">
        <f t="shared" si="4"/>
        <v>8.0537892000481889E-22</v>
      </c>
      <c r="D69">
        <v>2050</v>
      </c>
      <c r="E69">
        <v>1024</v>
      </c>
      <c r="F69">
        <f t="shared" si="5"/>
        <v>2.001953125</v>
      </c>
      <c r="I69" s="2">
        <f>('L-Values'!E69*'D(Ti_Cherniak) Times'!$F69*0.000001)^2/(4*'D(Ti_Cherniak) Times'!$C69)/(365.35*24*3600)</f>
        <v>44.463247783023512</v>
      </c>
      <c r="J69" s="2">
        <f>('L-Values'!F69*'D(Ti_Cherniak) Times'!$F69*0.000001)^2/(4*'D(Ti_Cherniak) Times'!$C69)/(365.35*24*3600)</f>
        <v>145.50281325898152</v>
      </c>
      <c r="K69" s="2">
        <f>('L-Values'!G69*'D(Ti_Cherniak) Times'!$F69*0.000001)^2/(4*'D(Ti_Cherniak) Times'!$C69)/(365.35*24*3600)</f>
        <v>50.478732700502448</v>
      </c>
      <c r="L69" s="2">
        <f>('L-Values'!H69*'D(Ti_Cherniak) Times'!$F69*0.000001)^2/(4*'D(Ti_Cherniak) Times'!$C69)/(365.35*24*3600)</f>
        <v>31.010438807369503</v>
      </c>
      <c r="M69" s="2">
        <f>('L-Values'!I69*'D(Ti_Cherniak) Times'!$F69*0.000001)^2/(4*'D(Ti_Cherniak) Times'!$C69)/(365.35*24*3600)</f>
        <v>53.622384947005436</v>
      </c>
      <c r="N69" s="2">
        <f>('L-Values'!J69*'D(Ti_Cherniak) Times'!$F69*0.000001)^2/(4*'D(Ti_Cherniak) Times'!$C69)/(365.35*24*3600)</f>
        <v>86.416708678004696</v>
      </c>
      <c r="O69" s="2">
        <f>('L-Values'!K69*'D(Ti_Cherniak) Times'!$F69*0.000001)^2/(4*'D(Ti_Cherniak) Times'!$C69)/(365.35*24*3600)</f>
        <v>1.1742671885982936</v>
      </c>
      <c r="P69" s="2">
        <f>('L-Values'!L69*'D(Ti_Cherniak) Times'!$F69*0.000001)^2/(4*'D(Ti_Cherniak) Times'!$C69)/(365.35*24*3600)</f>
        <v>54.284702505106672</v>
      </c>
      <c r="Q69" s="2">
        <f>('L-Values'!M69*'D(Ti_Cherniak) Times'!$F69*0.000001)^2/(4*'D(Ti_Cherniak) Times'!$C69)/(365.35*24*3600)</f>
        <v>95.084988716309454</v>
      </c>
      <c r="R69" s="2">
        <f>('L-Values'!N69*'D(Ti_Cherniak) Times'!$F69*0.000001)^2/(4*'D(Ti_Cherniak) Times'!$C69)/(365.35*24*3600)</f>
        <v>82.98857587359818</v>
      </c>
      <c r="S69" s="2">
        <f>('L-Values'!O69*'D(Ti_Cherniak) Times'!$F69*0.000001)^2/(4*'D(Ti_Cherniak) Times'!$C69)/(365.35*24*3600)</f>
        <v>83.408439979743747</v>
      </c>
      <c r="T69" s="2"/>
      <c r="U69" s="2">
        <f>('L-Values'!Q69*'D(Ti_Cherniak) Times'!$F69*0.000001)^2/(4*'D(Ti_Cherniak) Times'!$C69)/(365.35*24*3600)</f>
        <v>76.982902288883167</v>
      </c>
      <c r="V69" s="2">
        <f>('L-Values'!R69*'D(Ti_Cherniak) Times'!$F69*0.000001)^2/(4*'D(Ti_Cherniak) Times'!$C69)/(365.35*24*3600)</f>
        <v>58.965776970534996</v>
      </c>
      <c r="W69" s="2">
        <f>('L-Values'!S69*'D(Ti_Cherniak) Times'!$F69*0.000001)^2/(4*'D(Ti_Cherniak) Times'!$C69)/(365.35*24*3600)</f>
        <v>54.284702505106672</v>
      </c>
      <c r="X69" s="2"/>
      <c r="Y69" s="2">
        <f>('L-Values'!U69*'D(Ti_Cherniak) Times'!$F69*0.000001)^2/(4*'D(Ti_Cherniak) Times'!$C69)/(365.35*24*3600)</f>
        <v>70.873284512373871</v>
      </c>
      <c r="Z69" s="2">
        <f>('L-Values'!V69*'D(Ti_Cherniak) Times'!$F69*0.000001)^2/(4*'D(Ti_Cherniak) Times'!$C69)/(365.35*24*3600)</f>
        <v>70.957723794992717</v>
      </c>
      <c r="AA69" s="2">
        <f>('L-Values'!W69*'D(Ti_Cherniak) Times'!$F69*0.000001)^2/(4*'D(Ti_Cherniak) Times'!$C69)/(365.35*24*3600)</f>
        <v>2.4365157233798489</v>
      </c>
      <c r="AB69" s="2">
        <f>('L-Values'!X69*'D(Ti_Cherniak) Times'!$F69*0.000001)^2/(4*'D(Ti_Cherniak) Times'!$C69)/(365.35*24*3600)</f>
        <v>241.22300818500079</v>
      </c>
      <c r="AC69" s="2">
        <f t="shared" si="6"/>
        <v>68.521208071612861</v>
      </c>
      <c r="AD69" s="2">
        <f t="shared" si="7"/>
        <v>170.26528439000808</v>
      </c>
    </row>
    <row r="70" spans="1:30" x14ac:dyDescent="0.2">
      <c r="A70" t="str">
        <f>'L-Values'!A70</f>
        <v>CGI005-qtz07-CL-fit-1-offset</v>
      </c>
      <c r="B70">
        <v>750</v>
      </c>
      <c r="C70">
        <f t="shared" si="4"/>
        <v>8.0537892000481889E-22</v>
      </c>
      <c r="D70">
        <v>2100</v>
      </c>
      <c r="E70">
        <v>1024</v>
      </c>
      <c r="F70">
        <f t="shared" si="5"/>
        <v>2.05078125</v>
      </c>
      <c r="I70" s="2">
        <f>('L-Values'!E70*'D(Ti_Cherniak) Times'!$F70*0.000001)^2/(4*'D(Ti_Cherniak) Times'!$C70)/(365.35*24*3600)</f>
        <v>1107.409411404625</v>
      </c>
      <c r="J70" s="2">
        <f>('L-Values'!F70*'D(Ti_Cherniak) Times'!$F70*0.000001)^2/(4*'D(Ti_Cherniak) Times'!$C70)/(365.35*24*3600)</f>
        <v>1040.8647518531466</v>
      </c>
      <c r="K70" s="2">
        <f>('L-Values'!G70*'D(Ti_Cherniak) Times'!$F70*0.000001)^2/(4*'D(Ti_Cherniak) Times'!$C70)/(365.35*24*3600)</f>
        <v>1495.2586783881168</v>
      </c>
      <c r="L70" s="2">
        <f>('L-Values'!H70*'D(Ti_Cherniak) Times'!$F70*0.000001)^2/(4*'D(Ti_Cherniak) Times'!$C70)/(365.35*24*3600)</f>
        <v>1751.3527957384658</v>
      </c>
      <c r="M70" s="2">
        <f>('L-Values'!I70*'D(Ti_Cherniak) Times'!$F70*0.000001)^2/(4*'D(Ti_Cherniak) Times'!$C70)/(365.35*24*3600)</f>
        <v>1789.5390312170105</v>
      </c>
      <c r="N70" s="2">
        <f>('L-Values'!J70*'D(Ti_Cherniak) Times'!$F70*0.000001)^2/(4*'D(Ti_Cherniak) Times'!$C70)/(365.35*24*3600)</f>
        <v>1530.9142297335052</v>
      </c>
      <c r="O70" s="2">
        <f>('L-Values'!K70*'D(Ti_Cherniak) Times'!$F70*0.000001)^2/(4*'D(Ti_Cherniak) Times'!$C70)/(365.35*24*3600)</f>
        <v>1241.263251512443</v>
      </c>
      <c r="P70" s="2">
        <f>('L-Values'!L70*'D(Ti_Cherniak) Times'!$F70*0.000001)^2/(4*'D(Ti_Cherniak) Times'!$C70)/(365.35*24*3600)</f>
        <v>865.49366479263392</v>
      </c>
      <c r="Q70" s="2">
        <f>('L-Values'!M70*'D(Ti_Cherniak) Times'!$F70*0.000001)^2/(4*'D(Ti_Cherniak) Times'!$C70)/(365.35*24*3600)</f>
        <v>1084.7768357342688</v>
      </c>
      <c r="R70" s="2">
        <f>('L-Values'!N70*'D(Ti_Cherniak) Times'!$F70*0.000001)^2/(4*'D(Ti_Cherniak) Times'!$C70)/(365.35*24*3600)</f>
        <v>694.01453286711705</v>
      </c>
      <c r="S70" s="2">
        <f>('L-Values'!O70*'D(Ti_Cherniak) Times'!$F70*0.000001)^2/(4*'D(Ti_Cherniak) Times'!$C70)/(365.35*24*3600)</f>
        <v>994.2565400907298</v>
      </c>
      <c r="T70" s="2"/>
      <c r="U70" s="2">
        <f>('L-Values'!Q70*'D(Ti_Cherniak) Times'!$F70*0.000001)^2/(4*'D(Ti_Cherniak) Times'!$C70)/(365.35*24*3600)</f>
        <v>1222.283294248735</v>
      </c>
      <c r="V70" s="2">
        <f>('L-Values'!R70*'D(Ti_Cherniak) Times'!$F70*0.000001)^2/(4*'D(Ti_Cherniak) Times'!$C70)/(365.35*24*3600)</f>
        <v>1211.9928303383438</v>
      </c>
      <c r="W70" s="2">
        <f>('L-Values'!S70*'D(Ti_Cherniak) Times'!$F70*0.000001)^2/(4*'D(Ti_Cherniak) Times'!$C70)/(365.35*24*3600)</f>
        <v>1107.409411404625</v>
      </c>
      <c r="X70" s="2"/>
      <c r="Y70" s="2">
        <f>('L-Values'!U70*'D(Ti_Cherniak) Times'!$F70*0.000001)^2/(4*'D(Ti_Cherniak) Times'!$C70)/(365.35*24*3600)</f>
        <v>1188.3557821131858</v>
      </c>
      <c r="Z70" s="2">
        <f>('L-Values'!V70*'D(Ti_Cherniak) Times'!$F70*0.000001)^2/(4*'D(Ti_Cherniak) Times'!$C70)/(365.35*24*3600)</f>
        <v>1193.2420413989228</v>
      </c>
      <c r="AA70" s="2">
        <f>('L-Values'!W70*'D(Ti_Cherniak) Times'!$F70*0.000001)^2/(4*'D(Ti_Cherniak) Times'!$C70)/(365.35*24*3600)</f>
        <v>854.15804928979946</v>
      </c>
      <c r="AB70" s="2">
        <f>('L-Values'!X70*'D(Ti_Cherniak) Times'!$F70*0.000001)^2/(4*'D(Ti_Cherniak) Times'!$C70)/(365.35*24*3600)</f>
        <v>1653.3732166802426</v>
      </c>
      <c r="AC70" s="2">
        <f t="shared" si="6"/>
        <v>339.0839921091233</v>
      </c>
      <c r="AD70" s="2">
        <f t="shared" si="7"/>
        <v>460.13117528131988</v>
      </c>
    </row>
    <row r="71" spans="1:30" x14ac:dyDescent="0.2">
      <c r="A71" t="str">
        <f>'L-Values'!A71</f>
        <v>CGI005-qtz07-CL-fit-2-offset</v>
      </c>
      <c r="B71">
        <v>750</v>
      </c>
      <c r="C71">
        <f t="shared" si="4"/>
        <v>8.0537892000481889E-22</v>
      </c>
      <c r="D71">
        <v>2100</v>
      </c>
      <c r="E71">
        <v>1024</v>
      </c>
      <c r="F71">
        <f t="shared" si="5"/>
        <v>2.05078125</v>
      </c>
      <c r="I71" s="2">
        <f>('L-Values'!E71*'D(Ti_Cherniak) Times'!$F71*0.000001)^2/(4*'D(Ti_Cherniak) Times'!$C71)/(365.35*24*3600)</f>
        <v>44.710959275795354</v>
      </c>
      <c r="J71" s="2">
        <f>('L-Values'!F71*'D(Ti_Cherniak) Times'!$F71*0.000001)^2/(4*'D(Ti_Cherniak) Times'!$C71)/(365.35*24*3600)</f>
        <v>56.38400475865047</v>
      </c>
      <c r="K71" s="2">
        <f>('L-Values'!G71*'D(Ti_Cherniak) Times'!$F71*0.000001)^2/(4*'D(Ti_Cherniak) Times'!$C71)/(365.35*24*3600)</f>
        <v>139.14226495361055</v>
      </c>
      <c r="L71" s="2">
        <f>('L-Values'!H71*'D(Ti_Cherniak) Times'!$F71*0.000001)^2/(4*'D(Ti_Cherniak) Times'!$C71)/(365.35*24*3600)</f>
        <v>137.66397035858228</v>
      </c>
      <c r="M71" s="2">
        <f>('L-Values'!I71*'D(Ti_Cherniak) Times'!$F71*0.000001)^2/(4*'D(Ti_Cherniak) Times'!$C71)/(365.35*24*3600)</f>
        <v>109.75217392227511</v>
      </c>
      <c r="N71" s="2">
        <f>('L-Values'!J71*'D(Ti_Cherniak) Times'!$F71*0.000001)^2/(4*'D(Ti_Cherniak) Times'!$C71)/(365.35*24*3600)</f>
        <v>79.513445782479806</v>
      </c>
      <c r="O71" s="2">
        <f>('L-Values'!K71*'D(Ti_Cherniak) Times'!$F71*0.000001)^2/(4*'D(Ti_Cherniak) Times'!$C71)/(365.35*24*3600)</f>
        <v>89.19672174198179</v>
      </c>
      <c r="P71" s="2">
        <f>('L-Values'!L71*'D(Ti_Cherniak) Times'!$F71*0.000001)^2/(4*'D(Ti_Cherniak) Times'!$C71)/(365.35*24*3600)</f>
        <v>106.41817436311975</v>
      </c>
      <c r="Q71" s="2">
        <f>('L-Values'!M71*'D(Ti_Cherniak) Times'!$F71*0.000001)^2/(4*'D(Ti_Cherniak) Times'!$C71)/(365.35*24*3600)</f>
        <v>123.36278735217104</v>
      </c>
      <c r="R71" s="2">
        <f>('L-Values'!N71*'D(Ti_Cherniak) Times'!$F71*0.000001)^2/(4*'D(Ti_Cherniak) Times'!$C71)/(365.35*24*3600)</f>
        <v>81.939641821291374</v>
      </c>
      <c r="S71" s="2">
        <f>('L-Values'!O71*'D(Ti_Cherniak) Times'!$F71*0.000001)^2/(4*'D(Ti_Cherniak) Times'!$C71)/(365.35*24*3600)</f>
        <v>105.04320867457332</v>
      </c>
      <c r="T71" s="2"/>
      <c r="U71" s="2">
        <f>('L-Values'!Q71*'D(Ti_Cherniak) Times'!$F71*0.000001)^2/(4*'D(Ti_Cherniak) Times'!$C71)/(365.35*24*3600)</f>
        <v>97.893054181195922</v>
      </c>
      <c r="V71" s="2">
        <f>('L-Values'!R71*'D(Ti_Cherniak) Times'!$F71*0.000001)^2/(4*'D(Ti_Cherniak) Times'!$C71)/(365.35*24*3600)</f>
        <v>95.126417786829435</v>
      </c>
      <c r="W71" s="2">
        <f>('L-Values'!S71*'D(Ti_Cherniak) Times'!$F71*0.000001)^2/(4*'D(Ti_Cherniak) Times'!$C71)/(365.35*24*3600)</f>
        <v>105.04320867457332</v>
      </c>
      <c r="X71" s="2"/>
      <c r="Y71" s="2">
        <f>('L-Values'!U71*'D(Ti_Cherniak) Times'!$F71*0.000001)^2/(4*'D(Ti_Cherniak) Times'!$C71)/(365.35*24*3600)</f>
        <v>96.515650003915326</v>
      </c>
      <c r="Z71" s="2">
        <f>('L-Values'!V71*'D(Ti_Cherniak) Times'!$F71*0.000001)^2/(4*'D(Ti_Cherniak) Times'!$C71)/(365.35*24*3600)</f>
        <v>91.268634581833538</v>
      </c>
      <c r="AA71" s="2">
        <f>('L-Values'!W71*'D(Ti_Cherniak) Times'!$F71*0.000001)^2/(4*'D(Ti_Cherniak) Times'!$C71)/(365.35*24*3600)</f>
        <v>13.987920593934245</v>
      </c>
      <c r="AB71" s="2">
        <f>('L-Values'!X71*'D(Ti_Cherniak) Times'!$F71*0.000001)^2/(4*'D(Ti_Cherniak) Times'!$C71)/(365.35*24*3600)</f>
        <v>187.84540864428055</v>
      </c>
      <c r="AC71" s="2">
        <f t="shared" si="6"/>
        <v>77.28071398789929</v>
      </c>
      <c r="AD71" s="2">
        <f t="shared" si="7"/>
        <v>96.576774062447015</v>
      </c>
    </row>
    <row r="72" spans="1:30" x14ac:dyDescent="0.2">
      <c r="A72" t="str">
        <f>'L-Values'!A72</f>
        <v>CGI005-qtz07-CL-fit-3-offset</v>
      </c>
      <c r="B72">
        <v>750</v>
      </c>
      <c r="C72">
        <f t="shared" si="4"/>
        <v>8.0537892000481889E-22</v>
      </c>
      <c r="D72">
        <v>2100</v>
      </c>
      <c r="E72">
        <v>1024</v>
      </c>
      <c r="F72">
        <f t="shared" si="5"/>
        <v>2.05078125</v>
      </c>
      <c r="I72" s="2">
        <f>('L-Values'!E72*'D(Ti_Cherniak) Times'!$F72*0.000001)^2/(4*'D(Ti_Cherniak) Times'!$C72)/(365.35*24*3600)</f>
        <v>118.38736976567765</v>
      </c>
      <c r="J72" s="2">
        <f>('L-Values'!F72*'D(Ti_Cherniak) Times'!$F72*0.000001)^2/(4*'D(Ti_Cherniak) Times'!$C72)/(365.35*24*3600)</f>
        <v>15.323511320388866</v>
      </c>
      <c r="K72" s="2">
        <f>('L-Values'!G72*'D(Ti_Cherniak) Times'!$F72*0.000001)^2/(4*'D(Ti_Cherniak) Times'!$C72)/(365.35*24*3600)</f>
        <v>240.95698452829379</v>
      </c>
      <c r="L72" s="2">
        <f>('L-Values'!H72*'D(Ti_Cherniak) Times'!$F72*0.000001)^2/(4*'D(Ti_Cherniak) Times'!$C72)/(365.35*24*3600)</f>
        <v>161.02322955302688</v>
      </c>
      <c r="M72" s="2">
        <f>('L-Values'!I72*'D(Ti_Cherniak) Times'!$F72*0.000001)^2/(4*'D(Ti_Cherniak) Times'!$C72)/(365.35*24*3600)</f>
        <v>27.635017360207698</v>
      </c>
      <c r="N72" s="2">
        <f>('L-Values'!J72*'D(Ti_Cherniak) Times'!$F72*0.000001)^2/(4*'D(Ti_Cherniak) Times'!$C72)/(365.35*24*3600)</f>
        <v>32.63410799422924</v>
      </c>
      <c r="O72" s="2">
        <f>('L-Values'!K72*'D(Ti_Cherniak) Times'!$F72*0.000001)^2/(4*'D(Ti_Cherniak) Times'!$C72)/(365.35*24*3600)</f>
        <v>44.185364367279938</v>
      </c>
      <c r="P72" s="2">
        <f>('L-Values'!L72*'D(Ti_Cherniak) Times'!$F72*0.000001)^2/(4*'D(Ti_Cherniak) Times'!$C72)/(365.35*24*3600)</f>
        <v>503.77552119700857</v>
      </c>
      <c r="Q72" s="2">
        <f>('L-Values'!M72*'D(Ti_Cherniak) Times'!$F72*0.000001)^2/(4*'D(Ti_Cherniak) Times'!$C72)/(365.35*24*3600)</f>
        <v>265.66703191845244</v>
      </c>
      <c r="R72" s="2">
        <f>('L-Values'!N72*'D(Ti_Cherniak) Times'!$F72*0.000001)^2/(4*'D(Ti_Cherniak) Times'!$C72)/(365.35*24*3600)</f>
        <v>117.50848513300816</v>
      </c>
      <c r="S72" s="2">
        <f>('L-Values'!O72*'D(Ti_Cherniak) Times'!$F72*0.000001)^2/(4*'D(Ti_Cherniak) Times'!$C72)/(365.35*24*3600)</f>
        <v>248.17851555782366</v>
      </c>
      <c r="T72" s="2"/>
      <c r="U72" s="2">
        <f>('L-Values'!Q72*'D(Ti_Cherniak) Times'!$F72*0.000001)^2/(4*'D(Ti_Cherniak) Times'!$C72)/(365.35*24*3600)</f>
        <v>157.44914327129226</v>
      </c>
      <c r="V72" s="2">
        <f>('L-Values'!R72*'D(Ti_Cherniak) Times'!$F72*0.000001)^2/(4*'D(Ti_Cherniak) Times'!$C72)/(365.35*24*3600)</f>
        <v>131.12788969766635</v>
      </c>
      <c r="W72" s="2">
        <f>('L-Values'!S72*'D(Ti_Cherniak) Times'!$F72*0.000001)^2/(4*'D(Ti_Cherniak) Times'!$C72)/(365.35*24*3600)</f>
        <v>118.38736976567765</v>
      </c>
      <c r="X72" s="2"/>
      <c r="Y72" s="2">
        <f>('L-Values'!U72*'D(Ti_Cherniak) Times'!$F72*0.000001)^2/(4*'D(Ti_Cherniak) Times'!$C72)/(365.35*24*3600)</f>
        <v>139.24652155838174</v>
      </c>
      <c r="Z72" s="2">
        <f>('L-Values'!V72*'D(Ti_Cherniak) Times'!$F72*0.000001)^2/(4*'D(Ti_Cherniak) Times'!$C72)/(365.35*24*3600)</f>
        <v>129.85420956478831</v>
      </c>
      <c r="AA72" s="2">
        <f>('L-Values'!W72*'D(Ti_Cherniak) Times'!$F72*0.000001)^2/(4*'D(Ti_Cherniak) Times'!$C72)/(365.35*24*3600)</f>
        <v>2.6128931570465701</v>
      </c>
      <c r="AB72" s="2">
        <f>('L-Values'!X72*'D(Ti_Cherniak) Times'!$F72*0.000001)^2/(4*'D(Ti_Cherniak) Times'!$C72)/(365.35*24*3600)</f>
        <v>407.05201459172446</v>
      </c>
      <c r="AC72" s="2">
        <f t="shared" si="6"/>
        <v>127.24131640774173</v>
      </c>
      <c r="AD72" s="2">
        <f t="shared" si="7"/>
        <v>277.19780502693618</v>
      </c>
    </row>
    <row r="73" spans="1:30" x14ac:dyDescent="0.2">
      <c r="A73" t="str">
        <f>'L-Values'!A73</f>
        <v>CGI005-qtz07-CL-fit-4-offset</v>
      </c>
      <c r="B73">
        <v>750</v>
      </c>
      <c r="C73">
        <f t="shared" si="4"/>
        <v>8.0537892000481889E-22</v>
      </c>
      <c r="D73">
        <v>2100</v>
      </c>
      <c r="E73">
        <v>1024</v>
      </c>
      <c r="F73">
        <f t="shared" si="5"/>
        <v>2.05078125</v>
      </c>
      <c r="I73" s="2">
        <f>('L-Values'!E73*'D(Ti_Cherniak) Times'!$F73*0.000001)^2/(4*'D(Ti_Cherniak) Times'!$C73)/(365.35*24*3600)</f>
        <v>87.184287229138164</v>
      </c>
      <c r="J73" s="2">
        <f>('L-Values'!F73*'D(Ti_Cherniak) Times'!$F73*0.000001)^2/(4*'D(Ti_Cherniak) Times'!$C73)/(365.35*24*3600)</f>
        <v>455.51064237086212</v>
      </c>
      <c r="K73" s="2">
        <f>('L-Values'!G73*'D(Ti_Cherniak) Times'!$F73*0.000001)^2/(4*'D(Ti_Cherniak) Times'!$C73)/(365.35*24*3600)</f>
        <v>118.29206932508305</v>
      </c>
      <c r="L73" s="2">
        <f>('L-Values'!H73*'D(Ti_Cherniak) Times'!$F73*0.000001)^2/(4*'D(Ti_Cherniak) Times'!$C73)/(365.35*24*3600)</f>
        <v>875.56319191843545</v>
      </c>
      <c r="M73" s="2">
        <f>('L-Values'!I73*'D(Ti_Cherniak) Times'!$F73*0.000001)^2/(4*'D(Ti_Cherniak) Times'!$C73)/(365.35*24*3600)</f>
        <v>664.78541312636196</v>
      </c>
      <c r="N73" s="2">
        <f>('L-Values'!J73*'D(Ti_Cherniak) Times'!$F73*0.000001)^2/(4*'D(Ti_Cherniak) Times'!$C73)/(365.35*24*3600)</f>
        <v>662.43710005537309</v>
      </c>
      <c r="O73" s="2">
        <f>('L-Values'!K73*'D(Ti_Cherniak) Times'!$F73*0.000001)^2/(4*'D(Ti_Cherniak) Times'!$C73)/(365.35*24*3600)</f>
        <v>584.12325103254295</v>
      </c>
      <c r="P73" s="2">
        <f>('L-Values'!L73*'D(Ti_Cherniak) Times'!$F73*0.000001)^2/(4*'D(Ti_Cherniak) Times'!$C73)/(365.35*24*3600)</f>
        <v>2164.8647381258911</v>
      </c>
      <c r="Q73" s="2">
        <f>('L-Values'!M73*'D(Ti_Cherniak) Times'!$F73*0.000001)^2/(4*'D(Ti_Cherniak) Times'!$C73)/(365.35*24*3600)</f>
        <v>846.04568957857202</v>
      </c>
      <c r="R73" s="2">
        <f>('L-Values'!N73*'D(Ti_Cherniak) Times'!$F73*0.000001)^2/(4*'D(Ti_Cherniak) Times'!$C73)/(365.35*24*3600)</f>
        <v>157.95915226286897</v>
      </c>
      <c r="S73" s="2">
        <f>('L-Values'!O73*'D(Ti_Cherniak) Times'!$F73*0.000001)^2/(4*'D(Ti_Cherniak) Times'!$C73)/(365.35*24*3600)</f>
        <v>101.39312275603901</v>
      </c>
      <c r="T73" s="2"/>
      <c r="U73" s="2">
        <f>('L-Values'!Q73*'D(Ti_Cherniak) Times'!$F73*0.000001)^2/(4*'D(Ti_Cherniak) Times'!$C73)/(365.35*24*3600)</f>
        <v>457.74157591121451</v>
      </c>
      <c r="V73" s="2">
        <f>('L-Values'!R73*'D(Ti_Cherniak) Times'!$F73*0.000001)^2/(4*'D(Ti_Cherniak) Times'!$C73)/(365.35*24*3600)</f>
        <v>496.43314091462486</v>
      </c>
      <c r="W73" s="2">
        <f>('L-Values'!S73*'D(Ti_Cherniak) Times'!$F73*0.000001)^2/(4*'D(Ti_Cherniak) Times'!$C73)/(365.35*24*3600)</f>
        <v>584.12325103254295</v>
      </c>
      <c r="X73" s="2"/>
      <c r="Y73" s="2">
        <f>('L-Values'!U73*'D(Ti_Cherniak) Times'!$F73*0.000001)^2/(4*'D(Ti_Cherniak) Times'!$C73)/(365.35*24*3600)</f>
        <v>426.14698520121573</v>
      </c>
      <c r="Z73" s="2">
        <f>('L-Values'!V73*'D(Ti_Cherniak) Times'!$F73*0.000001)^2/(4*'D(Ti_Cherniak) Times'!$C73)/(365.35*24*3600)</f>
        <v>484.20822505345558</v>
      </c>
      <c r="AA73" s="2">
        <f>('L-Values'!W73*'D(Ti_Cherniak) Times'!$F73*0.000001)^2/(4*'D(Ti_Cherniak) Times'!$C73)/(365.35*24*3600)</f>
        <v>19.585049907754151</v>
      </c>
      <c r="AB73" s="2">
        <f>('L-Values'!X73*'D(Ti_Cherniak) Times'!$F73*0.000001)^2/(4*'D(Ti_Cherniak) Times'!$C73)/(365.35*24*3600)</f>
        <v>1809.7710407767086</v>
      </c>
      <c r="AC73" s="2">
        <f t="shared" si="6"/>
        <v>464.62317514570145</v>
      </c>
      <c r="AD73" s="2">
        <f t="shared" si="7"/>
        <v>1325.5628157232529</v>
      </c>
    </row>
    <row r="74" spans="1:30" x14ac:dyDescent="0.2">
      <c r="A74" t="str">
        <f>'L-Values'!A74</f>
        <v>CGI005-qtz08-CL-fit-1-offset</v>
      </c>
      <c r="B74">
        <v>750</v>
      </c>
      <c r="C74">
        <f t="shared" si="4"/>
        <v>8.0537892000481889E-22</v>
      </c>
      <c r="D74">
        <v>1900</v>
      </c>
      <c r="E74">
        <v>1024</v>
      </c>
      <c r="F74">
        <f t="shared" si="5"/>
        <v>1.85546875</v>
      </c>
      <c r="I74" s="2">
        <f>('L-Values'!E74*'D(Ti_Cherniak) Times'!$F74*0.000001)^2/(4*'D(Ti_Cherniak) Times'!$C74)/(365.35*24*3600)</f>
        <v>298.56667875500619</v>
      </c>
      <c r="J74" s="2">
        <f>('L-Values'!F74*'D(Ti_Cherniak) Times'!$F74*0.000001)^2/(4*'D(Ti_Cherniak) Times'!$C74)/(365.35*24*3600)</f>
        <v>396.90592684894989</v>
      </c>
      <c r="K74" s="2">
        <f>('L-Values'!G74*'D(Ti_Cherniak) Times'!$F74*0.000001)^2/(4*'D(Ti_Cherniak) Times'!$C74)/(365.35*24*3600)</f>
        <v>590.16826575555149</v>
      </c>
      <c r="L74" s="2">
        <f>('L-Values'!H74*'D(Ti_Cherniak) Times'!$F74*0.000001)^2/(4*'D(Ti_Cherniak) Times'!$C74)/(365.35*24*3600)</f>
        <v>319.65579272996013</v>
      </c>
      <c r="M74" s="2">
        <f>('L-Values'!I74*'D(Ti_Cherniak) Times'!$F74*0.000001)^2/(4*'D(Ti_Cherniak) Times'!$C74)/(365.35*24*3600)</f>
        <v>1000.818840291418</v>
      </c>
      <c r="N74" s="2">
        <f>('L-Values'!J74*'D(Ti_Cherniak) Times'!$F74*0.000001)^2/(4*'D(Ti_Cherniak) Times'!$C74)/(365.35*24*3600)</f>
        <v>358.47331157869155</v>
      </c>
      <c r="O74" s="2">
        <f>('L-Values'!K74*'D(Ti_Cherniak) Times'!$F74*0.000001)^2/(4*'D(Ti_Cherniak) Times'!$C74)/(365.35*24*3600)</f>
        <v>697.48127450054153</v>
      </c>
      <c r="P74" s="2">
        <f>('L-Values'!L74*'D(Ti_Cherniak) Times'!$F74*0.000001)^2/(4*'D(Ti_Cherniak) Times'!$C74)/(365.35*24*3600)</f>
        <v>498.60080479577641</v>
      </c>
      <c r="Q74" s="2">
        <f>('L-Values'!M74*'D(Ti_Cherniak) Times'!$F74*0.000001)^2/(4*'D(Ti_Cherniak) Times'!$C74)/(365.35*24*3600)</f>
        <v>759.84952033436605</v>
      </c>
      <c r="R74" s="2">
        <f>('L-Values'!N74*'D(Ti_Cherniak) Times'!$F74*0.000001)^2/(4*'D(Ti_Cherniak) Times'!$C74)/(365.35*24*3600)</f>
        <v>543.29933919446307</v>
      </c>
      <c r="S74" s="2">
        <f>('L-Values'!O74*'D(Ti_Cherniak) Times'!$F74*0.000001)^2/(4*'D(Ti_Cherniak) Times'!$C74)/(365.35*24*3600)</f>
        <v>504.75126454161455</v>
      </c>
      <c r="T74" s="2"/>
      <c r="U74" s="2">
        <f>('L-Values'!Q74*'D(Ti_Cherniak) Times'!$F74*0.000001)^2/(4*'D(Ti_Cherniak) Times'!$C74)/(365.35*24*3600)</f>
        <v>512.07928535126803</v>
      </c>
      <c r="V74" s="2">
        <f>('L-Values'!R74*'D(Ti_Cherniak) Times'!$F74*0.000001)^2/(4*'D(Ti_Cherniak) Times'!$C74)/(365.35*24*3600)</f>
        <v>524.92247833150282</v>
      </c>
      <c r="W74" s="2">
        <f>('L-Values'!S74*'D(Ti_Cherniak) Times'!$F74*0.000001)^2/(4*'D(Ti_Cherniak) Times'!$C74)/(365.35*24*3600)</f>
        <v>504.75126454161455</v>
      </c>
      <c r="X74" s="2"/>
      <c r="Y74" s="2">
        <f>('L-Values'!U74*'D(Ti_Cherniak) Times'!$F74*0.000001)^2/(4*'D(Ti_Cherniak) Times'!$C74)/(365.35*24*3600)</f>
        <v>488.56259056767698</v>
      </c>
      <c r="Z74" s="2">
        <f>('L-Values'!V74*'D(Ti_Cherniak) Times'!$F74*0.000001)^2/(4*'D(Ti_Cherniak) Times'!$C74)/(365.35*24*3600)</f>
        <v>483.77429896831524</v>
      </c>
      <c r="AA74" s="2">
        <f>('L-Values'!W74*'D(Ti_Cherniak) Times'!$F74*0.000001)^2/(4*'D(Ti_Cherniak) Times'!$C74)/(365.35*24*3600)</f>
        <v>99.623280928757353</v>
      </c>
      <c r="AB74" s="2">
        <f>('L-Values'!X74*'D(Ti_Cherniak) Times'!$F74*0.000001)^2/(4*'D(Ti_Cherniak) Times'!$C74)/(365.35*24*3600)</f>
        <v>1159.0555097687306</v>
      </c>
      <c r="AC74" s="2">
        <f t="shared" si="6"/>
        <v>384.15101803955787</v>
      </c>
      <c r="AD74" s="2">
        <f t="shared" si="7"/>
        <v>675.28121080041547</v>
      </c>
    </row>
    <row r="75" spans="1:30" x14ac:dyDescent="0.2">
      <c r="A75" t="str">
        <f>'L-Values'!A75</f>
        <v>CGI005-qtz08-CL-fit-2-offset</v>
      </c>
      <c r="B75">
        <v>750</v>
      </c>
      <c r="C75">
        <f t="shared" si="4"/>
        <v>8.0537892000481889E-22</v>
      </c>
      <c r="D75">
        <v>1900</v>
      </c>
      <c r="E75">
        <v>1024</v>
      </c>
      <c r="F75">
        <f t="shared" si="5"/>
        <v>1.85546875</v>
      </c>
      <c r="I75" s="2">
        <f>('L-Values'!E75*'D(Ti_Cherniak) Times'!$F75*0.000001)^2/(4*'D(Ti_Cherniak) Times'!$C75)/(365.35*24*3600)</f>
        <v>283.96397487281286</v>
      </c>
      <c r="J75" s="2">
        <f>('L-Values'!F75*'D(Ti_Cherniak) Times'!$F75*0.000001)^2/(4*'D(Ti_Cherniak) Times'!$C75)/(365.35*24*3600)</f>
        <v>230.34255955901676</v>
      </c>
      <c r="K75" s="2">
        <f>('L-Values'!G75*'D(Ti_Cherniak) Times'!$F75*0.000001)^2/(4*'D(Ti_Cherniak) Times'!$C75)/(365.35*24*3600)</f>
        <v>173.4241982528219</v>
      </c>
      <c r="L75" s="2">
        <f>('L-Values'!H75*'D(Ti_Cherniak) Times'!$F75*0.000001)^2/(4*'D(Ti_Cherniak) Times'!$C75)/(365.35*24*3600)</f>
        <v>302.96191040666508</v>
      </c>
      <c r="M75" s="2">
        <f>('L-Values'!I75*'D(Ti_Cherniak) Times'!$F75*0.000001)^2/(4*'D(Ti_Cherniak) Times'!$C75)/(365.35*24*3600)</f>
        <v>188.50821913664015</v>
      </c>
      <c r="N75" s="2">
        <f>('L-Values'!J75*'D(Ti_Cherniak) Times'!$F75*0.000001)^2/(4*'D(Ti_Cherniak) Times'!$C75)/(365.35*24*3600)</f>
        <v>183.69700122046427</v>
      </c>
      <c r="O75" s="2">
        <f>('L-Values'!K75*'D(Ti_Cherniak) Times'!$F75*0.000001)^2/(4*'D(Ti_Cherniak) Times'!$C75)/(365.35*24*3600)</f>
        <v>149.90064244301601</v>
      </c>
      <c r="P75" s="2">
        <f>('L-Values'!L75*'D(Ti_Cherniak) Times'!$F75*0.000001)^2/(4*'D(Ti_Cherniak) Times'!$C75)/(365.35*24*3600)</f>
        <v>306.39428038315594</v>
      </c>
      <c r="Q75" s="2">
        <f>('L-Values'!M75*'D(Ti_Cherniak) Times'!$F75*0.000001)^2/(4*'D(Ti_Cherniak) Times'!$C75)/(365.35*24*3600)</f>
        <v>347.63781020755346</v>
      </c>
      <c r="R75" s="2">
        <f>('L-Values'!N75*'D(Ti_Cherniak) Times'!$F75*0.000001)^2/(4*'D(Ti_Cherniak) Times'!$C75)/(365.35*24*3600)</f>
        <v>304.44266929851818</v>
      </c>
      <c r="S75" s="2">
        <f>('L-Values'!O75*'D(Ti_Cherniak) Times'!$F75*0.000001)^2/(4*'D(Ti_Cherniak) Times'!$C75)/(365.35*24*3600)</f>
        <v>244.36434045648153</v>
      </c>
      <c r="T75" s="2"/>
      <c r="U75" s="2">
        <f>('L-Values'!Q75*'D(Ti_Cherniak) Times'!$F75*0.000001)^2/(4*'D(Ti_Cherniak) Times'!$C75)/(365.35*24*3600)</f>
        <v>246.81421166216847</v>
      </c>
      <c r="V75" s="2">
        <f>('L-Values'!R75*'D(Ti_Cherniak) Times'!$F75*0.000001)^2/(4*'D(Ti_Cherniak) Times'!$C75)/(365.35*24*3600)</f>
        <v>242.67820493052301</v>
      </c>
      <c r="W75" s="2">
        <f>('L-Values'!S75*'D(Ti_Cherniak) Times'!$F75*0.000001)^2/(4*'D(Ti_Cherniak) Times'!$C75)/(365.35*24*3600)</f>
        <v>244.36434045648153</v>
      </c>
      <c r="X75" s="2"/>
      <c r="Y75" s="2">
        <f>('L-Values'!U75*'D(Ti_Cherniak) Times'!$F75*0.000001)^2/(4*'D(Ti_Cherniak) Times'!$C75)/(365.35*24*3600)</f>
        <v>246.93869211689235</v>
      </c>
      <c r="Z75" s="2">
        <f>('L-Values'!V75*'D(Ti_Cherniak) Times'!$F75*0.000001)^2/(4*'D(Ti_Cherniak) Times'!$C75)/(365.35*24*3600)</f>
        <v>252.39290631738979</v>
      </c>
      <c r="AA75" s="2">
        <f>('L-Values'!W75*'D(Ti_Cherniak) Times'!$F75*0.000001)^2/(4*'D(Ti_Cherniak) Times'!$C75)/(365.35*24*3600)</f>
        <v>119.02414967859951</v>
      </c>
      <c r="AB75" s="2">
        <f>('L-Values'!X75*'D(Ti_Cherniak) Times'!$F75*0.000001)^2/(4*'D(Ti_Cherniak) Times'!$C75)/(365.35*24*3600)</f>
        <v>478.67924945915451</v>
      </c>
      <c r="AC75" s="2">
        <f t="shared" si="6"/>
        <v>133.36875663879027</v>
      </c>
      <c r="AD75" s="2">
        <f t="shared" si="7"/>
        <v>226.28634314176472</v>
      </c>
    </row>
    <row r="76" spans="1:30" x14ac:dyDescent="0.2">
      <c r="A76" t="str">
        <f>'L-Values'!A76</f>
        <v>CGI005-qtz08-CL-fit-3</v>
      </c>
      <c r="B76">
        <v>750</v>
      </c>
      <c r="C76">
        <f t="shared" si="4"/>
        <v>8.0537892000481889E-22</v>
      </c>
      <c r="D76">
        <v>1900</v>
      </c>
      <c r="E76">
        <v>1024</v>
      </c>
      <c r="F76">
        <f t="shared" si="5"/>
        <v>1.85546875</v>
      </c>
      <c r="I76" s="2">
        <f>('L-Values'!E76*'D(Ti_Cherniak) Times'!$F76*0.000001)^2/(4*'D(Ti_Cherniak) Times'!$C76)/(365.35*24*3600)</f>
        <v>172.79345532098566</v>
      </c>
      <c r="J76" s="2">
        <f>('L-Values'!F76*'D(Ti_Cherniak) Times'!$F76*0.000001)^2/(4*'D(Ti_Cherniak) Times'!$C76)/(365.35*24*3600)</f>
        <v>83.403492804168678</v>
      </c>
      <c r="K76" s="2">
        <f>('L-Values'!G76*'D(Ti_Cherniak) Times'!$F76*0.000001)^2/(4*'D(Ti_Cherniak) Times'!$C76)/(365.35*24*3600)</f>
        <v>2.3815260045059956</v>
      </c>
      <c r="L76" s="2">
        <f>('L-Values'!H76*'D(Ti_Cherniak) Times'!$F76*0.000001)^2/(4*'D(Ti_Cherniak) Times'!$C76)/(365.35*24*3600)</f>
        <v>113.08601756096373</v>
      </c>
      <c r="M76" s="2">
        <f>('L-Values'!I76*'D(Ti_Cherniak) Times'!$F76*0.000001)^2/(4*'D(Ti_Cherniak) Times'!$C76)/(365.35*24*3600)</f>
        <v>100.85904540056897</v>
      </c>
      <c r="N76" s="2">
        <f>('L-Values'!J76*'D(Ti_Cherniak) Times'!$F76*0.000001)^2/(4*'D(Ti_Cherniak) Times'!$C76)/(365.35*24*3600)</f>
        <v>161.67804396754215</v>
      </c>
      <c r="O76" s="2">
        <f>('L-Values'!K76*'D(Ti_Cherniak) Times'!$F76*0.000001)^2/(4*'D(Ti_Cherniak) Times'!$C76)/(365.35*24*3600)</f>
        <v>4.4190663303199599E-3</v>
      </c>
      <c r="P76" s="2">
        <f>('L-Values'!L76*'D(Ti_Cherniak) Times'!$F76*0.000001)^2/(4*'D(Ti_Cherniak) Times'!$C76)/(365.35*24*3600)</f>
        <v>24.752043964817318</v>
      </c>
      <c r="Q76" s="2">
        <f>('L-Values'!M76*'D(Ti_Cherniak) Times'!$F76*0.000001)^2/(4*'D(Ti_Cherniak) Times'!$C76)/(365.35*24*3600)</f>
        <v>41.235768163352347</v>
      </c>
      <c r="R76" s="2">
        <f>('L-Values'!N76*'D(Ti_Cherniak) Times'!$F76*0.000001)^2/(4*'D(Ti_Cherniak) Times'!$C76)/(365.35*24*3600)</f>
        <v>39.123328662653272</v>
      </c>
      <c r="S76" s="2">
        <f>('L-Values'!O76*'D(Ti_Cherniak) Times'!$F76*0.000001)^2/(4*'D(Ti_Cherniak) Times'!$C76)/(365.35*24*3600)</f>
        <v>173.9296160728517</v>
      </c>
      <c r="T76" s="2"/>
      <c r="U76" s="2">
        <f>('L-Values'!Q76*'D(Ti_Cherniak) Times'!$F76*0.000001)^2/(4*'D(Ti_Cherniak) Times'!$C76)/(365.35*24*3600)</f>
        <v>99.722184617980133</v>
      </c>
      <c r="V76" s="2">
        <f>('L-Values'!R76*'D(Ti_Cherniak) Times'!$F76*0.000001)^2/(4*'D(Ti_Cherniak) Times'!$C76)/(365.35*24*3600)</f>
        <v>64.173807617197468</v>
      </c>
      <c r="W76" s="2">
        <f>('L-Values'!S76*'D(Ti_Cherniak) Times'!$F76*0.000001)^2/(4*'D(Ti_Cherniak) Times'!$C76)/(365.35*24*3600)</f>
        <v>83.403492804168678</v>
      </c>
      <c r="X76" s="2"/>
      <c r="Y76" s="2">
        <f>('L-Values'!U76*'D(Ti_Cherniak) Times'!$F76*0.000001)^2/(4*'D(Ti_Cherniak) Times'!$C76)/(365.35*24*3600)</f>
        <v>90.632816459662706</v>
      </c>
      <c r="Z76" s="2">
        <f>('L-Values'!V76*'D(Ti_Cherniak) Times'!$F76*0.000001)^2/(4*'D(Ti_Cherniak) Times'!$C76)/(365.35*24*3600)</f>
        <v>85.07086899735441</v>
      </c>
      <c r="AA76" s="2">
        <f>('L-Values'!W76*'D(Ti_Cherniak) Times'!$F76*0.000001)^2/(4*'D(Ti_Cherniak) Times'!$C76)/(365.35*24*3600)</f>
        <v>5.9829201905634228E-4</v>
      </c>
      <c r="AB76" s="2">
        <f>('L-Values'!X76*'D(Ti_Cherniak) Times'!$F76*0.000001)^2/(4*'D(Ti_Cherniak) Times'!$C76)/(365.35*24*3600)</f>
        <v>295.16057775863027</v>
      </c>
      <c r="AC76" s="2">
        <f t="shared" si="6"/>
        <v>85.070270705335346</v>
      </c>
      <c r="AD76" s="2">
        <f t="shared" si="7"/>
        <v>210.08970876127586</v>
      </c>
    </row>
    <row r="77" spans="1:30" x14ac:dyDescent="0.2">
      <c r="A77" t="str">
        <f>'L-Values'!A77</f>
        <v>CGI005-qtz08-CL-fit-4-offset</v>
      </c>
      <c r="B77">
        <v>750</v>
      </c>
      <c r="C77">
        <f t="shared" si="4"/>
        <v>8.0537892000481889E-22</v>
      </c>
      <c r="D77">
        <v>1900</v>
      </c>
      <c r="E77">
        <v>1024</v>
      </c>
      <c r="F77">
        <f t="shared" si="5"/>
        <v>1.85546875</v>
      </c>
      <c r="I77" s="2">
        <f>('L-Values'!E77*'D(Ti_Cherniak) Times'!$F77*0.000001)^2/(4*'D(Ti_Cherniak) Times'!$C77)/(365.35*24*3600)</f>
        <v>125.54052243865904</v>
      </c>
      <c r="J77" s="2">
        <f>('L-Values'!F77*'D(Ti_Cherniak) Times'!$F77*0.000001)^2/(4*'D(Ti_Cherniak) Times'!$C77)/(365.35*24*3600)</f>
        <v>221.00332900500499</v>
      </c>
      <c r="K77" s="2">
        <f>('L-Values'!G77*'D(Ti_Cherniak) Times'!$F77*0.000001)^2/(4*'D(Ti_Cherniak) Times'!$C77)/(365.35*24*3600)</f>
        <v>144.16387017043579</v>
      </c>
      <c r="L77" s="2">
        <f>('L-Values'!H77*'D(Ti_Cherniak) Times'!$F77*0.000001)^2/(4*'D(Ti_Cherniak) Times'!$C77)/(365.35*24*3600)</f>
        <v>57.46982300379684</v>
      </c>
      <c r="M77" s="2">
        <f>('L-Values'!I77*'D(Ti_Cherniak) Times'!$F77*0.000001)^2/(4*'D(Ti_Cherniak) Times'!$C77)/(365.35*24*3600)</f>
        <v>130.29329536662263</v>
      </c>
      <c r="N77" s="2">
        <f>('L-Values'!J77*'D(Ti_Cherniak) Times'!$F77*0.000001)^2/(4*'D(Ti_Cherniak) Times'!$C77)/(365.35*24*3600)</f>
        <v>175.08312458926849</v>
      </c>
      <c r="O77" s="2">
        <f>('L-Values'!K77*'D(Ti_Cherniak) Times'!$F77*0.000001)^2/(4*'D(Ti_Cherniak) Times'!$C77)/(365.35*24*3600)</f>
        <v>359.69088049799376</v>
      </c>
      <c r="P77" s="2">
        <f>('L-Values'!L77*'D(Ti_Cherniak) Times'!$F77*0.000001)^2/(4*'D(Ti_Cherniak) Times'!$C77)/(365.35*24*3600)</f>
        <v>172.21164815458349</v>
      </c>
      <c r="Q77" s="2">
        <f>('L-Values'!M77*'D(Ti_Cherniak) Times'!$F77*0.000001)^2/(4*'D(Ti_Cherniak) Times'!$C77)/(365.35*24*3600)</f>
        <v>22.185275859799923</v>
      </c>
      <c r="R77" s="2">
        <f>('L-Values'!N77*'D(Ti_Cherniak) Times'!$F77*0.000001)^2/(4*'D(Ti_Cherniak) Times'!$C77)/(365.35*24*3600)</f>
        <v>152.57868685577671</v>
      </c>
      <c r="S77" s="2">
        <f>('L-Values'!O77*'D(Ti_Cherniak) Times'!$F77*0.000001)^2/(4*'D(Ti_Cherniak) Times'!$C77)/(365.35*24*3600)</f>
        <v>90.720460584190519</v>
      </c>
      <c r="T77" s="2"/>
      <c r="U77" s="2">
        <f>('L-Values'!Q77*'D(Ti_Cherniak) Times'!$F77*0.000001)^2/(4*'D(Ti_Cherniak) Times'!$C77)/(365.35*24*3600)</f>
        <v>171.06951904872565</v>
      </c>
      <c r="V77" s="2">
        <f>('L-Values'!R77*'D(Ti_Cherniak) Times'!$F77*0.000001)^2/(4*'D(Ti_Cherniak) Times'!$C77)/(365.35*24*3600)</f>
        <v>137.48729842451007</v>
      </c>
      <c r="W77" s="2">
        <f>('L-Values'!S77*'D(Ti_Cherniak) Times'!$F77*0.000001)^2/(4*'D(Ti_Cherniak) Times'!$C77)/(365.35*24*3600)</f>
        <v>144.16387017043579</v>
      </c>
      <c r="X77" s="2"/>
      <c r="Y77" s="2">
        <f>('L-Values'!U77*'D(Ti_Cherniak) Times'!$F77*0.000001)^2/(4*'D(Ti_Cherniak) Times'!$C77)/(365.35*24*3600)</f>
        <v>154.42751430732574</v>
      </c>
      <c r="Z77" s="2">
        <f>('L-Values'!V77*'D(Ti_Cherniak) Times'!$F77*0.000001)^2/(4*'D(Ti_Cherniak) Times'!$C77)/(365.35*24*3600)</f>
        <v>159.91374683723345</v>
      </c>
      <c r="AA77" s="2">
        <f>('L-Values'!W77*'D(Ti_Cherniak) Times'!$F77*0.000001)^2/(4*'D(Ti_Cherniak) Times'!$C77)/(365.35*24*3600)</f>
        <v>2.5372940015995815</v>
      </c>
      <c r="AB77" s="2">
        <f>('L-Values'!X77*'D(Ti_Cherniak) Times'!$F77*0.000001)^2/(4*'D(Ti_Cherniak) Times'!$C77)/(365.35*24*3600)</f>
        <v>656.66471907669438</v>
      </c>
      <c r="AC77" s="2">
        <f t="shared" si="6"/>
        <v>157.37645283563387</v>
      </c>
      <c r="AD77" s="2">
        <f t="shared" si="7"/>
        <v>496.75097223946091</v>
      </c>
    </row>
    <row r="78" spans="1:30" x14ac:dyDescent="0.2">
      <c r="A78" t="str">
        <f>'L-Values'!A78</f>
        <v>CGI005-qtz08-CL-fit-5-offset</v>
      </c>
      <c r="B78">
        <v>750</v>
      </c>
      <c r="C78">
        <f t="shared" si="4"/>
        <v>8.0537892000481889E-22</v>
      </c>
      <c r="D78">
        <v>1900</v>
      </c>
      <c r="E78">
        <v>1024</v>
      </c>
      <c r="F78">
        <f t="shared" si="5"/>
        <v>1.85546875</v>
      </c>
      <c r="I78" s="2">
        <f>('L-Values'!E78*'D(Ti_Cherniak) Times'!$F78*0.000001)^2/(4*'D(Ti_Cherniak) Times'!$C78)/(365.35*24*3600)</f>
        <v>43.240626429155469</v>
      </c>
      <c r="J78" s="2">
        <f>('L-Values'!F78*'D(Ti_Cherniak) Times'!$F78*0.000001)^2/(4*'D(Ti_Cherniak) Times'!$C78)/(365.35*24*3600)</f>
        <v>1.513891544773954</v>
      </c>
      <c r="K78" s="2">
        <f>('L-Values'!G78*'D(Ti_Cherniak) Times'!$F78*0.000001)^2/(4*'D(Ti_Cherniak) Times'!$C78)/(365.35*24*3600)</f>
        <v>0.44560292597908852</v>
      </c>
      <c r="L78" s="2">
        <f>('L-Values'!H78*'D(Ti_Cherniak) Times'!$F78*0.000001)^2/(4*'D(Ti_Cherniak) Times'!$C78)/(365.35*24*3600)</f>
        <v>54.14734150949991</v>
      </c>
      <c r="M78" s="2">
        <f>('L-Values'!I78*'D(Ti_Cherniak) Times'!$F78*0.000001)^2/(4*'D(Ti_Cherniak) Times'!$C78)/(365.35*24*3600)</f>
        <v>24.61026973056293</v>
      </c>
      <c r="N78" s="2">
        <f>('L-Values'!J78*'D(Ti_Cherniak) Times'!$F78*0.000001)^2/(4*'D(Ti_Cherniak) Times'!$C78)/(365.35*24*3600)</f>
        <v>16.709373050237982</v>
      </c>
      <c r="O78" s="2">
        <f>('L-Values'!K78*'D(Ti_Cherniak) Times'!$F78*0.000001)^2/(4*'D(Ti_Cherniak) Times'!$C78)/(365.35*24*3600)</f>
        <v>42.957425074072681</v>
      </c>
      <c r="P78" s="2">
        <f>('L-Values'!L78*'D(Ti_Cherniak) Times'!$F78*0.000001)^2/(4*'D(Ti_Cherniak) Times'!$C78)/(365.35*24*3600)</f>
        <v>2.0633864166124352</v>
      </c>
      <c r="Q78" s="2">
        <f>('L-Values'!M78*'D(Ti_Cherniak) Times'!$F78*0.000001)^2/(4*'D(Ti_Cherniak) Times'!$C78)/(365.35*24*3600)</f>
        <v>154.66753918182263</v>
      </c>
      <c r="R78" s="2">
        <f>('L-Values'!N78*'D(Ti_Cherniak) Times'!$F78*0.000001)^2/(4*'D(Ti_Cherniak) Times'!$C78)/(365.35*24*3600)</f>
        <v>46.158345179990143</v>
      </c>
      <c r="S78" s="2">
        <f>('L-Values'!O78*'D(Ti_Cherniak) Times'!$F78*0.000001)^2/(4*'D(Ti_Cherniak) Times'!$C78)/(365.35*24*3600)</f>
        <v>55.20367967399757</v>
      </c>
      <c r="T78" s="2"/>
      <c r="U78" s="2">
        <f>('L-Values'!Q78*'D(Ti_Cherniak) Times'!$F78*0.000001)^2/(4*'D(Ti_Cherniak) Times'!$C78)/(365.35*24*3600)</f>
        <v>51.520221013946767</v>
      </c>
      <c r="V78" s="2">
        <f>('L-Values'!R78*'D(Ti_Cherniak) Times'!$F78*0.000001)^2/(4*'D(Ti_Cherniak) Times'!$C78)/(365.35*24*3600)</f>
        <v>29.289608622031089</v>
      </c>
      <c r="W78" s="2">
        <f>('L-Values'!S78*'D(Ti_Cherniak) Times'!$F78*0.000001)^2/(4*'D(Ti_Cherniak) Times'!$C78)/(365.35*24*3600)</f>
        <v>42.957425074072681</v>
      </c>
      <c r="X78" s="2"/>
      <c r="Y78" s="2">
        <f>('L-Values'!U78*'D(Ti_Cherniak) Times'!$F78*0.000001)^2/(4*'D(Ti_Cherniak) Times'!$C78)/(365.35*24*3600)</f>
        <v>39.40493786955944</v>
      </c>
      <c r="Z78" s="2">
        <f>('L-Values'!V78*'D(Ti_Cherniak) Times'!$F78*0.000001)^2/(4*'D(Ti_Cherniak) Times'!$C78)/(365.35*24*3600)</f>
        <v>39.783261960614468</v>
      </c>
      <c r="AA78" s="2">
        <f>('L-Values'!W78*'D(Ti_Cherniak) Times'!$F78*0.000001)^2/(4*'D(Ti_Cherniak) Times'!$C78)/(365.35*24*3600)</f>
        <v>0.76483881422896827</v>
      </c>
      <c r="AB78" s="2">
        <f>('L-Values'!X78*'D(Ti_Cherniak) Times'!$F78*0.000001)^2/(4*'D(Ti_Cherniak) Times'!$C78)/(365.35*24*3600)</f>
        <v>250.19677757927568</v>
      </c>
      <c r="AC78" s="2">
        <f t="shared" si="6"/>
        <v>39.018423146385501</v>
      </c>
      <c r="AD78" s="2">
        <f t="shared" si="7"/>
        <v>210.41351561866122</v>
      </c>
    </row>
    <row r="79" spans="1:30" x14ac:dyDescent="0.2">
      <c r="A79" t="str">
        <f>'L-Values'!A79</f>
        <v>CGI005-qtz08-CL-fit-6-offset</v>
      </c>
      <c r="B79">
        <v>750</v>
      </c>
      <c r="C79">
        <f t="shared" si="4"/>
        <v>8.0537892000481889E-22</v>
      </c>
      <c r="D79">
        <v>1900</v>
      </c>
      <c r="E79">
        <v>1024</v>
      </c>
      <c r="F79">
        <f t="shared" si="5"/>
        <v>1.85546875</v>
      </c>
      <c r="I79" s="2">
        <f>('L-Values'!E79*'D(Ti_Cherniak) Times'!$F79*0.000001)^2/(4*'D(Ti_Cherniak) Times'!$C79)/(365.35*24*3600)</f>
        <v>15.158941148262398</v>
      </c>
      <c r="J79" s="2">
        <f>('L-Values'!F79*'D(Ti_Cherniak) Times'!$F79*0.000001)^2/(4*'D(Ti_Cherniak) Times'!$C79)/(365.35*24*3600)</f>
        <v>53.696746534812448</v>
      </c>
      <c r="K79" s="2">
        <f>('L-Values'!G79*'D(Ti_Cherniak) Times'!$F79*0.000001)^2/(4*'D(Ti_Cherniak) Times'!$C79)/(365.35*24*3600)</f>
        <v>20.598350234672051</v>
      </c>
      <c r="L79" s="2">
        <f>('L-Values'!H79*'D(Ti_Cherniak) Times'!$F79*0.000001)^2/(4*'D(Ti_Cherniak) Times'!$C79)/(365.35*24*3600)</f>
        <v>33.515220282316569</v>
      </c>
      <c r="M79" s="2">
        <f>('L-Values'!I79*'D(Ti_Cherniak) Times'!$F79*0.000001)^2/(4*'D(Ti_Cherniak) Times'!$C79)/(365.35*24*3600)</f>
        <v>33.265919806922945</v>
      </c>
      <c r="N79" s="2">
        <f>('L-Values'!J79*'D(Ti_Cherniak) Times'!$F79*0.000001)^2/(4*'D(Ti_Cherniak) Times'!$C79)/(365.35*24*3600)</f>
        <v>34.544272387376076</v>
      </c>
      <c r="O79" s="2">
        <f>('L-Values'!K79*'D(Ti_Cherniak) Times'!$F79*0.000001)^2/(4*'D(Ti_Cherniak) Times'!$C79)/(365.35*24*3600)</f>
        <v>16.628128638439197</v>
      </c>
      <c r="P79" s="2">
        <f>('L-Values'!L79*'D(Ti_Cherniak) Times'!$F79*0.000001)^2/(4*'D(Ti_Cherniak) Times'!$C79)/(365.35*24*3600)</f>
        <v>72.575041275043432</v>
      </c>
      <c r="Q79" s="2">
        <f>('L-Values'!M79*'D(Ti_Cherniak) Times'!$F79*0.000001)^2/(4*'D(Ti_Cherniak) Times'!$C79)/(365.35*24*3600)</f>
        <v>42.152607648523791</v>
      </c>
      <c r="R79" s="2">
        <f>('L-Values'!N79*'D(Ti_Cherniak) Times'!$F79*0.000001)^2/(4*'D(Ti_Cherniak) Times'!$C79)/(365.35*24*3600)</f>
        <v>39.557047933858016</v>
      </c>
      <c r="S79" s="2">
        <f>('L-Values'!O79*'D(Ti_Cherniak) Times'!$F79*0.000001)^2/(4*'D(Ti_Cherniak) Times'!$C79)/(365.35*24*3600)</f>
        <v>19.364966927455406</v>
      </c>
      <c r="T79" s="2"/>
      <c r="U79" s="2">
        <f>('L-Values'!Q79*'D(Ti_Cherniak) Times'!$F79*0.000001)^2/(4*'D(Ti_Cherniak) Times'!$C79)/(365.35*24*3600)</f>
        <v>38.788276923830239</v>
      </c>
      <c r="V79" s="2">
        <f>('L-Values'!R79*'D(Ti_Cherniak) Times'!$F79*0.000001)^2/(4*'D(Ti_Cherniak) Times'!$C79)/(365.35*24*3600)</f>
        <v>32.774057713471642</v>
      </c>
      <c r="W79" s="2">
        <f>('L-Values'!S79*'D(Ti_Cherniak) Times'!$F79*0.000001)^2/(4*'D(Ti_Cherniak) Times'!$C79)/(365.35*24*3600)</f>
        <v>33.515220282316569</v>
      </c>
      <c r="X79" s="2"/>
      <c r="Y79" s="2">
        <f>('L-Values'!U79*'D(Ti_Cherniak) Times'!$F79*0.000001)^2/(4*'D(Ti_Cherniak) Times'!$C79)/(365.35*24*3600)</f>
        <v>29.35314299490534</v>
      </c>
      <c r="Z79" s="2">
        <f>('L-Values'!V79*'D(Ti_Cherniak) Times'!$F79*0.000001)^2/(4*'D(Ti_Cherniak) Times'!$C79)/(365.35*24*3600)</f>
        <v>29.238004675506915</v>
      </c>
      <c r="AA79" s="2">
        <f>('L-Values'!W79*'D(Ti_Cherniak) Times'!$F79*0.000001)^2/(4*'D(Ti_Cherniak) Times'!$C79)/(365.35*24*3600)</f>
        <v>0.36777925427952923</v>
      </c>
      <c r="AB79" s="2">
        <f>('L-Values'!X79*'D(Ti_Cherniak) Times'!$F79*0.000001)^2/(4*'D(Ti_Cherniak) Times'!$C79)/(365.35*24*3600)</f>
        <v>103.12051725328907</v>
      </c>
      <c r="AC79" s="2">
        <f t="shared" si="6"/>
        <v>28.870225421227385</v>
      </c>
      <c r="AD79" s="2">
        <f t="shared" si="7"/>
        <v>73.882512577782151</v>
      </c>
    </row>
    <row r="80" spans="1:30" x14ac:dyDescent="0.2">
      <c r="A80" t="str">
        <f>'L-Values'!A80</f>
        <v>CGI005-qtz09-CL-fit-1-offset</v>
      </c>
      <c r="B80">
        <v>750</v>
      </c>
      <c r="C80">
        <f t="shared" si="4"/>
        <v>8.0537892000481889E-22</v>
      </c>
      <c r="D80">
        <v>2400</v>
      </c>
      <c r="E80">
        <v>1024</v>
      </c>
      <c r="F80">
        <f t="shared" si="5"/>
        <v>2.34375</v>
      </c>
      <c r="I80" s="2">
        <f>('L-Values'!E80*'D(Ti_Cherniak) Times'!$F80*0.000001)^2/(4*'D(Ti_Cherniak) Times'!$C80)/(365.35*24*3600)</f>
        <v>0</v>
      </c>
      <c r="J80" s="2">
        <f>('L-Values'!F80*'D(Ti_Cherniak) Times'!$F80*0.000001)^2/(4*'D(Ti_Cherniak) Times'!$C80)/(365.35*24*3600)</f>
        <v>146.43465262599196</v>
      </c>
      <c r="K80" s="2">
        <f>('L-Values'!G80*'D(Ti_Cherniak) Times'!$F80*0.000001)^2/(4*'D(Ti_Cherniak) Times'!$C80)/(365.35*24*3600)</f>
        <v>1969.9669160002154</v>
      </c>
      <c r="L80" s="2">
        <f>('L-Values'!H80*'D(Ti_Cherniak) Times'!$F80*0.000001)^2/(4*'D(Ti_Cherniak) Times'!$C80)/(365.35*24*3600)</f>
        <v>530.3504026903878</v>
      </c>
      <c r="M80" s="2">
        <f>('L-Values'!I80*'D(Ti_Cherniak) Times'!$F80*0.000001)^2/(4*'D(Ti_Cherniak) Times'!$C80)/(365.35*24*3600)</f>
        <v>1.2479735914535817</v>
      </c>
      <c r="N80" s="2">
        <f>('L-Values'!J80*'D(Ti_Cherniak) Times'!$F80*0.000001)^2/(4*'D(Ti_Cherniak) Times'!$C80)/(365.35*24*3600)</f>
        <v>58.540782231997213</v>
      </c>
      <c r="O80" s="2">
        <f>('L-Values'!K80*'D(Ti_Cherniak) Times'!$F80*0.000001)^2/(4*'D(Ti_Cherniak) Times'!$C80)/(365.35*24*3600)</f>
        <v>7.8137447588248463</v>
      </c>
      <c r="P80" s="2">
        <f>('L-Values'!L80*'D(Ti_Cherniak) Times'!$F80*0.000001)^2/(4*'D(Ti_Cherniak) Times'!$C80)/(365.35*24*3600)</f>
        <v>1606.2762820400524</v>
      </c>
      <c r="Q80" s="2">
        <f>('L-Values'!M80*'D(Ti_Cherniak) Times'!$F80*0.000001)^2/(4*'D(Ti_Cherniak) Times'!$C80)/(365.35*24*3600)</f>
        <v>615.31513829933181</v>
      </c>
      <c r="R80" s="2">
        <f>('L-Values'!N80*'D(Ti_Cherniak) Times'!$F80*0.000001)^2/(4*'D(Ti_Cherniak) Times'!$C80)/(365.35*24*3600)</f>
        <v>254.33351808759909</v>
      </c>
      <c r="S80" s="2">
        <f>('L-Values'!O80*'D(Ti_Cherniak) Times'!$F80*0.000001)^2/(4*'D(Ti_Cherniak) Times'!$C80)/(365.35*24*3600)</f>
        <v>9.1607780188672514</v>
      </c>
      <c r="T80" s="2"/>
      <c r="U80" s="2">
        <f>('L-Values'!Q80*'D(Ti_Cherniak) Times'!$F80*0.000001)^2/(4*'D(Ti_Cherniak) Times'!$C80)/(365.35*24*3600)</f>
        <v>534.05053523415859</v>
      </c>
      <c r="V80" s="2">
        <f>('L-Values'!R80*'D(Ti_Cherniak) Times'!$F80*0.000001)^2/(4*'D(Ti_Cherniak) Times'!$C80)/(365.35*24*3600)</f>
        <v>306.02860939977109</v>
      </c>
      <c r="W80" s="2">
        <f>('L-Values'!S80*'D(Ti_Cherniak) Times'!$F80*0.000001)^2/(4*'D(Ti_Cherniak) Times'!$C80)/(365.35*24*3600)</f>
        <v>196.68458173233716</v>
      </c>
      <c r="X80" s="2"/>
      <c r="Y80" s="2">
        <f>('L-Values'!U80*'D(Ti_Cherniak) Times'!$F80*0.000001)^2/(4*'D(Ti_Cherniak) Times'!$C80)/(365.35*24*3600)</f>
        <v>603.81859461761167</v>
      </c>
      <c r="Z80" s="2">
        <f>('L-Values'!V80*'D(Ti_Cherniak) Times'!$F80*0.000001)^2/(4*'D(Ti_Cherniak) Times'!$C80)/(365.35*24*3600)</f>
        <v>6152.7548005293747</v>
      </c>
      <c r="AA80" s="2">
        <f>('L-Values'!W80*'D(Ti_Cherniak) Times'!$F80*0.000001)^2/(4*'D(Ti_Cherniak) Times'!$C80)/(365.35*24*3600)</f>
        <v>7.5640681539818302E-2</v>
      </c>
      <c r="AB80" s="2">
        <f>('L-Values'!X80*'D(Ti_Cherniak) Times'!$F80*0.000001)^2/(4*'D(Ti_Cherniak) Times'!$C80)/(365.35*24*3600)</f>
        <v>222678.2461332464</v>
      </c>
      <c r="AC80" s="2">
        <f t="shared" si="6"/>
        <v>6152.6791598478349</v>
      </c>
      <c r="AD80" s="2">
        <f t="shared" si="7"/>
        <v>216525.49133271704</v>
      </c>
    </row>
    <row r="81" spans="1:30" x14ac:dyDescent="0.2">
      <c r="A81" t="str">
        <f>'L-Values'!A81</f>
        <v>CGI005-qtz09-CL-fit-2-offset</v>
      </c>
      <c r="B81">
        <v>750</v>
      </c>
      <c r="C81">
        <f t="shared" si="4"/>
        <v>8.0537892000481889E-22</v>
      </c>
      <c r="D81">
        <v>2400</v>
      </c>
      <c r="E81">
        <v>1024</v>
      </c>
      <c r="F81">
        <f t="shared" si="5"/>
        <v>2.34375</v>
      </c>
      <c r="I81" s="2">
        <f>('L-Values'!E81*'D(Ti_Cherniak) Times'!$F81*0.000001)^2/(4*'D(Ti_Cherniak) Times'!$C81)/(365.35*24*3600)</f>
        <v>818.21434798308189</v>
      </c>
      <c r="J81" s="2">
        <f>('L-Values'!F81*'D(Ti_Cherniak) Times'!$F81*0.000001)^2/(4*'D(Ti_Cherniak) Times'!$C81)/(365.35*24*3600)</f>
        <v>759.76829411701635</v>
      </c>
      <c r="K81" s="2">
        <f>('L-Values'!G81*'D(Ti_Cherniak) Times'!$F81*0.000001)^2/(4*'D(Ti_Cherniak) Times'!$C81)/(365.35*24*3600)</f>
        <v>1289.5626982012625</v>
      </c>
      <c r="L81" s="2">
        <f>('L-Values'!H81*'D(Ti_Cherniak) Times'!$F81*0.000001)^2/(4*'D(Ti_Cherniak) Times'!$C81)/(365.35*24*3600)</f>
        <v>1626.166536094167</v>
      </c>
      <c r="M81" s="2">
        <f>('L-Values'!I81*'D(Ti_Cherniak) Times'!$F81*0.000001)^2/(4*'D(Ti_Cherniak) Times'!$C81)/(365.35*24*3600)</f>
        <v>961.96796731391589</v>
      </c>
      <c r="N81" s="2">
        <f>('L-Values'!J81*'D(Ti_Cherniak) Times'!$F81*0.000001)^2/(4*'D(Ti_Cherniak) Times'!$C81)/(365.35*24*3600)</f>
        <v>1405.2559955790505</v>
      </c>
      <c r="O81" s="2">
        <f>('L-Values'!K81*'D(Ti_Cherniak) Times'!$F81*0.000001)^2/(4*'D(Ti_Cherniak) Times'!$C81)/(365.35*24*3600)</f>
        <v>471.29913068230695</v>
      </c>
      <c r="P81" s="2">
        <f>('L-Values'!L81*'D(Ti_Cherniak) Times'!$F81*0.000001)^2/(4*'D(Ti_Cherniak) Times'!$C81)/(365.35*24*3600)</f>
        <v>1428.8679248095377</v>
      </c>
      <c r="Q81" s="2">
        <f>('L-Values'!M81*'D(Ti_Cherniak) Times'!$F81*0.000001)^2/(4*'D(Ti_Cherniak) Times'!$C81)/(365.35*24*3600)</f>
        <v>1449.3011755274604</v>
      </c>
      <c r="R81" s="2">
        <f>('L-Values'!N81*'D(Ti_Cherniak) Times'!$F81*0.000001)^2/(4*'D(Ti_Cherniak) Times'!$C81)/(365.35*24*3600)</f>
        <v>3074.2185800064253</v>
      </c>
      <c r="S81" s="2">
        <f>('L-Values'!O81*'D(Ti_Cherniak) Times'!$F81*0.000001)^2/(4*'D(Ti_Cherniak) Times'!$C81)/(365.35*24*3600)</f>
        <v>2008.1348714639525</v>
      </c>
      <c r="T81" s="2"/>
      <c r="U81" s="2">
        <f>('L-Values'!Q81*'D(Ti_Cherniak) Times'!$F81*0.000001)^2/(4*'D(Ti_Cherniak) Times'!$C81)/(365.35*24*3600)</f>
        <v>1336.1112640467093</v>
      </c>
      <c r="V81" s="2">
        <f>('L-Values'!R81*'D(Ti_Cherniak) Times'!$F81*0.000001)^2/(4*'D(Ti_Cherniak) Times'!$C81)/(365.35*24*3600)</f>
        <v>1314.0247184844175</v>
      </c>
      <c r="W81" s="2">
        <f>('L-Values'!S81*'D(Ti_Cherniak) Times'!$F81*0.000001)^2/(4*'D(Ti_Cherniak) Times'!$C81)/(365.35*24*3600)</f>
        <v>1405.2559955790505</v>
      </c>
      <c r="X81" s="2"/>
      <c r="Y81" s="2">
        <f>('L-Values'!U81*'D(Ti_Cherniak) Times'!$F81*0.000001)^2/(4*'D(Ti_Cherniak) Times'!$C81)/(365.35*24*3600)</f>
        <v>1279.5268373664387</v>
      </c>
      <c r="Z81" s="2">
        <f>('L-Values'!V81*'D(Ti_Cherniak) Times'!$F81*0.000001)^2/(4*'D(Ti_Cherniak) Times'!$C81)/(365.35*24*3600)</f>
        <v>1271.8858788726498</v>
      </c>
      <c r="AA81" s="2">
        <f>('L-Values'!W81*'D(Ti_Cherniak) Times'!$F81*0.000001)^2/(4*'D(Ti_Cherniak) Times'!$C81)/(365.35*24*3600)</f>
        <v>393.93898117595262</v>
      </c>
      <c r="AB81" s="2">
        <f>('L-Values'!X81*'D(Ti_Cherniak) Times'!$F81*0.000001)^2/(4*'D(Ti_Cherniak) Times'!$C81)/(365.35*24*3600)</f>
        <v>2510.1352741350097</v>
      </c>
      <c r="AC81" s="2">
        <f t="shared" si="6"/>
        <v>877.94689769669708</v>
      </c>
      <c r="AD81" s="2">
        <f t="shared" si="7"/>
        <v>1238.2493952623599</v>
      </c>
    </row>
    <row r="82" spans="1:30" x14ac:dyDescent="0.2">
      <c r="A82" t="str">
        <f>'L-Values'!A82</f>
        <v>CGI005-qtz09-CL-fit-3-offset</v>
      </c>
      <c r="B82">
        <v>750</v>
      </c>
      <c r="C82">
        <f t="shared" si="4"/>
        <v>8.0537892000481889E-22</v>
      </c>
      <c r="D82">
        <v>2400</v>
      </c>
      <c r="E82">
        <v>1024</v>
      </c>
      <c r="F82">
        <f t="shared" si="5"/>
        <v>2.34375</v>
      </c>
      <c r="I82" s="2">
        <f>('L-Values'!E82*'D(Ti_Cherniak) Times'!$F82*0.000001)^2/(4*'D(Ti_Cherniak) Times'!$C82)/(365.35*24*3600)</f>
        <v>1013.2500797479555</v>
      </c>
      <c r="J82" s="2">
        <f>('L-Values'!F82*'D(Ti_Cherniak) Times'!$F82*0.000001)^2/(4*'D(Ti_Cherniak) Times'!$C82)/(365.35*24*3600)</f>
        <v>506.77754855262964</v>
      </c>
      <c r="K82" s="2">
        <f>('L-Values'!G82*'D(Ti_Cherniak) Times'!$F82*0.000001)^2/(4*'D(Ti_Cherniak) Times'!$C82)/(365.35*24*3600)</f>
        <v>777.94560332870788</v>
      </c>
      <c r="L82" s="2">
        <f>('L-Values'!H82*'D(Ti_Cherniak) Times'!$F82*0.000001)^2/(4*'D(Ti_Cherniak) Times'!$C82)/(365.35*24*3600)</f>
        <v>811.77584952143502</v>
      </c>
      <c r="M82" s="2">
        <f>('L-Values'!I82*'D(Ti_Cherniak) Times'!$F82*0.000001)^2/(4*'D(Ti_Cherniak) Times'!$C82)/(365.35*24*3600)</f>
        <v>1104.8143151657143</v>
      </c>
      <c r="N82" s="2">
        <f>('L-Values'!J82*'D(Ti_Cherniak) Times'!$F82*0.000001)^2/(4*'D(Ti_Cherniak) Times'!$C82)/(365.35*24*3600)</f>
        <v>889.95134815858262</v>
      </c>
      <c r="O82" s="2">
        <f>('L-Values'!K82*'D(Ti_Cherniak) Times'!$F82*0.000001)^2/(4*'D(Ti_Cherniak) Times'!$C82)/(365.35*24*3600)</f>
        <v>1180.7254995236221</v>
      </c>
      <c r="P82" s="2">
        <f>('L-Values'!L82*'D(Ti_Cherniak) Times'!$F82*0.000001)^2/(4*'D(Ti_Cherniak) Times'!$C82)/(365.35*24*3600)</f>
        <v>1265.5482528503917</v>
      </c>
      <c r="Q82" s="2">
        <f>('L-Values'!M82*'D(Ti_Cherniak) Times'!$F82*0.000001)^2/(4*'D(Ti_Cherniak) Times'!$C82)/(365.35*24*3600)</f>
        <v>1295.8190979985661</v>
      </c>
      <c r="R82" s="2">
        <f>('L-Values'!N82*'D(Ti_Cherniak) Times'!$F82*0.000001)^2/(4*'D(Ti_Cherniak) Times'!$C82)/(365.35*24*3600)</f>
        <v>1075.6129615269083</v>
      </c>
      <c r="S82" s="2">
        <f>('L-Values'!O82*'D(Ti_Cherniak) Times'!$F82*0.000001)^2/(4*'D(Ti_Cherniak) Times'!$C82)/(365.35*24*3600)</f>
        <v>2780.8324947471883</v>
      </c>
      <c r="T82" s="2"/>
      <c r="U82" s="2">
        <f>('L-Values'!Q82*'D(Ti_Cherniak) Times'!$F82*0.000001)^2/(4*'D(Ti_Cherniak) Times'!$C82)/(365.35*24*3600)</f>
        <v>1036.1049343423442</v>
      </c>
      <c r="V82" s="2">
        <f>('L-Values'!R82*'D(Ti_Cherniak) Times'!$F82*0.000001)^2/(4*'D(Ti_Cherniak) Times'!$C82)/(365.35*24*3600)</f>
        <v>1102.6101978135812</v>
      </c>
      <c r="W82" s="2">
        <f>('L-Values'!S82*'D(Ti_Cherniak) Times'!$F82*0.000001)^2/(4*'D(Ti_Cherniak) Times'!$C82)/(365.35*24*3600)</f>
        <v>1075.6129615269083</v>
      </c>
      <c r="X82" s="2"/>
      <c r="Y82" s="2">
        <f>('L-Values'!U82*'D(Ti_Cherniak) Times'!$F82*0.000001)^2/(4*'D(Ti_Cherniak) Times'!$C82)/(365.35*24*3600)</f>
        <v>1045.4435087016532</v>
      </c>
      <c r="Z82" s="2">
        <f>('L-Values'!V82*'D(Ti_Cherniak) Times'!$F82*0.000001)^2/(4*'D(Ti_Cherniak) Times'!$C82)/(365.35*24*3600)</f>
        <v>1065.2537916881188</v>
      </c>
      <c r="AA82" s="2">
        <f>('L-Values'!W82*'D(Ti_Cherniak) Times'!$F82*0.000001)^2/(4*'D(Ti_Cherniak) Times'!$C82)/(365.35*24*3600)</f>
        <v>289.54791567722526</v>
      </c>
      <c r="AB82" s="2">
        <f>('L-Values'!X82*'D(Ti_Cherniak) Times'!$F82*0.000001)^2/(4*'D(Ti_Cherniak) Times'!$C82)/(365.35*24*3600)</f>
        <v>2491.9160547993301</v>
      </c>
      <c r="AC82" s="2">
        <f t="shared" si="6"/>
        <v>775.70587601089346</v>
      </c>
      <c r="AD82" s="2">
        <f t="shared" si="7"/>
        <v>1426.6622631112114</v>
      </c>
    </row>
    <row r="83" spans="1:30" x14ac:dyDescent="0.2">
      <c r="A83" t="str">
        <f>'L-Values'!A83</f>
        <v>CGI005-qtz09-CL-fit-4-offset</v>
      </c>
      <c r="B83">
        <v>750</v>
      </c>
      <c r="C83">
        <f t="shared" si="4"/>
        <v>8.0537892000481889E-22</v>
      </c>
      <c r="D83">
        <v>2400</v>
      </c>
      <c r="E83">
        <v>1024</v>
      </c>
      <c r="F83">
        <f t="shared" si="5"/>
        <v>2.34375</v>
      </c>
      <c r="I83" s="2">
        <f>('L-Values'!E83*'D(Ti_Cherniak) Times'!$F83*0.000001)^2/(4*'D(Ti_Cherniak) Times'!$C83)/(365.35*24*3600)</f>
        <v>345.08115954073759</v>
      </c>
      <c r="J83" s="2">
        <f>('L-Values'!F83*'D(Ti_Cherniak) Times'!$F83*0.000001)^2/(4*'D(Ti_Cherniak) Times'!$C83)/(365.35*24*3600)</f>
        <v>402.74676021785211</v>
      </c>
      <c r="K83" s="2">
        <f>('L-Values'!G83*'D(Ti_Cherniak) Times'!$F83*0.000001)^2/(4*'D(Ti_Cherniak) Times'!$C83)/(365.35*24*3600)</f>
        <v>246.79267879209843</v>
      </c>
      <c r="L83" s="2">
        <f>('L-Values'!H83*'D(Ti_Cherniak) Times'!$F83*0.000001)^2/(4*'D(Ti_Cherniak) Times'!$C83)/(365.35*24*3600)</f>
        <v>589.95547883380425</v>
      </c>
      <c r="M83" s="2">
        <f>('L-Values'!I83*'D(Ti_Cherniak) Times'!$F83*0.000001)^2/(4*'D(Ti_Cherniak) Times'!$C83)/(365.35*24*3600)</f>
        <v>699.96811045682955</v>
      </c>
      <c r="N83" s="2">
        <f>('L-Values'!J83*'D(Ti_Cherniak) Times'!$F83*0.000001)^2/(4*'D(Ti_Cherniak) Times'!$C83)/(365.35*24*3600)</f>
        <v>523.20865832027016</v>
      </c>
      <c r="O83" s="2">
        <f>('L-Values'!K83*'D(Ti_Cherniak) Times'!$F83*0.000001)^2/(4*'D(Ti_Cherniak) Times'!$C83)/(365.35*24*3600)</f>
        <v>565.83206448910448</v>
      </c>
      <c r="P83" s="2">
        <f>('L-Values'!L83*'D(Ti_Cherniak) Times'!$F83*0.000001)^2/(4*'D(Ti_Cherniak) Times'!$C83)/(365.35*24*3600)</f>
        <v>475.4055843418364</v>
      </c>
      <c r="Q83" s="2">
        <f>('L-Values'!M83*'D(Ti_Cherniak) Times'!$F83*0.000001)^2/(4*'D(Ti_Cherniak) Times'!$C83)/(365.35*24*3600)</f>
        <v>487.55750797061296</v>
      </c>
      <c r="R83" s="2">
        <f>('L-Values'!N83*'D(Ti_Cherniak) Times'!$F83*0.000001)^2/(4*'D(Ti_Cherniak) Times'!$C83)/(365.35*24*3600)</f>
        <v>421.36778747694217</v>
      </c>
      <c r="S83" s="2">
        <f>('L-Values'!O83*'D(Ti_Cherniak) Times'!$F83*0.000001)^2/(4*'D(Ti_Cherniak) Times'!$C83)/(365.35*24*3600)</f>
        <v>298.3228535239619</v>
      </c>
      <c r="T83" s="2"/>
      <c r="U83" s="2">
        <f>('L-Values'!Q83*'D(Ti_Cherniak) Times'!$F83*0.000001)^2/(4*'D(Ti_Cherniak) Times'!$C83)/(365.35*24*3600)</f>
        <v>485.02503934445559</v>
      </c>
      <c r="V83" s="2">
        <f>('L-Values'!R83*'D(Ti_Cherniak) Times'!$F83*0.000001)^2/(4*'D(Ti_Cherniak) Times'!$C83)/(365.35*24*3600)</f>
        <v>450.38566815886458</v>
      </c>
      <c r="W83" s="2">
        <f>('L-Values'!S83*'D(Ti_Cherniak) Times'!$F83*0.000001)^2/(4*'D(Ti_Cherniak) Times'!$C83)/(365.35*24*3600)</f>
        <v>475.4055843418364</v>
      </c>
      <c r="X83" s="2"/>
      <c r="Y83" s="2">
        <f>('L-Values'!U83*'D(Ti_Cherniak) Times'!$F83*0.000001)^2/(4*'D(Ti_Cherniak) Times'!$C83)/(365.35*24*3600)</f>
        <v>448.33907266379396</v>
      </c>
      <c r="Z83" s="2">
        <f>('L-Values'!V83*'D(Ti_Cherniak) Times'!$F83*0.000001)^2/(4*'D(Ti_Cherniak) Times'!$C83)/(365.35*24*3600)</f>
        <v>429.61424810393623</v>
      </c>
      <c r="AA83" s="2">
        <f>('L-Values'!W83*'D(Ti_Cherniak) Times'!$F83*0.000001)^2/(4*'D(Ti_Cherniak) Times'!$C83)/(365.35*24*3600)</f>
        <v>128.42275195791126</v>
      </c>
      <c r="AB83" s="2">
        <f>('L-Values'!X83*'D(Ti_Cherniak) Times'!$F83*0.000001)^2/(4*'D(Ti_Cherniak) Times'!$C83)/(365.35*24*3600)</f>
        <v>836.94768650315928</v>
      </c>
      <c r="AC83" s="2">
        <f t="shared" si="6"/>
        <v>301.19149614602497</v>
      </c>
      <c r="AD83" s="2">
        <f t="shared" si="7"/>
        <v>407.33343839922304</v>
      </c>
    </row>
    <row r="84" spans="1:30" x14ac:dyDescent="0.2">
      <c r="A84" t="str">
        <f>'L-Values'!A84</f>
        <v>CGI005-qtz09-CL-fit-5-offset</v>
      </c>
      <c r="B84">
        <v>750</v>
      </c>
      <c r="C84">
        <f t="shared" si="4"/>
        <v>8.0537892000481889E-22</v>
      </c>
      <c r="D84">
        <v>2400</v>
      </c>
      <c r="E84">
        <v>1024</v>
      </c>
      <c r="F84">
        <f t="shared" si="5"/>
        <v>2.34375</v>
      </c>
      <c r="I84" s="2">
        <f>('L-Values'!E84*'D(Ti_Cherniak) Times'!$F84*0.000001)^2/(4*'D(Ti_Cherniak) Times'!$C84)/(365.35*24*3600)</f>
        <v>277.03838064460456</v>
      </c>
      <c r="J84" s="2">
        <f>('L-Values'!F84*'D(Ti_Cherniak) Times'!$F84*0.000001)^2/(4*'D(Ti_Cherniak) Times'!$C84)/(365.35*24*3600)</f>
        <v>249.8824412307726</v>
      </c>
      <c r="K84" s="2">
        <f>('L-Values'!G84*'D(Ti_Cherniak) Times'!$F84*0.000001)^2/(4*'D(Ti_Cherniak) Times'!$C84)/(365.35*24*3600)</f>
        <v>490.48678367839813</v>
      </c>
      <c r="L84" s="2">
        <f>('L-Values'!H84*'D(Ti_Cherniak) Times'!$F84*0.000001)^2/(4*'D(Ti_Cherniak) Times'!$C84)/(365.35*24*3600)</f>
        <v>304.05746368509904</v>
      </c>
      <c r="M84" s="2">
        <f>('L-Values'!I84*'D(Ti_Cherniak) Times'!$F84*0.000001)^2/(4*'D(Ti_Cherniak) Times'!$C84)/(365.35*24*3600)</f>
        <v>312.39697130086648</v>
      </c>
      <c r="N84" s="2">
        <f>('L-Values'!J84*'D(Ti_Cherniak) Times'!$F84*0.000001)^2/(4*'D(Ti_Cherniak) Times'!$C84)/(365.35*24*3600)</f>
        <v>227.63589177892953</v>
      </c>
      <c r="O84" s="2">
        <f>('L-Values'!K84*'D(Ti_Cherniak) Times'!$F84*0.000001)^2/(4*'D(Ti_Cherniak) Times'!$C84)/(365.35*24*3600)</f>
        <v>110.79821476888115</v>
      </c>
      <c r="P84" s="2">
        <f>('L-Values'!L84*'D(Ti_Cherniak) Times'!$F84*0.000001)^2/(4*'D(Ti_Cherniak) Times'!$C84)/(365.35*24*3600)</f>
        <v>159.48118932915358</v>
      </c>
      <c r="Q84" s="2">
        <f>('L-Values'!M84*'D(Ti_Cherniak) Times'!$F84*0.000001)^2/(4*'D(Ti_Cherniak) Times'!$C84)/(365.35*24*3600)</f>
        <v>227.29968935024482</v>
      </c>
      <c r="R84" s="2">
        <f>('L-Values'!N84*'D(Ti_Cherniak) Times'!$F84*0.000001)^2/(4*'D(Ti_Cherniak) Times'!$C84)/(365.35*24*3600)</f>
        <v>208.37816625852065</v>
      </c>
      <c r="S84" s="2">
        <f>('L-Values'!O84*'D(Ti_Cherniak) Times'!$F84*0.000001)^2/(4*'D(Ti_Cherniak) Times'!$C84)/(365.35*24*3600)</f>
        <v>223.51416373171773</v>
      </c>
      <c r="T84" s="2"/>
      <c r="U84" s="2">
        <f>('L-Values'!Q84*'D(Ti_Cherniak) Times'!$F84*0.000001)^2/(4*'D(Ti_Cherniak) Times'!$C84)/(365.35*24*3600)</f>
        <v>265.70256398575833</v>
      </c>
      <c r="V84" s="2">
        <f>('L-Values'!R84*'D(Ti_Cherniak) Times'!$F84*0.000001)^2/(4*'D(Ti_Cherniak) Times'!$C84)/(365.35*24*3600)</f>
        <v>245.67855938827077</v>
      </c>
      <c r="W84" s="2">
        <f>('L-Values'!S84*'D(Ti_Cherniak) Times'!$F84*0.000001)^2/(4*'D(Ti_Cherniak) Times'!$C84)/(365.35*24*3600)</f>
        <v>227.63589177892953</v>
      </c>
      <c r="X84" s="2"/>
      <c r="Y84" s="2">
        <f>('L-Values'!U84*'D(Ti_Cherniak) Times'!$F84*0.000001)^2/(4*'D(Ti_Cherniak) Times'!$C84)/(365.35*24*3600)</f>
        <v>264.03739733760648</v>
      </c>
      <c r="Z84" s="2">
        <f>('L-Values'!V84*'D(Ti_Cherniak) Times'!$F84*0.000001)^2/(4*'D(Ti_Cherniak) Times'!$C84)/(365.35*24*3600)</f>
        <v>254.69192031314094</v>
      </c>
      <c r="AA84" s="2">
        <f>('L-Values'!W84*'D(Ti_Cherniak) Times'!$F84*0.000001)^2/(4*'D(Ti_Cherniak) Times'!$C84)/(365.35*24*3600)</f>
        <v>26.261608390275413</v>
      </c>
      <c r="AB84" s="2">
        <f>('L-Values'!X84*'D(Ti_Cherniak) Times'!$F84*0.000001)^2/(4*'D(Ti_Cherniak) Times'!$C84)/(365.35*24*3600)</f>
        <v>585.37479684850121</v>
      </c>
      <c r="AC84" s="2">
        <f t="shared" si="6"/>
        <v>228.43031192286554</v>
      </c>
      <c r="AD84" s="2">
        <f t="shared" si="7"/>
        <v>330.68287653536026</v>
      </c>
    </row>
    <row r="85" spans="1:30" x14ac:dyDescent="0.2">
      <c r="A85" t="str">
        <f>'L-Values'!A85</f>
        <v>CGI005-qtz10-CL-fit-1</v>
      </c>
      <c r="B85">
        <v>750</v>
      </c>
      <c r="C85">
        <f t="shared" si="4"/>
        <v>8.0537892000481889E-22</v>
      </c>
      <c r="D85">
        <v>2100</v>
      </c>
      <c r="E85">
        <v>1024</v>
      </c>
      <c r="F85">
        <f t="shared" si="5"/>
        <v>2.05078125</v>
      </c>
      <c r="I85" s="2">
        <f>('L-Values'!E85*'D(Ti_Cherniak) Times'!$F85*0.000001)^2/(4*'D(Ti_Cherniak) Times'!$C85)/(365.35*24*3600)</f>
        <v>6434.6426229376166</v>
      </c>
      <c r="J85" s="2">
        <f>('L-Values'!F85*'D(Ti_Cherniak) Times'!$F85*0.000001)^2/(4*'D(Ti_Cherniak) Times'!$C85)/(365.35*24*3600)</f>
        <v>8661.9696523441617</v>
      </c>
      <c r="K85" s="2">
        <f>('L-Values'!G85*'D(Ti_Cherniak) Times'!$F85*0.000001)^2/(4*'D(Ti_Cherniak) Times'!$C85)/(365.35*24*3600)</f>
        <v>7871.6878165376393</v>
      </c>
      <c r="L85" s="2">
        <f>('L-Values'!H85*'D(Ti_Cherniak) Times'!$F85*0.000001)^2/(4*'D(Ti_Cherniak) Times'!$C85)/(365.35*24*3600)</f>
        <v>8826.0432105340715</v>
      </c>
      <c r="M85" s="2">
        <f>('L-Values'!I85*'D(Ti_Cherniak) Times'!$F85*0.000001)^2/(4*'D(Ti_Cherniak) Times'!$C85)/(365.35*24*3600)</f>
        <v>7778.7049131198592</v>
      </c>
      <c r="N85" s="2">
        <f>('L-Values'!J85*'D(Ti_Cherniak) Times'!$F85*0.000001)^2/(4*'D(Ti_Cherniak) Times'!$C85)/(365.35*24*3600)</f>
        <v>7429.188665096066</v>
      </c>
      <c r="O85" s="2">
        <f>('L-Values'!K85*'D(Ti_Cherniak) Times'!$F85*0.000001)^2/(4*'D(Ti_Cherniak) Times'!$C85)/(365.35*24*3600)</f>
        <v>7783.8468146017785</v>
      </c>
      <c r="P85" s="2">
        <f>('L-Values'!L85*'D(Ti_Cherniak) Times'!$F85*0.000001)^2/(4*'D(Ti_Cherniak) Times'!$C85)/(365.35*24*3600)</f>
        <v>7651.246355199929</v>
      </c>
      <c r="Q85" s="2">
        <f>('L-Values'!M85*'D(Ti_Cherniak) Times'!$F85*0.000001)^2/(4*'D(Ti_Cherniak) Times'!$C85)/(365.35*24*3600)</f>
        <v>7586.4011383811785</v>
      </c>
      <c r="R85" s="2">
        <f>('L-Values'!N85*'D(Ti_Cherniak) Times'!$F85*0.000001)^2/(4*'D(Ti_Cherniak) Times'!$C85)/(365.35*24*3600)</f>
        <v>7755.721075064419</v>
      </c>
      <c r="S85" s="2">
        <f>('L-Values'!O85*'D(Ti_Cherniak) Times'!$F85*0.000001)^2/(4*'D(Ti_Cherniak) Times'!$C85)/(365.35*24*3600)</f>
        <v>8213.6924880780971</v>
      </c>
      <c r="T85" s="2"/>
      <c r="U85" s="2">
        <f>('L-Values'!Q85*'D(Ti_Cherniak) Times'!$F85*0.000001)^2/(4*'D(Ti_Cherniak) Times'!$C85)/(365.35*24*3600)</f>
        <v>7804.1325358824952</v>
      </c>
      <c r="V85" s="2">
        <f>('L-Values'!R85*'D(Ti_Cherniak) Times'!$F85*0.000001)^2/(4*'D(Ti_Cherniak) Times'!$C85)/(365.35*24*3600)</f>
        <v>7805.5402006705517</v>
      </c>
      <c r="W85" s="2">
        <f>('L-Values'!S85*'D(Ti_Cherniak) Times'!$F85*0.000001)^2/(4*'D(Ti_Cherniak) Times'!$C85)/(365.35*24*3600)</f>
        <v>7778.7049131198592</v>
      </c>
      <c r="X85" s="2"/>
      <c r="Y85" s="2">
        <f>('L-Values'!U85*'D(Ti_Cherniak) Times'!$F85*0.000001)^2/(4*'D(Ti_Cherniak) Times'!$C85)/(365.35*24*3600)</f>
        <v>7766.7716820843198</v>
      </c>
      <c r="Z85" s="2">
        <f>('L-Values'!V85*'D(Ti_Cherniak) Times'!$F85*0.000001)^2/(4*'D(Ti_Cherniak) Times'!$C85)/(365.35*24*3600)</f>
        <v>7745.4021926207606</v>
      </c>
      <c r="AA85" s="2">
        <f>('L-Values'!W85*'D(Ti_Cherniak) Times'!$F85*0.000001)^2/(4*'D(Ti_Cherniak) Times'!$C85)/(365.35*24*3600)</f>
        <v>6594.2282321769972</v>
      </c>
      <c r="AB85" s="2">
        <f>('L-Values'!X85*'D(Ti_Cherniak) Times'!$F85*0.000001)^2/(4*'D(Ti_Cherniak) Times'!$C85)/(365.35*24*3600)</f>
        <v>9233.2194363716371</v>
      </c>
      <c r="AC85" s="2">
        <f t="shared" si="6"/>
        <v>1151.1739604437635</v>
      </c>
      <c r="AD85" s="2">
        <f t="shared" si="7"/>
        <v>1487.8172437508765</v>
      </c>
    </row>
    <row r="86" spans="1:30" x14ac:dyDescent="0.2">
      <c r="A86" t="str">
        <f>'L-Values'!A86</f>
        <v>CGI005-qtz10-CL-fit-2</v>
      </c>
      <c r="B86">
        <v>750</v>
      </c>
      <c r="C86">
        <f t="shared" si="4"/>
        <v>8.0537892000481889E-22</v>
      </c>
      <c r="D86">
        <v>2100</v>
      </c>
      <c r="E86">
        <v>1024</v>
      </c>
      <c r="F86">
        <f t="shared" si="5"/>
        <v>2.05078125</v>
      </c>
      <c r="I86" s="2">
        <f>('L-Values'!E86*'D(Ti_Cherniak) Times'!$F86*0.000001)^2/(4*'D(Ti_Cherniak) Times'!$C86)/(365.35*24*3600)</f>
        <v>1489.0747960825352</v>
      </c>
      <c r="J86" s="2">
        <f>('L-Values'!F86*'D(Ti_Cherniak) Times'!$F86*0.000001)^2/(4*'D(Ti_Cherniak) Times'!$C86)/(365.35*24*3600)</f>
        <v>1288.6206639456582</v>
      </c>
      <c r="K86" s="2">
        <f>('L-Values'!G86*'D(Ti_Cherniak) Times'!$F86*0.000001)^2/(4*'D(Ti_Cherniak) Times'!$C86)/(365.35*24*3600)</f>
        <v>1394.5236482364573</v>
      </c>
      <c r="L86" s="2">
        <f>('L-Values'!H86*'D(Ti_Cherniak) Times'!$F86*0.000001)^2/(4*'D(Ti_Cherniak) Times'!$C86)/(365.35*24*3600)</f>
        <v>1438.9791332784623</v>
      </c>
      <c r="M86" s="2">
        <f>('L-Values'!I86*'D(Ti_Cherniak) Times'!$F86*0.000001)^2/(4*'D(Ti_Cherniak) Times'!$C86)/(365.35*24*3600)</f>
        <v>2041.1689547723047</v>
      </c>
      <c r="N86" s="2">
        <f>('L-Values'!J86*'D(Ti_Cherniak) Times'!$F86*0.000001)^2/(4*'D(Ti_Cherniak) Times'!$C86)/(365.35*24*3600)</f>
        <v>1550.0019146132629</v>
      </c>
      <c r="O86" s="2">
        <f>('L-Values'!K86*'D(Ti_Cherniak) Times'!$F86*0.000001)^2/(4*'D(Ti_Cherniak) Times'!$C86)/(365.35*24*3600)</f>
        <v>1613.0620362552645</v>
      </c>
      <c r="P86" s="2">
        <f>('L-Values'!L86*'D(Ti_Cherniak) Times'!$F86*0.000001)^2/(4*'D(Ti_Cherniak) Times'!$C86)/(365.35*24*3600)</f>
        <v>1564.8623574420114</v>
      </c>
      <c r="Q86" s="2">
        <f>('L-Values'!M86*'D(Ti_Cherniak) Times'!$F86*0.000001)^2/(4*'D(Ti_Cherniak) Times'!$C86)/(365.35*24*3600)</f>
        <v>1363.9566932352641</v>
      </c>
      <c r="R86" s="2">
        <f>('L-Values'!N86*'D(Ti_Cherniak) Times'!$F86*0.000001)^2/(4*'D(Ti_Cherniak) Times'!$C86)/(365.35*24*3600)</f>
        <v>1712.704760284513</v>
      </c>
      <c r="S86" s="2">
        <f>('L-Values'!O86*'D(Ti_Cherniak) Times'!$F86*0.000001)^2/(4*'D(Ti_Cherniak) Times'!$C86)/(365.35*24*3600)</f>
        <v>2037.4705081805539</v>
      </c>
      <c r="T86" s="2"/>
      <c r="U86" s="2">
        <f>('L-Values'!Q86*'D(Ti_Cherniak) Times'!$F86*0.000001)^2/(4*'D(Ti_Cherniak) Times'!$C86)/(365.35*24*3600)</f>
        <v>1583.7992912810607</v>
      </c>
      <c r="V86" s="2">
        <f>('L-Values'!R86*'D(Ti_Cherniak) Times'!$F86*0.000001)^2/(4*'D(Ti_Cherniak) Times'!$C86)/(365.35*24*3600)</f>
        <v>1581.7882010313338</v>
      </c>
      <c r="W86" s="2">
        <f>('L-Values'!S86*'D(Ti_Cherniak) Times'!$F86*0.000001)^2/(4*'D(Ti_Cherniak) Times'!$C86)/(365.35*24*3600)</f>
        <v>1550.0019146132629</v>
      </c>
      <c r="X86" s="2"/>
      <c r="Y86" s="2">
        <f>('L-Values'!U86*'D(Ti_Cherniak) Times'!$F86*0.000001)^2/(4*'D(Ti_Cherniak) Times'!$C86)/(365.35*24*3600)</f>
        <v>1585.5798632328615</v>
      </c>
      <c r="Z86" s="2">
        <f>('L-Values'!V86*'D(Ti_Cherniak) Times'!$F86*0.000001)^2/(4*'D(Ti_Cherniak) Times'!$C86)/(365.35*24*3600)</f>
        <v>1603.3905455377133</v>
      </c>
      <c r="AA86" s="2">
        <f>('L-Values'!W86*'D(Ti_Cherniak) Times'!$F86*0.000001)^2/(4*'D(Ti_Cherniak) Times'!$C86)/(365.35*24*3600)</f>
        <v>1242.1057964885865</v>
      </c>
      <c r="AB86" s="2">
        <f>('L-Values'!X86*'D(Ti_Cherniak) Times'!$F86*0.000001)^2/(4*'D(Ti_Cherniak) Times'!$C86)/(365.35*24*3600)</f>
        <v>2137.6208416752797</v>
      </c>
      <c r="AC86" s="2">
        <f t="shared" si="6"/>
        <v>361.28474904912673</v>
      </c>
      <c r="AD86" s="2">
        <f t="shared" si="7"/>
        <v>534.23029613756648</v>
      </c>
    </row>
    <row r="87" spans="1:30" x14ac:dyDescent="0.2">
      <c r="A87" t="str">
        <f>'L-Values'!A87</f>
        <v>CGI005-qtz10-CL-fit-3-offset</v>
      </c>
      <c r="B87">
        <v>750</v>
      </c>
      <c r="C87">
        <f t="shared" si="4"/>
        <v>8.0537892000481889E-22</v>
      </c>
      <c r="D87">
        <v>2100</v>
      </c>
      <c r="E87">
        <v>1024</v>
      </c>
      <c r="F87">
        <f t="shared" si="5"/>
        <v>2.05078125</v>
      </c>
      <c r="I87" s="2">
        <f>('L-Values'!E87*'D(Ti_Cherniak) Times'!$F87*0.000001)^2/(4*'D(Ti_Cherniak) Times'!$C87)/(365.35*24*3600)</f>
        <v>2494.9868893643938</v>
      </c>
      <c r="J87" s="2">
        <f>('L-Values'!F87*'D(Ti_Cherniak) Times'!$F87*0.000001)^2/(4*'D(Ti_Cherniak) Times'!$C87)/(365.35*24*3600)</f>
        <v>2799.1136496500703</v>
      </c>
      <c r="K87" s="2">
        <f>('L-Values'!G87*'D(Ti_Cherniak) Times'!$F87*0.000001)^2/(4*'D(Ti_Cherniak) Times'!$C87)/(365.35*24*3600)</f>
        <v>3109.8187859180489</v>
      </c>
      <c r="L87" s="2">
        <f>('L-Values'!H87*'D(Ti_Cherniak) Times'!$F87*0.000001)^2/(4*'D(Ti_Cherniak) Times'!$C87)/(365.35*24*3600)</f>
        <v>3091.0425496029829</v>
      </c>
      <c r="M87" s="2">
        <f>('L-Values'!I87*'D(Ti_Cherniak) Times'!$F87*0.000001)^2/(4*'D(Ti_Cherniak) Times'!$C87)/(365.35*24*3600)</f>
        <v>2406.2471219089339</v>
      </c>
      <c r="N87" s="2">
        <f>('L-Values'!J87*'D(Ti_Cherniak) Times'!$F87*0.000001)^2/(4*'D(Ti_Cherniak) Times'!$C87)/(365.35*24*3600)</f>
        <v>1373.4329453832383</v>
      </c>
      <c r="O87" s="2">
        <f>('L-Values'!K87*'D(Ti_Cherniak) Times'!$F87*0.000001)^2/(4*'D(Ti_Cherniak) Times'!$C87)/(365.35*24*3600)</f>
        <v>2011.725062508109</v>
      </c>
      <c r="P87" s="2">
        <f>('L-Values'!L87*'D(Ti_Cherniak) Times'!$F87*0.000001)^2/(4*'D(Ti_Cherniak) Times'!$C87)/(365.35*24*3600)</f>
        <v>1014.7916681173392</v>
      </c>
      <c r="Q87" s="2">
        <f>('L-Values'!M87*'D(Ti_Cherniak) Times'!$F87*0.000001)^2/(4*'D(Ti_Cherniak) Times'!$C87)/(365.35*24*3600)</f>
        <v>669.91596589057895</v>
      </c>
      <c r="R87" s="2">
        <f>('L-Values'!N87*'D(Ti_Cherniak) Times'!$F87*0.000001)^2/(4*'D(Ti_Cherniak) Times'!$C87)/(365.35*24*3600)</f>
        <v>2001.7307793198634</v>
      </c>
      <c r="S87" s="2">
        <f>('L-Values'!O87*'D(Ti_Cherniak) Times'!$F87*0.000001)^2/(4*'D(Ti_Cherniak) Times'!$C87)/(365.35*24*3600)</f>
        <v>1460.2240883494508</v>
      </c>
      <c r="T87" s="2"/>
      <c r="U87" s="2">
        <f>('L-Values'!Q87*'D(Ti_Cherniak) Times'!$F87*0.000001)^2/(4*'D(Ti_Cherniak) Times'!$C87)/(365.35*24*3600)</f>
        <v>2079.8636247274139</v>
      </c>
      <c r="V87" s="2">
        <f>('L-Values'!R87*'D(Ti_Cherniak) Times'!$F87*0.000001)^2/(4*'D(Ti_Cherniak) Times'!$C87)/(365.35*24*3600)</f>
        <v>1951.0461618242045</v>
      </c>
      <c r="W87" s="2">
        <f>('L-Values'!S87*'D(Ti_Cherniak) Times'!$F87*0.000001)^2/(4*'D(Ti_Cherniak) Times'!$C87)/(365.35*24*3600)</f>
        <v>2011.725062508109</v>
      </c>
      <c r="X87" s="2"/>
      <c r="Y87" s="2">
        <f>('L-Values'!U87*'D(Ti_Cherniak) Times'!$F87*0.000001)^2/(4*'D(Ti_Cherniak) Times'!$C87)/(365.35*24*3600)</f>
        <v>2070.0319965931617</v>
      </c>
      <c r="Z87" s="2">
        <f>('L-Values'!V87*'D(Ti_Cherniak) Times'!$F87*0.000001)^2/(4*'D(Ti_Cherniak) Times'!$C87)/(365.35*24*3600)</f>
        <v>2091.4235940568624</v>
      </c>
      <c r="AA87" s="2">
        <f>('L-Values'!W87*'D(Ti_Cherniak) Times'!$F87*0.000001)^2/(4*'D(Ti_Cherniak) Times'!$C87)/(365.35*24*3600)</f>
        <v>935.78415741277718</v>
      </c>
      <c r="AB87" s="2">
        <f>('L-Values'!X87*'D(Ti_Cherniak) Times'!$F87*0.000001)^2/(4*'D(Ti_Cherniak) Times'!$C87)/(365.35*24*3600)</f>
        <v>3839.5769497854089</v>
      </c>
      <c r="AC87" s="2">
        <f t="shared" si="6"/>
        <v>1155.6394366440852</v>
      </c>
      <c r="AD87" s="2">
        <f t="shared" si="7"/>
        <v>1748.1533557285466</v>
      </c>
    </row>
    <row r="88" spans="1:30" x14ac:dyDescent="0.2">
      <c r="A88" t="str">
        <f>'L-Values'!A88</f>
        <v>CGI005-qtz10-CL-fit-4-offset</v>
      </c>
      <c r="B88">
        <v>750</v>
      </c>
      <c r="C88">
        <f t="shared" si="4"/>
        <v>8.0537892000481889E-22</v>
      </c>
      <c r="D88">
        <v>2100</v>
      </c>
      <c r="E88">
        <v>1024</v>
      </c>
      <c r="F88">
        <f t="shared" si="5"/>
        <v>2.05078125</v>
      </c>
      <c r="I88" s="2">
        <f>('L-Values'!E88*'D(Ti_Cherniak) Times'!$F88*0.000001)^2/(4*'D(Ti_Cherniak) Times'!$C88)/(365.35*24*3600)</f>
        <v>433.14837848586609</v>
      </c>
      <c r="J88" s="2">
        <f>('L-Values'!F88*'D(Ti_Cherniak) Times'!$F88*0.000001)^2/(4*'D(Ti_Cherniak) Times'!$C88)/(365.35*24*3600)</f>
        <v>502.04023269909732</v>
      </c>
      <c r="K88" s="2">
        <f>('L-Values'!G88*'D(Ti_Cherniak) Times'!$F88*0.000001)^2/(4*'D(Ti_Cherniak) Times'!$C88)/(365.35*24*3600)</f>
        <v>446.25975423949751</v>
      </c>
      <c r="L88" s="2">
        <f>('L-Values'!H88*'D(Ti_Cherniak) Times'!$F88*0.000001)^2/(4*'D(Ti_Cherniak) Times'!$C88)/(365.35*24*3600)</f>
        <v>356.60114118530868</v>
      </c>
      <c r="M88" s="2">
        <f>('L-Values'!I88*'D(Ti_Cherniak) Times'!$F88*0.000001)^2/(4*'D(Ti_Cherniak) Times'!$C88)/(365.35*24*3600)</f>
        <v>650.36735860868384</v>
      </c>
      <c r="N88" s="2">
        <f>('L-Values'!J88*'D(Ti_Cherniak) Times'!$F88*0.000001)^2/(4*'D(Ti_Cherniak) Times'!$C88)/(365.35*24*3600)</f>
        <v>715.20176831345975</v>
      </c>
      <c r="O88" s="2">
        <f>('L-Values'!K88*'D(Ti_Cherniak) Times'!$F88*0.000001)^2/(4*'D(Ti_Cherniak) Times'!$C88)/(365.35*24*3600)</f>
        <v>474.4292788920884</v>
      </c>
      <c r="P88" s="2">
        <f>('L-Values'!L88*'D(Ti_Cherniak) Times'!$F88*0.000001)^2/(4*'D(Ti_Cherniak) Times'!$C88)/(365.35*24*3600)</f>
        <v>499.73046453014121</v>
      </c>
      <c r="Q88" s="2">
        <f>('L-Values'!M88*'D(Ti_Cherniak) Times'!$F88*0.000001)^2/(4*'D(Ti_Cherniak) Times'!$C88)/(365.35*24*3600)</f>
        <v>482.22398017455004</v>
      </c>
      <c r="R88" s="2">
        <f>('L-Values'!N88*'D(Ti_Cherniak) Times'!$F88*0.000001)^2/(4*'D(Ti_Cherniak) Times'!$C88)/(365.35*24*3600)</f>
        <v>689.58975026969995</v>
      </c>
      <c r="S88" s="2">
        <f>('L-Values'!O88*'D(Ti_Cherniak) Times'!$F88*0.000001)^2/(4*'D(Ti_Cherniak) Times'!$C88)/(365.35*24*3600)</f>
        <v>539.02440987624971</v>
      </c>
      <c r="T88" s="2"/>
      <c r="U88" s="2">
        <f>('L-Values'!Q88*'D(Ti_Cherniak) Times'!$F88*0.000001)^2/(4*'D(Ti_Cherniak) Times'!$C88)/(365.35*24*3600)</f>
        <v>531.79685077549652</v>
      </c>
      <c r="V88" s="2">
        <f>('L-Values'!R88*'D(Ti_Cherniak) Times'!$F88*0.000001)^2/(4*'D(Ti_Cherniak) Times'!$C88)/(365.35*24*3600)</f>
        <v>520.85764375065821</v>
      </c>
      <c r="W88" s="2">
        <f>('L-Values'!S88*'D(Ti_Cherniak) Times'!$F88*0.000001)^2/(4*'D(Ti_Cherniak) Times'!$C88)/(365.35*24*3600)</f>
        <v>499.73046453014121</v>
      </c>
      <c r="X88" s="2"/>
      <c r="Y88" s="2">
        <f>('L-Values'!U88*'D(Ti_Cherniak) Times'!$F88*0.000001)^2/(4*'D(Ti_Cherniak) Times'!$C88)/(365.35*24*3600)</f>
        <v>522.39473788326825</v>
      </c>
      <c r="Z88" s="2">
        <f>('L-Values'!V88*'D(Ti_Cherniak) Times'!$F88*0.000001)^2/(4*'D(Ti_Cherniak) Times'!$C88)/(365.35*24*3600)</f>
        <v>526.15806064179185</v>
      </c>
      <c r="AA88" s="2">
        <f>('L-Values'!W88*'D(Ti_Cherniak) Times'!$F88*0.000001)^2/(4*'D(Ti_Cherniak) Times'!$C88)/(365.35*24*3600)</f>
        <v>318.6014230136152</v>
      </c>
      <c r="AB88" s="2">
        <f>('L-Values'!X88*'D(Ti_Cherniak) Times'!$F88*0.000001)^2/(4*'D(Ti_Cherniak) Times'!$C88)/(365.35*24*3600)</f>
        <v>768.66923975565464</v>
      </c>
      <c r="AC88" s="2">
        <f t="shared" si="6"/>
        <v>207.55663762817665</v>
      </c>
      <c r="AD88" s="2">
        <f t="shared" si="7"/>
        <v>242.5111791138628</v>
      </c>
    </row>
    <row r="89" spans="1:30" x14ac:dyDescent="0.2">
      <c r="A89" t="str">
        <f>'L-Values'!A89</f>
        <v>CGI005-qtz10-CL-fit-5-offset</v>
      </c>
      <c r="B89">
        <v>750</v>
      </c>
      <c r="C89">
        <f t="shared" si="4"/>
        <v>8.0537892000481889E-22</v>
      </c>
      <c r="D89">
        <v>2100</v>
      </c>
      <c r="E89">
        <v>1024</v>
      </c>
      <c r="F89">
        <f t="shared" si="5"/>
        <v>2.05078125</v>
      </c>
      <c r="I89" s="2">
        <f>('L-Values'!E89*'D(Ti_Cherniak) Times'!$F89*0.000001)^2/(4*'D(Ti_Cherniak) Times'!$C89)/(365.35*24*3600)</f>
        <v>275.39598115033425</v>
      </c>
      <c r="J89" s="2">
        <f>('L-Values'!F89*'D(Ti_Cherniak) Times'!$F89*0.000001)^2/(4*'D(Ti_Cherniak) Times'!$C89)/(365.35*24*3600)</f>
        <v>267.67913423877849</v>
      </c>
      <c r="K89" s="2">
        <f>('L-Values'!G89*'D(Ti_Cherniak) Times'!$F89*0.000001)^2/(4*'D(Ti_Cherniak) Times'!$C89)/(365.35*24*3600)</f>
        <v>53.928634801281476</v>
      </c>
      <c r="L89" s="2">
        <f>('L-Values'!H89*'D(Ti_Cherniak) Times'!$F89*0.000001)^2/(4*'D(Ti_Cherniak) Times'!$C89)/(365.35*24*3600)</f>
        <v>236.31387932084567</v>
      </c>
      <c r="M89" s="2">
        <f>('L-Values'!I89*'D(Ti_Cherniak) Times'!$F89*0.000001)^2/(4*'D(Ti_Cherniak) Times'!$C89)/(365.35*24*3600)</f>
        <v>277.80820804390345</v>
      </c>
      <c r="N89" s="2">
        <f>('L-Values'!J89*'D(Ti_Cherniak) Times'!$F89*0.000001)^2/(4*'D(Ti_Cherniak) Times'!$C89)/(365.35*24*3600)</f>
        <v>452.69859977779248</v>
      </c>
      <c r="O89" s="2">
        <f>('L-Values'!K89*'D(Ti_Cherniak) Times'!$F89*0.000001)^2/(4*'D(Ti_Cherniak) Times'!$C89)/(365.35*24*3600)</f>
        <v>436.10704195228544</v>
      </c>
      <c r="P89" s="2">
        <f>('L-Values'!L89*'D(Ti_Cherniak) Times'!$F89*0.000001)^2/(4*'D(Ti_Cherniak) Times'!$C89)/(365.35*24*3600)</f>
        <v>271.53355829582853</v>
      </c>
      <c r="Q89" s="2">
        <f>('L-Values'!M89*'D(Ti_Cherniak) Times'!$F89*0.000001)^2/(4*'D(Ti_Cherniak) Times'!$C89)/(365.35*24*3600)</f>
        <v>241.59483868205282</v>
      </c>
      <c r="R89" s="2">
        <f>('L-Values'!N89*'D(Ti_Cherniak) Times'!$F89*0.000001)^2/(4*'D(Ti_Cherniak) Times'!$C89)/(365.35*24*3600)</f>
        <v>477.95389405205384</v>
      </c>
      <c r="S89" s="2">
        <f>('L-Values'!O89*'D(Ti_Cherniak) Times'!$F89*0.000001)^2/(4*'D(Ti_Cherniak) Times'!$C89)/(365.35*24*3600)</f>
        <v>324.75433783710434</v>
      </c>
      <c r="T89" s="2"/>
      <c r="U89" s="2">
        <f>('L-Values'!Q89*'D(Ti_Cherniak) Times'!$F89*0.000001)^2/(4*'D(Ti_Cherniak) Times'!$C89)/(365.35*24*3600)</f>
        <v>313.93086056260915</v>
      </c>
      <c r="V89" s="2">
        <f>('L-Values'!R89*'D(Ti_Cherniak) Times'!$F89*0.000001)^2/(4*'D(Ti_Cherniak) Times'!$C89)/(365.35*24*3600)</f>
        <v>287.16150243494837</v>
      </c>
      <c r="W89" s="2">
        <f>('L-Values'!S89*'D(Ti_Cherniak) Times'!$F89*0.000001)^2/(4*'D(Ti_Cherniak) Times'!$C89)/(365.35*24*3600)</f>
        <v>275.39598115033425</v>
      </c>
      <c r="X89" s="2"/>
      <c r="Y89" s="2">
        <f>('L-Values'!U89*'D(Ti_Cherniak) Times'!$F89*0.000001)^2/(4*'D(Ti_Cherniak) Times'!$C89)/(365.35*24*3600)</f>
        <v>295.24552491796589</v>
      </c>
      <c r="Z89" s="2">
        <f>('L-Values'!V89*'D(Ti_Cherniak) Times'!$F89*0.000001)^2/(4*'D(Ti_Cherniak) Times'!$C89)/(365.35*24*3600)</f>
        <v>296.23637482160836</v>
      </c>
      <c r="AA89" s="2">
        <f>('L-Values'!W89*'D(Ti_Cherniak) Times'!$F89*0.000001)^2/(4*'D(Ti_Cherniak) Times'!$C89)/(365.35*24*3600)</f>
        <v>50.119903227438428</v>
      </c>
      <c r="AB89" s="2">
        <f>('L-Values'!X89*'D(Ti_Cherniak) Times'!$F89*0.000001)^2/(4*'D(Ti_Cherniak) Times'!$C89)/(365.35*24*3600)</f>
        <v>870.17939151648636</v>
      </c>
      <c r="AC89" s="2">
        <f t="shared" si="6"/>
        <v>246.11647159416992</v>
      </c>
      <c r="AD89" s="2">
        <f t="shared" si="7"/>
        <v>573.943016694878</v>
      </c>
    </row>
    <row r="90" spans="1:30" x14ac:dyDescent="0.2">
      <c r="A90" t="str">
        <f>'L-Values'!A90</f>
        <v>CGI005-qtz10-CL-fit-6-offset</v>
      </c>
      <c r="B90">
        <v>750</v>
      </c>
      <c r="C90">
        <f t="shared" si="4"/>
        <v>8.0537892000481889E-22</v>
      </c>
      <c r="D90">
        <v>2100</v>
      </c>
      <c r="E90">
        <v>1024</v>
      </c>
      <c r="F90">
        <f t="shared" si="5"/>
        <v>2.05078125</v>
      </c>
      <c r="I90" s="2">
        <f>('L-Values'!E90*'D(Ti_Cherniak) Times'!$F90*0.000001)^2/(4*'D(Ti_Cherniak) Times'!$C90)/(365.35*24*3600)</f>
        <v>31.636457169162391</v>
      </c>
      <c r="J90" s="2">
        <f>('L-Values'!F90*'D(Ti_Cherniak) Times'!$F90*0.000001)^2/(4*'D(Ti_Cherniak) Times'!$C90)/(365.35*24*3600)</f>
        <v>2.2472598672107704</v>
      </c>
      <c r="K90" s="2">
        <f>('L-Values'!G90*'D(Ti_Cherniak) Times'!$F90*0.000001)^2/(4*'D(Ti_Cherniak) Times'!$C90)/(365.35*24*3600)</f>
        <v>152.31874544776599</v>
      </c>
      <c r="L90" s="2">
        <f>('L-Values'!H90*'D(Ti_Cherniak) Times'!$F90*0.000001)^2/(4*'D(Ti_Cherniak) Times'!$C90)/(365.35*24*3600)</f>
        <v>4.9893523661250778E-2</v>
      </c>
      <c r="M90" s="2">
        <f>('L-Values'!I90*'D(Ti_Cherniak) Times'!$F90*0.000001)^2/(4*'D(Ti_Cherniak) Times'!$C90)/(365.35*24*3600)</f>
        <v>267.44223133183738</v>
      </c>
      <c r="N90" s="2">
        <f>('L-Values'!J90*'D(Ti_Cherniak) Times'!$F90*0.000001)^2/(4*'D(Ti_Cherniak) Times'!$C90)/(365.35*24*3600)</f>
        <v>24.671569808505897</v>
      </c>
      <c r="O90" s="2">
        <f>('L-Values'!K90*'D(Ti_Cherniak) Times'!$F90*0.000001)^2/(4*'D(Ti_Cherniak) Times'!$C90)/(365.35*24*3600)</f>
        <v>250.61397885614241</v>
      </c>
      <c r="P90" s="2">
        <f>('L-Values'!L90*'D(Ti_Cherniak) Times'!$F90*0.000001)^2/(4*'D(Ti_Cherniak) Times'!$C90)/(365.35*24*3600)</f>
        <v>180.88561347010813</v>
      </c>
      <c r="Q90" s="2">
        <f>('L-Values'!M90*'D(Ti_Cherniak) Times'!$F90*0.000001)^2/(4*'D(Ti_Cherniak) Times'!$C90)/(365.35*24*3600)</f>
        <v>36.674812038996208</v>
      </c>
      <c r="R90" s="2">
        <f>('L-Values'!N90*'D(Ti_Cherniak) Times'!$F90*0.000001)^2/(4*'D(Ti_Cherniak) Times'!$C90)/(365.35*24*3600)</f>
        <v>368.88702707362177</v>
      </c>
      <c r="S90" s="2">
        <f>('L-Values'!O90*'D(Ti_Cherniak) Times'!$F90*0.000001)^2/(4*'D(Ti_Cherniak) Times'!$C90)/(365.35*24*3600)</f>
        <v>428.70286598904005</v>
      </c>
      <c r="T90" s="2"/>
      <c r="U90" s="2">
        <f>('L-Values'!Q90*'D(Ti_Cherniak) Times'!$F90*0.000001)^2/(4*'D(Ti_Cherniak) Times'!$C90)/(365.35*24*3600)</f>
        <v>150.06086963810742</v>
      </c>
      <c r="V90" s="2">
        <f>('L-Values'!R90*'D(Ti_Cherniak) Times'!$F90*0.000001)^2/(4*'D(Ti_Cherniak) Times'!$C90)/(365.35*24*3600)</f>
        <v>111.70040311725381</v>
      </c>
      <c r="W90" s="2">
        <f>('L-Values'!S90*'D(Ti_Cherniak) Times'!$F90*0.000001)^2/(4*'D(Ti_Cherniak) Times'!$C90)/(365.35*24*3600)</f>
        <v>152.31874544776599</v>
      </c>
      <c r="X90" s="2"/>
      <c r="Y90" s="2">
        <f>('L-Values'!U90*'D(Ti_Cherniak) Times'!$F90*0.000001)^2/(4*'D(Ti_Cherniak) Times'!$C90)/(365.35*24*3600)</f>
        <v>109.17654050824801</v>
      </c>
      <c r="Z90" s="2">
        <f>('L-Values'!V90*'D(Ti_Cherniak) Times'!$F90*0.000001)^2/(4*'D(Ti_Cherniak) Times'!$C90)/(365.35*24*3600)</f>
        <v>116.9358255069755</v>
      </c>
      <c r="AA90" s="2">
        <f>('L-Values'!W90*'D(Ti_Cherniak) Times'!$F90*0.000001)^2/(4*'D(Ti_Cherniak) Times'!$C90)/(365.35*24*3600)</f>
        <v>0.34145073809834964</v>
      </c>
      <c r="AB90" s="2">
        <f>('L-Values'!X90*'D(Ti_Cherniak) Times'!$F90*0.000001)^2/(4*'D(Ti_Cherniak) Times'!$C90)/(365.35*24*3600)</f>
        <v>695.83020065500909</v>
      </c>
      <c r="AC90" s="2">
        <f t="shared" si="6"/>
        <v>116.59437476887716</v>
      </c>
      <c r="AD90" s="2">
        <f t="shared" si="7"/>
        <v>578.89437514803353</v>
      </c>
    </row>
    <row r="91" spans="1:30" x14ac:dyDescent="0.2">
      <c r="A91" t="str">
        <f>'L-Values'!A91</f>
        <v>CGI005-qtz11-CL-fit-1-offset</v>
      </c>
      <c r="B91">
        <v>750</v>
      </c>
      <c r="C91">
        <f t="shared" si="4"/>
        <v>8.0537892000481889E-22</v>
      </c>
      <c r="D91">
        <v>2300</v>
      </c>
      <c r="E91">
        <v>1024</v>
      </c>
      <c r="F91">
        <f t="shared" si="5"/>
        <v>2.24609375</v>
      </c>
      <c r="I91" s="2">
        <f>('L-Values'!E91*'D(Ti_Cherniak) Times'!$F91*0.000001)^2/(4*'D(Ti_Cherniak) Times'!$C91)/(365.35*24*3600)</f>
        <v>1264.8144034307552</v>
      </c>
      <c r="J91" s="2">
        <f>('L-Values'!F91*'D(Ti_Cherniak) Times'!$F91*0.000001)^2/(4*'D(Ti_Cherniak) Times'!$C91)/(365.35*24*3600)</f>
        <v>1438.173083143095</v>
      </c>
      <c r="K91" s="2">
        <f>('L-Values'!G91*'D(Ti_Cherniak) Times'!$F91*0.000001)^2/(4*'D(Ti_Cherniak) Times'!$C91)/(365.35*24*3600)</f>
        <v>1536.4092755625384</v>
      </c>
      <c r="L91" s="2">
        <f>('L-Values'!H91*'D(Ti_Cherniak) Times'!$F91*0.000001)^2/(4*'D(Ti_Cherniak) Times'!$C91)/(365.35*24*3600)</f>
        <v>1481.3147853935004</v>
      </c>
      <c r="M91" s="2">
        <f>('L-Values'!I91*'D(Ti_Cherniak) Times'!$F91*0.000001)^2/(4*'D(Ti_Cherniak) Times'!$C91)/(365.35*24*3600)</f>
        <v>1076.2183493426646</v>
      </c>
      <c r="N91" s="2">
        <f>('L-Values'!J91*'D(Ti_Cherniak) Times'!$F91*0.000001)^2/(4*'D(Ti_Cherniak) Times'!$C91)/(365.35*24*3600)</f>
        <v>1360.9249480567059</v>
      </c>
      <c r="O91" s="2">
        <f>('L-Values'!K91*'D(Ti_Cherniak) Times'!$F91*0.000001)^2/(4*'D(Ti_Cherniak) Times'!$C91)/(365.35*24*3600)</f>
        <v>1110.5159129132783</v>
      </c>
      <c r="P91" s="2">
        <f>('L-Values'!L91*'D(Ti_Cherniak) Times'!$F91*0.000001)^2/(4*'D(Ti_Cherniak) Times'!$C91)/(365.35*24*3600)</f>
        <v>1271.7054103182661</v>
      </c>
      <c r="Q91" s="2">
        <f>('L-Values'!M91*'D(Ti_Cherniak) Times'!$F91*0.000001)^2/(4*'D(Ti_Cherniak) Times'!$C91)/(365.35*24*3600)</f>
        <v>1222.8614327584237</v>
      </c>
      <c r="R91" s="2">
        <f>('L-Values'!N91*'D(Ti_Cherniak) Times'!$F91*0.000001)^2/(4*'D(Ti_Cherniak) Times'!$C91)/(365.35*24*3600)</f>
        <v>1111.0079703695399</v>
      </c>
      <c r="S91" s="2">
        <f>('L-Values'!O91*'D(Ti_Cherniak) Times'!$F91*0.000001)^2/(4*'D(Ti_Cherniak) Times'!$C91)/(365.35*24*3600)</f>
        <v>1082.2818589318035</v>
      </c>
      <c r="T91" s="2"/>
      <c r="U91" s="2">
        <f>('L-Values'!Q91*'D(Ti_Cherniak) Times'!$F91*0.000001)^2/(4*'D(Ti_Cherniak) Times'!$C91)/(365.35*24*3600)</f>
        <v>1263.0910638768971</v>
      </c>
      <c r="V91" s="2">
        <f>('L-Values'!R91*'D(Ti_Cherniak) Times'!$F91*0.000001)^2/(4*'D(Ti_Cherniak) Times'!$C91)/(365.35*24*3600)</f>
        <v>1263.8253289851157</v>
      </c>
      <c r="W91" s="2">
        <f>('L-Values'!S91*'D(Ti_Cherniak) Times'!$F91*0.000001)^2/(4*'D(Ti_Cherniak) Times'!$C91)/(365.35*24*3600)</f>
        <v>1264.8144034307552</v>
      </c>
      <c r="X91" s="2"/>
      <c r="Y91" s="2">
        <f>('L-Values'!U91*'D(Ti_Cherniak) Times'!$F91*0.000001)^2/(4*'D(Ti_Cherniak) Times'!$C91)/(365.35*24*3600)</f>
        <v>1251.9048929646997</v>
      </c>
      <c r="Z91" s="2">
        <f>('L-Values'!V91*'D(Ti_Cherniak) Times'!$F91*0.000001)^2/(4*'D(Ti_Cherniak) Times'!$C91)/(365.35*24*3600)</f>
        <v>1240.1627060585568</v>
      </c>
      <c r="AA91" s="2">
        <f>('L-Values'!W91*'D(Ti_Cherniak) Times'!$F91*0.000001)^2/(4*'D(Ti_Cherniak) Times'!$C91)/(365.35*24*3600)</f>
        <v>953.22606009968945</v>
      </c>
      <c r="AB91" s="2">
        <f>('L-Values'!X91*'D(Ti_Cherniak) Times'!$F91*0.000001)^2/(4*'D(Ti_Cherniak) Times'!$C91)/(365.35*24*3600)</f>
        <v>1612.3804160307227</v>
      </c>
      <c r="AC91" s="2">
        <f t="shared" si="6"/>
        <v>286.9366459588673</v>
      </c>
      <c r="AD91" s="2">
        <f t="shared" si="7"/>
        <v>372.21770997216595</v>
      </c>
    </row>
    <row r="92" spans="1:30" x14ac:dyDescent="0.2">
      <c r="A92" t="str">
        <f>'L-Values'!A92</f>
        <v>CGI005-qtz11-CL-fit-2-offset</v>
      </c>
      <c r="B92">
        <v>750</v>
      </c>
      <c r="C92">
        <f t="shared" si="4"/>
        <v>8.0537892000481889E-22</v>
      </c>
      <c r="D92">
        <v>2300</v>
      </c>
      <c r="E92">
        <v>1024</v>
      </c>
      <c r="F92">
        <f t="shared" si="5"/>
        <v>2.24609375</v>
      </c>
      <c r="I92" s="2">
        <f>('L-Values'!E92*'D(Ti_Cherniak) Times'!$F92*0.000001)^2/(4*'D(Ti_Cherniak) Times'!$C92)/(365.35*24*3600)</f>
        <v>645.61125998534635</v>
      </c>
      <c r="J92" s="2">
        <f>('L-Values'!F92*'D(Ti_Cherniak) Times'!$F92*0.000001)^2/(4*'D(Ti_Cherniak) Times'!$C92)/(365.35*24*3600)</f>
        <v>1333.4703854314646</v>
      </c>
      <c r="K92" s="2">
        <f>('L-Values'!G92*'D(Ti_Cherniak) Times'!$F92*0.000001)^2/(4*'D(Ti_Cherniak) Times'!$C92)/(365.35*24*3600)</f>
        <v>1482.2716985389854</v>
      </c>
      <c r="L92" s="2">
        <f>('L-Values'!H92*'D(Ti_Cherniak) Times'!$F92*0.000001)^2/(4*'D(Ti_Cherniak) Times'!$C92)/(365.35*24*3600)</f>
        <v>450.98210671609979</v>
      </c>
      <c r="M92" s="2">
        <f>('L-Values'!I92*'D(Ti_Cherniak) Times'!$F92*0.000001)^2/(4*'D(Ti_Cherniak) Times'!$C92)/(365.35*24*3600)</f>
        <v>986.00509421725326</v>
      </c>
      <c r="N92" s="2">
        <f>('L-Values'!J92*'D(Ti_Cherniak) Times'!$F92*0.000001)^2/(4*'D(Ti_Cherniak) Times'!$C92)/(365.35*24*3600)</f>
        <v>1060.6840182214673</v>
      </c>
      <c r="O92" s="2">
        <f>('L-Values'!K92*'D(Ti_Cherniak) Times'!$F92*0.000001)^2/(4*'D(Ti_Cherniak) Times'!$C92)/(365.35*24*3600)</f>
        <v>966.61943242575796</v>
      </c>
      <c r="P92" s="2">
        <f>('L-Values'!L92*'D(Ti_Cherniak) Times'!$F92*0.000001)^2/(4*'D(Ti_Cherniak) Times'!$C92)/(365.35*24*3600)</f>
        <v>1469.6359525966391</v>
      </c>
      <c r="Q92" s="2">
        <f>('L-Values'!M92*'D(Ti_Cherniak) Times'!$F92*0.000001)^2/(4*'D(Ti_Cherniak) Times'!$C92)/(365.35*24*3600)</f>
        <v>2083.2273573401685</v>
      </c>
      <c r="R92" s="2">
        <f>('L-Values'!N92*'D(Ti_Cherniak) Times'!$F92*0.000001)^2/(4*'D(Ti_Cherniak) Times'!$C92)/(365.35*24*3600)</f>
        <v>1538.792698413263</v>
      </c>
      <c r="S92" s="2">
        <f>('L-Values'!O92*'D(Ti_Cherniak) Times'!$F92*0.000001)^2/(4*'D(Ti_Cherniak) Times'!$C92)/(365.35*24*3600)</f>
        <v>1381.9546362600113</v>
      </c>
      <c r="T92" s="2"/>
      <c r="U92" s="2">
        <f>('L-Values'!Q92*'D(Ti_Cherniak) Times'!$F92*0.000001)^2/(4*'D(Ti_Cherniak) Times'!$C92)/(365.35*24*3600)</f>
        <v>1172.1738377215638</v>
      </c>
      <c r="V92" s="2">
        <f>('L-Values'!R92*'D(Ti_Cherniak) Times'!$F92*0.000001)^2/(4*'D(Ti_Cherniak) Times'!$C92)/(365.35*24*3600)</f>
        <v>1175.2548883255106</v>
      </c>
      <c r="W92" s="2">
        <f>('L-Values'!S92*'D(Ti_Cherniak) Times'!$F92*0.000001)^2/(4*'D(Ti_Cherniak) Times'!$C92)/(365.35*24*3600)</f>
        <v>1333.4703854314646</v>
      </c>
      <c r="X92" s="2"/>
      <c r="Y92" s="2">
        <f>('L-Values'!U92*'D(Ti_Cherniak) Times'!$F92*0.000001)^2/(4*'D(Ti_Cherniak) Times'!$C92)/(365.35*24*3600)</f>
        <v>1163.1586557171352</v>
      </c>
      <c r="Z92" s="2">
        <f>('L-Values'!V92*'D(Ti_Cherniak) Times'!$F92*0.000001)^2/(4*'D(Ti_Cherniak) Times'!$C92)/(365.35*24*3600)</f>
        <v>1170.5619195694451</v>
      </c>
      <c r="AA92" s="2">
        <f>('L-Values'!W92*'D(Ti_Cherniak) Times'!$F92*0.000001)^2/(4*'D(Ti_Cherniak) Times'!$C92)/(365.35*24*3600)</f>
        <v>531.6774639754027</v>
      </c>
      <c r="AB92" s="2">
        <f>('L-Values'!X92*'D(Ti_Cherniak) Times'!$F92*0.000001)^2/(4*'D(Ti_Cherniak) Times'!$C92)/(365.35*24*3600)</f>
        <v>2149.7156992068976</v>
      </c>
      <c r="AC92" s="2">
        <f t="shared" si="6"/>
        <v>638.88445559404238</v>
      </c>
      <c r="AD92" s="2">
        <f t="shared" si="7"/>
        <v>979.15377963745254</v>
      </c>
    </row>
    <row r="93" spans="1:30" x14ac:dyDescent="0.2">
      <c r="A93" t="str">
        <f>'L-Values'!A93</f>
        <v>CGI005-qtz11-CL-fit-3</v>
      </c>
      <c r="B93">
        <v>750</v>
      </c>
      <c r="C93">
        <f t="shared" si="4"/>
        <v>8.0537892000481889E-22</v>
      </c>
      <c r="D93">
        <v>2300</v>
      </c>
      <c r="E93">
        <v>1024</v>
      </c>
      <c r="F93">
        <f t="shared" si="5"/>
        <v>2.24609375</v>
      </c>
      <c r="I93" s="2">
        <f>('L-Values'!E93*'D(Ti_Cherniak) Times'!$F93*0.000001)^2/(4*'D(Ti_Cherniak) Times'!$C93)/(365.35*24*3600)</f>
        <v>140.97415230563618</v>
      </c>
      <c r="J93" s="2">
        <f>('L-Values'!F93*'D(Ti_Cherniak) Times'!$F93*0.000001)^2/(4*'D(Ti_Cherniak) Times'!$C93)/(365.35*24*3600)</f>
        <v>143.77246072704517</v>
      </c>
      <c r="K93" s="2">
        <f>('L-Values'!G93*'D(Ti_Cherniak) Times'!$F93*0.000001)^2/(4*'D(Ti_Cherniak) Times'!$C93)/(365.35*24*3600)</f>
        <v>166.52691585274198</v>
      </c>
      <c r="L93" s="2">
        <f>('L-Values'!H93*'D(Ti_Cherniak) Times'!$F93*0.000001)^2/(4*'D(Ti_Cherniak) Times'!$C93)/(365.35*24*3600)</f>
        <v>81.281069032411963</v>
      </c>
      <c r="M93" s="2">
        <f>('L-Values'!I93*'D(Ti_Cherniak) Times'!$F93*0.000001)^2/(4*'D(Ti_Cherniak) Times'!$C93)/(365.35*24*3600)</f>
        <v>113.43335928616662</v>
      </c>
      <c r="N93" s="2">
        <f>('L-Values'!J93*'D(Ti_Cherniak) Times'!$F93*0.000001)^2/(4*'D(Ti_Cherniak) Times'!$C93)/(365.35*24*3600)</f>
        <v>156.0119512730098</v>
      </c>
      <c r="O93" s="2">
        <f>('L-Values'!K93*'D(Ti_Cherniak) Times'!$F93*0.000001)^2/(4*'D(Ti_Cherniak) Times'!$C93)/(365.35*24*3600)</f>
        <v>158.28117050905325</v>
      </c>
      <c r="P93" s="2">
        <f>('L-Values'!L93*'D(Ti_Cherniak) Times'!$F93*0.000001)^2/(4*'D(Ti_Cherniak) Times'!$C93)/(365.35*24*3600)</f>
        <v>160.47775925654412</v>
      </c>
      <c r="Q93" s="2">
        <f>('L-Values'!M93*'D(Ti_Cherniak) Times'!$F93*0.000001)^2/(4*'D(Ti_Cherniak) Times'!$C93)/(365.35*24*3600)</f>
        <v>199.01682557702912</v>
      </c>
      <c r="R93" s="2">
        <f>('L-Values'!N93*'D(Ti_Cherniak) Times'!$F93*0.000001)^2/(4*'D(Ti_Cherniak) Times'!$C93)/(365.35*24*3600)</f>
        <v>116.26863848934643</v>
      </c>
      <c r="S93" s="2">
        <f>('L-Values'!O93*'D(Ti_Cherniak) Times'!$F93*0.000001)^2/(4*'D(Ti_Cherniak) Times'!$C93)/(365.35*24*3600)</f>
        <v>165.20095236686811</v>
      </c>
      <c r="T93" s="2"/>
      <c r="U93" s="2">
        <f>('L-Values'!Q93*'D(Ti_Cherniak) Times'!$F93*0.000001)^2/(4*'D(Ti_Cherniak) Times'!$C93)/(365.35*24*3600)</f>
        <v>144.03494697084921</v>
      </c>
      <c r="V93" s="2">
        <f>('L-Values'!R93*'D(Ti_Cherniak) Times'!$F93*0.000001)^2/(4*'D(Ti_Cherniak) Times'!$C93)/(365.35*24*3600)</f>
        <v>143.81903132517749</v>
      </c>
      <c r="W93" s="2">
        <f>('L-Values'!S93*'D(Ti_Cherniak) Times'!$F93*0.000001)^2/(4*'D(Ti_Cherniak) Times'!$C93)/(365.35*24*3600)</f>
        <v>156.0119512730098</v>
      </c>
      <c r="X93" s="2"/>
      <c r="Y93" s="2">
        <f>('L-Values'!U93*'D(Ti_Cherniak) Times'!$F93*0.000001)^2/(4*'D(Ti_Cherniak) Times'!$C93)/(365.35*24*3600)</f>
        <v>140.35223403469129</v>
      </c>
      <c r="Z93" s="2">
        <f>('L-Values'!V93*'D(Ti_Cherniak) Times'!$F93*0.000001)^2/(4*'D(Ti_Cherniak) Times'!$C93)/(365.35*24*3600)</f>
        <v>141.12043820203482</v>
      </c>
      <c r="AA93" s="2">
        <f>('L-Values'!W93*'D(Ti_Cherniak) Times'!$F93*0.000001)^2/(4*'D(Ti_Cherniak) Times'!$C93)/(365.35*24*3600)</f>
        <v>89.818555312275109</v>
      </c>
      <c r="AB93" s="2">
        <f>('L-Values'!X93*'D(Ti_Cherniak) Times'!$F93*0.000001)^2/(4*'D(Ti_Cherniak) Times'!$C93)/(365.35*24*3600)</f>
        <v>209.85081927816859</v>
      </c>
      <c r="AC93" s="2">
        <f t="shared" si="6"/>
        <v>51.30188288975971</v>
      </c>
      <c r="AD93" s="2">
        <f t="shared" si="7"/>
        <v>68.730381076133767</v>
      </c>
    </row>
    <row r="94" spans="1:30" x14ac:dyDescent="0.2">
      <c r="A94" t="str">
        <f>'L-Values'!A94</f>
        <v>CGI005-qtz11-CL-fit-4-offset</v>
      </c>
      <c r="B94">
        <v>750</v>
      </c>
      <c r="C94">
        <f t="shared" si="4"/>
        <v>8.0537892000481889E-22</v>
      </c>
      <c r="D94">
        <v>2300</v>
      </c>
      <c r="E94">
        <v>1024</v>
      </c>
      <c r="F94">
        <f t="shared" si="5"/>
        <v>2.24609375</v>
      </c>
      <c r="I94" s="2">
        <f>('L-Values'!E94*'D(Ti_Cherniak) Times'!$F94*0.000001)^2/(4*'D(Ti_Cherniak) Times'!$C94)/(365.35*24*3600)</f>
        <v>115.88356539849103</v>
      </c>
      <c r="J94" s="2">
        <f>('L-Values'!F94*'D(Ti_Cherniak) Times'!$F94*0.000001)^2/(4*'D(Ti_Cherniak) Times'!$C94)/(365.35*24*3600)</f>
        <v>25.732176646116258</v>
      </c>
      <c r="K94" s="2">
        <f>('L-Values'!G94*'D(Ti_Cherniak) Times'!$F94*0.000001)^2/(4*'D(Ti_Cherniak) Times'!$C94)/(365.35*24*3600)</f>
        <v>96.654014032880951</v>
      </c>
      <c r="L94" s="2">
        <f>('L-Values'!H94*'D(Ti_Cherniak) Times'!$F94*0.000001)^2/(4*'D(Ti_Cherniak) Times'!$C94)/(365.35*24*3600)</f>
        <v>1.0996067129578995</v>
      </c>
      <c r="M94" s="2">
        <f>('L-Values'!I94*'D(Ti_Cherniak) Times'!$F94*0.000001)^2/(4*'D(Ti_Cherniak) Times'!$C94)/(365.35*24*3600)</f>
        <v>73.952816755095014</v>
      </c>
      <c r="N94" s="2">
        <f>('L-Values'!J94*'D(Ti_Cherniak) Times'!$F94*0.000001)^2/(4*'D(Ti_Cherniak) Times'!$C94)/(365.35*24*3600)</f>
        <v>74.572662984732133</v>
      </c>
      <c r="O94" s="2">
        <f>('L-Values'!K94*'D(Ti_Cherniak) Times'!$F94*0.000001)^2/(4*'D(Ti_Cherniak) Times'!$C94)/(365.35*24*3600)</f>
        <v>36.267639833987182</v>
      </c>
      <c r="P94" s="2">
        <f>('L-Values'!L94*'D(Ti_Cherniak) Times'!$F94*0.000001)^2/(4*'D(Ti_Cherniak) Times'!$C94)/(365.35*24*3600)</f>
        <v>61.939501760166046</v>
      </c>
      <c r="Q94" s="2">
        <f>('L-Values'!M94*'D(Ti_Cherniak) Times'!$F94*0.000001)^2/(4*'D(Ti_Cherniak) Times'!$C94)/(365.35*24*3600)</f>
        <v>51.161957756784147</v>
      </c>
      <c r="R94" s="2">
        <f>('L-Values'!N94*'D(Ti_Cherniak) Times'!$F94*0.000001)^2/(4*'D(Ti_Cherniak) Times'!$C94)/(365.35*24*3600)</f>
        <v>74.276330291959397</v>
      </c>
      <c r="S94" s="2">
        <f>('L-Values'!O94*'D(Ti_Cherniak) Times'!$F94*0.000001)^2/(4*'D(Ti_Cherniak) Times'!$C94)/(365.35*24*3600)</f>
        <v>47.499485501295759</v>
      </c>
      <c r="T94" s="2"/>
      <c r="U94" s="2">
        <f>('L-Values'!Q94*'D(Ti_Cherniak) Times'!$F94*0.000001)^2/(4*'D(Ti_Cherniak) Times'!$C94)/(365.35*24*3600)</f>
        <v>72.396042285981352</v>
      </c>
      <c r="V94" s="2">
        <f>('L-Values'!R94*'D(Ti_Cherniak) Times'!$F94*0.000001)^2/(4*'D(Ti_Cherniak) Times'!$C94)/(365.35*24*3600)</f>
        <v>53.566675808590851</v>
      </c>
      <c r="W94" s="2">
        <f>('L-Values'!S94*'D(Ti_Cherniak) Times'!$F94*0.000001)^2/(4*'D(Ti_Cherniak) Times'!$C94)/(365.35*24*3600)</f>
        <v>61.939501760166046</v>
      </c>
      <c r="X94" s="2"/>
      <c r="Y94" s="2">
        <f>('L-Values'!U94*'D(Ti_Cherniak) Times'!$F94*0.000001)^2/(4*'D(Ti_Cherniak) Times'!$C94)/(365.35*24*3600)</f>
        <v>65.609914074364355</v>
      </c>
      <c r="Z94" s="2">
        <f>('L-Values'!V94*'D(Ti_Cherniak) Times'!$F94*0.000001)^2/(4*'D(Ti_Cherniak) Times'!$C94)/(365.35*24*3600)</f>
        <v>62.18684293796565</v>
      </c>
      <c r="AA94" s="2">
        <f>('L-Values'!W94*'D(Ti_Cherniak) Times'!$F94*0.000001)^2/(4*'D(Ti_Cherniak) Times'!$C94)/(365.35*24*3600)</f>
        <v>1.7399195951910151</v>
      </c>
      <c r="AB94" s="2">
        <f>('L-Values'!X94*'D(Ti_Cherniak) Times'!$F94*0.000001)^2/(4*'D(Ti_Cherniak) Times'!$C94)/(365.35*24*3600)</f>
        <v>243.26640518789625</v>
      </c>
      <c r="AC94" s="2">
        <f t="shared" si="6"/>
        <v>60.446923342774639</v>
      </c>
      <c r="AD94" s="2">
        <f t="shared" si="7"/>
        <v>181.0795622499306</v>
      </c>
    </row>
    <row r="95" spans="1:30" x14ac:dyDescent="0.2">
      <c r="A95" t="str">
        <f>'L-Values'!A95</f>
        <v>CGI005-qtz12-CL-fit-1-offset</v>
      </c>
      <c r="B95">
        <v>750</v>
      </c>
      <c r="C95">
        <f t="shared" si="4"/>
        <v>8.0537892000481889E-22</v>
      </c>
      <c r="D95">
        <v>2700</v>
      </c>
      <c r="E95">
        <v>1024</v>
      </c>
      <c r="F95">
        <f t="shared" si="5"/>
        <v>2.63671875</v>
      </c>
      <c r="I95" s="2">
        <f>('L-Values'!E95*'D(Ti_Cherniak) Times'!$F95*0.000001)^2/(4*'D(Ti_Cherniak) Times'!$C95)/(365.35*24*3600)</f>
        <v>1555.0107055542717</v>
      </c>
      <c r="J95" s="2">
        <f>('L-Values'!F95*'D(Ti_Cherniak) Times'!$F95*0.000001)^2/(4*'D(Ti_Cherniak) Times'!$C95)/(365.35*24*3600)</f>
        <v>2344.4666496252225</v>
      </c>
      <c r="K95" s="2">
        <f>('L-Values'!G95*'D(Ti_Cherniak) Times'!$F95*0.000001)^2/(4*'D(Ti_Cherniak) Times'!$C95)/(365.35*24*3600)</f>
        <v>315.26907652618576</v>
      </c>
      <c r="L95" s="2">
        <f>('L-Values'!H95*'D(Ti_Cherniak) Times'!$F95*0.000001)^2/(4*'D(Ti_Cherniak) Times'!$C95)/(365.35*24*3600)</f>
        <v>703.09245389786236</v>
      </c>
      <c r="M95" s="2">
        <f>('L-Values'!I95*'D(Ti_Cherniak) Times'!$F95*0.000001)^2/(4*'D(Ti_Cherniak) Times'!$C95)/(365.35*24*3600)</f>
        <v>1348.944905072027</v>
      </c>
      <c r="N95" s="2">
        <f>('L-Values'!J95*'D(Ti_Cherniak) Times'!$F95*0.000001)^2/(4*'D(Ti_Cherniak) Times'!$C95)/(365.35*24*3600)</f>
        <v>1148.3968006994821</v>
      </c>
      <c r="O95" s="2">
        <f>('L-Values'!K95*'D(Ti_Cherniak) Times'!$F95*0.000001)^2/(4*'D(Ti_Cherniak) Times'!$C95)/(365.35*24*3600)</f>
        <v>253.76362135884779</v>
      </c>
      <c r="P95" s="2">
        <f>('L-Values'!L95*'D(Ti_Cherniak) Times'!$F95*0.000001)^2/(4*'D(Ti_Cherniak) Times'!$C95)/(365.35*24*3600)</f>
        <v>200.73974108145612</v>
      </c>
      <c r="Q95" s="2">
        <f>('L-Values'!M95*'D(Ti_Cherniak) Times'!$F95*0.000001)^2/(4*'D(Ti_Cherniak) Times'!$C95)/(365.35*24*3600)</f>
        <v>1125.4198265562359</v>
      </c>
      <c r="R95" s="2">
        <f>('L-Values'!N95*'D(Ti_Cherniak) Times'!$F95*0.000001)^2/(4*'D(Ti_Cherniak) Times'!$C95)/(365.35*24*3600)</f>
        <v>710.84076040885964</v>
      </c>
      <c r="S95" s="2">
        <f>('L-Values'!O95*'D(Ti_Cherniak) Times'!$F95*0.000001)^2/(4*'D(Ti_Cherniak) Times'!$C95)/(365.35*24*3600)</f>
        <v>859.88724603290268</v>
      </c>
      <c r="T95" s="2"/>
      <c r="U95" s="2">
        <f>('L-Values'!Q95*'D(Ti_Cherniak) Times'!$F95*0.000001)^2/(4*'D(Ti_Cherniak) Times'!$C95)/(365.35*24*3600)</f>
        <v>979.32523498653973</v>
      </c>
      <c r="V95" s="2">
        <f>('L-Values'!R95*'D(Ti_Cherniak) Times'!$F95*0.000001)^2/(4*'D(Ti_Cherniak) Times'!$C95)/(365.35*24*3600)</f>
        <v>858.87333188377602</v>
      </c>
      <c r="W95" s="2">
        <f>('L-Values'!S95*'D(Ti_Cherniak) Times'!$F95*0.000001)^2/(4*'D(Ti_Cherniak) Times'!$C95)/(365.35*24*3600)</f>
        <v>859.88724603290268</v>
      </c>
      <c r="X95" s="2"/>
      <c r="Y95" s="2">
        <f>('L-Values'!U95*'D(Ti_Cherniak) Times'!$F95*0.000001)^2/(4*'D(Ti_Cherniak) Times'!$C95)/(365.35*24*3600)</f>
        <v>990.69142451996947</v>
      </c>
      <c r="Z95" s="2">
        <f>('L-Values'!V95*'D(Ti_Cherniak) Times'!$F95*0.000001)^2/(4*'D(Ti_Cherniak) Times'!$C95)/(365.35*24*3600)</f>
        <v>995.37310369193312</v>
      </c>
      <c r="AA95" s="2">
        <f>('L-Values'!W95*'D(Ti_Cherniak) Times'!$F95*0.000001)^2/(4*'D(Ti_Cherniak) Times'!$C95)/(365.35*24*3600)</f>
        <v>109.79357094625874</v>
      </c>
      <c r="AB95" s="2">
        <f>('L-Values'!X95*'D(Ti_Cherniak) Times'!$F95*0.000001)^2/(4*'D(Ti_Cherniak) Times'!$C95)/(365.35*24*3600)</f>
        <v>2781.9970633480184</v>
      </c>
      <c r="AC95" s="2">
        <f t="shared" si="6"/>
        <v>885.57953274567444</v>
      </c>
      <c r="AD95" s="2">
        <f t="shared" si="7"/>
        <v>1786.6239596560854</v>
      </c>
    </row>
    <row r="96" spans="1:30" x14ac:dyDescent="0.2">
      <c r="A96" t="str">
        <f>'L-Values'!A96</f>
        <v>CGI005-qtz12-CL-fit-2-offset</v>
      </c>
      <c r="B96">
        <v>750</v>
      </c>
      <c r="C96">
        <f t="shared" si="4"/>
        <v>8.0537892000481889E-22</v>
      </c>
      <c r="D96">
        <v>2700</v>
      </c>
      <c r="E96">
        <v>1024</v>
      </c>
      <c r="F96">
        <f t="shared" si="5"/>
        <v>2.63671875</v>
      </c>
      <c r="I96" s="2">
        <f>('L-Values'!E96*'D(Ti_Cherniak) Times'!$F96*0.000001)^2/(4*'D(Ti_Cherniak) Times'!$C96)/(365.35*24*3600)</f>
        <v>1191.9524085542253</v>
      </c>
      <c r="J96" s="2">
        <f>('L-Values'!F96*'D(Ti_Cherniak) Times'!$F96*0.000001)^2/(4*'D(Ti_Cherniak) Times'!$C96)/(365.35*24*3600)</f>
        <v>996.08868185813776</v>
      </c>
      <c r="K96" s="2">
        <f>('L-Values'!G96*'D(Ti_Cherniak) Times'!$F96*0.000001)^2/(4*'D(Ti_Cherniak) Times'!$C96)/(365.35*24*3600)</f>
        <v>2156.9913127593609</v>
      </c>
      <c r="L96" s="2">
        <f>('L-Values'!H96*'D(Ti_Cherniak) Times'!$F96*0.000001)^2/(4*'D(Ti_Cherniak) Times'!$C96)/(365.35*24*3600)</f>
        <v>4468.2289347750311</v>
      </c>
      <c r="M96" s="2">
        <f>('L-Values'!I96*'D(Ti_Cherniak) Times'!$F96*0.000001)^2/(4*'D(Ti_Cherniak) Times'!$C96)/(365.35*24*3600)</f>
        <v>1271.8034868992088</v>
      </c>
      <c r="N96" s="2">
        <f>('L-Values'!J96*'D(Ti_Cherniak) Times'!$F96*0.000001)^2/(4*'D(Ti_Cherniak) Times'!$C96)/(365.35*24*3600)</f>
        <v>2505.6073547542023</v>
      </c>
      <c r="O96" s="2">
        <f>('L-Values'!K96*'D(Ti_Cherniak) Times'!$F96*0.000001)^2/(4*'D(Ti_Cherniak) Times'!$C96)/(365.35*24*3600)</f>
        <v>975.31152385544738</v>
      </c>
      <c r="P96" s="2">
        <f>('L-Values'!L96*'D(Ti_Cherniak) Times'!$F96*0.000001)^2/(4*'D(Ti_Cherniak) Times'!$C96)/(365.35*24*3600)</f>
        <v>1134.4920309253398</v>
      </c>
      <c r="Q96" s="2">
        <f>('L-Values'!M96*'D(Ti_Cherniak) Times'!$F96*0.000001)^2/(4*'D(Ti_Cherniak) Times'!$C96)/(365.35*24*3600)</f>
        <v>1582.1603730101845</v>
      </c>
      <c r="R96" s="2">
        <f>('L-Values'!N96*'D(Ti_Cherniak) Times'!$F96*0.000001)^2/(4*'D(Ti_Cherniak) Times'!$C96)/(365.35*24*3600)</f>
        <v>1089.058595250599</v>
      </c>
      <c r="S96" s="2">
        <f>('L-Values'!O96*'D(Ti_Cherniak) Times'!$F96*0.000001)^2/(4*'D(Ti_Cherniak) Times'!$C96)/(365.35*24*3600)</f>
        <v>1287.8481184233679</v>
      </c>
      <c r="T96" s="2"/>
      <c r="U96" s="2">
        <f>('L-Values'!Q96*'D(Ti_Cherniak) Times'!$F96*0.000001)^2/(4*'D(Ti_Cherniak) Times'!$C96)/(365.35*24*3600)</f>
        <v>1483.9873447778273</v>
      </c>
      <c r="V96" s="2">
        <f>('L-Values'!R96*'D(Ti_Cherniak) Times'!$F96*0.000001)^2/(4*'D(Ti_Cherniak) Times'!$C96)/(365.35*24*3600)</f>
        <v>1590.3290782955721</v>
      </c>
      <c r="W96" s="2">
        <f>('L-Values'!S96*'D(Ti_Cherniak) Times'!$F96*0.000001)^2/(4*'D(Ti_Cherniak) Times'!$C96)/(365.35*24*3600)</f>
        <v>1271.8034868992088</v>
      </c>
      <c r="X96" s="2"/>
      <c r="Y96" s="2">
        <f>('L-Values'!U96*'D(Ti_Cherniak) Times'!$F96*0.000001)^2/(4*'D(Ti_Cherniak) Times'!$C96)/(365.35*24*3600)</f>
        <v>1430.5944355015454</v>
      </c>
      <c r="Z96" s="2">
        <f>('L-Values'!V96*'D(Ti_Cherniak) Times'!$F96*0.000001)^2/(4*'D(Ti_Cherniak) Times'!$C96)/(365.35*24*3600)</f>
        <v>1556.2877103135088</v>
      </c>
      <c r="AA96" s="2">
        <f>('L-Values'!W96*'D(Ti_Cherniak) Times'!$F96*0.000001)^2/(4*'D(Ti_Cherniak) Times'!$C96)/(365.35*24*3600)</f>
        <v>588.56860945732387</v>
      </c>
      <c r="AB96" s="2">
        <f>('L-Values'!X96*'D(Ti_Cherniak) Times'!$F96*0.000001)^2/(4*'D(Ti_Cherniak) Times'!$C96)/(365.35*24*3600)</f>
        <v>4626.8319560544278</v>
      </c>
      <c r="AC96" s="2">
        <f t="shared" si="6"/>
        <v>967.71910085618492</v>
      </c>
      <c r="AD96" s="2">
        <f t="shared" si="7"/>
        <v>3070.544245740919</v>
      </c>
    </row>
    <row r="97" spans="1:30" x14ac:dyDescent="0.2">
      <c r="A97" t="str">
        <f>'L-Values'!A97</f>
        <v>CGI005-qtz12-CL-fit-3</v>
      </c>
      <c r="B97">
        <v>750</v>
      </c>
      <c r="C97">
        <f t="shared" si="4"/>
        <v>8.0537892000481889E-22</v>
      </c>
      <c r="D97">
        <v>2700</v>
      </c>
      <c r="E97">
        <v>1024</v>
      </c>
      <c r="F97">
        <f t="shared" si="5"/>
        <v>2.63671875</v>
      </c>
      <c r="I97" s="2">
        <f>('L-Values'!E97*'D(Ti_Cherniak) Times'!$F97*0.000001)^2/(4*'D(Ti_Cherniak) Times'!$C97)/(365.35*24*3600)</f>
        <v>1392.8332323421953</v>
      </c>
      <c r="J97" s="2">
        <f>('L-Values'!F97*'D(Ti_Cherniak) Times'!$F97*0.000001)^2/(4*'D(Ti_Cherniak) Times'!$C97)/(365.35*24*3600)</f>
        <v>987.4240947182725</v>
      </c>
      <c r="K97" s="2">
        <f>('L-Values'!G97*'D(Ti_Cherniak) Times'!$F97*0.000001)^2/(4*'D(Ti_Cherniak) Times'!$C97)/(365.35*24*3600)</f>
        <v>1604.8094315116664</v>
      </c>
      <c r="L97" s="2">
        <f>('L-Values'!H97*'D(Ti_Cherniak) Times'!$F97*0.000001)^2/(4*'D(Ti_Cherniak) Times'!$C97)/(365.35*24*3600)</f>
        <v>1543.7823778539462</v>
      </c>
      <c r="M97" s="2">
        <f>('L-Values'!I97*'D(Ti_Cherniak) Times'!$F97*0.000001)^2/(4*'D(Ti_Cherniak) Times'!$C97)/(365.35*24*3600)</f>
        <v>2143.4079326944534</v>
      </c>
      <c r="N97" s="2">
        <f>('L-Values'!J97*'D(Ti_Cherniak) Times'!$F97*0.000001)^2/(4*'D(Ti_Cherniak) Times'!$C97)/(365.35*24*3600)</f>
        <v>505.86806689658931</v>
      </c>
      <c r="O97" s="2">
        <f>('L-Values'!K97*'D(Ti_Cherniak) Times'!$F97*0.000001)^2/(4*'D(Ti_Cherniak) Times'!$C97)/(365.35*24*3600)</f>
        <v>497.07335627248489</v>
      </c>
      <c r="P97" s="2">
        <f>('L-Values'!L97*'D(Ti_Cherniak) Times'!$F97*0.000001)^2/(4*'D(Ti_Cherniak) Times'!$C97)/(365.35*24*3600)</f>
        <v>369.82808693078869</v>
      </c>
      <c r="Q97" s="2">
        <f>('L-Values'!M97*'D(Ti_Cherniak) Times'!$F97*0.000001)^2/(4*'D(Ti_Cherniak) Times'!$C97)/(365.35*24*3600)</f>
        <v>561.05649834971848</v>
      </c>
      <c r="R97" s="2">
        <f>('L-Values'!N97*'D(Ti_Cherniak) Times'!$F97*0.000001)^2/(4*'D(Ti_Cherniak) Times'!$C97)/(365.35*24*3600)</f>
        <v>2079.4084156301983</v>
      </c>
      <c r="S97" s="2">
        <f>('L-Values'!O97*'D(Ti_Cherniak) Times'!$F97*0.000001)^2/(4*'D(Ti_Cherniak) Times'!$C97)/(365.35*24*3600)</f>
        <v>1476.9805858077598</v>
      </c>
      <c r="T97" s="2"/>
      <c r="U97" s="2">
        <f>('L-Values'!Q97*'D(Ti_Cherniak) Times'!$F97*0.000001)^2/(4*'D(Ti_Cherniak) Times'!$C97)/(365.35*24*3600)</f>
        <v>1225.6294664759512</v>
      </c>
      <c r="V97" s="2">
        <f>('L-Values'!R97*'D(Ti_Cherniak) Times'!$F97*0.000001)^2/(4*'D(Ti_Cherniak) Times'!$C97)/(365.35*24*3600)</f>
        <v>1107.8503380717009</v>
      </c>
      <c r="W97" s="2">
        <f>('L-Values'!S97*'D(Ti_Cherniak) Times'!$F97*0.000001)^2/(4*'D(Ti_Cherniak) Times'!$C97)/(365.35*24*3600)</f>
        <v>1392.8332323421953</v>
      </c>
      <c r="X97" s="2"/>
      <c r="Y97" s="2">
        <f>('L-Values'!U97*'D(Ti_Cherniak) Times'!$F97*0.000001)^2/(4*'D(Ti_Cherniak) Times'!$C97)/(365.35*24*3600)</f>
        <v>1190.9765919149409</v>
      </c>
      <c r="Z97" s="2">
        <f>('L-Values'!V97*'D(Ti_Cherniak) Times'!$F97*0.000001)^2/(4*'D(Ti_Cherniak) Times'!$C97)/(365.35*24*3600)</f>
        <v>1287.0529945926205</v>
      </c>
      <c r="AA97" s="2">
        <f>('L-Values'!W97*'D(Ti_Cherniak) Times'!$F97*0.000001)^2/(4*'D(Ti_Cherniak) Times'!$C97)/(365.35*24*3600)</f>
        <v>206.41736739255288</v>
      </c>
      <c r="AB97" s="2">
        <f>('L-Values'!X97*'D(Ti_Cherniak) Times'!$F97*0.000001)^2/(4*'D(Ti_Cherniak) Times'!$C97)/(365.35*24*3600)</f>
        <v>3767.7531544195131</v>
      </c>
      <c r="AC97" s="2">
        <f t="shared" si="6"/>
        <v>1080.6356272000676</v>
      </c>
      <c r="AD97" s="2">
        <f t="shared" si="7"/>
        <v>2480.7001598268926</v>
      </c>
    </row>
    <row r="98" spans="1:30" x14ac:dyDescent="0.2">
      <c r="A98" t="str">
        <f>'L-Values'!A98</f>
        <v>CGI005-qtz12-CL-fit-4-offset</v>
      </c>
      <c r="B98">
        <v>750</v>
      </c>
      <c r="C98">
        <f t="shared" si="4"/>
        <v>8.0537892000481889E-22</v>
      </c>
      <c r="D98">
        <v>2700</v>
      </c>
      <c r="E98">
        <v>1024</v>
      </c>
      <c r="F98">
        <f t="shared" si="5"/>
        <v>2.63671875</v>
      </c>
      <c r="I98" s="2">
        <f>('L-Values'!E98*'D(Ti_Cherniak) Times'!$F98*0.000001)^2/(4*'D(Ti_Cherniak) Times'!$C98)/(365.35*24*3600)</f>
        <v>103.3081404275043</v>
      </c>
      <c r="J98" s="2">
        <f>('L-Values'!F98*'D(Ti_Cherniak) Times'!$F98*0.000001)^2/(4*'D(Ti_Cherniak) Times'!$C98)/(365.35*24*3600)</f>
        <v>105.14450680889313</v>
      </c>
      <c r="K98" s="2">
        <f>('L-Values'!G98*'D(Ti_Cherniak) Times'!$F98*0.000001)^2/(4*'D(Ti_Cherniak) Times'!$C98)/(365.35*24*3600)</f>
        <v>132.57079664874851</v>
      </c>
      <c r="L98" s="2">
        <f>('L-Values'!H98*'D(Ti_Cherniak) Times'!$F98*0.000001)^2/(4*'D(Ti_Cherniak) Times'!$C98)/(365.35*24*3600)</f>
        <v>125.72165921016584</v>
      </c>
      <c r="M98" s="2">
        <f>('L-Values'!I98*'D(Ti_Cherniak) Times'!$F98*0.000001)^2/(4*'D(Ti_Cherniak) Times'!$C98)/(365.35*24*3600)</f>
        <v>171.12415510760715</v>
      </c>
      <c r="N98" s="2">
        <f>('L-Values'!J98*'D(Ti_Cherniak) Times'!$F98*0.000001)^2/(4*'D(Ti_Cherniak) Times'!$C98)/(365.35*24*3600)</f>
        <v>167.25096706782051</v>
      </c>
      <c r="O98" s="2">
        <f>('L-Values'!K98*'D(Ti_Cherniak) Times'!$F98*0.000001)^2/(4*'D(Ti_Cherniak) Times'!$C98)/(365.35*24*3600)</f>
        <v>122.10830640208974</v>
      </c>
      <c r="P98" s="2">
        <f>('L-Values'!L98*'D(Ti_Cherniak) Times'!$F98*0.000001)^2/(4*'D(Ti_Cherniak) Times'!$C98)/(365.35*24*3600)</f>
        <v>84.468882522938685</v>
      </c>
      <c r="Q98" s="2">
        <f>('L-Values'!M98*'D(Ti_Cherniak) Times'!$F98*0.000001)^2/(4*'D(Ti_Cherniak) Times'!$C98)/(365.35*24*3600)</f>
        <v>114.06838150578599</v>
      </c>
      <c r="R98" s="2">
        <f>('L-Values'!N98*'D(Ti_Cherniak) Times'!$F98*0.000001)^2/(4*'D(Ti_Cherniak) Times'!$C98)/(365.35*24*3600)</f>
        <v>149.21990017046917</v>
      </c>
      <c r="S98" s="2">
        <f>('L-Values'!O98*'D(Ti_Cherniak) Times'!$F98*0.000001)^2/(4*'D(Ti_Cherniak) Times'!$C98)/(365.35*24*3600)</f>
        <v>168.86131021687379</v>
      </c>
      <c r="T98" s="2"/>
      <c r="U98" s="2">
        <f>('L-Values'!Q98*'D(Ti_Cherniak) Times'!$F98*0.000001)^2/(4*'D(Ti_Cherniak) Times'!$C98)/(365.35*24*3600)</f>
        <v>152.28790225562818</v>
      </c>
      <c r="V98" s="2">
        <f>('L-Values'!R98*'D(Ti_Cherniak) Times'!$F98*0.000001)^2/(4*'D(Ti_Cherniak) Times'!$C98)/(365.35*24*3600)</f>
        <v>129.73215665495309</v>
      </c>
      <c r="W98" s="2">
        <f>('L-Values'!S98*'D(Ti_Cherniak) Times'!$F98*0.000001)^2/(4*'D(Ti_Cherniak) Times'!$C98)/(365.35*24*3600)</f>
        <v>125.72165921016584</v>
      </c>
      <c r="X98" s="2"/>
      <c r="Y98" s="2">
        <f>('L-Values'!U98*'D(Ti_Cherniak) Times'!$F98*0.000001)^2/(4*'D(Ti_Cherniak) Times'!$C98)/(365.35*24*3600)</f>
        <v>143.20252966908811</v>
      </c>
      <c r="Z98" s="2">
        <f>('L-Values'!V98*'D(Ti_Cherniak) Times'!$F98*0.000001)^2/(4*'D(Ti_Cherniak) Times'!$C98)/(365.35*24*3600)</f>
        <v>139.46194757571331</v>
      </c>
      <c r="AA98" s="2">
        <f>('L-Values'!W98*'D(Ti_Cherniak) Times'!$F98*0.000001)^2/(4*'D(Ti_Cherniak) Times'!$C98)/(365.35*24*3600)</f>
        <v>9.057927761227754</v>
      </c>
      <c r="AB98" s="2">
        <f>('L-Values'!X98*'D(Ti_Cherniak) Times'!$F98*0.000001)^2/(4*'D(Ti_Cherniak) Times'!$C98)/(365.35*24*3600)</f>
        <v>288.38511568453157</v>
      </c>
      <c r="AC98" s="2">
        <f t="shared" si="6"/>
        <v>130.40401981448557</v>
      </c>
      <c r="AD98" s="2">
        <f t="shared" si="7"/>
        <v>148.92316810881826</v>
      </c>
    </row>
    <row r="99" spans="1:30" x14ac:dyDescent="0.2">
      <c r="A99" t="str">
        <f>'L-Values'!A99</f>
        <v>CGI008-qtz01-CL-fit-1-offset</v>
      </c>
      <c r="B99">
        <v>750</v>
      </c>
      <c r="C99">
        <f t="shared" si="4"/>
        <v>8.0537892000481889E-22</v>
      </c>
      <c r="D99">
        <v>1500</v>
      </c>
      <c r="E99">
        <v>1024</v>
      </c>
      <c r="F99">
        <f t="shared" si="5"/>
        <v>1.46484375</v>
      </c>
      <c r="I99" s="2">
        <f>('L-Values'!E99*'D(Ti_Cherniak) Times'!$F99*0.000001)^2/(4*'D(Ti_Cherniak) Times'!$C99)/(365.35*24*3600)</f>
        <v>208.08696443530187</v>
      </c>
      <c r="J99" s="2">
        <f>('L-Values'!F99*'D(Ti_Cherniak) Times'!$F99*0.000001)^2/(4*'D(Ti_Cherniak) Times'!$C99)/(365.35*24*3600)</f>
        <v>199.32476356584826</v>
      </c>
      <c r="K99" s="2">
        <f>('L-Values'!G99*'D(Ti_Cherniak) Times'!$F99*0.000001)^2/(4*'D(Ti_Cherniak) Times'!$C99)/(365.35*24*3600)</f>
        <v>54.035427365792501</v>
      </c>
      <c r="L99" s="2">
        <f>('L-Values'!H99*'D(Ti_Cherniak) Times'!$F99*0.000001)^2/(4*'D(Ti_Cherniak) Times'!$C99)/(365.35*24*3600)</f>
        <v>51.371901732490514</v>
      </c>
      <c r="M99" s="2">
        <f>('L-Values'!I99*'D(Ti_Cherniak) Times'!$F99*0.000001)^2/(4*'D(Ti_Cherniak) Times'!$C99)/(365.35*24*3600)</f>
        <v>134.89946539276175</v>
      </c>
      <c r="N99" s="2">
        <f>('L-Values'!J99*'D(Ti_Cherniak) Times'!$F99*0.000001)^2/(4*'D(Ti_Cherniak) Times'!$C99)/(365.35*24*3600)</f>
        <v>130.81636649209733</v>
      </c>
      <c r="O99" s="2">
        <f>('L-Values'!K99*'D(Ti_Cherniak) Times'!$F99*0.000001)^2/(4*'D(Ti_Cherniak) Times'!$C99)/(365.35*24*3600)</f>
        <v>506.99839097047584</v>
      </c>
      <c r="P99" s="2">
        <f>('L-Values'!L99*'D(Ti_Cherniak) Times'!$F99*0.000001)^2/(4*'D(Ti_Cherniak) Times'!$C99)/(365.35*24*3600)</f>
        <v>525.80767521994676</v>
      </c>
      <c r="Q99" s="2">
        <f>('L-Values'!M99*'D(Ti_Cherniak) Times'!$F99*0.000001)^2/(4*'D(Ti_Cherniak) Times'!$C99)/(365.35*24*3600)</f>
        <v>749.6424306595834</v>
      </c>
      <c r="R99" s="2">
        <f>('L-Values'!N99*'D(Ti_Cherniak) Times'!$F99*0.000001)^2/(4*'D(Ti_Cherniak) Times'!$C99)/(365.35*24*3600)</f>
        <v>362.78080763065208</v>
      </c>
      <c r="S99" s="2">
        <f>('L-Values'!O99*'D(Ti_Cherniak) Times'!$F99*0.000001)^2/(4*'D(Ti_Cherniak) Times'!$C99)/(365.35*24*3600)</f>
        <v>236.76489605126196</v>
      </c>
      <c r="T99" s="2"/>
      <c r="U99" s="2">
        <f>('L-Values'!Q99*'D(Ti_Cherniak) Times'!$F99*0.000001)^2/(4*'D(Ti_Cherniak) Times'!$C99)/(365.35*24*3600)</f>
        <v>236.0312058732525</v>
      </c>
      <c r="V99" s="2">
        <f>('L-Values'!R99*'D(Ti_Cherniak) Times'!$F99*0.000001)^2/(4*'D(Ti_Cherniak) Times'!$C99)/(365.35*24*3600)</f>
        <v>248.41936420583974</v>
      </c>
      <c r="W99" s="2">
        <f>('L-Values'!S99*'D(Ti_Cherniak) Times'!$F99*0.000001)^2/(4*'D(Ti_Cherniak) Times'!$C99)/(365.35*24*3600)</f>
        <v>208.08696443530187</v>
      </c>
      <c r="X99" s="2"/>
      <c r="Y99" s="2">
        <f>('L-Values'!U99*'D(Ti_Cherniak) Times'!$F99*0.000001)^2/(4*'D(Ti_Cherniak) Times'!$C99)/(365.35*24*3600)</f>
        <v>227.37712557037401</v>
      </c>
      <c r="Z99" s="2">
        <f>('L-Values'!V99*'D(Ti_Cherniak) Times'!$F99*0.000001)^2/(4*'D(Ti_Cherniak) Times'!$C99)/(365.35*24*3600)</f>
        <v>250.1094831239451</v>
      </c>
      <c r="AA99" s="2">
        <f>('L-Values'!W99*'D(Ti_Cherniak) Times'!$F99*0.000001)^2/(4*'D(Ti_Cherniak) Times'!$C99)/(365.35*24*3600)</f>
        <v>55.008598973257264</v>
      </c>
      <c r="AB99" s="2">
        <f>('L-Values'!X99*'D(Ti_Cherniak) Times'!$F99*0.000001)^2/(4*'D(Ti_Cherniak) Times'!$C99)/(365.35*24*3600)</f>
        <v>845.46468611340811</v>
      </c>
      <c r="AC99" s="2">
        <f t="shared" si="6"/>
        <v>195.10088415068782</v>
      </c>
      <c r="AD99" s="2">
        <f t="shared" si="7"/>
        <v>595.35520298946301</v>
      </c>
    </row>
    <row r="100" spans="1:30" x14ac:dyDescent="0.2">
      <c r="A100" t="str">
        <f>'L-Values'!A100</f>
        <v>CGI008-qtz01-CL-fit-2-offset</v>
      </c>
      <c r="B100">
        <v>750</v>
      </c>
      <c r="C100">
        <f t="shared" si="4"/>
        <v>8.0537892000481889E-22</v>
      </c>
      <c r="D100">
        <v>1500</v>
      </c>
      <c r="E100">
        <v>1024</v>
      </c>
      <c r="F100">
        <f t="shared" si="5"/>
        <v>1.46484375</v>
      </c>
      <c r="I100" s="2">
        <f>('L-Values'!E100*'D(Ti_Cherniak) Times'!$F100*0.000001)^2/(4*'D(Ti_Cherniak) Times'!$C100)/(365.35*24*3600)</f>
        <v>326.00979608699669</v>
      </c>
      <c r="J100" s="2">
        <f>('L-Values'!F100*'D(Ti_Cherniak) Times'!$F100*0.000001)^2/(4*'D(Ti_Cherniak) Times'!$C100)/(365.35*24*3600)</f>
        <v>81.024737992954201</v>
      </c>
      <c r="K100" s="2">
        <f>('L-Values'!G100*'D(Ti_Cherniak) Times'!$F100*0.000001)^2/(4*'D(Ti_Cherniak) Times'!$C100)/(365.35*24*3600)</f>
        <v>885.63266096751579</v>
      </c>
      <c r="L100" s="2">
        <f>('L-Values'!H100*'D(Ti_Cherniak) Times'!$F100*0.000001)^2/(4*'D(Ti_Cherniak) Times'!$C100)/(365.35*24*3600)</f>
        <v>204.24637879721971</v>
      </c>
      <c r="M100" s="2">
        <f>('L-Values'!I100*'D(Ti_Cherniak) Times'!$F100*0.000001)^2/(4*'D(Ti_Cherniak) Times'!$C100)/(365.35*24*3600)</f>
        <v>16.649707909142595</v>
      </c>
      <c r="N100" s="2">
        <f>('L-Values'!J100*'D(Ti_Cherniak) Times'!$F100*0.000001)^2/(4*'D(Ti_Cherniak) Times'!$C100)/(365.35*24*3600)</f>
        <v>1775.4623886330833</v>
      </c>
      <c r="O100" s="2">
        <f>('L-Values'!K100*'D(Ti_Cherniak) Times'!$F100*0.000001)^2/(4*'D(Ti_Cherniak) Times'!$C100)/(365.35*24*3600)</f>
        <v>256.12010894028816</v>
      </c>
      <c r="P100" s="2">
        <f>('L-Values'!L100*'D(Ti_Cherniak) Times'!$F100*0.000001)^2/(4*'D(Ti_Cherniak) Times'!$C100)/(365.35*24*3600)</f>
        <v>767.61237578742225</v>
      </c>
      <c r="Q100" s="2">
        <f>('L-Values'!M100*'D(Ti_Cherniak) Times'!$F100*0.000001)^2/(4*'D(Ti_Cherniak) Times'!$C100)/(365.35*24*3600)</f>
        <v>843.7829198027116</v>
      </c>
      <c r="R100" s="2">
        <f>('L-Values'!N100*'D(Ti_Cherniak) Times'!$F100*0.000001)^2/(4*'D(Ti_Cherniak) Times'!$C100)/(365.35*24*3600)</f>
        <v>803.41357148868121</v>
      </c>
      <c r="S100" s="2">
        <f>('L-Values'!O100*'D(Ti_Cherniak) Times'!$F100*0.000001)^2/(4*'D(Ti_Cherniak) Times'!$C100)/(365.35*24*3600)</f>
        <v>335.17556283347574</v>
      </c>
      <c r="T100" s="2"/>
      <c r="U100" s="2">
        <f>('L-Values'!Q100*'D(Ti_Cherniak) Times'!$F100*0.000001)^2/(4*'D(Ti_Cherniak) Times'!$C100)/(365.35*24*3600)</f>
        <v>413.40613967190785</v>
      </c>
      <c r="V100" s="2">
        <f>('L-Values'!R100*'D(Ti_Cherniak) Times'!$F100*0.000001)^2/(4*'D(Ti_Cherniak) Times'!$C100)/(365.35*24*3600)</f>
        <v>463.16784842349591</v>
      </c>
      <c r="W100" s="2">
        <f>('L-Values'!S100*'D(Ti_Cherniak) Times'!$F100*0.000001)^2/(4*'D(Ti_Cherniak) Times'!$C100)/(365.35*24*3600)</f>
        <v>335.17556283347574</v>
      </c>
      <c r="X100" s="2"/>
      <c r="Y100" s="2">
        <f>('L-Values'!U100*'D(Ti_Cherniak) Times'!$F100*0.000001)^2/(4*'D(Ti_Cherniak) Times'!$C100)/(365.35*24*3600)</f>
        <v>424.04966736226976</v>
      </c>
      <c r="Z100" s="2">
        <f>('L-Values'!V100*'D(Ti_Cherniak) Times'!$F100*0.000001)^2/(4*'D(Ti_Cherniak) Times'!$C100)/(365.35*24*3600)</f>
        <v>403.53933113582457</v>
      </c>
      <c r="AA100" s="2">
        <f>('L-Values'!W100*'D(Ti_Cherniak) Times'!$F100*0.000001)^2/(4*'D(Ti_Cherniak) Times'!$C100)/(365.35*24*3600)</f>
        <v>0.94095591880140683</v>
      </c>
      <c r="AB100" s="2">
        <f>('L-Values'!X100*'D(Ti_Cherniak) Times'!$F100*0.000001)^2/(4*'D(Ti_Cherniak) Times'!$C100)/(365.35*24*3600)</f>
        <v>1890.1743757014565</v>
      </c>
      <c r="AC100" s="2">
        <f t="shared" si="6"/>
        <v>402.59837521702315</v>
      </c>
      <c r="AD100" s="2">
        <f t="shared" si="7"/>
        <v>1486.6350445656319</v>
      </c>
    </row>
    <row r="101" spans="1:30" x14ac:dyDescent="0.2">
      <c r="A101" t="str">
        <f>'L-Values'!A101</f>
        <v>CGI008-qtz01-CL-fit-3-offset</v>
      </c>
      <c r="B101">
        <v>750</v>
      </c>
      <c r="C101">
        <f t="shared" si="4"/>
        <v>8.0537892000481889E-22</v>
      </c>
      <c r="D101">
        <v>1500</v>
      </c>
      <c r="E101">
        <v>1024</v>
      </c>
      <c r="F101">
        <f t="shared" si="5"/>
        <v>1.46484375</v>
      </c>
      <c r="I101" s="2">
        <f>('L-Values'!E101*'D(Ti_Cherniak) Times'!$F101*0.000001)^2/(4*'D(Ti_Cherniak) Times'!$C101)/(365.35*24*3600)</f>
        <v>327.03584462879576</v>
      </c>
      <c r="J101" s="2">
        <f>('L-Values'!F101*'D(Ti_Cherniak) Times'!$F101*0.000001)^2/(4*'D(Ti_Cherniak) Times'!$C101)/(365.35*24*3600)</f>
        <v>681.37137532590691</v>
      </c>
      <c r="K101" s="2">
        <f>('L-Values'!G101*'D(Ti_Cherniak) Times'!$F101*0.000001)^2/(4*'D(Ti_Cherniak) Times'!$C101)/(365.35*24*3600)</f>
        <v>312.36310249376982</v>
      </c>
      <c r="L101" s="2">
        <f>('L-Values'!H101*'D(Ti_Cherniak) Times'!$F101*0.000001)^2/(4*'D(Ti_Cherniak) Times'!$C101)/(365.35*24*3600)</f>
        <v>450.73715612359302</v>
      </c>
      <c r="M101" s="2">
        <f>('L-Values'!I101*'D(Ti_Cherniak) Times'!$F101*0.000001)^2/(4*'D(Ti_Cherniak) Times'!$C101)/(365.35*24*3600)</f>
        <v>477.57247680881295</v>
      </c>
      <c r="N101" s="2">
        <f>('L-Values'!J101*'D(Ti_Cherniak) Times'!$F101*0.000001)^2/(4*'D(Ti_Cherniak) Times'!$C101)/(365.35*24*3600)</f>
        <v>373.76656117053932</v>
      </c>
      <c r="O101" s="2">
        <f>('L-Values'!K101*'D(Ti_Cherniak) Times'!$F101*0.000001)^2/(4*'D(Ti_Cherniak) Times'!$C101)/(365.35*24*3600)</f>
        <v>1489.5333248852614</v>
      </c>
      <c r="P101" s="2">
        <f>('L-Values'!L101*'D(Ti_Cherniak) Times'!$F101*0.000001)^2/(4*'D(Ti_Cherniak) Times'!$C101)/(365.35*24*3600)</f>
        <v>749.35078231964235</v>
      </c>
      <c r="Q101" s="2">
        <f>('L-Values'!M101*'D(Ti_Cherniak) Times'!$F101*0.000001)^2/(4*'D(Ti_Cherniak) Times'!$C101)/(365.35*24*3600)</f>
        <v>888.13576605925209</v>
      </c>
      <c r="R101" s="2">
        <f>('L-Values'!N101*'D(Ti_Cherniak) Times'!$F101*0.000001)^2/(4*'D(Ti_Cherniak) Times'!$C101)/(365.35*24*3600)</f>
        <v>979.76014207451408</v>
      </c>
      <c r="S101" s="2">
        <f>('L-Values'!O101*'D(Ti_Cherniak) Times'!$F101*0.000001)^2/(4*'D(Ti_Cherniak) Times'!$C101)/(365.35*24*3600)</f>
        <v>433.39659290096972</v>
      </c>
      <c r="T101" s="2"/>
      <c r="U101" s="2">
        <f>('L-Values'!Q101*'D(Ti_Cherniak) Times'!$F101*0.000001)^2/(4*'D(Ti_Cherniak) Times'!$C101)/(365.35*24*3600)</f>
        <v>585.3273947720063</v>
      </c>
      <c r="V101" s="2">
        <f>('L-Values'!R101*'D(Ti_Cherniak) Times'!$F101*0.000001)^2/(4*'D(Ti_Cherniak) Times'!$C101)/(365.35*24*3600)</f>
        <v>612.19228951407638</v>
      </c>
      <c r="W101" s="2">
        <f>('L-Values'!S101*'D(Ti_Cherniak) Times'!$F101*0.000001)^2/(4*'D(Ti_Cherniak) Times'!$C101)/(365.35*24*3600)</f>
        <v>477.57247680881295</v>
      </c>
      <c r="X101" s="2"/>
      <c r="Y101" s="2">
        <f>('L-Values'!U101*'D(Ti_Cherniak) Times'!$F101*0.000001)^2/(4*'D(Ti_Cherniak) Times'!$C101)/(365.35*24*3600)</f>
        <v>602.9999120351905</v>
      </c>
      <c r="Z101" s="2">
        <f>('L-Values'!V101*'D(Ti_Cherniak) Times'!$F101*0.000001)^2/(4*'D(Ti_Cherniak) Times'!$C101)/(365.35*24*3600)</f>
        <v>579.39145564670775</v>
      </c>
      <c r="AA101" s="2">
        <f>('L-Values'!W101*'D(Ti_Cherniak) Times'!$F101*0.000001)^2/(4*'D(Ti_Cherniak) Times'!$C101)/(365.35*24*3600)</f>
        <v>185.05423009567028</v>
      </c>
      <c r="AB101" s="2">
        <f>('L-Values'!X101*'D(Ti_Cherniak) Times'!$F101*0.000001)^2/(4*'D(Ti_Cherniak) Times'!$C101)/(365.35*24*3600)</f>
        <v>1134.2937857961126</v>
      </c>
      <c r="AC101" s="2">
        <f t="shared" si="6"/>
        <v>394.33722555103748</v>
      </c>
      <c r="AD101" s="2">
        <f t="shared" si="7"/>
        <v>554.90233014940486</v>
      </c>
    </row>
    <row r="102" spans="1:30" x14ac:dyDescent="0.2">
      <c r="A102" t="str">
        <f>'L-Values'!A102</f>
        <v>CGI008-qtz01-CL-fit-4-offset</v>
      </c>
      <c r="B102">
        <v>750</v>
      </c>
      <c r="C102">
        <f t="shared" si="4"/>
        <v>8.0537892000481889E-22</v>
      </c>
      <c r="D102">
        <v>1500</v>
      </c>
      <c r="E102">
        <v>1024</v>
      </c>
      <c r="F102">
        <f t="shared" si="5"/>
        <v>1.46484375</v>
      </c>
      <c r="I102" s="2">
        <f>('L-Values'!E102*'D(Ti_Cherniak) Times'!$F102*0.000001)^2/(4*'D(Ti_Cherniak) Times'!$C102)/(365.35*24*3600)</f>
        <v>4.842502941829834E-4</v>
      </c>
      <c r="J102" s="2">
        <f>('L-Values'!F102*'D(Ti_Cherniak) Times'!$F102*0.000001)^2/(4*'D(Ti_Cherniak) Times'!$C102)/(365.35*24*3600)</f>
        <v>3.4735834634480005</v>
      </c>
      <c r="K102" s="2">
        <f>('L-Values'!G102*'D(Ti_Cherniak) Times'!$F102*0.000001)^2/(4*'D(Ti_Cherniak) Times'!$C102)/(365.35*24*3600)</f>
        <v>6.3106712535689606</v>
      </c>
      <c r="L102" s="2">
        <f>('L-Values'!H102*'D(Ti_Cherniak) Times'!$F102*0.000001)^2/(4*'D(Ti_Cherniak) Times'!$C102)/(365.35*24*3600)</f>
        <v>87.706379837275108</v>
      </c>
      <c r="M102" s="2">
        <f>('L-Values'!I102*'D(Ti_Cherniak) Times'!$F102*0.000001)^2/(4*'D(Ti_Cherniak) Times'!$C102)/(365.35*24*3600)</f>
        <v>64.804268676147146</v>
      </c>
      <c r="N102" s="2">
        <f>('L-Values'!J102*'D(Ti_Cherniak) Times'!$F102*0.000001)^2/(4*'D(Ti_Cherniak) Times'!$C102)/(365.35*24*3600)</f>
        <v>123.1860322173634</v>
      </c>
      <c r="O102" s="2">
        <f>('L-Values'!K102*'D(Ti_Cherniak) Times'!$F102*0.000001)^2/(4*'D(Ti_Cherniak) Times'!$C102)/(365.35*24*3600)</f>
        <v>42.186843437577295</v>
      </c>
      <c r="P102" s="2">
        <f>('L-Values'!L102*'D(Ti_Cherniak) Times'!$F102*0.000001)^2/(4*'D(Ti_Cherniak) Times'!$C102)/(365.35*24*3600)</f>
        <v>18.908352366220548</v>
      </c>
      <c r="Q102" s="2">
        <f>('L-Values'!M102*'D(Ti_Cherniak) Times'!$F102*0.000001)^2/(4*'D(Ti_Cherniak) Times'!$C102)/(365.35*24*3600)</f>
        <v>5.4232339672613712E-4</v>
      </c>
      <c r="R102" s="2">
        <f>('L-Values'!N102*'D(Ti_Cherniak) Times'!$F102*0.000001)^2/(4*'D(Ti_Cherniak) Times'!$C102)/(365.35*24*3600)</f>
        <v>175.06720532066618</v>
      </c>
      <c r="S102" s="2">
        <f>('L-Values'!O102*'D(Ti_Cherniak) Times'!$F102*0.000001)^2/(4*'D(Ti_Cherniak) Times'!$C102)/(365.35*24*3600)</f>
        <v>264.80819740911255</v>
      </c>
      <c r="T102" s="2"/>
      <c r="U102" s="2">
        <f>('L-Values'!Q102*'D(Ti_Cherniak) Times'!$F102*0.000001)^2/(4*'D(Ti_Cherniak) Times'!$C102)/(365.35*24*3600)</f>
        <v>111.46841156395654</v>
      </c>
      <c r="V102" s="2">
        <f>('L-Values'!R102*'D(Ti_Cherniak) Times'!$F102*0.000001)^2/(4*'D(Ti_Cherniak) Times'!$C102)/(365.35*24*3600)</f>
        <v>44.3835650177639</v>
      </c>
      <c r="W102" s="2">
        <f>('L-Values'!S102*'D(Ti_Cherniak) Times'!$F102*0.000001)^2/(4*'D(Ti_Cherniak) Times'!$C102)/(365.35*24*3600)</f>
        <v>42.186843437577295</v>
      </c>
      <c r="X102" s="2"/>
      <c r="Y102" s="2">
        <f>('L-Values'!U102*'D(Ti_Cherniak) Times'!$F102*0.000001)^2/(4*'D(Ti_Cherniak) Times'!$C102)/(365.35*24*3600)</f>
        <v>78.751440894639799</v>
      </c>
      <c r="Z102" s="2">
        <f>('L-Values'!V102*'D(Ti_Cherniak) Times'!$F102*0.000001)^2/(4*'D(Ti_Cherniak) Times'!$C102)/(365.35*24*3600)</f>
        <v>73.787801490995136</v>
      </c>
      <c r="AA102" s="2">
        <f>('L-Values'!W102*'D(Ti_Cherniak) Times'!$F102*0.000001)^2/(4*'D(Ti_Cherniak) Times'!$C102)/(365.35*24*3600)</f>
        <v>9.3358262296760058E-2</v>
      </c>
      <c r="AB102" s="2">
        <f>('L-Values'!X102*'D(Ti_Cherniak) Times'!$F102*0.000001)^2/(4*'D(Ti_Cherniak) Times'!$C102)/(365.35*24*3600)</f>
        <v>341.33154044227939</v>
      </c>
      <c r="AC102" s="2">
        <f t="shared" si="6"/>
        <v>73.694443228698375</v>
      </c>
      <c r="AD102" s="2">
        <f t="shared" si="7"/>
        <v>267.54373895128424</v>
      </c>
    </row>
    <row r="103" spans="1:30" x14ac:dyDescent="0.2">
      <c r="A103" t="str">
        <f>'L-Values'!A103</f>
        <v>CGI008-qtz01-CL-fit-5-offset</v>
      </c>
      <c r="B103">
        <v>750</v>
      </c>
      <c r="C103">
        <f t="shared" si="4"/>
        <v>8.0537892000481889E-22</v>
      </c>
      <c r="D103">
        <v>1500</v>
      </c>
      <c r="E103">
        <v>1024</v>
      </c>
      <c r="F103">
        <f t="shared" si="5"/>
        <v>1.46484375</v>
      </c>
      <c r="I103" s="2">
        <f>('L-Values'!E103*'D(Ti_Cherniak) Times'!$F103*0.000001)^2/(4*'D(Ti_Cherniak) Times'!$C103)/(365.35*24*3600)</f>
        <v>39.463599063120377</v>
      </c>
      <c r="J103" s="2">
        <f>('L-Values'!F103*'D(Ti_Cherniak) Times'!$F103*0.000001)^2/(4*'D(Ti_Cherniak) Times'!$C103)/(365.35*24*3600)</f>
        <v>23.469959926233301</v>
      </c>
      <c r="K103" s="2">
        <f>('L-Values'!G103*'D(Ti_Cherniak) Times'!$F103*0.000001)^2/(4*'D(Ti_Cherniak) Times'!$C103)/(365.35*24*3600)</f>
        <v>33.013681152496623</v>
      </c>
      <c r="L103" s="2">
        <f>('L-Values'!H103*'D(Ti_Cherniak) Times'!$F103*0.000001)^2/(4*'D(Ti_Cherniak) Times'!$C103)/(365.35*24*3600)</f>
        <v>21.704623107955644</v>
      </c>
      <c r="M103" s="2">
        <f>('L-Values'!I103*'D(Ti_Cherniak) Times'!$F103*0.000001)^2/(4*'D(Ti_Cherniak) Times'!$C103)/(365.35*24*3600)</f>
        <v>13.777970963411809</v>
      </c>
      <c r="N103" s="2">
        <f>('L-Values'!J103*'D(Ti_Cherniak) Times'!$F103*0.000001)^2/(4*'D(Ti_Cherniak) Times'!$C103)/(365.35*24*3600)</f>
        <v>10.441262031130352</v>
      </c>
      <c r="O103" s="2">
        <f>('L-Values'!K103*'D(Ti_Cherniak) Times'!$F103*0.000001)^2/(4*'D(Ti_Cherniak) Times'!$C103)/(365.35*24*3600)</f>
        <v>18.90312776339286</v>
      </c>
      <c r="P103" s="2">
        <f>('L-Values'!L103*'D(Ti_Cherniak) Times'!$F103*0.000001)^2/(4*'D(Ti_Cherniak) Times'!$C103)/(365.35*24*3600)</f>
        <v>18.599960450580109</v>
      </c>
      <c r="Q103" s="2">
        <f>('L-Values'!M103*'D(Ti_Cherniak) Times'!$F103*0.000001)^2/(4*'D(Ti_Cherniak) Times'!$C103)/(365.35*24*3600)</f>
        <v>8.6255587454393368</v>
      </c>
      <c r="R103" s="2">
        <f>('L-Values'!N103*'D(Ti_Cherniak) Times'!$F103*0.000001)^2/(4*'D(Ti_Cherniak) Times'!$C103)/(365.35*24*3600)</f>
        <v>30.066457159741759</v>
      </c>
      <c r="S103" s="2">
        <f>('L-Values'!O103*'D(Ti_Cherniak) Times'!$F103*0.000001)^2/(4*'D(Ti_Cherniak) Times'!$C103)/(365.35*24*3600)</f>
        <v>18.201535059375459</v>
      </c>
      <c r="T103" s="2"/>
      <c r="U103" s="2">
        <f>('L-Values'!Q103*'D(Ti_Cherniak) Times'!$F103*0.000001)^2/(4*'D(Ti_Cherniak) Times'!$C103)/(365.35*24*3600)</f>
        <v>23.228978230519935</v>
      </c>
      <c r="V103" s="2">
        <f>('L-Values'!R103*'D(Ti_Cherniak) Times'!$F103*0.000001)^2/(4*'D(Ti_Cherniak) Times'!$C103)/(365.35*24*3600)</f>
        <v>20.51382523026513</v>
      </c>
      <c r="W103" s="2">
        <f>('L-Values'!S103*'D(Ti_Cherniak) Times'!$F103*0.000001)^2/(4*'D(Ti_Cherniak) Times'!$C103)/(365.35*24*3600)</f>
        <v>18.90312776339286</v>
      </c>
      <c r="X103" s="2"/>
      <c r="Y103" s="2">
        <f>('L-Values'!U103*'D(Ti_Cherniak) Times'!$F103*0.000001)^2/(4*'D(Ti_Cherniak) Times'!$C103)/(365.35*24*3600)</f>
        <v>22.611902556875982</v>
      </c>
      <c r="Z103" s="2">
        <f>('L-Values'!V103*'D(Ti_Cherniak) Times'!$F103*0.000001)^2/(4*'D(Ti_Cherniak) Times'!$C103)/(365.35*24*3600)</f>
        <v>22.947955255301263</v>
      </c>
      <c r="AA103" s="2">
        <f>('L-Values'!W103*'D(Ti_Cherniak) Times'!$F103*0.000001)^2/(4*'D(Ti_Cherniak) Times'!$C103)/(365.35*24*3600)</f>
        <v>1.0800936278943969</v>
      </c>
      <c r="AB103" s="2">
        <f>('L-Values'!X103*'D(Ti_Cherniak) Times'!$F103*0.000001)^2/(4*'D(Ti_Cherniak) Times'!$C103)/(365.35*24*3600)</f>
        <v>61.868233908320498</v>
      </c>
      <c r="AC103" s="2">
        <f t="shared" si="6"/>
        <v>21.867861627406867</v>
      </c>
      <c r="AD103" s="2">
        <f t="shared" si="7"/>
        <v>38.920278653019238</v>
      </c>
    </row>
    <row r="104" spans="1:30" x14ac:dyDescent="0.2">
      <c r="A104" t="str">
        <f>'L-Values'!A104</f>
        <v>CGI008-qtz02-CL-fit-1-offset</v>
      </c>
      <c r="B104">
        <v>750</v>
      </c>
      <c r="C104">
        <f t="shared" si="4"/>
        <v>8.0537892000481889E-22</v>
      </c>
      <c r="D104">
        <v>2400</v>
      </c>
      <c r="E104">
        <v>1024</v>
      </c>
      <c r="F104">
        <f t="shared" si="5"/>
        <v>2.34375</v>
      </c>
      <c r="I104" s="2">
        <f>('L-Values'!E104*'D(Ti_Cherniak) Times'!$F104*0.000001)^2/(4*'D(Ti_Cherniak) Times'!$C104)/(365.35*24*3600)</f>
        <v>3801.8249369644032</v>
      </c>
      <c r="J104" s="2">
        <f>('L-Values'!F104*'D(Ti_Cherniak) Times'!$F104*0.000001)^2/(4*'D(Ti_Cherniak) Times'!$C104)/(365.35*24*3600)</f>
        <v>2333.371053501754</v>
      </c>
      <c r="K104" s="2">
        <f>('L-Values'!G104*'D(Ti_Cherniak) Times'!$F104*0.000001)^2/(4*'D(Ti_Cherniak) Times'!$C104)/(365.35*24*3600)</f>
        <v>1873.3103077068274</v>
      </c>
      <c r="L104" s="2">
        <f>('L-Values'!H104*'D(Ti_Cherniak) Times'!$F104*0.000001)^2/(4*'D(Ti_Cherniak) Times'!$C104)/(365.35*24*3600)</f>
        <v>5092.9884167238515</v>
      </c>
      <c r="M104" s="2">
        <f>('L-Values'!I104*'D(Ti_Cherniak) Times'!$F104*0.000001)^2/(4*'D(Ti_Cherniak) Times'!$C104)/(365.35*24*3600)</f>
        <v>2328.7196645992972</v>
      </c>
      <c r="N104" s="2">
        <f>('L-Values'!J104*'D(Ti_Cherniak) Times'!$F104*0.000001)^2/(4*'D(Ti_Cherniak) Times'!$C104)/(365.35*24*3600)</f>
        <v>1743.1257962200043</v>
      </c>
      <c r="O104" s="2">
        <f>('L-Values'!K104*'D(Ti_Cherniak) Times'!$F104*0.000001)^2/(4*'D(Ti_Cherniak) Times'!$C104)/(365.35*24*3600)</f>
        <v>2.5873565399989218</v>
      </c>
      <c r="P104" s="2">
        <f>('L-Values'!L104*'D(Ti_Cherniak) Times'!$F104*0.000001)^2/(4*'D(Ti_Cherniak) Times'!$C104)/(365.35*24*3600)</f>
        <v>3.8908953691044559</v>
      </c>
      <c r="Q104" s="2">
        <f>('L-Values'!M104*'D(Ti_Cherniak) Times'!$F104*0.000001)^2/(4*'D(Ti_Cherniak) Times'!$C104)/(365.35*24*3600)</f>
        <v>2309.0349969408453</v>
      </c>
      <c r="R104" s="2">
        <f>('L-Values'!N104*'D(Ti_Cherniak) Times'!$F104*0.000001)^2/(4*'D(Ti_Cherniak) Times'!$C104)/(365.35*24*3600)</f>
        <v>1309.0398329660593</v>
      </c>
      <c r="S104" s="2">
        <f>('L-Values'!O104*'D(Ti_Cherniak) Times'!$F104*0.000001)^2/(4*'D(Ti_Cherniak) Times'!$C104)/(365.35*24*3600)</f>
        <v>502.44685987886925</v>
      </c>
      <c r="T104" s="2"/>
      <c r="U104" s="2">
        <f>('L-Values'!Q104*'D(Ti_Cherniak) Times'!$F104*0.000001)^2/(4*'D(Ti_Cherniak) Times'!$C104)/(365.35*24*3600)</f>
        <v>2564.7722498949697</v>
      </c>
      <c r="V104" s="2">
        <f>('L-Values'!R104*'D(Ti_Cherniak) Times'!$F104*0.000001)^2/(4*'D(Ti_Cherniak) Times'!$C104)/(365.35*24*3600)</f>
        <v>1491.7001864902325</v>
      </c>
      <c r="W104" s="2">
        <f>('L-Values'!S104*'D(Ti_Cherniak) Times'!$F104*0.000001)^2/(4*'D(Ti_Cherniak) Times'!$C104)/(365.35*24*3600)</f>
        <v>1873.3103077068274</v>
      </c>
      <c r="X104" s="2"/>
      <c r="Y104" s="2">
        <f>('L-Values'!U104*'D(Ti_Cherniak) Times'!$F104*0.000001)^2/(4*'D(Ti_Cherniak) Times'!$C104)/(365.35*24*3600)</f>
        <v>2353.3480527873066</v>
      </c>
      <c r="Z104" s="2">
        <f>('L-Values'!V104*'D(Ti_Cherniak) Times'!$F104*0.000001)^2/(4*'D(Ti_Cherniak) Times'!$C104)/(365.35*24*3600)</f>
        <v>2513.3145608067694</v>
      </c>
      <c r="AA104" s="2">
        <f>('L-Values'!W104*'D(Ti_Cherniak) Times'!$F104*0.000001)^2/(4*'D(Ti_Cherniak) Times'!$C104)/(365.35*24*3600)</f>
        <v>146.50656035527908</v>
      </c>
      <c r="AB104" s="2">
        <f>('L-Values'!X104*'D(Ti_Cherniak) Times'!$F104*0.000001)^2/(4*'D(Ti_Cherniak) Times'!$C104)/(365.35*24*3600)</f>
        <v>8004.3606151797658</v>
      </c>
      <c r="AC104" s="2">
        <f t="shared" si="6"/>
        <v>2366.8080004514904</v>
      </c>
      <c r="AD104" s="2">
        <f t="shared" si="7"/>
        <v>5491.0460543729969</v>
      </c>
    </row>
    <row r="105" spans="1:30" x14ac:dyDescent="0.2">
      <c r="A105" t="str">
        <f>'L-Values'!A105</f>
        <v>CGI008-qtz02-CL-fit-2-offset</v>
      </c>
      <c r="B105">
        <v>750</v>
      </c>
      <c r="C105">
        <f t="shared" si="4"/>
        <v>8.0537892000481889E-22</v>
      </c>
      <c r="D105">
        <v>2400</v>
      </c>
      <c r="E105">
        <v>1024</v>
      </c>
      <c r="F105">
        <f t="shared" si="5"/>
        <v>2.34375</v>
      </c>
      <c r="I105" s="2">
        <f>('L-Values'!E105*'D(Ti_Cherniak) Times'!$F105*0.000001)^2/(4*'D(Ti_Cherniak) Times'!$C105)/(365.35*24*3600)</f>
        <v>6113.476371418571</v>
      </c>
      <c r="J105" s="2">
        <f>('L-Values'!F105*'D(Ti_Cherniak) Times'!$F105*0.000001)^2/(4*'D(Ti_Cherniak) Times'!$C105)/(365.35*24*3600)</f>
        <v>745.04336652794939</v>
      </c>
      <c r="K105" s="2">
        <f>('L-Values'!G105*'D(Ti_Cherniak) Times'!$F105*0.000001)^2/(4*'D(Ti_Cherniak) Times'!$C105)/(365.35*24*3600)</f>
        <v>2815.9478944671891</v>
      </c>
      <c r="L105" s="2">
        <f>('L-Values'!H105*'D(Ti_Cherniak) Times'!$F105*0.000001)^2/(4*'D(Ti_Cherniak) Times'!$C105)/(365.35*24*3600)</f>
        <v>840.76598387969761</v>
      </c>
      <c r="M105" s="2">
        <f>('L-Values'!I105*'D(Ti_Cherniak) Times'!$F105*0.000001)^2/(4*'D(Ti_Cherniak) Times'!$C105)/(365.35*24*3600)</f>
        <v>0</v>
      </c>
      <c r="N105" s="2">
        <f>('L-Values'!J105*'D(Ti_Cherniak) Times'!$F105*0.000001)^2/(4*'D(Ti_Cherniak) Times'!$C105)/(365.35*24*3600)</f>
        <v>3732.6456625857336</v>
      </c>
      <c r="O105" s="2">
        <f>('L-Values'!K105*'D(Ti_Cherniak) Times'!$F105*0.000001)^2/(4*'D(Ti_Cherniak) Times'!$C105)/(365.35*24*3600)</f>
        <v>22.017651023743735</v>
      </c>
      <c r="P105" s="2">
        <f>('L-Values'!L105*'D(Ti_Cherniak) Times'!$F105*0.000001)^2/(4*'D(Ti_Cherniak) Times'!$C105)/(365.35*24*3600)</f>
        <v>4.2953345500412192</v>
      </c>
      <c r="Q105" s="2">
        <f>('L-Values'!M105*'D(Ti_Cherniak) Times'!$F105*0.000001)^2/(4*'D(Ti_Cherniak) Times'!$C105)/(365.35*24*3600)</f>
        <v>0.33728771599980911</v>
      </c>
      <c r="R105" s="2">
        <f>('L-Values'!N105*'D(Ti_Cherniak) Times'!$F105*0.000001)^2/(4*'D(Ti_Cherniak) Times'!$C105)/(365.35*24*3600)</f>
        <v>1900.0910145615992</v>
      </c>
      <c r="S105" s="2">
        <f>('L-Values'!O105*'D(Ti_Cherniak) Times'!$F105*0.000001)^2/(4*'D(Ti_Cherniak) Times'!$C105)/(365.35*24*3600)</f>
        <v>3.2158633918051742</v>
      </c>
      <c r="T105" s="2"/>
      <c r="U105" s="2">
        <f>('L-Values'!Q105*'D(Ti_Cherniak) Times'!$F105*0.000001)^2/(4*'D(Ti_Cherniak) Times'!$C105)/(365.35*24*3600)</f>
        <v>1727.7870477682618</v>
      </c>
      <c r="V105" s="2">
        <f>('L-Values'!R105*'D(Ti_Cherniak) Times'!$F105*0.000001)^2/(4*'D(Ti_Cherniak) Times'!$C105)/(365.35*24*3600)</f>
        <v>908.23849524469279</v>
      </c>
      <c r="W105" s="2">
        <f>('L-Values'!S105*'D(Ti_Cherniak) Times'!$F105*0.000001)^2/(4*'D(Ti_Cherniak) Times'!$C105)/(365.35*24*3600)</f>
        <v>792.18176508106512</v>
      </c>
      <c r="X105" s="2"/>
      <c r="Y105" s="2">
        <f>('L-Values'!U105*'D(Ti_Cherniak) Times'!$F105*0.000001)^2/(4*'D(Ti_Cherniak) Times'!$C105)/(365.35*24*3600)</f>
        <v>1068.8707847530984</v>
      </c>
      <c r="Z105" s="2">
        <f>('L-Values'!V105*'D(Ti_Cherniak) Times'!$F105*0.000001)^2/(4*'D(Ti_Cherniak) Times'!$C105)/(365.35*24*3600)</f>
        <v>1153.8528213644961</v>
      </c>
      <c r="AA105" s="2">
        <f>('L-Values'!W105*'D(Ti_Cherniak) Times'!$F105*0.000001)^2/(4*'D(Ti_Cherniak) Times'!$C105)/(365.35*24*3600)</f>
        <v>2.9125773886484145</v>
      </c>
      <c r="AB105" s="2">
        <f>('L-Values'!X105*'D(Ti_Cherniak) Times'!$F105*0.000001)^2/(4*'D(Ti_Cherniak) Times'!$C105)/(365.35*24*3600)</f>
        <v>5522.3280927506312</v>
      </c>
      <c r="AC105" s="2">
        <f t="shared" si="6"/>
        <v>1150.9402439758476</v>
      </c>
      <c r="AD105" s="2">
        <f t="shared" si="7"/>
        <v>4368.4752713861353</v>
      </c>
    </row>
    <row r="106" spans="1:30" x14ac:dyDescent="0.2">
      <c r="A106" t="str">
        <f>'L-Values'!A106</f>
        <v>CGI008-qtz02-CL-fit-3-offset</v>
      </c>
      <c r="B106">
        <v>750</v>
      </c>
      <c r="C106">
        <f t="shared" si="4"/>
        <v>8.0537892000481889E-22</v>
      </c>
      <c r="D106">
        <v>2400</v>
      </c>
      <c r="E106">
        <v>1024</v>
      </c>
      <c r="F106">
        <f t="shared" si="5"/>
        <v>2.34375</v>
      </c>
      <c r="I106" s="2">
        <f>('L-Values'!E106*'D(Ti_Cherniak) Times'!$F106*0.000001)^2/(4*'D(Ti_Cherniak) Times'!$C106)/(365.35*24*3600)</f>
        <v>236.57679222997075</v>
      </c>
      <c r="J106" s="2">
        <f>('L-Values'!F106*'D(Ti_Cherniak) Times'!$F106*0.000001)^2/(4*'D(Ti_Cherniak) Times'!$C106)/(365.35*24*3600)</f>
        <v>257.44953998022521</v>
      </c>
      <c r="K106" s="2">
        <f>('L-Values'!G106*'D(Ti_Cherniak) Times'!$F106*0.000001)^2/(4*'D(Ti_Cherniak) Times'!$C106)/(365.35*24*3600)</f>
        <v>417.66704533903032</v>
      </c>
      <c r="L106" s="2">
        <f>('L-Values'!H106*'D(Ti_Cherniak) Times'!$F106*0.000001)^2/(4*'D(Ti_Cherniak) Times'!$C106)/(365.35*24*3600)</f>
        <v>310.02799585607562</v>
      </c>
      <c r="M106" s="2">
        <f>('L-Values'!I106*'D(Ti_Cherniak) Times'!$F106*0.000001)^2/(4*'D(Ti_Cherniak) Times'!$C106)/(365.35*24*3600)</f>
        <v>309.22945536170761</v>
      </c>
      <c r="N106" s="2">
        <f>('L-Values'!J106*'D(Ti_Cherniak) Times'!$F106*0.000001)^2/(4*'D(Ti_Cherniak) Times'!$C106)/(365.35*24*3600)</f>
        <v>115.91004330505329</v>
      </c>
      <c r="O106" s="2">
        <f>('L-Values'!K106*'D(Ti_Cherniak) Times'!$F106*0.000001)^2/(4*'D(Ti_Cherniak) Times'!$C106)/(365.35*24*3600)</f>
        <v>464.90519735713599</v>
      </c>
      <c r="P106" s="2">
        <f>('L-Values'!L106*'D(Ti_Cherniak) Times'!$F106*0.000001)^2/(4*'D(Ti_Cherniak) Times'!$C106)/(365.35*24*3600)</f>
        <v>470.65381196344782</v>
      </c>
      <c r="Q106" s="2">
        <f>('L-Values'!M106*'D(Ti_Cherniak) Times'!$F106*0.000001)^2/(4*'D(Ti_Cherniak) Times'!$C106)/(365.35*24*3600)</f>
        <v>281.27134928823511</v>
      </c>
      <c r="R106" s="2">
        <f>('L-Values'!N106*'D(Ti_Cherniak) Times'!$F106*0.000001)^2/(4*'D(Ti_Cherniak) Times'!$C106)/(365.35*24*3600)</f>
        <v>107.56470344444482</v>
      </c>
      <c r="S106" s="2">
        <f>('L-Values'!O106*'D(Ti_Cherniak) Times'!$F106*0.000001)^2/(4*'D(Ti_Cherniak) Times'!$C106)/(365.35*24*3600)</f>
        <v>419.31061056312313</v>
      </c>
      <c r="T106" s="2"/>
      <c r="U106" s="2">
        <f>('L-Values'!Q106*'D(Ti_Cherniak) Times'!$F106*0.000001)^2/(4*'D(Ti_Cherniak) Times'!$C106)/(365.35*24*3600)</f>
        <v>274.46111768251075</v>
      </c>
      <c r="V106" s="2">
        <f>('L-Values'!R106*'D(Ti_Cherniak) Times'!$F106*0.000001)^2/(4*'D(Ti_Cherniak) Times'!$C106)/(365.35*24*3600)</f>
        <v>294.27112078374563</v>
      </c>
      <c r="W106" s="2">
        <f>('L-Values'!S106*'D(Ti_Cherniak) Times'!$F106*0.000001)^2/(4*'D(Ti_Cherniak) Times'!$C106)/(365.35*24*3600)</f>
        <v>309.22945536170761</v>
      </c>
      <c r="X106" s="2"/>
      <c r="Y106" s="2">
        <f>('L-Values'!U106*'D(Ti_Cherniak) Times'!$F106*0.000001)^2/(4*'D(Ti_Cherniak) Times'!$C106)/(365.35*24*3600)</f>
        <v>278.26298625221892</v>
      </c>
      <c r="Z106" s="2">
        <f>('L-Values'!V106*'D(Ti_Cherniak) Times'!$F106*0.000001)^2/(4*'D(Ti_Cherniak) Times'!$C106)/(365.35*24*3600)</f>
        <v>288.08736835642111</v>
      </c>
      <c r="AA106" s="2">
        <f>('L-Values'!W106*'D(Ti_Cherniak) Times'!$F106*0.000001)^2/(4*'D(Ti_Cherniak) Times'!$C106)/(365.35*24*3600)</f>
        <v>101.5722248350088</v>
      </c>
      <c r="AB106" s="2">
        <f>('L-Values'!X106*'D(Ti_Cherniak) Times'!$F106*0.000001)^2/(4*'D(Ti_Cherniak) Times'!$C106)/(365.35*24*3600)</f>
        <v>690.69567308967601</v>
      </c>
      <c r="AC106" s="2">
        <f t="shared" si="6"/>
        <v>186.51514352141231</v>
      </c>
      <c r="AD106" s="2">
        <f t="shared" si="7"/>
        <v>402.6083047332549</v>
      </c>
    </row>
    <row r="107" spans="1:30" x14ac:dyDescent="0.2">
      <c r="A107" t="str">
        <f>'L-Values'!A107</f>
        <v>CGI008-qtz02-CL-fit-4-offset</v>
      </c>
      <c r="B107">
        <v>750</v>
      </c>
      <c r="C107">
        <f t="shared" si="4"/>
        <v>8.0537892000481889E-22</v>
      </c>
      <c r="D107">
        <v>2400</v>
      </c>
      <c r="E107">
        <v>1024</v>
      </c>
      <c r="F107">
        <f t="shared" si="5"/>
        <v>2.34375</v>
      </c>
      <c r="I107" s="2">
        <f>('L-Values'!E107*'D(Ti_Cherniak) Times'!$F107*0.000001)^2/(4*'D(Ti_Cherniak) Times'!$C107)/(365.35*24*3600)</f>
        <v>2.8159088157038585</v>
      </c>
      <c r="J107" s="2">
        <f>('L-Values'!F107*'D(Ti_Cherniak) Times'!$F107*0.000001)^2/(4*'D(Ti_Cherniak) Times'!$C107)/(365.35*24*3600)</f>
        <v>1.3670177350831421</v>
      </c>
      <c r="K107" s="2">
        <f>('L-Values'!G107*'D(Ti_Cherniak) Times'!$F107*0.000001)^2/(4*'D(Ti_Cherniak) Times'!$C107)/(365.35*24*3600)</f>
        <v>3.776643851915483</v>
      </c>
      <c r="L107" s="2">
        <f>('L-Values'!H107*'D(Ti_Cherniak) Times'!$F107*0.000001)^2/(4*'D(Ti_Cherniak) Times'!$C107)/(365.35*24*3600)</f>
        <v>14.528167277084288</v>
      </c>
      <c r="M107" s="2">
        <f>('L-Values'!I107*'D(Ti_Cherniak) Times'!$F107*0.000001)^2/(4*'D(Ti_Cherniak) Times'!$C107)/(365.35*24*3600)</f>
        <v>0.20827725609706255</v>
      </c>
      <c r="N107" s="2">
        <f>('L-Values'!J107*'D(Ti_Cherniak) Times'!$F107*0.000001)^2/(4*'D(Ti_Cherniak) Times'!$C107)/(365.35*24*3600)</f>
        <v>450.5542148870353</v>
      </c>
      <c r="O107" s="2">
        <f>('L-Values'!K107*'D(Ti_Cherniak) Times'!$F107*0.000001)^2/(4*'D(Ti_Cherniak) Times'!$C107)/(365.35*24*3600)</f>
        <v>339.63379120055089</v>
      </c>
      <c r="P107" s="2">
        <f>('L-Values'!L107*'D(Ti_Cherniak) Times'!$F107*0.000001)^2/(4*'D(Ti_Cherniak) Times'!$C107)/(365.35*24*3600)</f>
        <v>217.61471730146874</v>
      </c>
      <c r="Q107" s="2">
        <f>('L-Values'!M107*'D(Ti_Cherniak) Times'!$F107*0.000001)^2/(4*'D(Ti_Cherniak) Times'!$C107)/(365.35*24*3600)</f>
        <v>4.1418489221872372</v>
      </c>
      <c r="R107" s="2">
        <f>('L-Values'!N107*'D(Ti_Cherniak) Times'!$F107*0.000001)^2/(4*'D(Ti_Cherniak) Times'!$C107)/(365.35*24*3600)</f>
        <v>4.1696927352181737E-3</v>
      </c>
      <c r="S107" s="2">
        <f>('L-Values'!O107*'D(Ti_Cherniak) Times'!$F107*0.000001)^2/(4*'D(Ti_Cherniak) Times'!$C107)/(365.35*24*3600)</f>
        <v>5.322528170945346</v>
      </c>
      <c r="T107" s="2"/>
      <c r="U107" s="2">
        <f>('L-Values'!Q107*'D(Ti_Cherniak) Times'!$F107*0.000001)^2/(4*'D(Ti_Cherniak) Times'!$C107)/(365.35*24*3600)</f>
        <v>6.5836890368484342</v>
      </c>
      <c r="V107" s="2">
        <f>('L-Values'!R107*'D(Ti_Cherniak) Times'!$F107*0.000001)^2/(4*'D(Ti_Cherniak) Times'!$C107)/(365.35*24*3600)</f>
        <v>38.071765053692822</v>
      </c>
      <c r="W107" s="2">
        <f>('L-Values'!S107*'D(Ti_Cherniak) Times'!$F107*0.000001)^2/(4*'D(Ti_Cherniak) Times'!$C107)/(365.35*24*3600)</f>
        <v>4.1418489221872372</v>
      </c>
      <c r="X107" s="2"/>
      <c r="Y107" s="2">
        <f>('L-Values'!U107*'D(Ti_Cherniak) Times'!$F107*0.000001)^2/(4*'D(Ti_Cherniak) Times'!$C107)/(365.35*24*3600)</f>
        <v>5.9072275269078593</v>
      </c>
      <c r="Z107" s="2">
        <f>('L-Values'!V107*'D(Ti_Cherniak) Times'!$F107*0.000001)^2/(4*'D(Ti_Cherniak) Times'!$C107)/(365.35*24*3600)</f>
        <v>16.049839517767381</v>
      </c>
      <c r="AA107" s="2">
        <f>('L-Values'!W107*'D(Ti_Cherniak) Times'!$F107*0.000001)^2/(4*'D(Ti_Cherniak) Times'!$C107)/(365.35*24*3600)</f>
        <v>0.58332867076868899</v>
      </c>
      <c r="AB107" s="2">
        <f>('L-Values'!X107*'D(Ti_Cherniak) Times'!$F107*0.000001)^2/(4*'D(Ti_Cherniak) Times'!$C107)/(365.35*24*3600)</f>
        <v>711.21075188317627</v>
      </c>
      <c r="AC107" s="2">
        <f t="shared" si="6"/>
        <v>15.466510846998693</v>
      </c>
      <c r="AD107" s="2">
        <f t="shared" si="7"/>
        <v>695.16091236540888</v>
      </c>
    </row>
    <row r="108" spans="1:30" x14ac:dyDescent="0.2">
      <c r="A108" t="str">
        <f>'L-Values'!A108</f>
        <v>CGI008-qtz03-CL-fit-1-offset</v>
      </c>
      <c r="B108">
        <v>750</v>
      </c>
      <c r="C108">
        <f t="shared" si="4"/>
        <v>8.0537892000481889E-22</v>
      </c>
      <c r="D108">
        <v>2800</v>
      </c>
      <c r="E108">
        <v>1024</v>
      </c>
      <c r="F108">
        <f t="shared" si="5"/>
        <v>2.734375</v>
      </c>
      <c r="I108" s="2">
        <f>('L-Values'!E108*'D(Ti_Cherniak) Times'!$F108*0.000001)^2/(4*'D(Ti_Cherniak) Times'!$C108)/(365.35*24*3600)</f>
        <v>1079.3626734219815</v>
      </c>
      <c r="J108" s="2">
        <f>('L-Values'!F108*'D(Ti_Cherniak) Times'!$F108*0.000001)^2/(4*'D(Ti_Cherniak) Times'!$C108)/(365.35*24*3600)</f>
        <v>958.29015069339266</v>
      </c>
      <c r="K108" s="2">
        <f>('L-Values'!G108*'D(Ti_Cherniak) Times'!$F108*0.000001)^2/(4*'D(Ti_Cherniak) Times'!$C108)/(365.35*24*3600)</f>
        <v>1576.7428467336786</v>
      </c>
      <c r="L108" s="2">
        <f>('L-Values'!H108*'D(Ti_Cherniak) Times'!$F108*0.000001)^2/(4*'D(Ti_Cherniak) Times'!$C108)/(365.35*24*3600)</f>
        <v>917.75095426917233</v>
      </c>
      <c r="M108" s="2">
        <f>('L-Values'!I108*'D(Ti_Cherniak) Times'!$F108*0.000001)^2/(4*'D(Ti_Cherniak) Times'!$C108)/(365.35*24*3600)</f>
        <v>3.2751047787787351</v>
      </c>
      <c r="N108" s="2">
        <f>('L-Values'!J108*'D(Ti_Cherniak) Times'!$F108*0.000001)^2/(4*'D(Ti_Cherniak) Times'!$C108)/(365.35*24*3600)</f>
        <v>1869.0348651771521</v>
      </c>
      <c r="O108" s="2">
        <f>('L-Values'!K108*'D(Ti_Cherniak) Times'!$F108*0.000001)^2/(4*'D(Ti_Cherniak) Times'!$C108)/(365.35*24*3600)</f>
        <v>981.01885404030065</v>
      </c>
      <c r="P108" s="2">
        <f>('L-Values'!L108*'D(Ti_Cherniak) Times'!$F108*0.000001)^2/(4*'D(Ti_Cherniak) Times'!$C108)/(365.35*24*3600)</f>
        <v>611.59294177430945</v>
      </c>
      <c r="Q108" s="2">
        <f>('L-Values'!M108*'D(Ti_Cherniak) Times'!$F108*0.000001)^2/(4*'D(Ti_Cherniak) Times'!$C108)/(365.35*24*3600)</f>
        <v>1563.4454835288902</v>
      </c>
      <c r="R108" s="2">
        <f>('L-Values'!N108*'D(Ti_Cherniak) Times'!$F108*0.000001)^2/(4*'D(Ti_Cherniak) Times'!$C108)/(365.35*24*3600)</f>
        <v>1212.6946111643483</v>
      </c>
      <c r="S108" s="2">
        <f>('L-Values'!O108*'D(Ti_Cherniak) Times'!$F108*0.000001)^2/(4*'D(Ti_Cherniak) Times'!$C108)/(365.35*24*3600)</f>
        <v>597.25676854101175</v>
      </c>
      <c r="T108" s="2"/>
      <c r="U108" s="2">
        <f>('L-Values'!Q108*'D(Ti_Cherniak) Times'!$F108*0.000001)^2/(4*'D(Ti_Cherniak) Times'!$C108)/(365.35*24*3600)</f>
        <v>1057.2173503612466</v>
      </c>
      <c r="V108" s="2">
        <f>('L-Values'!R108*'D(Ti_Cherniak) Times'!$F108*0.000001)^2/(4*'D(Ti_Cherniak) Times'!$C108)/(365.35*24*3600)</f>
        <v>920.3460393153789</v>
      </c>
      <c r="W108" s="2">
        <f>('L-Values'!S108*'D(Ti_Cherniak) Times'!$F108*0.000001)^2/(4*'D(Ti_Cherniak) Times'!$C108)/(365.35*24*3600)</f>
        <v>981.01885404030065</v>
      </c>
      <c r="X108" s="2"/>
      <c r="Y108" s="2">
        <f>('L-Values'!U108*'D(Ti_Cherniak) Times'!$F108*0.000001)^2/(4*'D(Ti_Cherniak) Times'!$C108)/(365.35*24*3600)</f>
        <v>995.25175967748839</v>
      </c>
      <c r="Z108" s="2">
        <f>('L-Values'!V108*'D(Ti_Cherniak) Times'!$F108*0.000001)^2/(4*'D(Ti_Cherniak) Times'!$C108)/(365.35*24*3600)</f>
        <v>983.83849215114151</v>
      </c>
      <c r="AA108" s="2">
        <f>('L-Values'!W108*'D(Ti_Cherniak) Times'!$F108*0.000001)^2/(4*'D(Ti_Cherniak) Times'!$C108)/(365.35*24*3600)</f>
        <v>35.28617033164317</v>
      </c>
      <c r="AB108" s="2">
        <f>('L-Values'!X108*'D(Ti_Cherniak) Times'!$F108*0.000001)^2/(4*'D(Ti_Cherniak) Times'!$C108)/(365.35*24*3600)</f>
        <v>3051.3905819775719</v>
      </c>
      <c r="AC108" s="2">
        <f t="shared" si="6"/>
        <v>948.55232181949839</v>
      </c>
      <c r="AD108" s="2">
        <f t="shared" si="7"/>
        <v>2067.5520898264303</v>
      </c>
    </row>
    <row r="109" spans="1:30" x14ac:dyDescent="0.2">
      <c r="A109" t="str">
        <f>'L-Values'!A109</f>
        <v>CGI008-qtz03-CL-fit-2-offset</v>
      </c>
      <c r="B109">
        <v>750</v>
      </c>
      <c r="C109">
        <f t="shared" si="4"/>
        <v>8.0537892000481889E-22</v>
      </c>
      <c r="D109">
        <v>2800</v>
      </c>
      <c r="E109">
        <v>1024</v>
      </c>
      <c r="F109">
        <f>D109/E109</f>
        <v>2.734375</v>
      </c>
      <c r="I109" s="2">
        <f>('L-Values'!E109*'D(Ti_Cherniak) Times'!$F109*0.000001)^2/(4*'D(Ti_Cherniak) Times'!$C109)/(365.35*24*3600)</f>
        <v>467.43661712741869</v>
      </c>
      <c r="J109" s="2">
        <f>('L-Values'!F109*'D(Ti_Cherniak) Times'!$F109*0.000001)^2/(4*'D(Ti_Cherniak) Times'!$C109)/(365.35*24*3600)</f>
        <v>1214.1443069079601</v>
      </c>
      <c r="K109" s="2">
        <f>('L-Values'!G109*'D(Ti_Cherniak) Times'!$F109*0.000001)^2/(4*'D(Ti_Cherniak) Times'!$C109)/(365.35*24*3600)</f>
        <v>1.5226743960663134</v>
      </c>
      <c r="L109" s="2">
        <f>('L-Values'!H109*'D(Ti_Cherniak) Times'!$F109*0.000001)^2/(4*'D(Ti_Cherniak) Times'!$C109)/(365.35*24*3600)</f>
        <v>0.52307191300029665</v>
      </c>
      <c r="M109" s="2">
        <f>('L-Values'!I109*'D(Ti_Cherniak) Times'!$F109*0.000001)^2/(4*'D(Ti_Cherniak) Times'!$C109)/(365.35*24*3600)</f>
        <v>326.89399624901347</v>
      </c>
      <c r="N109" s="2">
        <f>('L-Values'!J109*'D(Ti_Cherniak) Times'!$F109*0.000001)^2/(4*'D(Ti_Cherniak) Times'!$C109)/(365.35*24*3600)</f>
        <v>108.08362652935942</v>
      </c>
      <c r="O109" s="2">
        <f>('L-Values'!K109*'D(Ti_Cherniak) Times'!$F109*0.000001)^2/(4*'D(Ti_Cherniak) Times'!$C109)/(365.35*24*3600)</f>
        <v>260.94043802955252</v>
      </c>
      <c r="P109" s="2">
        <f>('L-Values'!L109*'D(Ti_Cherniak) Times'!$F109*0.000001)^2/(4*'D(Ti_Cherniak) Times'!$C109)/(365.35*24*3600)</f>
        <v>2.4888390902039692</v>
      </c>
      <c r="Q109" s="2">
        <f>('L-Values'!M109*'D(Ti_Cherniak) Times'!$F109*0.000001)^2/(4*'D(Ti_Cherniak) Times'!$C109)/(365.35*24*3600)</f>
        <v>1079.2343325053735</v>
      </c>
      <c r="R109" s="2">
        <f>('L-Values'!N109*'D(Ti_Cherniak) Times'!$F109*0.000001)^2/(4*'D(Ti_Cherniak) Times'!$C109)/(365.35*24*3600)</f>
        <v>1197.4888435648936</v>
      </c>
      <c r="S109" s="2">
        <f>('L-Values'!O109*'D(Ti_Cherniak) Times'!$F109*0.000001)^2/(4*'D(Ti_Cherniak) Times'!$C109)/(365.35*24*3600)</f>
        <v>125.12254750624932</v>
      </c>
      <c r="T109" s="2"/>
      <c r="U109" s="2">
        <f>('L-Values'!Q109*'D(Ti_Cherniak) Times'!$F109*0.000001)^2/(4*'D(Ti_Cherniak) Times'!$C109)/(365.35*24*3600)</f>
        <v>584.87727564581121</v>
      </c>
      <c r="V109" s="2">
        <f>('L-Values'!R109*'D(Ti_Cherniak) Times'!$F109*0.000001)^2/(4*'D(Ti_Cherniak) Times'!$C109)/(365.35*24*3600)</f>
        <v>277.59233527494121</v>
      </c>
      <c r="W109" s="2">
        <f>('L-Values'!S109*'D(Ti_Cherniak) Times'!$F109*0.000001)^2/(4*'D(Ti_Cherniak) Times'!$C109)/(365.35*24*3600)</f>
        <v>260.94043802955252</v>
      </c>
      <c r="X109" s="2"/>
      <c r="Y109" s="2">
        <f>('L-Values'!U109*'D(Ti_Cherniak) Times'!$F109*0.000001)^2/(4*'D(Ti_Cherniak) Times'!$C109)/(365.35*24*3600)</f>
        <v>608.66401798291724</v>
      </c>
      <c r="Z109" s="2">
        <f>('L-Values'!V109*'D(Ti_Cherniak) Times'!$F109*0.000001)^2/(4*'D(Ti_Cherniak) Times'!$C109)/(365.35*24*3600)</f>
        <v>694.85349494659113</v>
      </c>
      <c r="AA109" s="2">
        <f>('L-Values'!W109*'D(Ti_Cherniak) Times'!$F109*0.000001)^2/(4*'D(Ti_Cherniak) Times'!$C109)/(365.35*24*3600)</f>
        <v>3.7174013165166748</v>
      </c>
      <c r="AB109" s="2">
        <f>('L-Values'!X109*'D(Ti_Cherniak) Times'!$F109*0.000001)^2/(4*'D(Ti_Cherniak) Times'!$C109)/(365.35*24*3600)</f>
        <v>4306.8313365886588</v>
      </c>
      <c r="AC109" s="2">
        <f t="shared" si="6"/>
        <v>691.13609363007447</v>
      </c>
      <c r="AD109" s="2">
        <f t="shared" si="7"/>
        <v>3611.9778416420677</v>
      </c>
    </row>
    <row r="110" spans="1:30" x14ac:dyDescent="0.2">
      <c r="A110" t="str">
        <f>'L-Values'!A110</f>
        <v>CGI008-qtz03-CL-fit-3-offset</v>
      </c>
      <c r="B110">
        <v>750</v>
      </c>
      <c r="C110">
        <f t="shared" si="4"/>
        <v>8.0537892000481889E-22</v>
      </c>
      <c r="D110">
        <v>2800</v>
      </c>
      <c r="E110">
        <v>1024</v>
      </c>
      <c r="F110">
        <f t="shared" si="5"/>
        <v>2.734375</v>
      </c>
      <c r="I110" s="2">
        <f>('L-Values'!E110*'D(Ti_Cherniak) Times'!$F110*0.000001)^2/(4*'D(Ti_Cherniak) Times'!$C110)/(365.35*24*3600)</f>
        <v>897.74913010715932</v>
      </c>
      <c r="J110" s="2">
        <f>('L-Values'!F110*'D(Ti_Cherniak) Times'!$F110*0.000001)^2/(4*'D(Ti_Cherniak) Times'!$C110)/(365.35*24*3600)</f>
        <v>140.16296065863253</v>
      </c>
      <c r="K110" s="2">
        <f>('L-Values'!G110*'D(Ti_Cherniak) Times'!$F110*0.000001)^2/(4*'D(Ti_Cherniak) Times'!$C110)/(365.35*24*3600)</f>
        <v>59.16512849607701</v>
      </c>
      <c r="L110" s="2">
        <f>('L-Values'!H110*'D(Ti_Cherniak) Times'!$F110*0.000001)^2/(4*'D(Ti_Cherniak) Times'!$C110)/(365.35*24*3600)</f>
        <v>459.90105881824843</v>
      </c>
      <c r="M110" s="2">
        <f>('L-Values'!I110*'D(Ti_Cherniak) Times'!$F110*0.000001)^2/(4*'D(Ti_Cherniak) Times'!$C110)/(365.35*24*3600)</f>
        <v>243.28737569440813</v>
      </c>
      <c r="N110" s="2">
        <f>('L-Values'!J110*'D(Ti_Cherniak) Times'!$F110*0.000001)^2/(4*'D(Ti_Cherniak) Times'!$C110)/(365.35*24*3600)</f>
        <v>236.62037208541551</v>
      </c>
      <c r="O110" s="2">
        <f>('L-Values'!K110*'D(Ti_Cherniak) Times'!$F110*0.000001)^2/(4*'D(Ti_Cherniak) Times'!$C110)/(365.35*24*3600)</f>
        <v>285.93349208497244</v>
      </c>
      <c r="P110" s="2">
        <f>('L-Values'!L110*'D(Ti_Cherniak) Times'!$F110*0.000001)^2/(4*'D(Ti_Cherniak) Times'!$C110)/(365.35*24*3600)</f>
        <v>306.08274894845903</v>
      </c>
      <c r="Q110" s="2">
        <f>('L-Values'!M110*'D(Ti_Cherniak) Times'!$F110*0.000001)^2/(4*'D(Ti_Cherniak) Times'!$C110)/(365.35*24*3600)</f>
        <v>423.44700963844707</v>
      </c>
      <c r="R110" s="2">
        <f>('L-Values'!N110*'D(Ti_Cherniak) Times'!$F110*0.000001)^2/(4*'D(Ti_Cherniak) Times'!$C110)/(365.35*24*3600)</f>
        <v>261.45923264487612</v>
      </c>
      <c r="S110" s="2">
        <f>('L-Values'!O110*'D(Ti_Cherniak) Times'!$F110*0.000001)^2/(4*'D(Ti_Cherniak) Times'!$C110)/(365.35*24*3600)</f>
        <v>419.10491473028122</v>
      </c>
      <c r="T110" s="2"/>
      <c r="U110" s="2">
        <f>('L-Values'!Q110*'D(Ti_Cherniak) Times'!$F110*0.000001)^2/(4*'D(Ti_Cherniak) Times'!$C110)/(365.35*24*3600)</f>
        <v>221.50219404204364</v>
      </c>
      <c r="V110" s="2">
        <f>('L-Values'!R110*'D(Ti_Cherniak) Times'!$F110*0.000001)^2/(4*'D(Ti_Cherniak) Times'!$C110)/(365.35*24*3600)</f>
        <v>309.5782947648799</v>
      </c>
      <c r="W110" s="2">
        <f>('L-Values'!S110*'D(Ti_Cherniak) Times'!$F110*0.000001)^2/(4*'D(Ti_Cherniak) Times'!$C110)/(365.35*24*3600)</f>
        <v>285.93349208497244</v>
      </c>
      <c r="X110" s="2"/>
      <c r="Y110" s="2">
        <f>('L-Values'!U110*'D(Ti_Cherniak) Times'!$F110*0.000001)^2/(4*'D(Ti_Cherniak) Times'!$C110)/(365.35*24*3600)</f>
        <v>208.47935355531271</v>
      </c>
      <c r="Z110" s="2">
        <f>('L-Values'!V110*'D(Ti_Cherniak) Times'!$F110*0.000001)^2/(4*'D(Ti_Cherniak) Times'!$C110)/(365.35*24*3600)</f>
        <v>209.26388537331695</v>
      </c>
      <c r="AA110" s="2">
        <f>('L-Values'!W110*'D(Ti_Cherniak) Times'!$F110*0.000001)^2/(4*'D(Ti_Cherniak) Times'!$C110)/(365.35*24*3600)</f>
        <v>42.95062956873506</v>
      </c>
      <c r="AB110" s="2">
        <f>('L-Values'!X110*'D(Ti_Cherniak) Times'!$F110*0.000001)^2/(4*'D(Ti_Cherniak) Times'!$C110)/(365.35*24*3600)</f>
        <v>549.1443838390984</v>
      </c>
      <c r="AC110" s="2">
        <f t="shared" si="6"/>
        <v>166.3132558045819</v>
      </c>
      <c r="AD110" s="2">
        <f t="shared" si="7"/>
        <v>339.88049846578144</v>
      </c>
    </row>
    <row r="111" spans="1:30" x14ac:dyDescent="0.2">
      <c r="A111" t="str">
        <f>'L-Values'!A111</f>
        <v>CGI008-qtz03-CL-fit-4-offset</v>
      </c>
      <c r="B111">
        <v>750</v>
      </c>
      <c r="C111">
        <f t="shared" si="4"/>
        <v>8.0537892000481889E-22</v>
      </c>
      <c r="D111">
        <v>2800</v>
      </c>
      <c r="E111">
        <v>1024</v>
      </c>
      <c r="F111">
        <f t="shared" si="5"/>
        <v>2.734375</v>
      </c>
      <c r="I111" s="2">
        <f>('L-Values'!E111*'D(Ti_Cherniak) Times'!$F111*0.000001)^2/(4*'D(Ti_Cherniak) Times'!$C111)/(365.35*24*3600)</f>
        <v>2.2324837135387931E-3</v>
      </c>
      <c r="J111" s="2">
        <f>('L-Values'!F111*'D(Ti_Cherniak) Times'!$F111*0.000001)^2/(4*'D(Ti_Cherniak) Times'!$C111)/(365.35*24*3600)</f>
        <v>38.921672453465867</v>
      </c>
      <c r="K111" s="2">
        <f>('L-Values'!G111*'D(Ti_Cherniak) Times'!$F111*0.000001)^2/(4*'D(Ti_Cherniak) Times'!$C111)/(365.35*24*3600)</f>
        <v>393.13516096749549</v>
      </c>
      <c r="L111" s="2">
        <f>('L-Values'!H111*'D(Ti_Cherniak) Times'!$F111*0.000001)^2/(4*'D(Ti_Cherniak) Times'!$C111)/(365.35*24*3600)</f>
        <v>715.43722849969799</v>
      </c>
      <c r="M111" s="2">
        <f>('L-Values'!I111*'D(Ti_Cherniak) Times'!$F111*0.000001)^2/(4*'D(Ti_Cherniak) Times'!$C111)/(365.35*24*3600)</f>
        <v>29.625377009252304</v>
      </c>
      <c r="N111" s="2">
        <f>('L-Values'!J111*'D(Ti_Cherniak) Times'!$F111*0.000001)^2/(4*'D(Ti_Cherniak) Times'!$C111)/(365.35*24*3600)</f>
        <v>21.369871318987833</v>
      </c>
      <c r="O111" s="2">
        <f>('L-Values'!K111*'D(Ti_Cherniak) Times'!$F111*0.000001)^2/(4*'D(Ti_Cherniak) Times'!$C111)/(365.35*24*3600)</f>
        <v>31.54600912645822</v>
      </c>
      <c r="P111" s="2">
        <f>('L-Values'!L111*'D(Ti_Cherniak) Times'!$F111*0.000001)^2/(4*'D(Ti_Cherniak) Times'!$C111)/(365.35*24*3600)</f>
        <v>0.1654604393469675</v>
      </c>
      <c r="Q111" s="2">
        <f>('L-Values'!M111*'D(Ti_Cherniak) Times'!$F111*0.000001)^2/(4*'D(Ti_Cherniak) Times'!$C111)/(365.35*24*3600)</f>
        <v>2.6734538304221926</v>
      </c>
      <c r="R111" s="2">
        <f>('L-Values'!N111*'D(Ti_Cherniak) Times'!$F111*0.000001)^2/(4*'D(Ti_Cherniak) Times'!$C111)/(365.35*24*3600)</f>
        <v>51.696878680799877</v>
      </c>
      <c r="S111" s="2">
        <f>('L-Values'!O111*'D(Ti_Cherniak) Times'!$F111*0.000001)^2/(4*'D(Ti_Cherniak) Times'!$C111)/(365.35*24*3600)</f>
        <v>108.71467664541871</v>
      </c>
      <c r="T111" s="2"/>
      <c r="U111" s="2">
        <f>('L-Values'!Q111*'D(Ti_Cherniak) Times'!$F111*0.000001)^2/(4*'D(Ti_Cherniak) Times'!$C111)/(365.35*24*3600)</f>
        <v>3.3020878494426147</v>
      </c>
      <c r="V111" s="2">
        <f>('L-Values'!R111*'D(Ti_Cherniak) Times'!$F111*0.000001)^2/(4*'D(Ti_Cherniak) Times'!$C111)/(365.35*24*3600)</f>
        <v>64.294231260246804</v>
      </c>
      <c r="W111" s="2">
        <f>('L-Values'!S111*'D(Ti_Cherniak) Times'!$F111*0.000001)^2/(4*'D(Ti_Cherniak) Times'!$C111)/(365.35*24*3600)</f>
        <v>31.54600912645822</v>
      </c>
      <c r="X111" s="2"/>
      <c r="Y111" s="2">
        <f>('L-Values'!U111*'D(Ti_Cherniak) Times'!$F111*0.000001)^2/(4*'D(Ti_Cherniak) Times'!$C111)/(365.35*24*3600)</f>
        <v>3.0361956899290936</v>
      </c>
      <c r="Z111" s="2">
        <f>('L-Values'!V111*'D(Ti_Cherniak) Times'!$F111*0.000001)^2/(4*'D(Ti_Cherniak) Times'!$C111)/(365.35*24*3600)</f>
        <v>22.239957507774591</v>
      </c>
      <c r="AA111" s="2">
        <f>('L-Values'!W111*'D(Ti_Cherniak) Times'!$F111*0.000001)^2/(4*'D(Ti_Cherniak) Times'!$C111)/(365.35*24*3600)</f>
        <v>1.8851388024224498E-13</v>
      </c>
      <c r="AB111" s="2">
        <f>('L-Values'!X111*'D(Ti_Cherniak) Times'!$F111*0.000001)^2/(4*'D(Ti_Cherniak) Times'!$C111)/(365.35*24*3600)</f>
        <v>1804.0150187986267</v>
      </c>
      <c r="AC111" s="2">
        <f t="shared" si="6"/>
        <v>22.239957507774403</v>
      </c>
      <c r="AD111" s="2">
        <f t="shared" si="7"/>
        <v>1781.7750612908521</v>
      </c>
    </row>
    <row r="112" spans="1:30" x14ac:dyDescent="0.2">
      <c r="A112" t="str">
        <f>'L-Values'!A112</f>
        <v>CGI008-qtz04-CL-fit-1-offset</v>
      </c>
      <c r="B112">
        <v>750</v>
      </c>
      <c r="C112">
        <f t="shared" si="4"/>
        <v>8.0537892000481889E-22</v>
      </c>
      <c r="D112">
        <v>2700</v>
      </c>
      <c r="E112">
        <v>1024</v>
      </c>
      <c r="F112">
        <f t="shared" si="5"/>
        <v>2.63671875</v>
      </c>
      <c r="I112" s="2">
        <f>('L-Values'!E112*'D(Ti_Cherniak) Times'!$F112*0.000001)^2/(4*'D(Ti_Cherniak) Times'!$C112)/(365.35*24*3600)</f>
        <v>7.5440591958878384E-14</v>
      </c>
      <c r="J112" s="2">
        <f>('L-Values'!F112*'D(Ti_Cherniak) Times'!$F112*0.000001)^2/(4*'D(Ti_Cherniak) Times'!$C112)/(365.35*24*3600)</f>
        <v>0.70145736936083558</v>
      </c>
      <c r="K112" s="2">
        <f>('L-Values'!G112*'D(Ti_Cherniak) Times'!$F112*0.000001)^2/(4*'D(Ti_Cherniak) Times'!$C112)/(365.35*24*3600)</f>
        <v>140.74814981086931</v>
      </c>
      <c r="L112" s="2">
        <f>('L-Values'!H112*'D(Ti_Cherniak) Times'!$F112*0.000001)^2/(4*'D(Ti_Cherniak) Times'!$C112)/(365.35*24*3600)</f>
        <v>803.52820295626907</v>
      </c>
      <c r="M112" s="2">
        <f>('L-Values'!I112*'D(Ti_Cherniak) Times'!$F112*0.000001)^2/(4*'D(Ti_Cherniak) Times'!$C112)/(365.35*24*3600)</f>
        <v>0.11059000573454707</v>
      </c>
      <c r="N112" s="2">
        <f>('L-Values'!J112*'D(Ti_Cherniak) Times'!$F112*0.000001)^2/(4*'D(Ti_Cherniak) Times'!$C112)/(365.35*24*3600)</f>
        <v>98.029561841944144</v>
      </c>
      <c r="O112" s="2">
        <f>('L-Values'!K112*'D(Ti_Cherniak) Times'!$F112*0.000001)^2/(4*'D(Ti_Cherniak) Times'!$C112)/(365.35*24*3600)</f>
        <v>4.0803131160777699</v>
      </c>
      <c r="P112" s="2">
        <f>('L-Values'!L112*'D(Ti_Cherniak) Times'!$F112*0.000001)^2/(4*'D(Ti_Cherniak) Times'!$C112)/(365.35*24*3600)</f>
        <v>4.5395826549271746E-2</v>
      </c>
      <c r="Q112" s="2">
        <f>('L-Values'!M112*'D(Ti_Cherniak) Times'!$F112*0.000001)^2/(4*'D(Ti_Cherniak) Times'!$C112)/(365.35*24*3600)</f>
        <v>79.216582427877299</v>
      </c>
      <c r="R112" s="2">
        <f>('L-Values'!N112*'D(Ti_Cherniak) Times'!$F112*0.000001)^2/(4*'D(Ti_Cherniak) Times'!$C112)/(365.35*24*3600)</f>
        <v>185.78135690359932</v>
      </c>
      <c r="S112" s="2">
        <f>('L-Values'!O112*'D(Ti_Cherniak) Times'!$F112*0.000001)^2/(4*'D(Ti_Cherniak) Times'!$C112)/(365.35*24*3600)</f>
        <v>366.04328137277224</v>
      </c>
      <c r="T112" s="2"/>
      <c r="U112" s="2">
        <f>('L-Values'!Q112*'D(Ti_Cherniak) Times'!$F112*0.000001)^2/(4*'D(Ti_Cherniak) Times'!$C112)/(365.35*24*3600)</f>
        <v>90.358654548507189</v>
      </c>
      <c r="V112" s="2">
        <f>('L-Values'!R112*'D(Ti_Cherniak) Times'!$F112*0.000001)^2/(4*'D(Ti_Cherniak) Times'!$C112)/(365.35*24*3600)</f>
        <v>74.865295950931369</v>
      </c>
      <c r="W112" s="2">
        <f>('L-Values'!S112*'D(Ti_Cherniak) Times'!$F112*0.000001)^2/(4*'D(Ti_Cherniak) Times'!$C112)/(365.35*24*3600)</f>
        <v>79.216582427877299</v>
      </c>
      <c r="X112" s="2"/>
      <c r="Y112" s="2">
        <f>('L-Values'!U112*'D(Ti_Cherniak) Times'!$F112*0.000001)^2/(4*'D(Ti_Cherniak) Times'!$C112)/(365.35*24*3600)</f>
        <v>16.323452575343961</v>
      </c>
      <c r="Z112" s="2">
        <f>('L-Values'!V112*'D(Ti_Cherniak) Times'!$F112*0.000001)^2/(4*'D(Ti_Cherniak) Times'!$C112)/(365.35*24*3600)</f>
        <v>54.466705183105944</v>
      </c>
      <c r="AA112" s="2">
        <f>('L-Values'!W112*'D(Ti_Cherniak) Times'!$F112*0.000001)^2/(4*'D(Ti_Cherniak) Times'!$C112)/(365.35*24*3600)</f>
        <v>4.886357980331063E-13</v>
      </c>
      <c r="AB112" s="2">
        <f>('L-Values'!X112*'D(Ti_Cherniak) Times'!$F112*0.000001)^2/(4*'D(Ti_Cherniak) Times'!$C112)/(365.35*24*3600)</f>
        <v>699.21800601462644</v>
      </c>
      <c r="AC112" s="2">
        <f t="shared" si="6"/>
        <v>54.466705183105454</v>
      </c>
      <c r="AD112" s="2">
        <f t="shared" si="7"/>
        <v>644.75130083152044</v>
      </c>
    </row>
    <row r="113" spans="1:30" x14ac:dyDescent="0.2">
      <c r="A113" t="str">
        <f>'L-Values'!A113</f>
        <v>CGI008-qtz04-CL-fit-2-offset</v>
      </c>
      <c r="B113">
        <v>750</v>
      </c>
      <c r="C113">
        <f t="shared" si="4"/>
        <v>8.0537892000481889E-22</v>
      </c>
      <c r="D113">
        <v>2700</v>
      </c>
      <c r="E113">
        <v>1024</v>
      </c>
      <c r="F113">
        <f t="shared" si="5"/>
        <v>2.63671875</v>
      </c>
      <c r="I113" s="2">
        <f>('L-Values'!E113*'D(Ti_Cherniak) Times'!$F113*0.000001)^2/(4*'D(Ti_Cherniak) Times'!$C113)/(365.35*24*3600)</f>
        <v>1176.5985841122836</v>
      </c>
      <c r="J113" s="2">
        <f>('L-Values'!F113*'D(Ti_Cherniak) Times'!$F113*0.000001)^2/(4*'D(Ti_Cherniak) Times'!$C113)/(365.35*24*3600)</f>
        <v>5626.1783961902674</v>
      </c>
      <c r="K113" s="2">
        <f>('L-Values'!G113*'D(Ti_Cherniak) Times'!$F113*0.000001)^2/(4*'D(Ti_Cherniak) Times'!$C113)/(365.35*24*3600)</f>
        <v>200.86129297858798</v>
      </c>
      <c r="L113" s="2">
        <f>('L-Values'!H113*'D(Ti_Cherniak) Times'!$F113*0.000001)^2/(4*'D(Ti_Cherniak) Times'!$C113)/(365.35*24*3600)</f>
        <v>4404.2532698714049</v>
      </c>
      <c r="M113" s="2">
        <f>('L-Values'!I113*'D(Ti_Cherniak) Times'!$F113*0.000001)^2/(4*'D(Ti_Cherniak) Times'!$C113)/(365.35*24*3600)</f>
        <v>1321.7435389098848</v>
      </c>
      <c r="N113" s="2">
        <f>('L-Values'!J113*'D(Ti_Cherniak) Times'!$F113*0.000001)^2/(4*'D(Ti_Cherniak) Times'!$C113)/(365.35*24*3600)</f>
        <v>2473.1714342271434</v>
      </c>
      <c r="O113" s="2">
        <f>('L-Values'!K113*'D(Ti_Cherniak) Times'!$F113*0.000001)^2/(4*'D(Ti_Cherniak) Times'!$C113)/(365.35*24*3600)</f>
        <v>448.19488354268447</v>
      </c>
      <c r="P113" s="2">
        <f>('L-Values'!L113*'D(Ti_Cherniak) Times'!$F113*0.000001)^2/(4*'D(Ti_Cherniak) Times'!$C113)/(365.35*24*3600)</f>
        <v>4292.1152448410376</v>
      </c>
      <c r="Q113" s="2">
        <f>('L-Values'!M113*'D(Ti_Cherniak) Times'!$F113*0.000001)^2/(4*'D(Ti_Cherniak) Times'!$C113)/(365.35*24*3600)</f>
        <v>215.53481731555362</v>
      </c>
      <c r="R113" s="2">
        <f>('L-Values'!N113*'D(Ti_Cherniak) Times'!$F113*0.000001)^2/(4*'D(Ti_Cherniak) Times'!$C113)/(365.35*24*3600)</f>
        <v>3465.326970046056</v>
      </c>
      <c r="S113" s="2">
        <f>('L-Values'!O113*'D(Ti_Cherniak) Times'!$F113*0.000001)^2/(4*'D(Ti_Cherniak) Times'!$C113)/(365.35*24*3600)</f>
        <v>1548.9480195843171</v>
      </c>
      <c r="T113" s="2"/>
      <c r="U113" s="2">
        <f>('L-Values'!Q113*'D(Ti_Cherniak) Times'!$F113*0.000001)^2/(4*'D(Ti_Cherniak) Times'!$C113)/(365.35*24*3600)</f>
        <v>1584.304729261074</v>
      </c>
      <c r="V113" s="2">
        <f>('L-Values'!R113*'D(Ti_Cherniak) Times'!$F113*0.000001)^2/(4*'D(Ti_Cherniak) Times'!$C113)/(365.35*24*3600)</f>
        <v>1868.7777397731777</v>
      </c>
      <c r="W113" s="2">
        <f>('L-Values'!S113*'D(Ti_Cherniak) Times'!$F113*0.000001)^2/(4*'D(Ti_Cherniak) Times'!$C113)/(365.35*24*3600)</f>
        <v>1548.9480195843171</v>
      </c>
      <c r="X113" s="2"/>
      <c r="Y113" s="2">
        <f>('L-Values'!U113*'D(Ti_Cherniak) Times'!$F113*0.000001)^2/(4*'D(Ti_Cherniak) Times'!$C113)/(365.35*24*3600)</f>
        <v>1511.1097524618699</v>
      </c>
      <c r="Z113" s="2">
        <f>('L-Values'!V113*'D(Ti_Cherniak) Times'!$F113*0.000001)^2/(4*'D(Ti_Cherniak) Times'!$C113)/(365.35*24*3600)</f>
        <v>1520.7328357146077</v>
      </c>
      <c r="AA113" s="2">
        <f>('L-Values'!W113*'D(Ti_Cherniak) Times'!$F113*0.000001)^2/(4*'D(Ti_Cherniak) Times'!$C113)/(365.35*24*3600)</f>
        <v>128.32643861453249</v>
      </c>
      <c r="AB113" s="2">
        <f>('L-Values'!X113*'D(Ti_Cherniak) Times'!$F113*0.000001)^2/(4*'D(Ti_Cherniak) Times'!$C113)/(365.35*24*3600)</f>
        <v>4426.7308014952741</v>
      </c>
      <c r="AC113" s="2">
        <f t="shared" si="6"/>
        <v>1392.4063971000753</v>
      </c>
      <c r="AD113" s="2">
        <f t="shared" si="7"/>
        <v>2905.9979657806662</v>
      </c>
    </row>
    <row r="114" spans="1:30" x14ac:dyDescent="0.2">
      <c r="A114" t="str">
        <f>'L-Values'!A114</f>
        <v>CGI008-qtz04-CL-fit-3-offset</v>
      </c>
      <c r="B114">
        <v>750</v>
      </c>
      <c r="C114">
        <f t="shared" si="4"/>
        <v>8.0537892000481889E-22</v>
      </c>
      <c r="D114">
        <v>2700</v>
      </c>
      <c r="E114">
        <v>1024</v>
      </c>
      <c r="F114">
        <f t="shared" si="5"/>
        <v>2.63671875</v>
      </c>
      <c r="I114" s="2">
        <f>('L-Values'!E114*'D(Ti_Cherniak) Times'!$F114*0.000001)^2/(4*'D(Ti_Cherniak) Times'!$C114)/(365.35*24*3600)</f>
        <v>4020.0925376343744</v>
      </c>
      <c r="J114" s="2">
        <f>('L-Values'!F114*'D(Ti_Cherniak) Times'!$F114*0.000001)^2/(4*'D(Ti_Cherniak) Times'!$C114)/(365.35*24*3600)</f>
        <v>2614.6114751306459</v>
      </c>
      <c r="K114" s="2">
        <f>('L-Values'!G114*'D(Ti_Cherniak) Times'!$F114*0.000001)^2/(4*'D(Ti_Cherniak) Times'!$C114)/(365.35*24*3600)</f>
        <v>2487.3861519537459</v>
      </c>
      <c r="L114" s="2">
        <f>('L-Values'!H114*'D(Ti_Cherniak) Times'!$F114*0.000001)^2/(4*'D(Ti_Cherniak) Times'!$C114)/(365.35*24*3600)</f>
        <v>701.51343861121359</v>
      </c>
      <c r="M114" s="2">
        <f>('L-Values'!I114*'D(Ti_Cherniak) Times'!$F114*0.000001)^2/(4*'D(Ti_Cherniak) Times'!$C114)/(365.35*24*3600)</f>
        <v>954.4166583935114</v>
      </c>
      <c r="N114" s="2">
        <f>('L-Values'!J114*'D(Ti_Cherniak) Times'!$F114*0.000001)^2/(4*'D(Ti_Cherniak) Times'!$C114)/(365.35*24*3600)</f>
        <v>3602.2179060030853</v>
      </c>
      <c r="O114" s="2">
        <f>('L-Values'!K114*'D(Ti_Cherniak) Times'!$F114*0.000001)^2/(4*'D(Ti_Cherniak) Times'!$C114)/(365.35*24*3600)</f>
        <v>2021.9123748391034</v>
      </c>
      <c r="P114" s="2">
        <f>('L-Values'!L114*'D(Ti_Cherniak) Times'!$F114*0.000001)^2/(4*'D(Ti_Cherniak) Times'!$C114)/(365.35*24*3600)</f>
        <v>2381.6466153012448</v>
      </c>
      <c r="Q114" s="2">
        <f>('L-Values'!M114*'D(Ti_Cherniak) Times'!$F114*0.000001)^2/(4*'D(Ti_Cherniak) Times'!$C114)/(365.35*24*3600)</f>
        <v>2225.3963490023602</v>
      </c>
      <c r="R114" s="2">
        <f>('L-Values'!N114*'D(Ti_Cherniak) Times'!$F114*0.000001)^2/(4*'D(Ti_Cherniak) Times'!$C114)/(365.35*24*3600)</f>
        <v>379.72589428624991</v>
      </c>
      <c r="S114" s="2">
        <f>('L-Values'!O114*'D(Ti_Cherniak) Times'!$F114*0.000001)^2/(4*'D(Ti_Cherniak) Times'!$C114)/(365.35*24*3600)</f>
        <v>227.36475021136062</v>
      </c>
      <c r="T114" s="2"/>
      <c r="U114" s="2">
        <f>('L-Values'!Q114*'D(Ti_Cherniak) Times'!$F114*0.000001)^2/(4*'D(Ti_Cherniak) Times'!$C114)/(365.35*24*3600)</f>
        <v>1777.0695535779325</v>
      </c>
      <c r="V114" s="2">
        <f>('L-Values'!R114*'D(Ti_Cherniak) Times'!$F114*0.000001)^2/(4*'D(Ti_Cherniak) Times'!$C114)/(365.35*24*3600)</f>
        <v>1728.4161166327349</v>
      </c>
      <c r="W114" s="2">
        <f>('L-Values'!S114*'D(Ti_Cherniak) Times'!$F114*0.000001)^2/(4*'D(Ti_Cherniak) Times'!$C114)/(365.35*24*3600)</f>
        <v>2225.3963490023602</v>
      </c>
      <c r="X114" s="2"/>
      <c r="Y114" s="2">
        <f>('L-Values'!U114*'D(Ti_Cherniak) Times'!$F114*0.000001)^2/(4*'D(Ti_Cherniak) Times'!$C114)/(365.35*24*3600)</f>
        <v>1919.1456748092044</v>
      </c>
      <c r="Z114" s="2">
        <f>('L-Values'!V114*'D(Ti_Cherniak) Times'!$F114*0.000001)^2/(4*'D(Ti_Cherniak) Times'!$C114)/(365.35*24*3600)</f>
        <v>1924.5305824243542</v>
      </c>
      <c r="AA114" s="2">
        <f>('L-Values'!W114*'D(Ti_Cherniak) Times'!$F114*0.000001)^2/(4*'D(Ti_Cherniak) Times'!$C114)/(365.35*24*3600)</f>
        <v>195.63050778094006</v>
      </c>
      <c r="AB114" s="2">
        <f>('L-Values'!X114*'D(Ti_Cherniak) Times'!$F114*0.000001)^2/(4*'D(Ti_Cherniak) Times'!$C114)/(365.35*24*3600)</f>
        <v>5174.8045631902369</v>
      </c>
      <c r="AC114" s="2">
        <f t="shared" si="6"/>
        <v>1728.9000746434142</v>
      </c>
      <c r="AD114" s="2">
        <f t="shared" si="7"/>
        <v>3250.2739807658827</v>
      </c>
    </row>
    <row r="115" spans="1:30" x14ac:dyDescent="0.2">
      <c r="A115" t="str">
        <f>'L-Values'!A115</f>
        <v>CGI008-qtz05-CL-fit-1-offset</v>
      </c>
      <c r="B115">
        <v>750</v>
      </c>
      <c r="C115">
        <f t="shared" si="4"/>
        <v>8.0537892000481889E-22</v>
      </c>
      <c r="D115">
        <v>1450</v>
      </c>
      <c r="E115">
        <v>1024</v>
      </c>
      <c r="F115">
        <f t="shared" si="5"/>
        <v>1.416015625</v>
      </c>
      <c r="I115" s="2">
        <f>('L-Values'!E115*'D(Ti_Cherniak) Times'!$F115*0.000001)^2/(4*'D(Ti_Cherniak) Times'!$C115)/(365.35*24*3600)</f>
        <v>256.28048411473463</v>
      </c>
      <c r="J115" s="2">
        <f>('L-Values'!F115*'D(Ti_Cherniak) Times'!$F115*0.000001)^2/(4*'D(Ti_Cherniak) Times'!$C115)/(365.35*24*3600)</f>
        <v>246.13051942710456</v>
      </c>
      <c r="K115" s="2">
        <f>('L-Values'!G115*'D(Ti_Cherniak) Times'!$F115*0.000001)^2/(4*'D(Ti_Cherniak) Times'!$C115)/(365.35*24*3600)</f>
        <v>306.64128324134145</v>
      </c>
      <c r="L115" s="2">
        <f>('L-Values'!H115*'D(Ti_Cherniak) Times'!$F115*0.000001)^2/(4*'D(Ti_Cherniak) Times'!$C115)/(365.35*24*3600)</f>
        <v>125.32878464549664</v>
      </c>
      <c r="M115" s="2">
        <f>('L-Values'!I115*'D(Ti_Cherniak) Times'!$F115*0.000001)^2/(4*'D(Ti_Cherniak) Times'!$C115)/(365.35*24*3600)</f>
        <v>375.70980746412079</v>
      </c>
      <c r="N115" s="2">
        <f>('L-Values'!J115*'D(Ti_Cherniak) Times'!$F115*0.000001)^2/(4*'D(Ti_Cherniak) Times'!$C115)/(365.35*24*3600)</f>
        <v>278.23406256132324</v>
      </c>
      <c r="O115" s="2">
        <f>('L-Values'!K115*'D(Ti_Cherniak) Times'!$F115*0.000001)^2/(4*'D(Ti_Cherniak) Times'!$C115)/(365.35*24*3600)</f>
        <v>152.20113591669931</v>
      </c>
      <c r="P115" s="2">
        <f>('L-Values'!L115*'D(Ti_Cherniak) Times'!$F115*0.000001)^2/(4*'D(Ti_Cherniak) Times'!$C115)/(365.35*24*3600)</f>
        <v>158.23271989662729</v>
      </c>
      <c r="Q115" s="2">
        <f>('L-Values'!M115*'D(Ti_Cherniak) Times'!$F115*0.000001)^2/(4*'D(Ti_Cherniak) Times'!$C115)/(365.35*24*3600)</f>
        <v>26.23275572995373</v>
      </c>
      <c r="R115" s="2">
        <f>('L-Values'!N115*'D(Ti_Cherniak) Times'!$F115*0.000001)^2/(4*'D(Ti_Cherniak) Times'!$C115)/(365.35*24*3600)</f>
        <v>136.29540878823045</v>
      </c>
      <c r="S115" s="2">
        <f>('L-Values'!O115*'D(Ti_Cherniak) Times'!$F115*0.000001)^2/(4*'D(Ti_Cherniak) Times'!$C115)/(365.35*24*3600)</f>
        <v>138.49344972481884</v>
      </c>
      <c r="T115" s="2"/>
      <c r="U115" s="2">
        <f>('L-Values'!Q115*'D(Ti_Cherniak) Times'!$F115*0.000001)^2/(4*'D(Ti_Cherniak) Times'!$C115)/(365.35*24*3600)</f>
        <v>183.49011381901613</v>
      </c>
      <c r="V115" s="2">
        <f>('L-Values'!R115*'D(Ti_Cherniak) Times'!$F115*0.000001)^2/(4*'D(Ti_Cherniak) Times'!$C115)/(365.35*24*3600)</f>
        <v>185.82107560066737</v>
      </c>
      <c r="W115" s="2">
        <f>('L-Values'!S115*'D(Ti_Cherniak) Times'!$F115*0.000001)^2/(4*'D(Ti_Cherniak) Times'!$C115)/(365.35*24*3600)</f>
        <v>158.23271989662729</v>
      </c>
      <c r="X115" s="2"/>
      <c r="Y115" s="2">
        <f>('L-Values'!U115*'D(Ti_Cherniak) Times'!$F115*0.000001)^2/(4*'D(Ti_Cherniak) Times'!$C115)/(365.35*24*3600)</f>
        <v>170.81892679572459</v>
      </c>
      <c r="Z115" s="2">
        <f>('L-Values'!V115*'D(Ti_Cherniak) Times'!$F115*0.000001)^2/(4*'D(Ti_Cherniak) Times'!$C115)/(365.35*24*3600)</f>
        <v>167.98815274263879</v>
      </c>
      <c r="AA115" s="2">
        <f>('L-Values'!W115*'D(Ti_Cherniak) Times'!$F115*0.000001)^2/(4*'D(Ti_Cherniak) Times'!$C115)/(365.35*24*3600)</f>
        <v>26.939170237543394</v>
      </c>
      <c r="AB115" s="2">
        <f>('L-Values'!X115*'D(Ti_Cherniak) Times'!$F115*0.000001)^2/(4*'D(Ti_Cherniak) Times'!$C115)/(365.35*24*3600)</f>
        <v>366.83857975951867</v>
      </c>
      <c r="AC115" s="2">
        <f t="shared" si="6"/>
        <v>141.04898250509541</v>
      </c>
      <c r="AD115" s="2">
        <f t="shared" si="7"/>
        <v>198.85042701687988</v>
      </c>
    </row>
    <row r="116" spans="1:30" x14ac:dyDescent="0.2">
      <c r="A116" t="str">
        <f>'L-Values'!A116</f>
        <v>CGI008-qtz05-CL-fit-2-offset</v>
      </c>
      <c r="B116">
        <v>750</v>
      </c>
      <c r="C116">
        <f t="shared" si="4"/>
        <v>8.0537892000481889E-22</v>
      </c>
      <c r="D116">
        <v>1450</v>
      </c>
      <c r="E116">
        <v>1024</v>
      </c>
      <c r="F116">
        <f t="shared" si="5"/>
        <v>1.416015625</v>
      </c>
      <c r="I116" s="2">
        <f>('L-Values'!E116*'D(Ti_Cherniak) Times'!$F116*0.000001)^2/(4*'D(Ti_Cherniak) Times'!$C116)/(365.35*24*3600)</f>
        <v>383.52331531716851</v>
      </c>
      <c r="J116" s="2">
        <f>('L-Values'!F116*'D(Ti_Cherniak) Times'!$F116*0.000001)^2/(4*'D(Ti_Cherniak) Times'!$C116)/(365.35*24*3600)</f>
        <v>143.68455914124033</v>
      </c>
      <c r="K116" s="2">
        <f>('L-Values'!G116*'D(Ti_Cherniak) Times'!$F116*0.000001)^2/(4*'D(Ti_Cherniak) Times'!$C116)/(365.35*24*3600)</f>
        <v>181.45158383002016</v>
      </c>
      <c r="L116" s="2">
        <f>('L-Values'!H116*'D(Ti_Cherniak) Times'!$F116*0.000001)^2/(4*'D(Ti_Cherniak) Times'!$C116)/(365.35*24*3600)</f>
        <v>22.915784478749572</v>
      </c>
      <c r="M116" s="2">
        <f>('L-Values'!I116*'D(Ti_Cherniak) Times'!$F116*0.000001)^2/(4*'D(Ti_Cherniak) Times'!$C116)/(365.35*24*3600)</f>
        <v>189.22427495563409</v>
      </c>
      <c r="N116" s="2">
        <f>('L-Values'!J116*'D(Ti_Cherniak) Times'!$F116*0.000001)^2/(4*'D(Ti_Cherniak) Times'!$C116)/(365.35*24*3600)</f>
        <v>277.90819445724327</v>
      </c>
      <c r="O116" s="2">
        <f>('L-Values'!K116*'D(Ti_Cherniak) Times'!$F116*0.000001)^2/(4*'D(Ti_Cherniak) Times'!$C116)/(365.35*24*3600)</f>
        <v>466.93951493411259</v>
      </c>
      <c r="P116" s="2">
        <f>('L-Values'!L116*'D(Ti_Cherniak) Times'!$F116*0.000001)^2/(4*'D(Ti_Cherniak) Times'!$C116)/(365.35*24*3600)</f>
        <v>162.19728215987433</v>
      </c>
      <c r="Q116" s="2">
        <f>('L-Values'!M116*'D(Ti_Cherniak) Times'!$F116*0.000001)^2/(4*'D(Ti_Cherniak) Times'!$C116)/(365.35*24*3600)</f>
        <v>1.4876505315695134</v>
      </c>
      <c r="R116" s="2">
        <f>('L-Values'!N116*'D(Ti_Cherniak) Times'!$F116*0.000001)^2/(4*'D(Ti_Cherniak) Times'!$C116)/(365.35*24*3600)</f>
        <v>127.56889238385531</v>
      </c>
      <c r="S116" s="2">
        <f>('L-Values'!O116*'D(Ti_Cherniak) Times'!$F116*0.000001)^2/(4*'D(Ti_Cherniak) Times'!$C116)/(365.35*24*3600)</f>
        <v>81.411447200697495</v>
      </c>
      <c r="T116" s="2"/>
      <c r="U116" s="2">
        <f>('L-Values'!Q116*'D(Ti_Cherniak) Times'!$F116*0.000001)^2/(4*'D(Ti_Cherniak) Times'!$C116)/(365.35*24*3600)</f>
        <v>161.93600822394529</v>
      </c>
      <c r="V116" s="2">
        <f>('L-Values'!R116*'D(Ti_Cherniak) Times'!$F116*0.000001)^2/(4*'D(Ti_Cherniak) Times'!$C116)/(365.35*24*3600)</f>
        <v>153.16563668341098</v>
      </c>
      <c r="W116" s="2">
        <f>('L-Values'!S116*'D(Ti_Cherniak) Times'!$F116*0.000001)^2/(4*'D(Ti_Cherniak) Times'!$C116)/(365.35*24*3600)</f>
        <v>162.19728215987433</v>
      </c>
      <c r="X116" s="2"/>
      <c r="Y116" s="2">
        <f>('L-Values'!U116*'D(Ti_Cherniak) Times'!$F116*0.000001)^2/(4*'D(Ti_Cherniak) Times'!$C116)/(365.35*24*3600)</f>
        <v>153.54215186967039</v>
      </c>
      <c r="Z116" s="2">
        <f>('L-Values'!V116*'D(Ti_Cherniak) Times'!$F116*0.000001)^2/(4*'D(Ti_Cherniak) Times'!$C116)/(365.35*24*3600)</f>
        <v>167.29516171131021</v>
      </c>
      <c r="AA116" s="2">
        <f>('L-Values'!W116*'D(Ti_Cherniak) Times'!$F116*0.000001)^2/(4*'D(Ti_Cherniak) Times'!$C116)/(365.35*24*3600)</f>
        <v>8.4491499410138129</v>
      </c>
      <c r="AB116" s="2">
        <f>('L-Values'!X116*'D(Ti_Cherniak) Times'!$F116*0.000001)^2/(4*'D(Ti_Cherniak) Times'!$C116)/(365.35*24*3600)</f>
        <v>812.02146022389218</v>
      </c>
      <c r="AC116" s="2">
        <f t="shared" si="6"/>
        <v>158.8460117702964</v>
      </c>
      <c r="AD116" s="2">
        <f t="shared" si="7"/>
        <v>644.72629851258193</v>
      </c>
    </row>
    <row r="117" spans="1:30" x14ac:dyDescent="0.2">
      <c r="A117" t="str">
        <f>'L-Values'!A117</f>
        <v>CGI008-qtz05-CL-fit-3-offset</v>
      </c>
      <c r="B117">
        <v>750</v>
      </c>
      <c r="C117">
        <f t="shared" si="4"/>
        <v>8.0537892000481889E-22</v>
      </c>
      <c r="D117">
        <v>1450</v>
      </c>
      <c r="E117">
        <v>1024</v>
      </c>
      <c r="F117">
        <f t="shared" si="5"/>
        <v>1.416015625</v>
      </c>
      <c r="I117" s="2">
        <f>('L-Values'!E117*'D(Ti_Cherniak) Times'!$F117*0.000001)^2/(4*'D(Ti_Cherniak) Times'!$C117)/(365.35*24*3600)</f>
        <v>290.98718428407608</v>
      </c>
      <c r="J117" s="2">
        <f>('L-Values'!F117*'D(Ti_Cherniak) Times'!$F117*0.000001)^2/(4*'D(Ti_Cherniak) Times'!$C117)/(365.35*24*3600)</f>
        <v>181.18597319117393</v>
      </c>
      <c r="K117" s="2">
        <f>('L-Values'!G117*'D(Ti_Cherniak) Times'!$F117*0.000001)^2/(4*'D(Ti_Cherniak) Times'!$C117)/(365.35*24*3600)</f>
        <v>138.72609452401548</v>
      </c>
      <c r="L117" s="2">
        <f>('L-Values'!H117*'D(Ti_Cherniak) Times'!$F117*0.000001)^2/(4*'D(Ti_Cherniak) Times'!$C117)/(365.35*24*3600)</f>
        <v>39.785518400442925</v>
      </c>
      <c r="M117" s="2">
        <f>('L-Values'!I117*'D(Ti_Cherniak) Times'!$F117*0.000001)^2/(4*'D(Ti_Cherniak) Times'!$C117)/(365.35*24*3600)</f>
        <v>19.617228244816367</v>
      </c>
      <c r="N117" s="2">
        <f>('L-Values'!J117*'D(Ti_Cherniak) Times'!$F117*0.000001)^2/(4*'D(Ti_Cherniak) Times'!$C117)/(365.35*24*3600)</f>
        <v>145.04736874924265</v>
      </c>
      <c r="O117" s="2">
        <f>('L-Values'!K117*'D(Ti_Cherniak) Times'!$F117*0.000001)^2/(4*'D(Ti_Cherniak) Times'!$C117)/(365.35*24*3600)</f>
        <v>98.520887839776833</v>
      </c>
      <c r="P117" s="2">
        <f>('L-Values'!L117*'D(Ti_Cherniak) Times'!$F117*0.000001)^2/(4*'D(Ti_Cherniak) Times'!$C117)/(365.35*24*3600)</f>
        <v>94.090359174222101</v>
      </c>
      <c r="Q117" s="2">
        <f>('L-Values'!M117*'D(Ti_Cherniak) Times'!$F117*0.000001)^2/(4*'D(Ti_Cherniak) Times'!$C117)/(365.35*24*3600)</f>
        <v>325.6338366752932</v>
      </c>
      <c r="R117" s="2">
        <f>('L-Values'!N117*'D(Ti_Cherniak) Times'!$F117*0.000001)^2/(4*'D(Ti_Cherniak) Times'!$C117)/(365.35*24*3600)</f>
        <v>132.87263175781027</v>
      </c>
      <c r="S117" s="2">
        <f>('L-Values'!O117*'D(Ti_Cherniak) Times'!$F117*0.000001)^2/(4*'D(Ti_Cherniak) Times'!$C117)/(365.35*24*3600)</f>
        <v>32.036325060341468</v>
      </c>
      <c r="T117" s="2"/>
      <c r="U117" s="2">
        <f>('L-Values'!Q117*'D(Ti_Cherniak) Times'!$F117*0.000001)^2/(4*'D(Ti_Cherniak) Times'!$C117)/(365.35*24*3600)</f>
        <v>127.48092624616947</v>
      </c>
      <c r="V117" s="2">
        <f>('L-Values'!R117*'D(Ti_Cherniak) Times'!$F117*0.000001)^2/(4*'D(Ti_Cherniak) Times'!$C117)/(365.35*24*3600)</f>
        <v>118.88051181091238</v>
      </c>
      <c r="W117" s="2">
        <f>('L-Values'!S117*'D(Ti_Cherniak) Times'!$F117*0.000001)^2/(4*'D(Ti_Cherniak) Times'!$C117)/(365.35*24*3600)</f>
        <v>132.87263175781027</v>
      </c>
      <c r="X117" s="2"/>
      <c r="Y117" s="2">
        <f>('L-Values'!U117*'D(Ti_Cherniak) Times'!$F117*0.000001)^2/(4*'D(Ti_Cherniak) Times'!$C117)/(365.35*24*3600)</f>
        <v>135.23507419688707</v>
      </c>
      <c r="Z117" s="2">
        <f>('L-Values'!V117*'D(Ti_Cherniak) Times'!$F117*0.000001)^2/(4*'D(Ti_Cherniak) Times'!$C117)/(365.35*24*3600)</f>
        <v>135.55745759809673</v>
      </c>
      <c r="AA117" s="2">
        <f>('L-Values'!W117*'D(Ti_Cherniak) Times'!$F117*0.000001)^2/(4*'D(Ti_Cherniak) Times'!$C117)/(365.35*24*3600)</f>
        <v>10.605516043111459</v>
      </c>
      <c r="AB117" s="2">
        <f>('L-Values'!X117*'D(Ti_Cherniak) Times'!$F117*0.000001)^2/(4*'D(Ti_Cherniak) Times'!$C117)/(365.35*24*3600)</f>
        <v>403.30850114147751</v>
      </c>
      <c r="AC117" s="2">
        <f t="shared" si="6"/>
        <v>124.95194155498527</v>
      </c>
      <c r="AD117" s="2">
        <f t="shared" si="7"/>
        <v>267.75104354338077</v>
      </c>
    </row>
    <row r="118" spans="1:30" x14ac:dyDescent="0.2">
      <c r="A118" t="str">
        <f>'L-Values'!A118</f>
        <v>CGI008-qtz05-CL-fit-4-offset</v>
      </c>
      <c r="B118">
        <v>750</v>
      </c>
      <c r="C118">
        <f t="shared" si="4"/>
        <v>8.0537892000481889E-22</v>
      </c>
      <c r="D118">
        <v>1450</v>
      </c>
      <c r="E118">
        <v>1024</v>
      </c>
      <c r="F118">
        <f t="shared" si="5"/>
        <v>1.416015625</v>
      </c>
      <c r="I118" s="2">
        <f>('L-Values'!E118*'D(Ti_Cherniak) Times'!$F118*0.000001)^2/(4*'D(Ti_Cherniak) Times'!$C118)/(365.35*24*3600)</f>
        <v>79.098716835813264</v>
      </c>
      <c r="J118" s="2">
        <f>('L-Values'!F118*'D(Ti_Cherniak) Times'!$F118*0.000001)^2/(4*'D(Ti_Cherniak) Times'!$C118)/(365.35*24*3600)</f>
        <v>52.226976771374993</v>
      </c>
      <c r="K118" s="2">
        <f>('L-Values'!G118*'D(Ti_Cherniak) Times'!$F118*0.000001)^2/(4*'D(Ti_Cherniak) Times'!$C118)/(365.35*24*3600)</f>
        <v>52.381981700691483</v>
      </c>
      <c r="L118" s="2">
        <f>('L-Values'!H118*'D(Ti_Cherniak) Times'!$F118*0.000001)^2/(4*'D(Ti_Cherniak) Times'!$C118)/(365.35*24*3600)</f>
        <v>56.44948505062613</v>
      </c>
      <c r="M118" s="2">
        <f>('L-Values'!I118*'D(Ti_Cherniak) Times'!$F118*0.000001)^2/(4*'D(Ti_Cherniak) Times'!$C118)/(365.35*24*3600)</f>
        <v>30.811866102263338</v>
      </c>
      <c r="N118" s="2">
        <f>('L-Values'!J118*'D(Ti_Cherniak) Times'!$F118*0.000001)^2/(4*'D(Ti_Cherniak) Times'!$C118)/(365.35*24*3600)</f>
        <v>54.701438724149511</v>
      </c>
      <c r="O118" s="2">
        <f>('L-Values'!K118*'D(Ti_Cherniak) Times'!$F118*0.000001)^2/(4*'D(Ti_Cherniak) Times'!$C118)/(365.35*24*3600)</f>
        <v>57.434851908370476</v>
      </c>
      <c r="P118" s="2">
        <f>('L-Values'!L118*'D(Ti_Cherniak) Times'!$F118*0.000001)^2/(4*'D(Ti_Cherniak) Times'!$C118)/(365.35*24*3600)</f>
        <v>90.241833153045945</v>
      </c>
      <c r="Q118" s="2">
        <f>('L-Values'!M118*'D(Ti_Cherniak) Times'!$F118*0.000001)^2/(4*'D(Ti_Cherniak) Times'!$C118)/(365.35*24*3600)</f>
        <v>117.82792438004374</v>
      </c>
      <c r="R118" s="2">
        <f>('L-Values'!N118*'D(Ti_Cherniak) Times'!$F118*0.000001)^2/(4*'D(Ti_Cherniak) Times'!$C118)/(365.35*24*3600)</f>
        <v>115.72123436778965</v>
      </c>
      <c r="S118" s="2">
        <f>('L-Values'!O118*'D(Ti_Cherniak) Times'!$F118*0.000001)^2/(4*'D(Ti_Cherniak) Times'!$C118)/(365.35*24*3600)</f>
        <v>51.546982672978324</v>
      </c>
      <c r="T118" s="2"/>
      <c r="U118" s="2">
        <f>('L-Values'!Q118*'D(Ti_Cherniak) Times'!$F118*0.000001)^2/(4*'D(Ti_Cherniak) Times'!$C118)/(365.35*24*3600)</f>
        <v>67.352407441643976</v>
      </c>
      <c r="V118" s="2">
        <f>('L-Values'!R118*'D(Ti_Cherniak) Times'!$F118*0.000001)^2/(4*'D(Ti_Cherniak) Times'!$C118)/(365.35*24*3600)</f>
        <v>66.479252713977829</v>
      </c>
      <c r="W118" s="2">
        <f>('L-Values'!S118*'D(Ti_Cherniak) Times'!$F118*0.000001)^2/(4*'D(Ti_Cherniak) Times'!$C118)/(365.35*24*3600)</f>
        <v>56.44948505062613</v>
      </c>
      <c r="X118" s="2"/>
      <c r="Y118" s="2">
        <f>('L-Values'!U118*'D(Ti_Cherniak) Times'!$F118*0.000001)^2/(4*'D(Ti_Cherniak) Times'!$C118)/(365.35*24*3600)</f>
        <v>68.755979169225142</v>
      </c>
      <c r="Z118" s="2">
        <f>('L-Values'!V118*'D(Ti_Cherniak) Times'!$F118*0.000001)^2/(4*'D(Ti_Cherniak) Times'!$C118)/(365.35*24*3600)</f>
        <v>66.196217206270717</v>
      </c>
      <c r="AA118" s="2">
        <f>('L-Values'!W118*'D(Ti_Cherniak) Times'!$F118*0.000001)^2/(4*'D(Ti_Cherniak) Times'!$C118)/(365.35*24*3600)</f>
        <v>10.028638230334296</v>
      </c>
      <c r="AB118" s="2">
        <f>('L-Values'!X118*'D(Ti_Cherniak) Times'!$F118*0.000001)^2/(4*'D(Ti_Cherniak) Times'!$C118)/(365.35*24*3600)</f>
        <v>141.93437120799567</v>
      </c>
      <c r="AC118" s="2">
        <f t="shared" si="6"/>
        <v>56.167578975936422</v>
      </c>
      <c r="AD118" s="2">
        <f t="shared" si="7"/>
        <v>75.738154001724951</v>
      </c>
    </row>
    <row r="119" spans="1:30" x14ac:dyDescent="0.2">
      <c r="A119" t="str">
        <f>'L-Values'!A119</f>
        <v>CGI008-qtz06-CL-fit-1-offset</v>
      </c>
      <c r="B119">
        <v>750</v>
      </c>
      <c r="C119">
        <f t="shared" si="4"/>
        <v>8.0537892000481889E-22</v>
      </c>
      <c r="D119">
        <v>1900</v>
      </c>
      <c r="E119">
        <v>1024</v>
      </c>
      <c r="F119">
        <f t="shared" si="5"/>
        <v>1.85546875</v>
      </c>
      <c r="I119" s="2">
        <f>('L-Values'!E119*'D(Ti_Cherniak) Times'!$F119*0.000001)^2/(4*'D(Ti_Cherniak) Times'!$C119)/(365.35*24*3600)</f>
        <v>1743.0874188306807</v>
      </c>
      <c r="J119" s="2">
        <f>('L-Values'!F119*'D(Ti_Cherniak) Times'!$F119*0.000001)^2/(4*'D(Ti_Cherniak) Times'!$C119)/(365.35*24*3600)</f>
        <v>3137.9586986746613</v>
      </c>
      <c r="K119" s="2">
        <f>('L-Values'!G119*'D(Ti_Cherniak) Times'!$F119*0.000001)^2/(4*'D(Ti_Cherniak) Times'!$C119)/(365.35*24*3600)</f>
        <v>5095.6041418276473</v>
      </c>
      <c r="L119" s="2">
        <f>('L-Values'!H119*'D(Ti_Cherniak) Times'!$F119*0.000001)^2/(4*'D(Ti_Cherniak) Times'!$C119)/(365.35*24*3600)</f>
        <v>5221.1827261776307</v>
      </c>
      <c r="M119" s="2">
        <f>('L-Values'!I119*'D(Ti_Cherniak) Times'!$F119*0.000001)^2/(4*'D(Ti_Cherniak) Times'!$C119)/(365.35*24*3600)</f>
        <v>3323.5683868364981</v>
      </c>
      <c r="N119" s="2">
        <f>('L-Values'!J119*'D(Ti_Cherniak) Times'!$F119*0.000001)^2/(4*'D(Ti_Cherniak) Times'!$C119)/(365.35*24*3600)</f>
        <v>4425.372015296216</v>
      </c>
      <c r="O119" s="2">
        <f>('L-Values'!K119*'D(Ti_Cherniak) Times'!$F119*0.000001)^2/(4*'D(Ti_Cherniak) Times'!$C119)/(365.35*24*3600)</f>
        <v>4961.2012216707772</v>
      </c>
      <c r="P119" s="2">
        <f>('L-Values'!L119*'D(Ti_Cherniak) Times'!$F119*0.000001)^2/(4*'D(Ti_Cherniak) Times'!$C119)/(365.35*24*3600)</f>
        <v>2064.0187072391823</v>
      </c>
      <c r="Q119" s="2">
        <f>('L-Values'!M119*'D(Ti_Cherniak) Times'!$F119*0.000001)^2/(4*'D(Ti_Cherniak) Times'!$C119)/(365.35*24*3600)</f>
        <v>4601.7316536287663</v>
      </c>
      <c r="R119" s="2">
        <f>('L-Values'!N119*'D(Ti_Cherniak) Times'!$F119*0.000001)^2/(4*'D(Ti_Cherniak) Times'!$C119)/(365.35*24*3600)</f>
        <v>3669.3507372952786</v>
      </c>
      <c r="S119" s="2">
        <f>('L-Values'!O119*'D(Ti_Cherniak) Times'!$F119*0.000001)^2/(4*'D(Ti_Cherniak) Times'!$C119)/(365.35*24*3600)</f>
        <v>1454.0268807764523</v>
      </c>
      <c r="T119" s="2"/>
      <c r="U119" s="2">
        <f>('L-Values'!Q119*'D(Ti_Cherniak) Times'!$F119*0.000001)^2/(4*'D(Ti_Cherniak) Times'!$C119)/(365.35*24*3600)</f>
        <v>3526.9817186878245</v>
      </c>
      <c r="V119" s="2">
        <f>('L-Values'!R119*'D(Ti_Cherniak) Times'!$F119*0.000001)^2/(4*'D(Ti_Cherniak) Times'!$C119)/(365.35*24*3600)</f>
        <v>3470.2071615010655</v>
      </c>
      <c r="W119" s="2">
        <f>('L-Values'!S119*'D(Ti_Cherniak) Times'!$F119*0.000001)^2/(4*'D(Ti_Cherniak) Times'!$C119)/(365.35*24*3600)</f>
        <v>3669.3507372952786</v>
      </c>
      <c r="X119" s="2"/>
      <c r="Y119" s="2">
        <f>('L-Values'!U119*'D(Ti_Cherniak) Times'!$F119*0.000001)^2/(4*'D(Ti_Cherniak) Times'!$C119)/(365.35*24*3600)</f>
        <v>3248.8059748044839</v>
      </c>
      <c r="Z119" s="2">
        <f>('L-Values'!V119*'D(Ti_Cherniak) Times'!$F119*0.000001)^2/(4*'D(Ti_Cherniak) Times'!$C119)/(365.35*24*3600)</f>
        <v>3441.9577186154966</v>
      </c>
      <c r="AA119" s="2">
        <f>('L-Values'!W119*'D(Ti_Cherniak) Times'!$F119*0.000001)^2/(4*'D(Ti_Cherniak) Times'!$C119)/(365.35*24*3600)</f>
        <v>1379.7753239893132</v>
      </c>
      <c r="AB119" s="2">
        <f>('L-Values'!X119*'D(Ti_Cherniak) Times'!$F119*0.000001)^2/(4*'D(Ti_Cherniak) Times'!$C119)/(365.35*24*3600)</f>
        <v>7695.0062538680004</v>
      </c>
      <c r="AC119" s="2">
        <f t="shared" si="6"/>
        <v>2062.1823946261834</v>
      </c>
      <c r="AD119" s="2">
        <f t="shared" si="7"/>
        <v>4253.0485352525038</v>
      </c>
    </row>
    <row r="120" spans="1:30" x14ac:dyDescent="0.2">
      <c r="A120" t="str">
        <f>'L-Values'!A120</f>
        <v>CGI008-qtz06-CL-fit-2-offset</v>
      </c>
      <c r="B120">
        <v>750</v>
      </c>
      <c r="C120">
        <f t="shared" si="4"/>
        <v>8.0537892000481889E-22</v>
      </c>
      <c r="D120">
        <v>1900</v>
      </c>
      <c r="E120">
        <v>1024</v>
      </c>
      <c r="F120">
        <f t="shared" si="5"/>
        <v>1.85546875</v>
      </c>
      <c r="I120" s="2">
        <f>('L-Values'!E120*'D(Ti_Cherniak) Times'!$F120*0.000001)^2/(4*'D(Ti_Cherniak) Times'!$C120)/(365.35*24*3600)</f>
        <v>1925.1447270271092</v>
      </c>
      <c r="J120" s="2">
        <f>('L-Values'!F120*'D(Ti_Cherniak) Times'!$F120*0.000001)^2/(4*'D(Ti_Cherniak) Times'!$C120)/(365.35*24*3600)</f>
        <v>1137.7322495905346</v>
      </c>
      <c r="K120" s="2">
        <f>('L-Values'!G120*'D(Ti_Cherniak) Times'!$F120*0.000001)^2/(4*'D(Ti_Cherniak) Times'!$C120)/(365.35*24*3600)</f>
        <v>1106.6206324783204</v>
      </c>
      <c r="L120" s="2">
        <f>('L-Values'!H120*'D(Ti_Cherniak) Times'!$F120*0.000001)^2/(4*'D(Ti_Cherniak) Times'!$C120)/(365.35*24*3600)</f>
        <v>1024.6702171881352</v>
      </c>
      <c r="M120" s="2">
        <f>('L-Values'!I120*'D(Ti_Cherniak) Times'!$F120*0.000001)^2/(4*'D(Ti_Cherniak) Times'!$C120)/(365.35*24*3600)</f>
        <v>1835.8799140089143</v>
      </c>
      <c r="N120" s="2">
        <f>('L-Values'!J120*'D(Ti_Cherniak) Times'!$F120*0.000001)^2/(4*'D(Ti_Cherniak) Times'!$C120)/(365.35*24*3600)</f>
        <v>1237.414627491451</v>
      </c>
      <c r="O120" s="2">
        <f>('L-Values'!K120*'D(Ti_Cherniak) Times'!$F120*0.000001)^2/(4*'D(Ti_Cherniak) Times'!$C120)/(365.35*24*3600)</f>
        <v>1348.3579162675187</v>
      </c>
      <c r="P120" s="2">
        <f>('L-Values'!L120*'D(Ti_Cherniak) Times'!$F120*0.000001)^2/(4*'D(Ti_Cherniak) Times'!$C120)/(365.35*24*3600)</f>
        <v>1422.6888374733276</v>
      </c>
      <c r="Q120" s="2">
        <f>('L-Values'!M120*'D(Ti_Cherniak) Times'!$F120*0.000001)^2/(4*'D(Ti_Cherniak) Times'!$C120)/(365.35*24*3600)</f>
        <v>988.04105113969092</v>
      </c>
      <c r="R120" s="2">
        <f>('L-Values'!N120*'D(Ti_Cherniak) Times'!$F120*0.000001)^2/(4*'D(Ti_Cherniak) Times'!$C120)/(365.35*24*3600)</f>
        <v>774.80214950028153</v>
      </c>
      <c r="S120" s="2">
        <f>('L-Values'!O120*'D(Ti_Cherniak) Times'!$F120*0.000001)^2/(4*'D(Ti_Cherniak) Times'!$C120)/(365.35*24*3600)</f>
        <v>1170.8816354896917</v>
      </c>
      <c r="T120" s="2"/>
      <c r="U120" s="2">
        <f>('L-Values'!Q120*'D(Ti_Cherniak) Times'!$F120*0.000001)^2/(4*'D(Ti_Cherniak) Times'!$C120)/(365.35*24*3600)</f>
        <v>1235.2363365036181</v>
      </c>
      <c r="V120" s="2">
        <f>('L-Values'!R120*'D(Ti_Cherniak) Times'!$F120*0.000001)^2/(4*'D(Ti_Cherniak) Times'!$C120)/(365.35*24*3600)</f>
        <v>1249.5086605191291</v>
      </c>
      <c r="W120" s="2">
        <f>('L-Values'!S120*'D(Ti_Cherniak) Times'!$F120*0.000001)^2/(4*'D(Ti_Cherniak) Times'!$C120)/(365.35*24*3600)</f>
        <v>1170.8816354896917</v>
      </c>
      <c r="X120" s="2"/>
      <c r="Y120" s="2">
        <f>('L-Values'!U120*'D(Ti_Cherniak) Times'!$F120*0.000001)^2/(4*'D(Ti_Cherniak) Times'!$C120)/(365.35*24*3600)</f>
        <v>1200.2174015912735</v>
      </c>
      <c r="Z120" s="2">
        <f>('L-Values'!V120*'D(Ti_Cherniak) Times'!$F120*0.000001)^2/(4*'D(Ti_Cherniak) Times'!$C120)/(365.35*24*3600)</f>
        <v>1235.3683459157264</v>
      </c>
      <c r="AA120" s="2">
        <f>('L-Values'!W120*'D(Ti_Cherniak) Times'!$F120*0.000001)^2/(4*'D(Ti_Cherniak) Times'!$C120)/(365.35*24*3600)</f>
        <v>680.91109527122251</v>
      </c>
      <c r="AB120" s="2">
        <f>('L-Values'!X120*'D(Ti_Cherniak) Times'!$F120*0.000001)^2/(4*'D(Ti_Cherniak) Times'!$C120)/(365.35*24*3600)</f>
        <v>1985.0976536487769</v>
      </c>
      <c r="AC120" s="2">
        <f t="shared" si="6"/>
        <v>554.45725064450392</v>
      </c>
      <c r="AD120" s="2">
        <f t="shared" si="7"/>
        <v>749.72930773305052</v>
      </c>
    </row>
    <row r="121" spans="1:30" x14ac:dyDescent="0.2">
      <c r="A121" t="str">
        <f>'L-Values'!A121</f>
        <v>CGI008-qtz06-CL-fit-3-offset</v>
      </c>
      <c r="B121">
        <v>750</v>
      </c>
      <c r="C121">
        <f t="shared" si="4"/>
        <v>8.0537892000481889E-22</v>
      </c>
      <c r="D121">
        <v>1900</v>
      </c>
      <c r="E121">
        <v>1024</v>
      </c>
      <c r="F121">
        <f t="shared" si="5"/>
        <v>1.85546875</v>
      </c>
      <c r="I121" s="2">
        <f>('L-Values'!E121*'D(Ti_Cherniak) Times'!$F121*0.000001)^2/(4*'D(Ti_Cherniak) Times'!$C121)/(365.35*24*3600)</f>
        <v>3521.0294807382529</v>
      </c>
      <c r="J121" s="2">
        <f>('L-Values'!F121*'D(Ti_Cherniak) Times'!$F121*0.000001)^2/(4*'D(Ti_Cherniak) Times'!$C121)/(365.35*24*3600)</f>
        <v>900.25046951192132</v>
      </c>
      <c r="K121" s="2">
        <f>('L-Values'!G121*'D(Ti_Cherniak) Times'!$F121*0.000001)^2/(4*'D(Ti_Cherniak) Times'!$C121)/(365.35*24*3600)</f>
        <v>1318.2642813276211</v>
      </c>
      <c r="L121" s="2">
        <f>('L-Values'!H121*'D(Ti_Cherniak) Times'!$F121*0.000001)^2/(4*'D(Ti_Cherniak) Times'!$C121)/(365.35*24*3600)</f>
        <v>1539.7148053463043</v>
      </c>
      <c r="M121" s="2">
        <f>('L-Values'!I121*'D(Ti_Cherniak) Times'!$F121*0.000001)^2/(4*'D(Ti_Cherniak) Times'!$C121)/(365.35*24*3600)</f>
        <v>130.89548202238137</v>
      </c>
      <c r="N121" s="2">
        <f>('L-Values'!J121*'D(Ti_Cherniak) Times'!$F121*0.000001)^2/(4*'D(Ti_Cherniak) Times'!$C121)/(365.35*24*3600)</f>
        <v>1397.9599481544553</v>
      </c>
      <c r="O121" s="2">
        <f>('L-Values'!K121*'D(Ti_Cherniak) Times'!$F121*0.000001)^2/(4*'D(Ti_Cherniak) Times'!$C121)/(365.35*24*3600)</f>
        <v>1316.6355467812166</v>
      </c>
      <c r="P121" s="2">
        <f>('L-Values'!L121*'D(Ti_Cherniak) Times'!$F121*0.000001)^2/(4*'D(Ti_Cherniak) Times'!$C121)/(365.35*24*3600)</f>
        <v>1091.5405358313121</v>
      </c>
      <c r="Q121" s="2">
        <f>('L-Values'!M121*'D(Ti_Cherniak) Times'!$F121*0.000001)^2/(4*'D(Ti_Cherniak) Times'!$C121)/(365.35*24*3600)</f>
        <v>2870.4792690194622</v>
      </c>
      <c r="R121" s="2">
        <f>('L-Values'!N121*'D(Ti_Cherniak) Times'!$F121*0.000001)^2/(4*'D(Ti_Cherniak) Times'!$C121)/(365.35*24*3600)</f>
        <v>1491.861173928778</v>
      </c>
      <c r="S121" s="2">
        <f>('L-Values'!O121*'D(Ti_Cherniak) Times'!$F121*0.000001)^2/(4*'D(Ti_Cherniak) Times'!$C121)/(365.35*24*3600)</f>
        <v>629.17671575128384</v>
      </c>
      <c r="T121" s="2"/>
      <c r="U121" s="2">
        <f>('L-Values'!Q121*'D(Ti_Cherniak) Times'!$F121*0.000001)^2/(4*'D(Ti_Cherniak) Times'!$C121)/(365.35*24*3600)</f>
        <v>1437.9775124857777</v>
      </c>
      <c r="V121" s="2">
        <f>('L-Values'!R121*'D(Ti_Cherniak) Times'!$F121*0.000001)^2/(4*'D(Ti_Cherniak) Times'!$C121)/(365.35*24*3600)</f>
        <v>1324.4876155482709</v>
      </c>
      <c r="W121" s="2">
        <f>('L-Values'!S121*'D(Ti_Cherniak) Times'!$F121*0.000001)^2/(4*'D(Ti_Cherniak) Times'!$C121)/(365.35*24*3600)</f>
        <v>1318.2642813276211</v>
      </c>
      <c r="X121" s="2"/>
      <c r="Y121" s="2">
        <f>('L-Values'!U121*'D(Ti_Cherniak) Times'!$F121*0.000001)^2/(4*'D(Ti_Cherniak) Times'!$C121)/(365.35*24*3600)</f>
        <v>1395.724244987503</v>
      </c>
      <c r="Z121" s="2">
        <f>('L-Values'!V121*'D(Ti_Cherniak) Times'!$F121*0.000001)^2/(4*'D(Ti_Cherniak) Times'!$C121)/(365.35*24*3600)</f>
        <v>1940.0887897037637</v>
      </c>
      <c r="AA121" s="2">
        <f>('L-Values'!W121*'D(Ti_Cherniak) Times'!$F121*0.000001)^2/(4*'D(Ti_Cherniak) Times'!$C121)/(365.35*24*3600)</f>
        <v>153.67267791015161</v>
      </c>
      <c r="AB121" s="2">
        <f>('L-Values'!X121*'D(Ti_Cherniak) Times'!$F121*0.000001)^2/(4*'D(Ti_Cherniak) Times'!$C121)/(365.35*24*3600)</f>
        <v>9911.8524057164559</v>
      </c>
      <c r="AC121" s="2">
        <f t="shared" si="6"/>
        <v>1786.4161117936121</v>
      </c>
      <c r="AD121" s="2">
        <f t="shared" si="7"/>
        <v>7971.7636160126922</v>
      </c>
    </row>
    <row r="122" spans="1:30" x14ac:dyDescent="0.2">
      <c r="A122" t="str">
        <f>'L-Values'!A122</f>
        <v>CGI008-qtz06-CL-fit-4-offset</v>
      </c>
      <c r="B122">
        <v>750</v>
      </c>
      <c r="C122">
        <f t="shared" si="4"/>
        <v>8.0537892000481889E-22</v>
      </c>
      <c r="D122">
        <v>1900</v>
      </c>
      <c r="E122">
        <v>1024</v>
      </c>
      <c r="F122">
        <f t="shared" si="5"/>
        <v>1.85546875</v>
      </c>
      <c r="I122" s="2">
        <f>('L-Values'!E122*'D(Ti_Cherniak) Times'!$F122*0.000001)^2/(4*'D(Ti_Cherniak) Times'!$C122)/(365.35*24*3600)</f>
        <v>3.1617410052653385</v>
      </c>
      <c r="J122" s="2">
        <f>('L-Values'!F122*'D(Ti_Cherniak) Times'!$F122*0.000001)^2/(4*'D(Ti_Cherniak) Times'!$C122)/(365.35*24*3600)</f>
        <v>2.5228010372012739</v>
      </c>
      <c r="K122" s="2">
        <f>('L-Values'!G122*'D(Ti_Cherniak) Times'!$F122*0.000001)^2/(4*'D(Ti_Cherniak) Times'!$C122)/(365.35*24*3600)</f>
        <v>424.73363593226759</v>
      </c>
      <c r="L122" s="2">
        <f>('L-Values'!H122*'D(Ti_Cherniak) Times'!$F122*0.000001)^2/(4*'D(Ti_Cherniak) Times'!$C122)/(365.35*24*3600)</f>
        <v>243.34858478050214</v>
      </c>
      <c r="M122" s="2">
        <f>('L-Values'!I122*'D(Ti_Cherniak) Times'!$F122*0.000001)^2/(4*'D(Ti_Cherniak) Times'!$C122)/(365.35*24*3600)</f>
        <v>110.83065697209312</v>
      </c>
      <c r="N122" s="2">
        <f>('L-Values'!J122*'D(Ti_Cherniak) Times'!$F122*0.000001)^2/(4*'D(Ti_Cherniak) Times'!$C122)/(365.35*24*3600)</f>
        <v>800.28609510813692</v>
      </c>
      <c r="O122" s="2">
        <f>('L-Values'!K122*'D(Ti_Cherniak) Times'!$F122*0.000001)^2/(4*'D(Ti_Cherniak) Times'!$C122)/(365.35*24*3600)</f>
        <v>19.336070130900175</v>
      </c>
      <c r="P122" s="2">
        <f>('L-Values'!L122*'D(Ti_Cherniak) Times'!$F122*0.000001)^2/(4*'D(Ti_Cherniak) Times'!$C122)/(365.35*24*3600)</f>
        <v>451.33184826428987</v>
      </c>
      <c r="Q122" s="2">
        <f>('L-Values'!M122*'D(Ti_Cherniak) Times'!$F122*0.000001)^2/(4*'D(Ti_Cherniak) Times'!$C122)/(365.35*24*3600)</f>
        <v>304.0315900159332</v>
      </c>
      <c r="R122" s="2">
        <f>('L-Values'!N122*'D(Ti_Cherniak) Times'!$F122*0.000001)^2/(4*'D(Ti_Cherniak) Times'!$C122)/(365.35*24*3600)</f>
        <v>1189.366956349455</v>
      </c>
      <c r="S122" s="2">
        <f>('L-Values'!O122*'D(Ti_Cherniak) Times'!$F122*0.000001)^2/(4*'D(Ti_Cherniak) Times'!$C122)/(365.35*24*3600)</f>
        <v>1304.6978563196221</v>
      </c>
      <c r="T122" s="2"/>
      <c r="U122" s="2">
        <f>('L-Values'!Q122*'D(Ti_Cherniak) Times'!$F122*0.000001)^2/(4*'D(Ti_Cherniak) Times'!$C122)/(365.35*24*3600)</f>
        <v>350.58881014611165</v>
      </c>
      <c r="V122" s="2">
        <f>('L-Values'!R122*'D(Ti_Cherniak) Times'!$F122*0.000001)^2/(4*'D(Ti_Cherniak) Times'!$C122)/(365.35*24*3600)</f>
        <v>304.90956909963353</v>
      </c>
      <c r="W122" s="2">
        <f>('L-Values'!S122*'D(Ti_Cherniak) Times'!$F122*0.000001)^2/(4*'D(Ti_Cherniak) Times'!$C122)/(365.35*24*3600)</f>
        <v>304.0315900159332</v>
      </c>
      <c r="X122" s="2"/>
      <c r="Y122" s="2">
        <f>('L-Values'!U122*'D(Ti_Cherniak) Times'!$F122*0.000001)^2/(4*'D(Ti_Cherniak) Times'!$C122)/(365.35*24*3600)</f>
        <v>316.5851152675047</v>
      </c>
      <c r="Z122" s="2">
        <f>('L-Values'!V122*'D(Ti_Cherniak) Times'!$F122*0.000001)^2/(4*'D(Ti_Cherniak) Times'!$C122)/(365.35*24*3600)</f>
        <v>318.70920401717927</v>
      </c>
      <c r="AA122" s="2">
        <f>('L-Values'!W122*'D(Ti_Cherniak) Times'!$F122*0.000001)^2/(4*'D(Ti_Cherniak) Times'!$C122)/(365.35*24*3600)</f>
        <v>0.22064963277259694</v>
      </c>
      <c r="AB122" s="2">
        <f>('L-Values'!X122*'D(Ti_Cherniak) Times'!$F122*0.000001)^2/(4*'D(Ti_Cherniak) Times'!$C122)/(365.35*24*3600)</f>
        <v>1962.7989026040673</v>
      </c>
      <c r="AC122" s="2">
        <f t="shared" si="6"/>
        <v>318.48855438440665</v>
      </c>
      <c r="AD122" s="2">
        <f t="shared" si="7"/>
        <v>1644.0896985868881</v>
      </c>
    </row>
    <row r="123" spans="1:30" x14ac:dyDescent="0.2">
      <c r="A123" t="str">
        <f>'L-Values'!A123</f>
        <v>CGI008-qtz07-CL-fit-1-offset</v>
      </c>
      <c r="B123">
        <v>750</v>
      </c>
      <c r="C123">
        <f t="shared" si="4"/>
        <v>8.0537892000481889E-22</v>
      </c>
      <c r="D123">
        <v>1900</v>
      </c>
      <c r="E123">
        <v>1024</v>
      </c>
      <c r="F123">
        <f t="shared" si="5"/>
        <v>1.85546875</v>
      </c>
      <c r="I123" s="2">
        <f>('L-Values'!E123*'D(Ti_Cherniak) Times'!$F123*0.000001)^2/(4*'D(Ti_Cherniak) Times'!$C123)/(365.35*24*3600)</f>
        <v>913.41552518378558</v>
      </c>
      <c r="J123" s="2">
        <f>('L-Values'!F123*'D(Ti_Cherniak) Times'!$F123*0.000001)^2/(4*'D(Ti_Cherniak) Times'!$C123)/(365.35*24*3600)</f>
        <v>1055.4675937094855</v>
      </c>
      <c r="K123" s="2">
        <f>('L-Values'!G123*'D(Ti_Cherniak) Times'!$F123*0.000001)^2/(4*'D(Ti_Cherniak) Times'!$C123)/(365.35*24*3600)</f>
        <v>161.76333244659284</v>
      </c>
      <c r="L123" s="2">
        <f>('L-Values'!H123*'D(Ti_Cherniak) Times'!$F123*0.000001)^2/(4*'D(Ti_Cherniak) Times'!$C123)/(365.35*24*3600)</f>
        <v>433.20092613200785</v>
      </c>
      <c r="M123" s="2">
        <f>('L-Values'!I123*'D(Ti_Cherniak) Times'!$F123*0.000001)^2/(4*'D(Ti_Cherniak) Times'!$C123)/(365.35*24*3600)</f>
        <v>730.36147081216961</v>
      </c>
      <c r="N123" s="2">
        <f>('L-Values'!J123*'D(Ti_Cherniak) Times'!$F123*0.000001)^2/(4*'D(Ti_Cherniak) Times'!$C123)/(365.35*24*3600)</f>
        <v>1060.8113092240542</v>
      </c>
      <c r="O123" s="2">
        <f>('L-Values'!K123*'D(Ti_Cherniak) Times'!$F123*0.000001)^2/(4*'D(Ti_Cherniak) Times'!$C123)/(365.35*24*3600)</f>
        <v>474.37604684898048</v>
      </c>
      <c r="P123" s="2">
        <f>('L-Values'!L123*'D(Ti_Cherniak) Times'!$F123*0.000001)^2/(4*'D(Ti_Cherniak) Times'!$C123)/(365.35*24*3600)</f>
        <v>145.91714808208397</v>
      </c>
      <c r="Q123" s="2">
        <f>('L-Values'!M123*'D(Ti_Cherniak) Times'!$F123*0.000001)^2/(4*'D(Ti_Cherniak) Times'!$C123)/(365.35*24*3600)</f>
        <v>830.78294388053939</v>
      </c>
      <c r="R123" s="2">
        <f>('L-Values'!N123*'D(Ti_Cherniak) Times'!$F123*0.000001)^2/(4*'D(Ti_Cherniak) Times'!$C123)/(365.35*24*3600)</f>
        <v>524.97933627466125</v>
      </c>
      <c r="S123" s="2">
        <f>('L-Values'!O123*'D(Ti_Cherniak) Times'!$F123*0.000001)^2/(4*'D(Ti_Cherniak) Times'!$C123)/(365.35*24*3600)</f>
        <v>1055.8401364492865</v>
      </c>
      <c r="T123" s="2"/>
      <c r="U123" s="2">
        <f>('L-Values'!Q123*'D(Ti_Cherniak) Times'!$F123*0.000001)^2/(4*'D(Ti_Cherniak) Times'!$C123)/(365.35*24*3600)</f>
        <v>709.50680046249624</v>
      </c>
      <c r="V123" s="2">
        <f>('L-Values'!R123*'D(Ti_Cherniak) Times'!$F123*0.000001)^2/(4*'D(Ti_Cherniak) Times'!$C123)/(365.35*24*3600)</f>
        <v>620.13380557363735</v>
      </c>
      <c r="W123" s="2">
        <f>('L-Values'!S123*'D(Ti_Cherniak) Times'!$F123*0.000001)^2/(4*'D(Ti_Cherniak) Times'!$C123)/(365.35*24*3600)</f>
        <v>730.36147081216961</v>
      </c>
      <c r="X123" s="2"/>
      <c r="Y123" s="2">
        <f>('L-Values'!U123*'D(Ti_Cherniak) Times'!$F123*0.000001)^2/(4*'D(Ti_Cherniak) Times'!$C123)/(365.35*24*3600)</f>
        <v>653.4908728803656</v>
      </c>
      <c r="Z123" s="2">
        <f>('L-Values'!V123*'D(Ti_Cherniak) Times'!$F123*0.000001)^2/(4*'D(Ti_Cherniak) Times'!$C123)/(365.35*24*3600)</f>
        <v>562.83060148995287</v>
      </c>
      <c r="AA123" s="2">
        <f>('L-Values'!W123*'D(Ti_Cherniak) Times'!$F123*0.000001)^2/(4*'D(Ti_Cherniak) Times'!$C123)/(365.35*24*3600)</f>
        <v>0.49895801383873073</v>
      </c>
      <c r="AB123" s="2">
        <f>('L-Values'!X123*'D(Ti_Cherniak) Times'!$F123*0.000001)^2/(4*'D(Ti_Cherniak) Times'!$C123)/(365.35*24*3600)</f>
        <v>2052.3069810756715</v>
      </c>
      <c r="AC123" s="2">
        <f t="shared" si="6"/>
        <v>562.3316434761141</v>
      </c>
      <c r="AD123" s="2">
        <f t="shared" si="7"/>
        <v>1489.4763795857186</v>
      </c>
    </row>
    <row r="124" spans="1:30" x14ac:dyDescent="0.2">
      <c r="A124" t="str">
        <f>'L-Values'!A124</f>
        <v>CGI008-qtz07-CL-fit-2-offset</v>
      </c>
      <c r="B124">
        <v>750</v>
      </c>
      <c r="C124">
        <f t="shared" si="4"/>
        <v>8.0537892000481889E-22</v>
      </c>
      <c r="D124">
        <v>1900</v>
      </c>
      <c r="E124">
        <v>1024</v>
      </c>
      <c r="F124">
        <f t="shared" si="5"/>
        <v>1.85546875</v>
      </c>
      <c r="I124" s="2">
        <f>('L-Values'!E124*'D(Ti_Cherniak) Times'!$F124*0.000001)^2/(4*'D(Ti_Cherniak) Times'!$C124)/(365.35*24*3600)</f>
        <v>415.314888112007</v>
      </c>
      <c r="J124" s="2">
        <f>('L-Values'!F124*'D(Ti_Cherniak) Times'!$F124*0.000001)^2/(4*'D(Ti_Cherniak) Times'!$C124)/(365.35*24*3600)</f>
        <v>87.009206965640175</v>
      </c>
      <c r="K124" s="2">
        <f>('L-Values'!G124*'D(Ti_Cherniak) Times'!$F124*0.000001)^2/(4*'D(Ti_Cherniak) Times'!$C124)/(365.35*24*3600)</f>
        <v>46.713606764957696</v>
      </c>
      <c r="L124" s="2">
        <f>('L-Values'!H124*'D(Ti_Cherniak) Times'!$F124*0.000001)^2/(4*'D(Ti_Cherniak) Times'!$C124)/(365.35*24*3600)</f>
        <v>1097.9349230205059</v>
      </c>
      <c r="M124" s="2">
        <f>('L-Values'!I124*'D(Ti_Cherniak) Times'!$F124*0.000001)^2/(4*'D(Ti_Cherniak) Times'!$C124)/(365.35*24*3600)</f>
        <v>581.66198692217574</v>
      </c>
      <c r="N124" s="2">
        <f>('L-Values'!J124*'D(Ti_Cherniak) Times'!$F124*0.000001)^2/(4*'D(Ti_Cherniak) Times'!$C124)/(365.35*24*3600)</f>
        <v>175.64017315202832</v>
      </c>
      <c r="O124" s="2">
        <f>('L-Values'!K124*'D(Ti_Cherniak) Times'!$F124*0.000001)^2/(4*'D(Ti_Cherniak) Times'!$C124)/(365.35*24*3600)</f>
        <v>126.90298763356282</v>
      </c>
      <c r="P124" s="2">
        <f>('L-Values'!L124*'D(Ti_Cherniak) Times'!$F124*0.000001)^2/(4*'D(Ti_Cherniak) Times'!$C124)/(365.35*24*3600)</f>
        <v>38.192075915288875</v>
      </c>
      <c r="Q124" s="2">
        <f>('L-Values'!M124*'D(Ti_Cherniak) Times'!$F124*0.000001)^2/(4*'D(Ti_Cherniak) Times'!$C124)/(365.35*24*3600)</f>
        <v>16.522670161664607</v>
      </c>
      <c r="R124" s="2">
        <f>('L-Values'!N124*'D(Ti_Cherniak) Times'!$F124*0.000001)^2/(4*'D(Ti_Cherniak) Times'!$C124)/(365.35*24*3600)</f>
        <v>351.05030780456713</v>
      </c>
      <c r="S124" s="2">
        <f>('L-Values'!O124*'D(Ti_Cherniak) Times'!$F124*0.000001)^2/(4*'D(Ti_Cherniak) Times'!$C124)/(365.35*24*3600)</f>
        <v>447.08625871755515</v>
      </c>
      <c r="T124" s="2"/>
      <c r="U124" s="2">
        <f>('L-Values'!Q124*'D(Ti_Cherniak) Times'!$F124*0.000001)^2/(4*'D(Ti_Cherniak) Times'!$C124)/(365.35*24*3600)</f>
        <v>325.6736353075579</v>
      </c>
      <c r="V124" s="2">
        <f>('L-Values'!R124*'D(Ti_Cherniak) Times'!$F124*0.000001)^2/(4*'D(Ti_Cherniak) Times'!$C124)/(365.35*24*3600)</f>
        <v>234.47472016973725</v>
      </c>
      <c r="W124" s="2">
        <f>('L-Values'!S124*'D(Ti_Cherniak) Times'!$F124*0.000001)^2/(4*'D(Ti_Cherniak) Times'!$C124)/(365.35*24*3600)</f>
        <v>175.64017315202832</v>
      </c>
      <c r="X124" s="2"/>
      <c r="Y124" s="2">
        <f>('L-Values'!U124*'D(Ti_Cherniak) Times'!$F124*0.000001)^2/(4*'D(Ti_Cherniak) Times'!$C124)/(365.35*24*3600)</f>
        <v>288.38240837474848</v>
      </c>
      <c r="Z124" s="2">
        <f>('L-Values'!V124*'D(Ti_Cherniak) Times'!$F124*0.000001)^2/(4*'D(Ti_Cherniak) Times'!$C124)/(365.35*24*3600)</f>
        <v>252.88914647411283</v>
      </c>
      <c r="AA124" s="2">
        <f>('L-Values'!W124*'D(Ti_Cherniak) Times'!$F124*0.000001)^2/(4*'D(Ti_Cherniak) Times'!$C124)/(365.35*24*3600)</f>
        <v>0.14913947288667159</v>
      </c>
      <c r="AB124" s="2">
        <f>('L-Values'!X124*'D(Ti_Cherniak) Times'!$F124*0.000001)^2/(4*'D(Ti_Cherniak) Times'!$C124)/(365.35*24*3600)</f>
        <v>1148.8082322727976</v>
      </c>
      <c r="AC124" s="2">
        <f t="shared" si="6"/>
        <v>252.74000700122616</v>
      </c>
      <c r="AD124" s="2">
        <f t="shared" si="7"/>
        <v>895.9190857986847</v>
      </c>
    </row>
    <row r="125" spans="1:30" x14ac:dyDescent="0.2">
      <c r="A125" t="str">
        <f>'L-Values'!A125</f>
        <v>CGI008-qtz07-CL-fit-3-offset</v>
      </c>
      <c r="B125">
        <v>750</v>
      </c>
      <c r="C125">
        <f t="shared" si="4"/>
        <v>8.0537892000481889E-22</v>
      </c>
      <c r="D125">
        <v>1900</v>
      </c>
      <c r="E125">
        <v>1024</v>
      </c>
      <c r="F125">
        <f t="shared" si="5"/>
        <v>1.85546875</v>
      </c>
      <c r="I125" s="2">
        <f>('L-Values'!E125*'D(Ti_Cherniak) Times'!$F125*0.000001)^2/(4*'D(Ti_Cherniak) Times'!$C125)/(365.35*24*3600)</f>
        <v>2196.0849929078272</v>
      </c>
      <c r="J125" s="2">
        <f>('L-Values'!F125*'D(Ti_Cherniak) Times'!$F125*0.000001)^2/(4*'D(Ti_Cherniak) Times'!$C125)/(365.35*24*3600)</f>
        <v>1598.5281268326928</v>
      </c>
      <c r="K125" s="2">
        <f>('L-Values'!G125*'D(Ti_Cherniak) Times'!$F125*0.000001)^2/(4*'D(Ti_Cherniak) Times'!$C125)/(365.35*24*3600)</f>
        <v>5844.3140433872522</v>
      </c>
      <c r="L125" s="2">
        <f>('L-Values'!H125*'D(Ti_Cherniak) Times'!$F125*0.000001)^2/(4*'D(Ti_Cherniak) Times'!$C125)/(365.35*24*3600)</f>
        <v>4091.0878685971152</v>
      </c>
      <c r="M125" s="2">
        <f>('L-Values'!I125*'D(Ti_Cherniak) Times'!$F125*0.000001)^2/(4*'D(Ti_Cherniak) Times'!$C125)/(365.35*24*3600)</f>
        <v>2883.3183119433252</v>
      </c>
      <c r="N125" s="2">
        <f>('L-Values'!J125*'D(Ti_Cherniak) Times'!$F125*0.000001)^2/(4*'D(Ti_Cherniak) Times'!$C125)/(365.35*24*3600)</f>
        <v>1340.121089016126</v>
      </c>
      <c r="O125" s="2">
        <f>('L-Values'!K125*'D(Ti_Cherniak) Times'!$F125*0.000001)^2/(4*'D(Ti_Cherniak) Times'!$C125)/(365.35*24*3600)</f>
        <v>3330.5320727454623</v>
      </c>
      <c r="P125" s="2">
        <f>('L-Values'!L125*'D(Ti_Cherniak) Times'!$F125*0.000001)^2/(4*'D(Ti_Cherniak) Times'!$C125)/(365.35*24*3600)</f>
        <v>4650.0824668330415</v>
      </c>
      <c r="Q125" s="2">
        <f>('L-Values'!M125*'D(Ti_Cherniak) Times'!$F125*0.000001)^2/(4*'D(Ti_Cherniak) Times'!$C125)/(365.35*24*3600)</f>
        <v>771.7652044491997</v>
      </c>
      <c r="R125" s="2">
        <f>('L-Values'!N125*'D(Ti_Cherniak) Times'!$F125*0.000001)^2/(4*'D(Ti_Cherniak) Times'!$C125)/(365.35*24*3600)</f>
        <v>3708.4757173103271</v>
      </c>
      <c r="S125" s="2">
        <f>('L-Values'!O125*'D(Ti_Cherniak) Times'!$F125*0.000001)^2/(4*'D(Ti_Cherniak) Times'!$C125)/(365.35*24*3600)</f>
        <v>1812.5799203584975</v>
      </c>
      <c r="T125" s="2"/>
      <c r="U125" s="2">
        <f>('L-Values'!Q125*'D(Ti_Cherniak) Times'!$F125*0.000001)^2/(4*'D(Ti_Cherniak) Times'!$C125)/(365.35*24*3600)</f>
        <v>2529.4188910506014</v>
      </c>
      <c r="V125" s="2">
        <f>('L-Values'!R125*'D(Ti_Cherniak) Times'!$F125*0.000001)^2/(4*'D(Ti_Cherniak) Times'!$C125)/(365.35*24*3600)</f>
        <v>2729.7065397617848</v>
      </c>
      <c r="W125" s="2">
        <f>('L-Values'!S125*'D(Ti_Cherniak) Times'!$F125*0.000001)^2/(4*'D(Ti_Cherniak) Times'!$C125)/(365.35*24*3600)</f>
        <v>2883.3183119433252</v>
      </c>
      <c r="X125" s="2"/>
      <c r="Y125" s="2">
        <f>('L-Values'!U125*'D(Ti_Cherniak) Times'!$F125*0.000001)^2/(4*'D(Ti_Cherniak) Times'!$C125)/(365.35*24*3600)</f>
        <v>2253.092297112044</v>
      </c>
      <c r="Z125" s="2">
        <f>('L-Values'!V125*'D(Ti_Cherniak) Times'!$F125*0.000001)^2/(4*'D(Ti_Cherniak) Times'!$C125)/(365.35*24*3600)</f>
        <v>2605.231286647308</v>
      </c>
      <c r="AA125" s="2">
        <f>('L-Values'!W125*'D(Ti_Cherniak) Times'!$F125*0.000001)^2/(4*'D(Ti_Cherniak) Times'!$C125)/(365.35*24*3600)</f>
        <v>185.35981127876624</v>
      </c>
      <c r="AB125" s="2">
        <f>('L-Values'!X125*'D(Ti_Cherniak) Times'!$F125*0.000001)^2/(4*'D(Ti_Cherniak) Times'!$C125)/(365.35*24*3600)</f>
        <v>11143.527327916239</v>
      </c>
      <c r="AC125" s="2">
        <f t="shared" si="6"/>
        <v>2419.8714753685417</v>
      </c>
      <c r="AD125" s="2">
        <f t="shared" si="7"/>
        <v>8538.2960412689317</v>
      </c>
    </row>
    <row r="126" spans="1:30" x14ac:dyDescent="0.2">
      <c r="A126" t="str">
        <f>'L-Values'!A126</f>
        <v>CGI008-qtz07-CL-fit-4-offset</v>
      </c>
      <c r="B126">
        <v>750</v>
      </c>
      <c r="C126">
        <f t="shared" si="4"/>
        <v>8.0537892000481889E-22</v>
      </c>
      <c r="D126">
        <v>1900</v>
      </c>
      <c r="E126">
        <v>1024</v>
      </c>
      <c r="F126">
        <f t="shared" si="5"/>
        <v>1.85546875</v>
      </c>
      <c r="I126" s="2">
        <f>('L-Values'!E126*'D(Ti_Cherniak) Times'!$F126*0.000001)^2/(4*'D(Ti_Cherniak) Times'!$C126)/(365.35*24*3600)</f>
        <v>1524.3304903732344</v>
      </c>
      <c r="J126" s="2">
        <f>('L-Values'!F126*'D(Ti_Cherniak) Times'!$F126*0.000001)^2/(4*'D(Ti_Cherniak) Times'!$C126)/(365.35*24*3600)</f>
        <v>3688.7437642825898</v>
      </c>
      <c r="K126" s="2">
        <f>('L-Values'!G126*'D(Ti_Cherniak) Times'!$F126*0.000001)^2/(4*'D(Ti_Cherniak) Times'!$C126)/(365.35*24*3600)</f>
        <v>1135.0512294357791</v>
      </c>
      <c r="L126" s="2">
        <f>('L-Values'!H126*'D(Ti_Cherniak) Times'!$F126*0.000001)^2/(4*'D(Ti_Cherniak) Times'!$C126)/(365.35*24*3600)</f>
        <v>903.36148897715623</v>
      </c>
      <c r="M126" s="2">
        <f>('L-Values'!I126*'D(Ti_Cherniak) Times'!$F126*0.000001)^2/(4*'D(Ti_Cherniak) Times'!$C126)/(365.35*24*3600)</f>
        <v>1195.700168401808</v>
      </c>
      <c r="N126" s="2">
        <f>('L-Values'!J126*'D(Ti_Cherniak) Times'!$F126*0.000001)^2/(4*'D(Ti_Cherniak) Times'!$C126)/(365.35*24*3600)</f>
        <v>8.5804354899693557E-5</v>
      </c>
      <c r="O126" s="2">
        <f>('L-Values'!K126*'D(Ti_Cherniak) Times'!$F126*0.000001)^2/(4*'D(Ti_Cherniak) Times'!$C126)/(365.35*24*3600)</f>
        <v>2640.3628411133823</v>
      </c>
      <c r="P126" s="2">
        <f>('L-Values'!L126*'D(Ti_Cherniak) Times'!$F126*0.000001)^2/(4*'D(Ti_Cherniak) Times'!$C126)/(365.35*24*3600)</f>
        <v>699.77684401019735</v>
      </c>
      <c r="Q126" s="2">
        <f>('L-Values'!M126*'D(Ti_Cherniak) Times'!$F126*0.000001)^2/(4*'D(Ti_Cherniak) Times'!$C126)/(365.35*24*3600)</f>
        <v>2.0043946447720544</v>
      </c>
      <c r="R126" s="2">
        <f>('L-Values'!N126*'D(Ti_Cherniak) Times'!$F126*0.000001)^2/(4*'D(Ti_Cherniak) Times'!$C126)/(365.35*24*3600)</f>
        <v>1864.7402639421255</v>
      </c>
      <c r="S126" s="2">
        <f>('L-Values'!O126*'D(Ti_Cherniak) Times'!$F126*0.000001)^2/(4*'D(Ti_Cherniak) Times'!$C126)/(365.35*24*3600)</f>
        <v>3054.9149669542626</v>
      </c>
      <c r="T126" s="2"/>
      <c r="U126" s="2">
        <f>('L-Values'!Q126*'D(Ti_Cherniak) Times'!$F126*0.000001)^2/(4*'D(Ti_Cherniak) Times'!$C126)/(365.35*24*3600)</f>
        <v>1550.7849250338427</v>
      </c>
      <c r="V126" s="2">
        <f>('L-Values'!R126*'D(Ti_Cherniak) Times'!$F126*0.000001)^2/(4*'D(Ti_Cherniak) Times'!$C126)/(365.35*24*3600)</f>
        <v>1167.2770782470593</v>
      </c>
      <c r="W126" s="2">
        <f>('L-Values'!S126*'D(Ti_Cherniak) Times'!$F126*0.000001)^2/(4*'D(Ti_Cherniak) Times'!$C126)/(365.35*24*3600)</f>
        <v>1195.700168401808</v>
      </c>
      <c r="X126" s="2"/>
      <c r="Y126" s="2">
        <f>('L-Values'!U126*'D(Ti_Cherniak) Times'!$F126*0.000001)^2/(4*'D(Ti_Cherniak) Times'!$C126)/(365.35*24*3600)</f>
        <v>1420.7754121312278</v>
      </c>
      <c r="Z126" s="2">
        <f>('L-Values'!V126*'D(Ti_Cherniak) Times'!$F126*0.000001)^2/(4*'D(Ti_Cherniak) Times'!$C126)/(365.35*24*3600)</f>
        <v>1601.9334763155916</v>
      </c>
      <c r="AA126" s="2">
        <f>('L-Values'!W126*'D(Ti_Cherniak) Times'!$F126*0.000001)^2/(4*'D(Ti_Cherniak) Times'!$C126)/(365.35*24*3600)</f>
        <v>13.212632012877593</v>
      </c>
      <c r="AB126" s="2">
        <f>('L-Values'!X126*'D(Ti_Cherniak) Times'!$F126*0.000001)^2/(4*'D(Ti_Cherniak) Times'!$C126)/(365.35*24*3600)</f>
        <v>11468.219182649698</v>
      </c>
      <c r="AC126" s="2">
        <f t="shared" si="6"/>
        <v>1588.7208443027141</v>
      </c>
      <c r="AD126" s="2">
        <f t="shared" si="7"/>
        <v>9866.2857063341071</v>
      </c>
    </row>
    <row r="127" spans="1:30" x14ac:dyDescent="0.2">
      <c r="A127" t="str">
        <f>'L-Values'!A127</f>
        <v>CGI008-qtz07-CL-fit-5-offset</v>
      </c>
      <c r="B127">
        <v>750</v>
      </c>
      <c r="C127">
        <f t="shared" si="4"/>
        <v>8.0537892000481889E-22</v>
      </c>
      <c r="D127">
        <v>1900</v>
      </c>
      <c r="E127">
        <v>1024</v>
      </c>
      <c r="F127">
        <f t="shared" si="5"/>
        <v>1.85546875</v>
      </c>
      <c r="I127" s="2">
        <f>('L-Values'!E127*'D(Ti_Cherniak) Times'!$F127*0.000001)^2/(4*'D(Ti_Cherniak) Times'!$C127)/(365.35*24*3600)</f>
        <v>1872.100599370272</v>
      </c>
      <c r="J127" s="2">
        <f>('L-Values'!F127*'D(Ti_Cherniak) Times'!$F127*0.000001)^2/(4*'D(Ti_Cherniak) Times'!$C127)/(365.35*24*3600)</f>
        <v>2887.181961207099</v>
      </c>
      <c r="K127" s="2">
        <f>('L-Values'!G127*'D(Ti_Cherniak) Times'!$F127*0.000001)^2/(4*'D(Ti_Cherniak) Times'!$C127)/(365.35*24*3600)</f>
        <v>545.57781189721538</v>
      </c>
      <c r="L127" s="2">
        <f>('L-Values'!H127*'D(Ti_Cherniak) Times'!$F127*0.000001)^2/(4*'D(Ti_Cherniak) Times'!$C127)/(365.35*24*3600)</f>
        <v>940.14636255214214</v>
      </c>
      <c r="M127" s="2">
        <f>('L-Values'!I127*'D(Ti_Cherniak) Times'!$F127*0.000001)^2/(4*'D(Ti_Cherniak) Times'!$C127)/(365.35*24*3600)</f>
        <v>1753.2826767747415</v>
      </c>
      <c r="N127" s="2">
        <f>('L-Values'!J127*'D(Ti_Cherniak) Times'!$F127*0.000001)^2/(4*'D(Ti_Cherniak) Times'!$C127)/(365.35*24*3600)</f>
        <v>685.89388653996434</v>
      </c>
      <c r="O127" s="2">
        <f>('L-Values'!K127*'D(Ti_Cherniak) Times'!$F127*0.000001)^2/(4*'D(Ti_Cherniak) Times'!$C127)/(365.35*24*3600)</f>
        <v>1973.7679335785335</v>
      </c>
      <c r="P127" s="2">
        <f>('L-Values'!L127*'D(Ti_Cherniak) Times'!$F127*0.000001)^2/(4*'D(Ti_Cherniak) Times'!$C127)/(365.35*24*3600)</f>
        <v>3511.8912070532683</v>
      </c>
      <c r="Q127" s="2">
        <f>('L-Values'!M127*'D(Ti_Cherniak) Times'!$F127*0.000001)^2/(4*'D(Ti_Cherniak) Times'!$C127)/(365.35*24*3600)</f>
        <v>961.25384686244763</v>
      </c>
      <c r="R127" s="2">
        <f>('L-Values'!N127*'D(Ti_Cherniak) Times'!$F127*0.000001)^2/(4*'D(Ti_Cherniak) Times'!$C127)/(365.35*24*3600)</f>
        <v>5.9267195724499943E-4</v>
      </c>
      <c r="S127" s="2">
        <f>('L-Values'!O127*'D(Ti_Cherniak) Times'!$F127*0.000001)^2/(4*'D(Ti_Cherniak) Times'!$C127)/(365.35*24*3600)</f>
        <v>1887.9813854578661</v>
      </c>
      <c r="T127" s="2"/>
      <c r="U127" s="2">
        <f>('L-Values'!Q127*'D(Ti_Cherniak) Times'!$F127*0.000001)^2/(4*'D(Ti_Cherniak) Times'!$C127)/(365.35*24*3600)</f>
        <v>1447.0365295002828</v>
      </c>
      <c r="V127" s="2">
        <f>('L-Values'!R127*'D(Ti_Cherniak) Times'!$F127*0.000001)^2/(4*'D(Ti_Cherniak) Times'!$C127)/(365.35*24*3600)</f>
        <v>1304.1891880741985</v>
      </c>
      <c r="W127" s="2">
        <f>('L-Values'!S127*'D(Ti_Cherniak) Times'!$F127*0.000001)^2/(4*'D(Ti_Cherniak) Times'!$C127)/(365.35*24*3600)</f>
        <v>1753.2826767747415</v>
      </c>
      <c r="X127" s="2"/>
      <c r="Y127" s="2">
        <f>('L-Values'!U127*'D(Ti_Cherniak) Times'!$F127*0.000001)^2/(4*'D(Ti_Cherniak) Times'!$C127)/(365.35*24*3600)</f>
        <v>1418.9693623911498</v>
      </c>
      <c r="Z127" s="2">
        <f>('L-Values'!V127*'D(Ti_Cherniak) Times'!$F127*0.000001)^2/(4*'D(Ti_Cherniak) Times'!$C127)/(365.35*24*3600)</f>
        <v>1475.782264230812</v>
      </c>
      <c r="AA127" s="2">
        <f>('L-Values'!W127*'D(Ti_Cherniak) Times'!$F127*0.000001)^2/(4*'D(Ti_Cherniak) Times'!$C127)/(365.35*24*3600)</f>
        <v>108.51163233860895</v>
      </c>
      <c r="AB127" s="2">
        <f>('L-Values'!X127*'D(Ti_Cherniak) Times'!$F127*0.000001)^2/(4*'D(Ti_Cherniak) Times'!$C127)/(365.35*24*3600)</f>
        <v>4679.4331978728587</v>
      </c>
      <c r="AC127" s="2">
        <f t="shared" si="6"/>
        <v>1367.270631892203</v>
      </c>
      <c r="AD127" s="2">
        <f t="shared" si="7"/>
        <v>3203.6509336420468</v>
      </c>
    </row>
    <row r="128" spans="1:30" x14ac:dyDescent="0.2">
      <c r="A128" t="str">
        <f>'L-Values'!A128</f>
        <v>CGI008-qtz08-CL-fit-2-offset</v>
      </c>
      <c r="B128">
        <v>750</v>
      </c>
      <c r="C128">
        <f t="shared" si="4"/>
        <v>8.0537892000481889E-22</v>
      </c>
      <c r="D128">
        <v>2050</v>
      </c>
      <c r="E128">
        <v>1024</v>
      </c>
      <c r="F128">
        <f t="shared" si="5"/>
        <v>2.001953125</v>
      </c>
      <c r="I128" s="2">
        <f>('L-Values'!E128*'D(Ti_Cherniak) Times'!$F128*0.000001)^2/(4*'D(Ti_Cherniak) Times'!$C128)/(365.35*24*3600)</f>
        <v>275.11718594467214</v>
      </c>
      <c r="J128" s="2">
        <f>('L-Values'!F128*'D(Ti_Cherniak) Times'!$F128*0.000001)^2/(4*'D(Ti_Cherniak) Times'!$C128)/(365.35*24*3600)</f>
        <v>414.8123570966398</v>
      </c>
      <c r="K128" s="2">
        <f>('L-Values'!G128*'D(Ti_Cherniak) Times'!$F128*0.000001)^2/(4*'D(Ti_Cherniak) Times'!$C128)/(365.35*24*3600)</f>
        <v>207.64165298801754</v>
      </c>
      <c r="L128" s="2">
        <f>('L-Values'!H128*'D(Ti_Cherniak) Times'!$F128*0.000001)^2/(4*'D(Ti_Cherniak) Times'!$C128)/(365.35*24*3600)</f>
        <v>76.156968144617352</v>
      </c>
      <c r="M128" s="2">
        <f>('L-Values'!I128*'D(Ti_Cherniak) Times'!$F128*0.000001)^2/(4*'D(Ti_Cherniak) Times'!$C128)/(365.35*24*3600)</f>
        <v>249.88911235168473</v>
      </c>
      <c r="N128" s="2">
        <f>('L-Values'!J128*'D(Ti_Cherniak) Times'!$F128*0.000001)^2/(4*'D(Ti_Cherniak) Times'!$C128)/(365.35*24*3600)</f>
        <v>126.01138124609649</v>
      </c>
      <c r="O128" s="2">
        <f>('L-Values'!K128*'D(Ti_Cherniak) Times'!$F128*0.000001)^2/(4*'D(Ti_Cherniak) Times'!$C128)/(365.35*24*3600)</f>
        <v>87.666253725308891</v>
      </c>
      <c r="P128" s="2">
        <f>('L-Values'!L128*'D(Ti_Cherniak) Times'!$F128*0.000001)^2/(4*'D(Ti_Cherniak) Times'!$C128)/(365.35*24*3600)</f>
        <v>75.634501954775416</v>
      </c>
      <c r="Q128" s="2">
        <f>('L-Values'!M128*'D(Ti_Cherniak) Times'!$F128*0.000001)^2/(4*'D(Ti_Cherniak) Times'!$C128)/(365.35*24*3600)</f>
        <v>75.728200799489457</v>
      </c>
      <c r="R128" s="2">
        <f>('L-Values'!N128*'D(Ti_Cherniak) Times'!$F128*0.000001)^2/(4*'D(Ti_Cherniak) Times'!$C128)/(365.35*24*3600)</f>
        <v>47.176527856593445</v>
      </c>
      <c r="S128" s="2">
        <f>('L-Values'!O128*'D(Ti_Cherniak) Times'!$F128*0.000001)^2/(4*'D(Ti_Cherniak) Times'!$C128)/(365.35*24*3600)</f>
        <v>87.675054905504936</v>
      </c>
      <c r="T128" s="2"/>
      <c r="U128" s="2">
        <f>('L-Values'!Q128*'D(Ti_Cherniak) Times'!$F128*0.000001)^2/(4*'D(Ti_Cherniak) Times'!$C128)/(365.35*24*3600)</f>
        <v>144.36570709077185</v>
      </c>
      <c r="V128" s="2">
        <f>('L-Values'!R128*'D(Ti_Cherniak) Times'!$F128*0.000001)^2/(4*'D(Ti_Cherniak) Times'!$C128)/(365.35*24*3600)</f>
        <v>139.92217901912511</v>
      </c>
      <c r="W128" s="2">
        <f>('L-Values'!S128*'D(Ti_Cherniak) Times'!$F128*0.000001)^2/(4*'D(Ti_Cherniak) Times'!$C128)/(365.35*24*3600)</f>
        <v>87.675054905504936</v>
      </c>
      <c r="X128" s="2"/>
      <c r="Y128" s="2">
        <f>('L-Values'!U128*'D(Ti_Cherniak) Times'!$F128*0.000001)^2/(4*'D(Ti_Cherniak) Times'!$C128)/(365.35*24*3600)</f>
        <v>125.32410396656918</v>
      </c>
      <c r="Z128" s="2">
        <f>('L-Values'!V128*'D(Ti_Cherniak) Times'!$F128*0.000001)^2/(4*'D(Ti_Cherniak) Times'!$C128)/(365.35*24*3600)</f>
        <v>122.9583522447833</v>
      </c>
      <c r="AA128" s="2">
        <f>('L-Values'!W128*'D(Ti_Cherniak) Times'!$F128*0.000001)^2/(4*'D(Ti_Cherniak) Times'!$C128)/(365.35*24*3600)</f>
        <v>15.9688442075651</v>
      </c>
      <c r="AB128" s="2">
        <f>('L-Values'!X128*'D(Ti_Cherniak) Times'!$F128*0.000001)^2/(4*'D(Ti_Cherniak) Times'!$C128)/(365.35*24*3600)</f>
        <v>348.21753614334494</v>
      </c>
      <c r="AC128" s="2">
        <f t="shared" si="6"/>
        <v>106.9895080372182</v>
      </c>
      <c r="AD128" s="2">
        <f t="shared" si="7"/>
        <v>225.25918389856164</v>
      </c>
    </row>
    <row r="129" spans="1:30" x14ac:dyDescent="0.2">
      <c r="A129" t="str">
        <f>'L-Values'!A129</f>
        <v>CGI008-qtz08-CL-fit-3-offset</v>
      </c>
      <c r="B129">
        <v>750</v>
      </c>
      <c r="C129">
        <f t="shared" si="4"/>
        <v>8.0537892000481889E-22</v>
      </c>
      <c r="D129">
        <v>2050</v>
      </c>
      <c r="E129">
        <v>1024</v>
      </c>
      <c r="F129">
        <f t="shared" si="5"/>
        <v>2.001953125</v>
      </c>
      <c r="I129" s="2">
        <f>('L-Values'!E129*'D(Ti_Cherniak) Times'!$F129*0.000001)^2/(4*'D(Ti_Cherniak) Times'!$C129)/(365.35*24*3600)</f>
        <v>211.08026188477439</v>
      </c>
      <c r="J129" s="2">
        <f>('L-Values'!F129*'D(Ti_Cherniak) Times'!$F129*0.000001)^2/(4*'D(Ti_Cherniak) Times'!$C129)/(365.35*24*3600)</f>
        <v>115.03273947707392</v>
      </c>
      <c r="K129" s="2">
        <f>('L-Values'!G129*'D(Ti_Cherniak) Times'!$F129*0.000001)^2/(4*'D(Ti_Cherniak) Times'!$C129)/(365.35*24*3600)</f>
        <v>160.27248433615725</v>
      </c>
      <c r="L129" s="2">
        <f>('L-Values'!H129*'D(Ti_Cherniak) Times'!$F129*0.000001)^2/(4*'D(Ti_Cherniak) Times'!$C129)/(365.35*24*3600)</f>
        <v>134.99863616624378</v>
      </c>
      <c r="M129" s="2">
        <f>('L-Values'!I129*'D(Ti_Cherniak) Times'!$F129*0.000001)^2/(4*'D(Ti_Cherniak) Times'!$C129)/(365.35*24*3600)</f>
        <v>96.111576636342434</v>
      </c>
      <c r="N129" s="2">
        <f>('L-Values'!J129*'D(Ti_Cherniak) Times'!$F129*0.000001)^2/(4*'D(Ti_Cherniak) Times'!$C129)/(365.35*24*3600)</f>
        <v>67.812846937637218</v>
      </c>
      <c r="O129" s="2">
        <f>('L-Values'!K129*'D(Ti_Cherniak) Times'!$F129*0.000001)^2/(4*'D(Ti_Cherniak) Times'!$C129)/(365.35*24*3600)</f>
        <v>139.32814121802625</v>
      </c>
      <c r="P129" s="2">
        <f>('L-Values'!L129*'D(Ti_Cherniak) Times'!$F129*0.000001)^2/(4*'D(Ti_Cherniak) Times'!$C129)/(365.35*24*3600)</f>
        <v>70.346003899309721</v>
      </c>
      <c r="Q129" s="2">
        <f>('L-Values'!M129*'D(Ti_Cherniak) Times'!$F129*0.000001)^2/(4*'D(Ti_Cherniak) Times'!$C129)/(365.35*24*3600)</f>
        <v>307.4108480458035</v>
      </c>
      <c r="R129" s="2">
        <f>('L-Values'!N129*'D(Ti_Cherniak) Times'!$F129*0.000001)^2/(4*'D(Ti_Cherniak) Times'!$C129)/(365.35*24*3600)</f>
        <v>115.08492898237665</v>
      </c>
      <c r="S129" s="2">
        <f>('L-Values'!O129*'D(Ti_Cherniak) Times'!$F129*0.000001)^2/(4*'D(Ti_Cherniak) Times'!$C129)/(365.35*24*3600)</f>
        <v>262.04581121364481</v>
      </c>
      <c r="T129" s="2"/>
      <c r="U129" s="2">
        <f>('L-Values'!Q129*'D(Ti_Cherniak) Times'!$F129*0.000001)^2/(4*'D(Ti_Cherniak) Times'!$C129)/(365.35*24*3600)</f>
        <v>150.87044695207072</v>
      </c>
      <c r="V129" s="2">
        <f>('L-Values'!R129*'D(Ti_Cherniak) Times'!$F129*0.000001)^2/(4*'D(Ti_Cherniak) Times'!$C129)/(365.35*24*3600)</f>
        <v>144.46056587358598</v>
      </c>
      <c r="W129" s="2">
        <f>('L-Values'!S129*'D(Ti_Cherniak) Times'!$F129*0.000001)^2/(4*'D(Ti_Cherniak) Times'!$C129)/(365.35*24*3600)</f>
        <v>134.99863616624378</v>
      </c>
      <c r="X129" s="2"/>
      <c r="Y129" s="2">
        <f>('L-Values'!U129*'D(Ti_Cherniak) Times'!$F129*0.000001)^2/(4*'D(Ti_Cherniak) Times'!$C129)/(365.35*24*3600)</f>
        <v>135.50691860139008</v>
      </c>
      <c r="Z129" s="2">
        <f>('L-Values'!V129*'D(Ti_Cherniak) Times'!$F129*0.000001)^2/(4*'D(Ti_Cherniak) Times'!$C129)/(365.35*24*3600)</f>
        <v>137.03193258374424</v>
      </c>
      <c r="AA129" s="2">
        <f>('L-Values'!W129*'D(Ti_Cherniak) Times'!$F129*0.000001)^2/(4*'D(Ti_Cherniak) Times'!$C129)/(365.35*24*3600)</f>
        <v>21.24874498197309</v>
      </c>
      <c r="AB129" s="2">
        <f>('L-Values'!X129*'D(Ti_Cherniak) Times'!$F129*0.000001)^2/(4*'D(Ti_Cherniak) Times'!$C129)/(365.35*24*3600)</f>
        <v>422.76842851944622</v>
      </c>
      <c r="AC129" s="2">
        <f t="shared" si="6"/>
        <v>115.78318760177115</v>
      </c>
      <c r="AD129" s="2">
        <f t="shared" si="7"/>
        <v>285.73649593570201</v>
      </c>
    </row>
    <row r="130" spans="1:30" x14ac:dyDescent="0.2">
      <c r="A130" t="str">
        <f>'L-Values'!A130</f>
        <v>CGI008-qtz09-CL-fit-1-offset</v>
      </c>
      <c r="B130">
        <v>750</v>
      </c>
      <c r="C130">
        <f t="shared" si="4"/>
        <v>8.0537892000481889E-22</v>
      </c>
      <c r="D130">
        <v>2000</v>
      </c>
      <c r="E130">
        <v>1024</v>
      </c>
      <c r="F130">
        <f t="shared" si="5"/>
        <v>1.953125</v>
      </c>
      <c r="I130" s="2">
        <f>('L-Values'!E130*'D(Ti_Cherniak) Times'!$F130*0.000001)^2/(4*'D(Ti_Cherniak) Times'!$C130)/(365.35*24*3600)</f>
        <v>557.34912725053414</v>
      </c>
      <c r="J130" s="2">
        <f>('L-Values'!F130*'D(Ti_Cherniak) Times'!$F130*0.000001)^2/(4*'D(Ti_Cherniak) Times'!$C130)/(365.35*24*3600)</f>
        <v>417.40583442490015</v>
      </c>
      <c r="K130" s="2">
        <f>('L-Values'!G130*'D(Ti_Cherniak) Times'!$F130*0.000001)^2/(4*'D(Ti_Cherniak) Times'!$C130)/(365.35*24*3600)</f>
        <v>352.29510681294369</v>
      </c>
      <c r="L130" s="2">
        <f>('L-Values'!H130*'D(Ti_Cherniak) Times'!$F130*0.000001)^2/(4*'D(Ti_Cherniak) Times'!$C130)/(365.35*24*3600)</f>
        <v>443.23791871370923</v>
      </c>
      <c r="M130" s="2">
        <f>('L-Values'!I130*'D(Ti_Cherniak) Times'!$F130*0.000001)^2/(4*'D(Ti_Cherniak) Times'!$C130)/(365.35*24*3600)</f>
        <v>445.33921391098477</v>
      </c>
      <c r="N130" s="2">
        <f>('L-Values'!J130*'D(Ti_Cherniak) Times'!$F130*0.000001)^2/(4*'D(Ti_Cherniak) Times'!$C130)/(365.35*24*3600)</f>
        <v>397.82373720355207</v>
      </c>
      <c r="O130" s="2">
        <f>('L-Values'!K130*'D(Ti_Cherniak) Times'!$F130*0.000001)^2/(4*'D(Ti_Cherniak) Times'!$C130)/(365.35*24*3600)</f>
        <v>358.20766458803598</v>
      </c>
      <c r="P130" s="2">
        <f>('L-Values'!L130*'D(Ti_Cherniak) Times'!$F130*0.000001)^2/(4*'D(Ti_Cherniak) Times'!$C130)/(365.35*24*3600)</f>
        <v>377.53779562602455</v>
      </c>
      <c r="Q130" s="2">
        <f>('L-Values'!M130*'D(Ti_Cherniak) Times'!$F130*0.000001)^2/(4*'D(Ti_Cherniak) Times'!$C130)/(365.35*24*3600)</f>
        <v>431.12932281114513</v>
      </c>
      <c r="R130" s="2">
        <f>('L-Values'!N130*'D(Ti_Cherniak) Times'!$F130*0.000001)^2/(4*'D(Ti_Cherniak) Times'!$C130)/(365.35*24*3600)</f>
        <v>493.26354566317826</v>
      </c>
      <c r="S130" s="2">
        <f>('L-Values'!O130*'D(Ti_Cherniak) Times'!$F130*0.000001)^2/(4*'D(Ti_Cherniak) Times'!$C130)/(365.35*24*3600)</f>
        <v>352.40622625352484</v>
      </c>
      <c r="T130" s="2"/>
      <c r="U130" s="2">
        <f>('L-Values'!Q130*'D(Ti_Cherniak) Times'!$F130*0.000001)^2/(4*'D(Ti_Cherniak) Times'!$C130)/(365.35*24*3600)</f>
        <v>430.92434934698394</v>
      </c>
      <c r="V130" s="2">
        <f>('L-Values'!R130*'D(Ti_Cherniak) Times'!$F130*0.000001)^2/(4*'D(Ti_Cherniak) Times'!$C130)/(365.35*24*3600)</f>
        <v>418.43477790173876</v>
      </c>
      <c r="W130" s="2">
        <f>('L-Values'!S130*'D(Ti_Cherniak) Times'!$F130*0.000001)^2/(4*'D(Ti_Cherniak) Times'!$C130)/(365.35*24*3600)</f>
        <v>417.40583442490015</v>
      </c>
      <c r="X130" s="2"/>
      <c r="Y130" s="2">
        <f>('L-Values'!U130*'D(Ti_Cherniak) Times'!$F130*0.000001)^2/(4*'D(Ti_Cherniak) Times'!$C130)/(365.35*24*3600)</f>
        <v>412.54399022412554</v>
      </c>
      <c r="Z130" s="2">
        <f>('L-Values'!V130*'D(Ti_Cherniak) Times'!$F130*0.000001)^2/(4*'D(Ti_Cherniak) Times'!$C130)/(365.35*24*3600)</f>
        <v>418.37180174196806</v>
      </c>
      <c r="AA130" s="2">
        <f>('L-Values'!W130*'D(Ti_Cherniak) Times'!$F130*0.000001)^2/(4*'D(Ti_Cherniak) Times'!$C130)/(365.35*24*3600)</f>
        <v>213.08144592497814</v>
      </c>
      <c r="AB130" s="2">
        <f>('L-Values'!X130*'D(Ti_Cherniak) Times'!$F130*0.000001)^2/(4*'D(Ti_Cherniak) Times'!$C130)/(365.35*24*3600)</f>
        <v>699.29055626521529</v>
      </c>
      <c r="AC130" s="2">
        <f t="shared" si="6"/>
        <v>205.29035581698992</v>
      </c>
      <c r="AD130" s="2">
        <f t="shared" si="7"/>
        <v>280.91875452324723</v>
      </c>
    </row>
    <row r="131" spans="1:30" x14ac:dyDescent="0.2">
      <c r="A131" t="str">
        <f>'L-Values'!A131</f>
        <v>CGI008-qtz09-CL-fit-2-offset</v>
      </c>
      <c r="B131">
        <v>750</v>
      </c>
      <c r="C131">
        <f t="shared" ref="C131:C194" si="8">0.00000007*EXP(-273/(0.00831451*(B131+273)))</f>
        <v>8.0537892000481889E-22</v>
      </c>
      <c r="D131">
        <v>2000</v>
      </c>
      <c r="E131">
        <v>1024</v>
      </c>
      <c r="F131">
        <f t="shared" ref="F131:F194" si="9">D131/E131</f>
        <v>1.953125</v>
      </c>
      <c r="I131" s="2">
        <f>('L-Values'!E131*'D(Ti_Cherniak) Times'!$F131*0.000001)^2/(4*'D(Ti_Cherniak) Times'!$C131)/(365.35*24*3600)</f>
        <v>517.29978255790604</v>
      </c>
      <c r="J131" s="2">
        <f>('L-Values'!F131*'D(Ti_Cherniak) Times'!$F131*0.000001)^2/(4*'D(Ti_Cherniak) Times'!$C131)/(365.35*24*3600)</f>
        <v>259.98790186690377</v>
      </c>
      <c r="K131" s="2">
        <f>('L-Values'!G131*'D(Ti_Cherniak) Times'!$F131*0.000001)^2/(4*'D(Ti_Cherniak) Times'!$C131)/(365.35*24*3600)</f>
        <v>425.06265365112006</v>
      </c>
      <c r="L131" s="2">
        <f>('L-Values'!H131*'D(Ti_Cherniak) Times'!$F131*0.000001)^2/(4*'D(Ti_Cherniak) Times'!$C131)/(365.35*24*3600)</f>
        <v>410.85810152644081</v>
      </c>
      <c r="M131" s="2">
        <f>('L-Values'!I131*'D(Ti_Cherniak) Times'!$F131*0.000001)^2/(4*'D(Ti_Cherniak) Times'!$C131)/(365.35*24*3600)</f>
        <v>339.5829771436384</v>
      </c>
      <c r="N131" s="2">
        <f>('L-Values'!J131*'D(Ti_Cherniak) Times'!$F131*0.000001)^2/(4*'D(Ti_Cherniak) Times'!$C131)/(365.35*24*3600)</f>
        <v>465.82060359703826</v>
      </c>
      <c r="O131" s="2">
        <f>('L-Values'!K131*'D(Ti_Cherniak) Times'!$F131*0.000001)^2/(4*'D(Ti_Cherniak) Times'!$C131)/(365.35*24*3600)</f>
        <v>599.42126218146814</v>
      </c>
      <c r="P131" s="2">
        <f>('L-Values'!L131*'D(Ti_Cherniak) Times'!$F131*0.000001)^2/(4*'D(Ti_Cherniak) Times'!$C131)/(365.35*24*3600)</f>
        <v>392.27319001159384</v>
      </c>
      <c r="Q131" s="2">
        <f>('L-Values'!M131*'D(Ti_Cherniak) Times'!$F131*0.000001)^2/(4*'D(Ti_Cherniak) Times'!$C131)/(365.35*24*3600)</f>
        <v>428.0007655708805</v>
      </c>
      <c r="R131" s="2">
        <f>('L-Values'!N131*'D(Ti_Cherniak) Times'!$F131*0.000001)^2/(4*'D(Ti_Cherniak) Times'!$C131)/(365.35*24*3600)</f>
        <v>361.61327648884151</v>
      </c>
      <c r="S131" s="2">
        <f>('L-Values'!O131*'D(Ti_Cherniak) Times'!$F131*0.000001)^2/(4*'D(Ti_Cherniak) Times'!$C131)/(365.35*24*3600)</f>
        <v>370.00012568382436</v>
      </c>
      <c r="T131" s="2"/>
      <c r="U131" s="2">
        <f>('L-Values'!Q131*'D(Ti_Cherniak) Times'!$F131*0.000001)^2/(4*'D(Ti_Cherniak) Times'!$C131)/(365.35*24*3600)</f>
        <v>408.27432434134903</v>
      </c>
      <c r="V131" s="2">
        <f>('L-Values'!R131*'D(Ti_Cherniak) Times'!$F131*0.000001)^2/(4*'D(Ti_Cherniak) Times'!$C131)/(365.35*24*3600)</f>
        <v>410.96272201125532</v>
      </c>
      <c r="W131" s="2">
        <f>('L-Values'!S131*'D(Ti_Cherniak) Times'!$F131*0.000001)^2/(4*'D(Ti_Cherniak) Times'!$C131)/(365.35*24*3600)</f>
        <v>410.85810152644081</v>
      </c>
      <c r="X131" s="2"/>
      <c r="Y131" s="2">
        <f>('L-Values'!U131*'D(Ti_Cherniak) Times'!$F131*0.000001)^2/(4*'D(Ti_Cherniak) Times'!$C131)/(365.35*24*3600)</f>
        <v>412.29120748104521</v>
      </c>
      <c r="Z131" s="2">
        <f>('L-Values'!V131*'D(Ti_Cherniak) Times'!$F131*0.000001)^2/(4*'D(Ti_Cherniak) Times'!$C131)/(365.35*24*3600)</f>
        <v>416.68941848231407</v>
      </c>
      <c r="AA131" s="2">
        <f>('L-Values'!W131*'D(Ti_Cherniak) Times'!$F131*0.000001)^2/(4*'D(Ti_Cherniak) Times'!$C131)/(365.35*24*3600)</f>
        <v>234.1198160168654</v>
      </c>
      <c r="AB131" s="2">
        <f>('L-Values'!X131*'D(Ti_Cherniak) Times'!$F131*0.000001)^2/(4*'D(Ti_Cherniak) Times'!$C131)/(365.35*24*3600)</f>
        <v>698.784217898988</v>
      </c>
      <c r="AC131" s="2">
        <f t="shared" ref="AC131:AC194" si="10">Z131-AA131</f>
        <v>182.56960246544867</v>
      </c>
      <c r="AD131" s="2">
        <f t="shared" ref="AD131:AD194" si="11">AB131-Z131</f>
        <v>282.09479941667394</v>
      </c>
    </row>
    <row r="132" spans="1:30" x14ac:dyDescent="0.2">
      <c r="A132" t="str">
        <f>'L-Values'!A132</f>
        <v>CGI008-qtz10-CL-fit-1-offset</v>
      </c>
      <c r="B132">
        <v>750</v>
      </c>
      <c r="C132">
        <f t="shared" si="8"/>
        <v>8.0537892000481889E-22</v>
      </c>
      <c r="D132">
        <v>1800</v>
      </c>
      <c r="E132">
        <v>1024</v>
      </c>
      <c r="F132">
        <f t="shared" si="9"/>
        <v>1.7578125</v>
      </c>
      <c r="I132" s="2">
        <f>('L-Values'!E132*'D(Ti_Cherniak) Times'!$F132*0.000001)^2/(4*'D(Ti_Cherniak) Times'!$C132)/(365.35*24*3600)</f>
        <v>400.74796467940791</v>
      </c>
      <c r="J132" s="2">
        <f>('L-Values'!F132*'D(Ti_Cherniak) Times'!$F132*0.000001)^2/(4*'D(Ti_Cherniak) Times'!$C132)/(365.35*24*3600)</f>
        <v>469.27009515293389</v>
      </c>
      <c r="K132" s="2">
        <f>('L-Values'!G132*'D(Ti_Cherniak) Times'!$F132*0.000001)^2/(4*'D(Ti_Cherniak) Times'!$C132)/(365.35*24*3600)</f>
        <v>479.54976429250382</v>
      </c>
      <c r="L132" s="2">
        <f>('L-Values'!H132*'D(Ti_Cherniak) Times'!$F132*0.000001)^2/(4*'D(Ti_Cherniak) Times'!$C132)/(365.35*24*3600)</f>
        <v>475.23504677386273</v>
      </c>
      <c r="M132" s="2">
        <f>('L-Values'!I132*'D(Ti_Cherniak) Times'!$F132*0.000001)^2/(4*'D(Ti_Cherniak) Times'!$C132)/(365.35*24*3600)</f>
        <v>463.07615434912162</v>
      </c>
      <c r="N132" s="2">
        <f>('L-Values'!J132*'D(Ti_Cherniak) Times'!$F132*0.000001)^2/(4*'D(Ti_Cherniak) Times'!$C132)/(365.35*24*3600)</f>
        <v>444.17609464107812</v>
      </c>
      <c r="O132" s="2">
        <f>('L-Values'!K132*'D(Ti_Cherniak) Times'!$F132*0.000001)^2/(4*'D(Ti_Cherniak) Times'!$C132)/(365.35*24*3600)</f>
        <v>469.56981270356647</v>
      </c>
      <c r="P132" s="2">
        <f>('L-Values'!L132*'D(Ti_Cherniak) Times'!$F132*0.000001)^2/(4*'D(Ti_Cherniak) Times'!$C132)/(365.35*24*3600)</f>
        <v>428.0070227661725</v>
      </c>
      <c r="Q132" s="2">
        <f>('L-Values'!M132*'D(Ti_Cherniak) Times'!$F132*0.000001)^2/(4*'D(Ti_Cherniak) Times'!$C132)/(365.35*24*3600)</f>
        <v>489.79558557941056</v>
      </c>
      <c r="R132" s="2">
        <f>('L-Values'!N132*'D(Ti_Cherniak) Times'!$F132*0.000001)^2/(4*'D(Ti_Cherniak) Times'!$C132)/(365.35*24*3600)</f>
        <v>449.81253935395176</v>
      </c>
      <c r="S132" s="2">
        <f>('L-Values'!O132*'D(Ti_Cherniak) Times'!$F132*0.000001)^2/(4*'D(Ti_Cherniak) Times'!$C132)/(365.35*24*3600)</f>
        <v>430.65394271223596</v>
      </c>
      <c r="T132" s="2"/>
      <c r="U132" s="2">
        <f>('L-Values'!Q132*'D(Ti_Cherniak) Times'!$F132*0.000001)^2/(4*'D(Ti_Cherniak) Times'!$C132)/(365.35*24*3600)</f>
        <v>456.6097107896021</v>
      </c>
      <c r="V132" s="2">
        <f>('L-Values'!R132*'D(Ti_Cherniak) Times'!$F132*0.000001)^2/(4*'D(Ti_Cherniak) Times'!$C132)/(365.35*24*3600)</f>
        <v>454.1732054733136</v>
      </c>
      <c r="W132" s="2">
        <f>('L-Values'!S132*'D(Ti_Cherniak) Times'!$F132*0.000001)^2/(4*'D(Ti_Cherniak) Times'!$C132)/(365.35*24*3600)</f>
        <v>463.07615434912162</v>
      </c>
      <c r="X132" s="2"/>
      <c r="Y132" s="2">
        <f>('L-Values'!U132*'D(Ti_Cherniak) Times'!$F132*0.000001)^2/(4*'D(Ti_Cherniak) Times'!$C132)/(365.35*24*3600)</f>
        <v>455.9477377177268</v>
      </c>
      <c r="Z132" s="2">
        <f>('L-Values'!V132*'D(Ti_Cherniak) Times'!$F132*0.000001)^2/(4*'D(Ti_Cherniak) Times'!$C132)/(365.35*24*3600)</f>
        <v>459.03160515741718</v>
      </c>
      <c r="AA132" s="2">
        <f>('L-Values'!W132*'D(Ti_Cherniak) Times'!$F132*0.000001)^2/(4*'D(Ti_Cherniak) Times'!$C132)/(365.35*24*3600)</f>
        <v>331.41444650927355</v>
      </c>
      <c r="AB132" s="2">
        <f>('L-Values'!X132*'D(Ti_Cherniak) Times'!$F132*0.000001)^2/(4*'D(Ti_Cherniak) Times'!$C132)/(365.35*24*3600)</f>
        <v>599.24227212363814</v>
      </c>
      <c r="AC132" s="2">
        <f t="shared" si="10"/>
        <v>127.61715864814363</v>
      </c>
      <c r="AD132" s="2">
        <f t="shared" si="11"/>
        <v>140.21066696622097</v>
      </c>
    </row>
    <row r="133" spans="1:30" x14ac:dyDescent="0.2">
      <c r="A133" t="str">
        <f>'L-Values'!A133</f>
        <v>CGI008-qtz10-CL-fit-2-offset</v>
      </c>
      <c r="B133">
        <v>750</v>
      </c>
      <c r="C133">
        <f t="shared" si="8"/>
        <v>8.0537892000481889E-22</v>
      </c>
      <c r="D133">
        <v>1800</v>
      </c>
      <c r="E133">
        <v>1024</v>
      </c>
      <c r="F133">
        <f t="shared" si="9"/>
        <v>1.7578125</v>
      </c>
      <c r="I133" s="2">
        <f>('L-Values'!E133*'D(Ti_Cherniak) Times'!$F133*0.000001)^2/(4*'D(Ti_Cherniak) Times'!$C133)/(365.35*24*3600)</f>
        <v>125.01153153852661</v>
      </c>
      <c r="J133" s="2">
        <f>('L-Values'!F133*'D(Ti_Cherniak) Times'!$F133*0.000001)^2/(4*'D(Ti_Cherniak) Times'!$C133)/(365.35*24*3600)</f>
        <v>208.12352872201632</v>
      </c>
      <c r="K133" s="2">
        <f>('L-Values'!G133*'D(Ti_Cherniak) Times'!$F133*0.000001)^2/(4*'D(Ti_Cherniak) Times'!$C133)/(365.35*24*3600)</f>
        <v>278.28829475132108</v>
      </c>
      <c r="L133" s="2">
        <f>('L-Values'!H133*'D(Ti_Cherniak) Times'!$F133*0.000001)^2/(4*'D(Ti_Cherniak) Times'!$C133)/(365.35*24*3600)</f>
        <v>114.60362589991152</v>
      </c>
      <c r="M133" s="2">
        <f>('L-Values'!I133*'D(Ti_Cherniak) Times'!$F133*0.000001)^2/(4*'D(Ti_Cherniak) Times'!$C133)/(365.35*24*3600)</f>
        <v>278.29091278296238</v>
      </c>
      <c r="N133" s="2">
        <f>('L-Values'!J133*'D(Ti_Cherniak) Times'!$F133*0.000001)^2/(4*'D(Ti_Cherniak) Times'!$C133)/(365.35*24*3600)</f>
        <v>280.04415089639826</v>
      </c>
      <c r="O133" s="2">
        <f>('L-Values'!K133*'D(Ti_Cherniak) Times'!$F133*0.000001)^2/(4*'D(Ti_Cherniak) Times'!$C133)/(365.35*24*3600)</f>
        <v>157.18247932011155</v>
      </c>
      <c r="P133" s="2">
        <f>('L-Values'!L133*'D(Ti_Cherniak) Times'!$F133*0.000001)^2/(4*'D(Ti_Cherniak) Times'!$C133)/(365.35*24*3600)</f>
        <v>235.00262124330982</v>
      </c>
      <c r="Q133" s="2">
        <f>('L-Values'!M133*'D(Ti_Cherniak) Times'!$F133*0.000001)^2/(4*'D(Ti_Cherniak) Times'!$C133)/(365.35*24*3600)</f>
        <v>207.78042549093215</v>
      </c>
      <c r="R133" s="2">
        <f>('L-Values'!N133*'D(Ti_Cherniak) Times'!$F133*0.000001)^2/(4*'D(Ti_Cherniak) Times'!$C133)/(365.35*24*3600)</f>
        <v>236.10185877494939</v>
      </c>
      <c r="S133" s="2">
        <f>('L-Values'!O133*'D(Ti_Cherniak) Times'!$F133*0.000001)^2/(4*'D(Ti_Cherniak) Times'!$C133)/(365.35*24*3600)</f>
        <v>262.58060067851625</v>
      </c>
      <c r="T133" s="2"/>
      <c r="U133" s="2">
        <f>('L-Values'!Q133*'D(Ti_Cherniak) Times'!$F133*0.000001)^2/(4*'D(Ti_Cherniak) Times'!$C133)/(365.35*24*3600)</f>
        <v>232.7627269351585</v>
      </c>
      <c r="V133" s="2">
        <f>('L-Values'!R133*'D(Ti_Cherniak) Times'!$F133*0.000001)^2/(4*'D(Ti_Cherniak) Times'!$C133)/(365.35*24*3600)</f>
        <v>212.26575905543092</v>
      </c>
      <c r="W133" s="2">
        <f>('L-Values'!S133*'D(Ti_Cherniak) Times'!$F133*0.000001)^2/(4*'D(Ti_Cherniak) Times'!$C133)/(365.35*24*3600)</f>
        <v>235.00262124330982</v>
      </c>
      <c r="X133" s="2"/>
      <c r="Y133" s="2">
        <f>('L-Values'!U133*'D(Ti_Cherniak) Times'!$F133*0.000001)^2/(4*'D(Ti_Cherniak) Times'!$C133)/(365.35*24*3600)</f>
        <v>211.46435188152017</v>
      </c>
      <c r="Z133" s="2">
        <f>('L-Values'!V133*'D(Ti_Cherniak) Times'!$F133*0.000001)^2/(4*'D(Ti_Cherniak) Times'!$C133)/(365.35*24*3600)</f>
        <v>215.80683735981953</v>
      </c>
      <c r="AA133" s="2">
        <f>('L-Values'!W133*'D(Ti_Cherniak) Times'!$F133*0.000001)^2/(4*'D(Ti_Cherniak) Times'!$C133)/(365.35*24*3600)</f>
        <v>93.799506017938484</v>
      </c>
      <c r="AB133" s="2">
        <f>('L-Values'!X133*'D(Ti_Cherniak) Times'!$F133*0.000001)^2/(4*'D(Ti_Cherniak) Times'!$C133)/(365.35*24*3600)</f>
        <v>381.76666296501736</v>
      </c>
      <c r="AC133" s="2">
        <f t="shared" si="10"/>
        <v>122.00733134188104</v>
      </c>
      <c r="AD133" s="2">
        <f t="shared" si="11"/>
        <v>165.95982560519784</v>
      </c>
    </row>
    <row r="134" spans="1:30" x14ac:dyDescent="0.2">
      <c r="A134" t="str">
        <f>'L-Values'!A134</f>
        <v>CGI008-qtz10-CL-fit-3-offset</v>
      </c>
      <c r="B134">
        <v>750</v>
      </c>
      <c r="C134">
        <f t="shared" si="8"/>
        <v>8.0537892000481889E-22</v>
      </c>
      <c r="D134">
        <v>1800</v>
      </c>
      <c r="E134">
        <v>1024</v>
      </c>
      <c r="F134">
        <f t="shared" si="9"/>
        <v>1.7578125</v>
      </c>
      <c r="I134" s="2">
        <f>('L-Values'!E134*'D(Ti_Cherniak) Times'!$F134*0.000001)^2/(4*'D(Ti_Cherniak) Times'!$C134)/(365.35*24*3600)</f>
        <v>241.8067065816515</v>
      </c>
      <c r="J134" s="2">
        <f>('L-Values'!F134*'D(Ti_Cherniak) Times'!$F134*0.000001)^2/(4*'D(Ti_Cherniak) Times'!$C134)/(365.35*24*3600)</f>
        <v>251.51770739576503</v>
      </c>
      <c r="K134" s="2">
        <f>('L-Values'!G134*'D(Ti_Cherniak) Times'!$F134*0.000001)^2/(4*'D(Ti_Cherniak) Times'!$C134)/(365.35*24*3600)</f>
        <v>415.16517853937086</v>
      </c>
      <c r="L134" s="2">
        <f>('L-Values'!H134*'D(Ti_Cherniak) Times'!$F134*0.000001)^2/(4*'D(Ti_Cherniak) Times'!$C134)/(365.35*24*3600)</f>
        <v>104.70994076911113</v>
      </c>
      <c r="M134" s="2">
        <f>('L-Values'!I134*'D(Ti_Cherniak) Times'!$F134*0.000001)^2/(4*'D(Ti_Cherniak) Times'!$C134)/(365.35*24*3600)</f>
        <v>65.093252186063722</v>
      </c>
      <c r="N134" s="2">
        <f>('L-Values'!J134*'D(Ti_Cherniak) Times'!$F134*0.000001)^2/(4*'D(Ti_Cherniak) Times'!$C134)/(365.35*24*3600)</f>
        <v>153.37184884229745</v>
      </c>
      <c r="O134" s="2">
        <f>('L-Values'!K134*'D(Ti_Cherniak) Times'!$F134*0.000001)^2/(4*'D(Ti_Cherniak) Times'!$C134)/(365.35*24*3600)</f>
        <v>196.60484022496451</v>
      </c>
      <c r="P134" s="2">
        <f>('L-Values'!L134*'D(Ti_Cherniak) Times'!$F134*0.000001)^2/(4*'D(Ti_Cherniak) Times'!$C134)/(365.35*24*3600)</f>
        <v>197.66651667609173</v>
      </c>
      <c r="Q134" s="2">
        <f>('L-Values'!M134*'D(Ti_Cherniak) Times'!$F134*0.000001)^2/(4*'D(Ti_Cherniak) Times'!$C134)/(365.35*24*3600)</f>
        <v>243.21233055268954</v>
      </c>
      <c r="R134" s="2">
        <f>('L-Values'!N134*'D(Ti_Cherniak) Times'!$F134*0.000001)^2/(4*'D(Ti_Cherniak) Times'!$C134)/(365.35*24*3600)</f>
        <v>55.767246803109209</v>
      </c>
      <c r="S134" s="2">
        <f>('L-Values'!O134*'D(Ti_Cherniak) Times'!$F134*0.000001)^2/(4*'D(Ti_Cherniak) Times'!$C134)/(365.35*24*3600)</f>
        <v>176.49647989520722</v>
      </c>
      <c r="T134" s="2"/>
      <c r="U134" s="2">
        <f>('L-Values'!Q134*'D(Ti_Cherniak) Times'!$F134*0.000001)^2/(4*'D(Ti_Cherniak) Times'!$C134)/(365.35*24*3600)</f>
        <v>179.56620984212296</v>
      </c>
      <c r="V134" s="2">
        <f>('L-Values'!R134*'D(Ti_Cherniak) Times'!$F134*0.000001)^2/(4*'D(Ti_Cherniak) Times'!$C134)/(365.35*24*3600)</f>
        <v>178.3424307125714</v>
      </c>
      <c r="W134" s="2">
        <f>('L-Values'!S134*'D(Ti_Cherniak) Times'!$F134*0.000001)^2/(4*'D(Ti_Cherniak) Times'!$C134)/(365.35*24*3600)</f>
        <v>196.60484022496451</v>
      </c>
      <c r="X134" s="2"/>
      <c r="Y134" s="2">
        <f>('L-Values'!U134*'D(Ti_Cherniak) Times'!$F134*0.000001)^2/(4*'D(Ti_Cherniak) Times'!$C134)/(365.35*24*3600)</f>
        <v>170.42129498324095</v>
      </c>
      <c r="Z134" s="2">
        <f>('L-Values'!V134*'D(Ti_Cherniak) Times'!$F134*0.000001)^2/(4*'D(Ti_Cherniak) Times'!$C134)/(365.35*24*3600)</f>
        <v>170.56502122556159</v>
      </c>
      <c r="AA134" s="2">
        <f>('L-Values'!W134*'D(Ti_Cherniak) Times'!$F134*0.000001)^2/(4*'D(Ti_Cherniak) Times'!$C134)/(365.35*24*3600)</f>
        <v>60.793236498661464</v>
      </c>
      <c r="AB134" s="2">
        <f>('L-Values'!X134*'D(Ti_Cherniak) Times'!$F134*0.000001)^2/(4*'D(Ti_Cherniak) Times'!$C134)/(365.35*24*3600)</f>
        <v>391.54537330954145</v>
      </c>
      <c r="AC134" s="2">
        <f t="shared" si="10"/>
        <v>109.77178472690014</v>
      </c>
      <c r="AD134" s="2">
        <f t="shared" si="11"/>
        <v>220.98035208397985</v>
      </c>
    </row>
    <row r="135" spans="1:30" x14ac:dyDescent="0.2">
      <c r="A135" t="str">
        <f>'L-Values'!A135</f>
        <v>CGI008-qtz10-CL-fit-4-offset</v>
      </c>
      <c r="B135">
        <v>750</v>
      </c>
      <c r="C135">
        <f t="shared" si="8"/>
        <v>8.0537892000481889E-22</v>
      </c>
      <c r="D135">
        <v>1800</v>
      </c>
      <c r="E135">
        <v>1024</v>
      </c>
      <c r="F135">
        <f t="shared" si="9"/>
        <v>1.7578125</v>
      </c>
      <c r="I135" s="2">
        <f>('L-Values'!E135*'D(Ti_Cherniak) Times'!$F135*0.000001)^2/(4*'D(Ti_Cherniak) Times'!$C135)/(365.35*24*3600)</f>
        <v>106.00845585586075</v>
      </c>
      <c r="J135" s="2">
        <f>('L-Values'!F135*'D(Ti_Cherniak) Times'!$F135*0.000001)^2/(4*'D(Ti_Cherniak) Times'!$C135)/(365.35*24*3600)</f>
        <v>24.314241389293088</v>
      </c>
      <c r="K135" s="2">
        <f>('L-Values'!G135*'D(Ti_Cherniak) Times'!$F135*0.000001)^2/(4*'D(Ti_Cherniak) Times'!$C135)/(365.35*24*3600)</f>
        <v>7.6948122191508928</v>
      </c>
      <c r="L135" s="2">
        <f>('L-Values'!H135*'D(Ti_Cherniak) Times'!$F135*0.000001)^2/(4*'D(Ti_Cherniak) Times'!$C135)/(365.35*24*3600)</f>
        <v>56.62340922596826</v>
      </c>
      <c r="M135" s="2">
        <f>('L-Values'!I135*'D(Ti_Cherniak) Times'!$F135*0.000001)^2/(4*'D(Ti_Cherniak) Times'!$C135)/(365.35*24*3600)</f>
        <v>23.939938214612376</v>
      </c>
      <c r="N135" s="2">
        <f>('L-Values'!J135*'D(Ti_Cherniak) Times'!$F135*0.000001)^2/(4*'D(Ti_Cherniak) Times'!$C135)/(365.35*24*3600)</f>
        <v>2.1046770010475417</v>
      </c>
      <c r="O135" s="2">
        <f>('L-Values'!K135*'D(Ti_Cherniak) Times'!$F135*0.000001)^2/(4*'D(Ti_Cherniak) Times'!$C135)/(365.35*24*3600)</f>
        <v>13.601505571872153</v>
      </c>
      <c r="P135" s="2">
        <f>('L-Values'!L135*'D(Ti_Cherniak) Times'!$F135*0.000001)^2/(4*'D(Ti_Cherniak) Times'!$C135)/(365.35*24*3600)</f>
        <v>20.102916542291812</v>
      </c>
      <c r="Q135" s="2">
        <f>('L-Values'!M135*'D(Ti_Cherniak) Times'!$F135*0.000001)^2/(4*'D(Ti_Cherniak) Times'!$C135)/(365.35*24*3600)</f>
        <v>8.8148383360780151</v>
      </c>
      <c r="R135" s="2">
        <f>('L-Values'!N135*'D(Ti_Cherniak) Times'!$F135*0.000001)^2/(4*'D(Ti_Cherniak) Times'!$C135)/(365.35*24*3600)</f>
        <v>40.191991541740201</v>
      </c>
      <c r="S135" s="2">
        <f>('L-Values'!O135*'D(Ti_Cherniak) Times'!$F135*0.000001)^2/(4*'D(Ti_Cherniak) Times'!$C135)/(365.35*24*3600)</f>
        <v>8.7235121797556072</v>
      </c>
      <c r="T135" s="2"/>
      <c r="U135" s="2">
        <f>('L-Values'!Q135*'D(Ti_Cherniak) Times'!$F135*0.000001)^2/(4*'D(Ti_Cherniak) Times'!$C135)/(365.35*24*3600)</f>
        <v>21.013224611968155</v>
      </c>
      <c r="V135" s="2">
        <f>('L-Values'!R135*'D(Ti_Cherniak) Times'!$F135*0.000001)^2/(4*'D(Ti_Cherniak) Times'!$C135)/(365.35*24*3600)</f>
        <v>22.608549197259823</v>
      </c>
      <c r="W135" s="2">
        <f>('L-Values'!S135*'D(Ti_Cherniak) Times'!$F135*0.000001)^2/(4*'D(Ti_Cherniak) Times'!$C135)/(365.35*24*3600)</f>
        <v>20.102916542291812</v>
      </c>
      <c r="X135" s="2"/>
      <c r="Y135" s="2">
        <f>('L-Values'!U135*'D(Ti_Cherniak) Times'!$F135*0.000001)^2/(4*'D(Ti_Cherniak) Times'!$C135)/(365.35*24*3600)</f>
        <v>21.713174462077543</v>
      </c>
      <c r="Z135" s="2">
        <f>('L-Values'!V135*'D(Ti_Cherniak) Times'!$F135*0.000001)^2/(4*'D(Ti_Cherniak) Times'!$C135)/(365.35*24*3600)</f>
        <v>27.314055978234428</v>
      </c>
      <c r="AA135" s="2">
        <f>('L-Values'!W135*'D(Ti_Cherniak) Times'!$F135*0.000001)^2/(4*'D(Ti_Cherniak) Times'!$C135)/(365.35*24*3600)</f>
        <v>8.2427274841184988E-3</v>
      </c>
      <c r="AB135" s="2">
        <f>('L-Values'!X135*'D(Ti_Cherniak) Times'!$F135*0.000001)^2/(4*'D(Ti_Cherniak) Times'!$C135)/(365.35*24*3600)</f>
        <v>146.82170476058539</v>
      </c>
      <c r="AC135" s="2">
        <f t="shared" si="10"/>
        <v>27.305813250750308</v>
      </c>
      <c r="AD135" s="2">
        <f t="shared" si="11"/>
        <v>119.50764878235097</v>
      </c>
    </row>
    <row r="136" spans="1:30" x14ac:dyDescent="0.2">
      <c r="A136" t="str">
        <f>'L-Values'!A136</f>
        <v>CGI008-qtz11-CL-fit-1-offset</v>
      </c>
      <c r="B136">
        <v>750</v>
      </c>
      <c r="C136">
        <f t="shared" si="8"/>
        <v>8.0537892000481889E-22</v>
      </c>
      <c r="D136">
        <v>1800</v>
      </c>
      <c r="E136">
        <v>1024</v>
      </c>
      <c r="F136">
        <f t="shared" si="9"/>
        <v>1.7578125</v>
      </c>
      <c r="I136" s="2">
        <f>('L-Values'!E136*'D(Ti_Cherniak) Times'!$F136*0.000001)^2/(4*'D(Ti_Cherniak) Times'!$C136)/(365.35*24*3600)</f>
        <v>648.77976996970278</v>
      </c>
      <c r="J136" s="2">
        <f>('L-Values'!F136*'D(Ti_Cherniak) Times'!$F136*0.000001)^2/(4*'D(Ti_Cherniak) Times'!$C136)/(365.35*24*3600)</f>
        <v>265.77124599954089</v>
      </c>
      <c r="K136" s="2">
        <f>('L-Values'!G136*'D(Ti_Cherniak) Times'!$F136*0.000001)^2/(4*'D(Ti_Cherniak) Times'!$C136)/(365.35*24*3600)</f>
        <v>248.13079395912237</v>
      </c>
      <c r="L136" s="2">
        <f>('L-Values'!H136*'D(Ti_Cherniak) Times'!$F136*0.000001)^2/(4*'D(Ti_Cherniak) Times'!$C136)/(365.35*24*3600)</f>
        <v>861.27085107499931</v>
      </c>
      <c r="M136" s="2">
        <f>('L-Values'!I136*'D(Ti_Cherniak) Times'!$F136*0.000001)^2/(4*'D(Ti_Cherniak) Times'!$C136)/(365.35*24*3600)</f>
        <v>1133.5194916288378</v>
      </c>
      <c r="N136" s="2">
        <f>('L-Values'!J136*'D(Ti_Cherniak) Times'!$F136*0.000001)^2/(4*'D(Ti_Cherniak) Times'!$C136)/(365.35*24*3600)</f>
        <v>1595.8905060929148</v>
      </c>
      <c r="O136" s="2">
        <f>('L-Values'!K136*'D(Ti_Cherniak) Times'!$F136*0.000001)^2/(4*'D(Ti_Cherniak) Times'!$C136)/(365.35*24*3600)</f>
        <v>618.10054603133835</v>
      </c>
      <c r="P136" s="2">
        <f>('L-Values'!L136*'D(Ti_Cherniak) Times'!$F136*0.000001)^2/(4*'D(Ti_Cherniak) Times'!$C136)/(365.35*24*3600)</f>
        <v>431.6910241579908</v>
      </c>
      <c r="Q136" s="2">
        <f>('L-Values'!M136*'D(Ti_Cherniak) Times'!$F136*0.000001)^2/(4*'D(Ti_Cherniak) Times'!$C136)/(365.35*24*3600)</f>
        <v>877.94260868864717</v>
      </c>
      <c r="R136" s="2">
        <f>('L-Values'!N136*'D(Ti_Cherniak) Times'!$F136*0.000001)^2/(4*'D(Ti_Cherniak) Times'!$C136)/(365.35*24*3600)</f>
        <v>34.533524109306789</v>
      </c>
      <c r="S136" s="2">
        <f>('L-Values'!O136*'D(Ti_Cherniak) Times'!$F136*0.000001)^2/(4*'D(Ti_Cherniak) Times'!$C136)/(365.35*24*3600)</f>
        <v>49.971438946645335</v>
      </c>
      <c r="T136" s="2"/>
      <c r="U136" s="2">
        <f>('L-Values'!Q136*'D(Ti_Cherniak) Times'!$F136*0.000001)^2/(4*'D(Ti_Cherniak) Times'!$C136)/(365.35*24*3600)</f>
        <v>545.76996532904434</v>
      </c>
      <c r="V136" s="2">
        <f>('L-Values'!R136*'D(Ti_Cherniak) Times'!$F136*0.000001)^2/(4*'D(Ti_Cherniak) Times'!$C136)/(365.35*24*3600)</f>
        <v>511.18777388016787</v>
      </c>
      <c r="W136" s="2">
        <f>('L-Values'!S136*'D(Ti_Cherniak) Times'!$F136*0.000001)^2/(4*'D(Ti_Cherniak) Times'!$C136)/(365.35*24*3600)</f>
        <v>618.10054603133835</v>
      </c>
      <c r="X136" s="2"/>
      <c r="Y136" s="2">
        <f>('L-Values'!U136*'D(Ti_Cherniak) Times'!$F136*0.000001)^2/(4*'D(Ti_Cherniak) Times'!$C136)/(365.35*24*3600)</f>
        <v>494.15681816617098</v>
      </c>
      <c r="Z136" s="2">
        <f>('L-Values'!V136*'D(Ti_Cherniak) Times'!$F136*0.000001)^2/(4*'D(Ti_Cherniak) Times'!$C136)/(365.35*24*3600)</f>
        <v>553.79456323145348</v>
      </c>
      <c r="AA136" s="2">
        <f>('L-Values'!W136*'D(Ti_Cherniak) Times'!$F136*0.000001)^2/(4*'D(Ti_Cherniak) Times'!$C136)/(365.35*24*3600)</f>
        <v>36.975770691781889</v>
      </c>
      <c r="AB136" s="2">
        <f>('L-Values'!X136*'D(Ti_Cherniak) Times'!$F136*0.000001)^2/(4*'D(Ti_Cherniak) Times'!$C136)/(365.35*24*3600)</f>
        <v>2143.6875524991792</v>
      </c>
      <c r="AC136" s="2">
        <f t="shared" si="10"/>
        <v>516.81879253967156</v>
      </c>
      <c r="AD136" s="2">
        <f t="shared" si="11"/>
        <v>1589.8929892677256</v>
      </c>
    </row>
    <row r="137" spans="1:30" x14ac:dyDescent="0.2">
      <c r="A137" t="str">
        <f>'L-Values'!A137</f>
        <v>CGI008-qtz11-CL-fit-2-offset</v>
      </c>
      <c r="B137">
        <v>750</v>
      </c>
      <c r="C137">
        <f t="shared" si="8"/>
        <v>8.0537892000481889E-22</v>
      </c>
      <c r="D137">
        <v>1800</v>
      </c>
      <c r="E137">
        <v>1024</v>
      </c>
      <c r="F137">
        <f t="shared" si="9"/>
        <v>1.7578125</v>
      </c>
      <c r="I137" s="2">
        <f>('L-Values'!E137*'D(Ti_Cherniak) Times'!$F137*0.000001)^2/(4*'D(Ti_Cherniak) Times'!$C137)/(365.35*24*3600)</f>
        <v>170.46123382001588</v>
      </c>
      <c r="J137" s="2">
        <f>('L-Values'!F137*'D(Ti_Cherniak) Times'!$F137*0.000001)^2/(4*'D(Ti_Cherniak) Times'!$C137)/(365.35*24*3600)</f>
        <v>70.92696588360532</v>
      </c>
      <c r="K137" s="2">
        <f>('L-Values'!G137*'D(Ti_Cherniak) Times'!$F137*0.000001)^2/(4*'D(Ti_Cherniak) Times'!$C137)/(365.35*24*3600)</f>
        <v>257.4573364699545</v>
      </c>
      <c r="L137" s="2">
        <f>('L-Values'!H137*'D(Ti_Cherniak) Times'!$F137*0.000001)^2/(4*'D(Ti_Cherniak) Times'!$C137)/(365.35*24*3600)</f>
        <v>256.87214694498084</v>
      </c>
      <c r="M137" s="2">
        <f>('L-Values'!I137*'D(Ti_Cherniak) Times'!$F137*0.000001)^2/(4*'D(Ti_Cherniak) Times'!$C137)/(365.35*24*3600)</f>
        <v>253.21053745507925</v>
      </c>
      <c r="N137" s="2">
        <f>('L-Values'!J137*'D(Ti_Cherniak) Times'!$F137*0.000001)^2/(4*'D(Ti_Cherniak) Times'!$C137)/(365.35*24*3600)</f>
        <v>838.35234621135851</v>
      </c>
      <c r="O137" s="2">
        <f>('L-Values'!K137*'D(Ti_Cherniak) Times'!$F137*0.000001)^2/(4*'D(Ti_Cherniak) Times'!$C137)/(365.35*24*3600)</f>
        <v>254.9835227154077</v>
      </c>
      <c r="P137" s="2">
        <f>('L-Values'!L137*'D(Ti_Cherniak) Times'!$F137*0.000001)^2/(4*'D(Ti_Cherniak) Times'!$C137)/(365.35*24*3600)</f>
        <v>991.20429841328666</v>
      </c>
      <c r="Q137" s="2">
        <f>('L-Values'!M137*'D(Ti_Cherniak) Times'!$F137*0.000001)^2/(4*'D(Ti_Cherniak) Times'!$C137)/(365.35*24*3600)</f>
        <v>1094.8613977185523</v>
      </c>
      <c r="R137" s="2">
        <f>('L-Values'!N137*'D(Ti_Cherniak) Times'!$F137*0.000001)^2/(4*'D(Ti_Cherniak) Times'!$C137)/(365.35*24*3600)</f>
        <v>1561.4834440013472</v>
      </c>
      <c r="S137" s="2">
        <f>('L-Values'!O137*'D(Ti_Cherniak) Times'!$F137*0.000001)^2/(4*'D(Ti_Cherniak) Times'!$C137)/(365.35*24*3600)</f>
        <v>1808.4966680956049</v>
      </c>
      <c r="T137" s="2"/>
      <c r="U137" s="2">
        <f>('L-Values'!Q137*'D(Ti_Cherniak) Times'!$F137*0.000001)^2/(4*'D(Ti_Cherniak) Times'!$C137)/(365.35*24*3600)</f>
        <v>563.82440702042027</v>
      </c>
      <c r="V137" s="2">
        <f>('L-Values'!R137*'D(Ti_Cherniak) Times'!$F137*0.000001)^2/(4*'D(Ti_Cherniak) Times'!$C137)/(365.35*24*3600)</f>
        <v>562.98275052592351</v>
      </c>
      <c r="W137" s="2">
        <f>('L-Values'!S137*'D(Ti_Cherniak) Times'!$F137*0.000001)^2/(4*'D(Ti_Cherniak) Times'!$C137)/(365.35*24*3600)</f>
        <v>257.4573364699545</v>
      </c>
      <c r="X137" s="2"/>
      <c r="Y137" s="2">
        <f>('L-Values'!U137*'D(Ti_Cherniak) Times'!$F137*0.000001)^2/(4*'D(Ti_Cherniak) Times'!$C137)/(365.35*24*3600)</f>
        <v>614.12293533282934</v>
      </c>
      <c r="Z137" s="2">
        <f>('L-Values'!V137*'D(Ti_Cherniak) Times'!$F137*0.000001)^2/(4*'D(Ti_Cherniak) Times'!$C137)/(365.35*24*3600)</f>
        <v>682.77610545446248</v>
      </c>
      <c r="AA137" s="2">
        <f>('L-Values'!W137*'D(Ti_Cherniak) Times'!$F137*0.000001)^2/(4*'D(Ti_Cherniak) Times'!$C137)/(365.35*24*3600)</f>
        <v>109.79651946595845</v>
      </c>
      <c r="AB137" s="2">
        <f>('L-Values'!X137*'D(Ti_Cherniak) Times'!$F137*0.000001)^2/(4*'D(Ti_Cherniak) Times'!$C137)/(365.35*24*3600)</f>
        <v>2611.7783480927433</v>
      </c>
      <c r="AC137" s="2">
        <f t="shared" si="10"/>
        <v>572.97958598850403</v>
      </c>
      <c r="AD137" s="2">
        <f t="shared" si="11"/>
        <v>1929.0022426382807</v>
      </c>
    </row>
    <row r="138" spans="1:30" x14ac:dyDescent="0.2">
      <c r="A138" t="str">
        <f>'L-Values'!A138</f>
        <v>CGI008-qtz11-CL-fit-3-offset</v>
      </c>
      <c r="B138">
        <v>750</v>
      </c>
      <c r="C138">
        <f t="shared" si="8"/>
        <v>8.0537892000481889E-22</v>
      </c>
      <c r="D138">
        <v>1800</v>
      </c>
      <c r="E138">
        <v>1024</v>
      </c>
      <c r="F138">
        <f t="shared" si="9"/>
        <v>1.7578125</v>
      </c>
      <c r="I138" s="2">
        <f>('L-Values'!E138*'D(Ti_Cherniak) Times'!$F138*0.000001)^2/(4*'D(Ti_Cherniak) Times'!$C138)/(365.35*24*3600)</f>
        <v>0.72921213327383949</v>
      </c>
      <c r="J138" s="2">
        <f>('L-Values'!F138*'D(Ti_Cherniak) Times'!$F138*0.000001)^2/(4*'D(Ti_Cherniak) Times'!$C138)/(365.35*24*3600)</f>
        <v>11.552198366027151</v>
      </c>
      <c r="K138" s="2">
        <f>('L-Values'!G138*'D(Ti_Cherniak) Times'!$F138*0.000001)^2/(4*'D(Ti_Cherniak) Times'!$C138)/(365.35*24*3600)</f>
        <v>38.207326710203745</v>
      </c>
      <c r="L138" s="2">
        <f>('L-Values'!H138*'D(Ti_Cherniak) Times'!$F138*0.000001)^2/(4*'D(Ti_Cherniak) Times'!$C138)/(365.35*24*3600)</f>
        <v>0.98114644445973709</v>
      </c>
      <c r="M138" s="2">
        <f>('L-Values'!I138*'D(Ti_Cherniak) Times'!$F138*0.000001)^2/(4*'D(Ti_Cherniak) Times'!$C138)/(365.35*24*3600)</f>
        <v>5.886044168777401</v>
      </c>
      <c r="N138" s="2">
        <f>('L-Values'!J138*'D(Ti_Cherniak) Times'!$F138*0.000001)^2/(4*'D(Ti_Cherniak) Times'!$C138)/(365.35*24*3600)</f>
        <v>1.1306287106041955</v>
      </c>
      <c r="O138" s="2">
        <f>('L-Values'!K138*'D(Ti_Cherniak) Times'!$F138*0.000001)^2/(4*'D(Ti_Cherniak) Times'!$C138)/(365.35*24*3600)</f>
        <v>38.547093372581507</v>
      </c>
      <c r="P138" s="2">
        <f>('L-Values'!L138*'D(Ti_Cherniak) Times'!$F138*0.000001)^2/(4*'D(Ti_Cherniak) Times'!$C138)/(365.35*24*3600)</f>
        <v>30.693075932222289</v>
      </c>
      <c r="Q138" s="2">
        <f>('L-Values'!M138*'D(Ti_Cherniak) Times'!$F138*0.000001)^2/(4*'D(Ti_Cherniak) Times'!$C138)/(365.35*24*3600)</f>
        <v>11.188302049478176</v>
      </c>
      <c r="R138" s="2">
        <f>('L-Values'!N138*'D(Ti_Cherniak) Times'!$F138*0.000001)^2/(4*'D(Ti_Cherniak) Times'!$C138)/(365.35*24*3600)</f>
        <v>29.817467471223932</v>
      </c>
      <c r="S138" s="2">
        <f>('L-Values'!O138*'D(Ti_Cherniak) Times'!$F138*0.000001)^2/(4*'D(Ti_Cherniak) Times'!$C138)/(365.35*24*3600)</f>
        <v>14.591215900686585</v>
      </c>
      <c r="T138" s="2"/>
      <c r="U138" s="2">
        <f>('L-Values'!Q138*'D(Ti_Cherniak) Times'!$F138*0.000001)^2/(4*'D(Ti_Cherniak) Times'!$C138)/(365.35*24*3600)</f>
        <v>24.715601088781479</v>
      </c>
      <c r="V138" s="2">
        <f>('L-Values'!R138*'D(Ti_Cherniak) Times'!$F138*0.000001)^2/(4*'D(Ti_Cherniak) Times'!$C138)/(365.35*24*3600)</f>
        <v>12.756581738658804</v>
      </c>
      <c r="W138" s="2">
        <f>('L-Values'!S138*'D(Ti_Cherniak) Times'!$F138*0.000001)^2/(4*'D(Ti_Cherniak) Times'!$C138)/(365.35*24*3600)</f>
        <v>11.552198366027151</v>
      </c>
      <c r="X138" s="2"/>
      <c r="Y138" s="2">
        <f>('L-Values'!U138*'D(Ti_Cherniak) Times'!$F138*0.000001)^2/(4*'D(Ti_Cherniak) Times'!$C138)/(365.35*24*3600)</f>
        <v>18.673507663032357</v>
      </c>
      <c r="Z138" s="2">
        <f>('L-Values'!V138*'D(Ti_Cherniak) Times'!$F138*0.000001)^2/(4*'D(Ti_Cherniak) Times'!$C138)/(365.35*24*3600)</f>
        <v>18.300757984972865</v>
      </c>
      <c r="AA138" s="2">
        <f>('L-Values'!W138*'D(Ti_Cherniak) Times'!$F138*0.000001)^2/(4*'D(Ti_Cherniak) Times'!$C138)/(365.35*24*3600)</f>
        <v>1.0414615139962544</v>
      </c>
      <c r="AB138" s="2">
        <f>('L-Values'!X138*'D(Ti_Cherniak) Times'!$F138*0.000001)^2/(4*'D(Ti_Cherniak) Times'!$C138)/(365.35*24*3600)</f>
        <v>99.257119421798251</v>
      </c>
      <c r="AC138" s="2">
        <f t="shared" si="10"/>
        <v>17.259296470976611</v>
      </c>
      <c r="AD138" s="2">
        <f t="shared" si="11"/>
        <v>80.956361436825389</v>
      </c>
    </row>
    <row r="139" spans="1:30" x14ac:dyDescent="0.2">
      <c r="A139" t="str">
        <f>'L-Values'!A139</f>
        <v>CGI008-qtz11-CL-fit-4-offset</v>
      </c>
      <c r="B139">
        <v>750</v>
      </c>
      <c r="C139">
        <f t="shared" si="8"/>
        <v>8.0537892000481889E-22</v>
      </c>
      <c r="D139">
        <v>1800</v>
      </c>
      <c r="E139">
        <v>1024</v>
      </c>
      <c r="F139">
        <f t="shared" si="9"/>
        <v>1.7578125</v>
      </c>
      <c r="I139" s="2">
        <f>('L-Values'!E139*'D(Ti_Cherniak) Times'!$F139*0.000001)^2/(4*'D(Ti_Cherniak) Times'!$C139)/(365.35*24*3600)</f>
        <v>5.2873899741748227</v>
      </c>
      <c r="J139" s="2">
        <f>('L-Values'!F139*'D(Ti_Cherniak) Times'!$F139*0.000001)^2/(4*'D(Ti_Cherniak) Times'!$C139)/(365.35*24*3600)</f>
        <v>35.490573347628249</v>
      </c>
      <c r="K139" s="2">
        <f>('L-Values'!G139*'D(Ti_Cherniak) Times'!$F139*0.000001)^2/(4*'D(Ti_Cherniak) Times'!$C139)/(365.35*24*3600)</f>
        <v>1.6084749221019019</v>
      </c>
      <c r="L139" s="2">
        <f>('L-Values'!H139*'D(Ti_Cherniak) Times'!$F139*0.000001)^2/(4*'D(Ti_Cherniak) Times'!$C139)/(365.35*24*3600)</f>
        <v>41.173543540807962</v>
      </c>
      <c r="M139" s="2">
        <f>('L-Values'!I139*'D(Ti_Cherniak) Times'!$F139*0.000001)^2/(4*'D(Ti_Cherniak) Times'!$C139)/(365.35*24*3600)</f>
        <v>26.682542270979173</v>
      </c>
      <c r="N139" s="2">
        <f>('L-Values'!J139*'D(Ti_Cherniak) Times'!$F139*0.000001)^2/(4*'D(Ti_Cherniak) Times'!$C139)/(365.35*24*3600)</f>
        <v>1.1239029640480309</v>
      </c>
      <c r="O139" s="2">
        <f>('L-Values'!K139*'D(Ti_Cherniak) Times'!$F139*0.000001)^2/(4*'D(Ti_Cherniak) Times'!$C139)/(365.35*24*3600)</f>
        <v>1.3051227632115145</v>
      </c>
      <c r="P139" s="2">
        <f>('L-Values'!L139*'D(Ti_Cherniak) Times'!$F139*0.000001)^2/(4*'D(Ti_Cherniak) Times'!$C139)/(365.35*24*3600)</f>
        <v>2.1876603011000921</v>
      </c>
      <c r="Q139" s="2">
        <f>('L-Values'!M139*'D(Ti_Cherniak) Times'!$F139*0.000001)^2/(4*'D(Ti_Cherniak) Times'!$C139)/(365.35*24*3600)</f>
        <v>16.370963230977161</v>
      </c>
      <c r="R139" s="2">
        <f>('L-Values'!N139*'D(Ti_Cherniak) Times'!$F139*0.000001)^2/(4*'D(Ti_Cherniak) Times'!$C139)/(365.35*24*3600)</f>
        <v>2.4211259345082566E-2</v>
      </c>
      <c r="S139" s="2">
        <f>('L-Values'!O139*'D(Ti_Cherniak) Times'!$F139*0.000001)^2/(4*'D(Ti_Cherniak) Times'!$C139)/(365.35*24*3600)</f>
        <v>1.7543247479644122</v>
      </c>
      <c r="T139" s="2"/>
      <c r="U139" s="2">
        <f>('L-Values'!Q139*'D(Ti_Cherniak) Times'!$F139*0.000001)^2/(4*'D(Ti_Cherniak) Times'!$C139)/(365.35*24*3600)</f>
        <v>4.1085476649936172</v>
      </c>
      <c r="V139" s="2">
        <f>('L-Values'!R139*'D(Ti_Cherniak) Times'!$F139*0.000001)^2/(4*'D(Ti_Cherniak) Times'!$C139)/(365.35*24*3600)</f>
        <v>7.595091125277782</v>
      </c>
      <c r="W139" s="2">
        <f>('L-Values'!S139*'D(Ti_Cherniak) Times'!$F139*0.000001)^2/(4*'D(Ti_Cherniak) Times'!$C139)/(365.35*24*3600)</f>
        <v>2.1876603011000921</v>
      </c>
      <c r="X139" s="2"/>
      <c r="Y139" s="2">
        <f>('L-Values'!U139*'D(Ti_Cherniak) Times'!$F139*0.000001)^2/(4*'D(Ti_Cherniak) Times'!$C139)/(365.35*24*3600)</f>
        <v>4.7177048582409933</v>
      </c>
      <c r="Z139" s="2">
        <f>('L-Values'!V139*'D(Ti_Cherniak) Times'!$F139*0.000001)^2/(4*'D(Ti_Cherniak) Times'!$C139)/(365.35*24*3600)</f>
        <v>9.8239366106047541</v>
      </c>
      <c r="AA139" s="2">
        <f>('L-Values'!W139*'D(Ti_Cherniak) Times'!$F139*0.000001)^2/(4*'D(Ti_Cherniak) Times'!$C139)/(365.35*24*3600)</f>
        <v>3.546326706034508E-3</v>
      </c>
      <c r="AB139" s="2">
        <f>('L-Values'!X139*'D(Ti_Cherniak) Times'!$F139*0.000001)^2/(4*'D(Ti_Cherniak) Times'!$C139)/(365.35*24*3600)</f>
        <v>91.044991343533425</v>
      </c>
      <c r="AC139" s="2">
        <f t="shared" si="10"/>
        <v>9.8203902838987194</v>
      </c>
      <c r="AD139" s="2">
        <f t="shared" si="11"/>
        <v>81.221054732928678</v>
      </c>
    </row>
    <row r="140" spans="1:30" x14ac:dyDescent="0.2">
      <c r="A140" t="str">
        <f>'L-Values'!A140</f>
        <v>CGI008-qtz12-CL-fit-1-offset</v>
      </c>
      <c r="B140">
        <v>750</v>
      </c>
      <c r="C140">
        <f t="shared" si="8"/>
        <v>8.0537892000481889E-22</v>
      </c>
      <c r="D140">
        <v>1700</v>
      </c>
      <c r="E140">
        <v>1024</v>
      </c>
      <c r="F140">
        <f t="shared" si="9"/>
        <v>1.66015625</v>
      </c>
      <c r="I140" s="2">
        <f>('L-Values'!E140*'D(Ti_Cherniak) Times'!$F140*0.000001)^2/(4*'D(Ti_Cherniak) Times'!$C140)/(365.35*24*3600)</f>
        <v>173.41811782310882</v>
      </c>
      <c r="J140" s="2">
        <f>('L-Values'!F140*'D(Ti_Cherniak) Times'!$F140*0.000001)^2/(4*'D(Ti_Cherniak) Times'!$C140)/(365.35*24*3600)</f>
        <v>318.13015343071424</v>
      </c>
      <c r="K140" s="2">
        <f>('L-Values'!G140*'D(Ti_Cherniak) Times'!$F140*0.000001)^2/(4*'D(Ti_Cherniak) Times'!$C140)/(365.35*24*3600)</f>
        <v>624.13040553372593</v>
      </c>
      <c r="L140" s="2">
        <f>('L-Values'!H140*'D(Ti_Cherniak) Times'!$F140*0.000001)^2/(4*'D(Ti_Cherniak) Times'!$C140)/(365.35*24*3600)</f>
        <v>851.12686131213138</v>
      </c>
      <c r="M140" s="2">
        <f>('L-Values'!I140*'D(Ti_Cherniak) Times'!$F140*0.000001)^2/(4*'D(Ti_Cherniak) Times'!$C140)/(365.35*24*3600)</f>
        <v>143.49708543249895</v>
      </c>
      <c r="N140" s="2">
        <f>('L-Values'!J140*'D(Ti_Cherniak) Times'!$F140*0.000001)^2/(4*'D(Ti_Cherniak) Times'!$C140)/(365.35*24*3600)</f>
        <v>267.826643905266</v>
      </c>
      <c r="O140" s="2">
        <f>('L-Values'!K140*'D(Ti_Cherniak) Times'!$F140*0.000001)^2/(4*'D(Ti_Cherniak) Times'!$C140)/(365.35*24*3600)</f>
        <v>672.17652649623051</v>
      </c>
      <c r="P140" s="2">
        <f>('L-Values'!L140*'D(Ti_Cherniak) Times'!$F140*0.000001)^2/(4*'D(Ti_Cherniak) Times'!$C140)/(365.35*24*3600)</f>
        <v>1403.451261271832</v>
      </c>
      <c r="Q140" s="2">
        <f>('L-Values'!M140*'D(Ti_Cherniak) Times'!$F140*0.000001)^2/(4*'D(Ti_Cherniak) Times'!$C140)/(365.35*24*3600)</f>
        <v>1291.1689323286796</v>
      </c>
      <c r="R140" s="2">
        <f>('L-Values'!N140*'D(Ti_Cherniak) Times'!$F140*0.000001)^2/(4*'D(Ti_Cherniak) Times'!$C140)/(365.35*24*3600)</f>
        <v>485.74573951125296</v>
      </c>
      <c r="S140" s="2">
        <f>('L-Values'!O140*'D(Ti_Cherniak) Times'!$F140*0.000001)^2/(4*'D(Ti_Cherniak) Times'!$C140)/(365.35*24*3600)</f>
        <v>114.5186010153879</v>
      </c>
      <c r="T140" s="2"/>
      <c r="U140" s="2">
        <f>('L-Values'!Q140*'D(Ti_Cherniak) Times'!$F140*0.000001)^2/(4*'D(Ti_Cherniak) Times'!$C140)/(365.35*24*3600)</f>
        <v>488.73704184720555</v>
      </c>
      <c r="V140" s="2">
        <f>('L-Values'!R140*'D(Ti_Cherniak) Times'!$F140*0.000001)^2/(4*'D(Ti_Cherniak) Times'!$C140)/(365.35*24*3600)</f>
        <v>498.38127220568595</v>
      </c>
      <c r="W140" s="2">
        <f>('L-Values'!S140*'D(Ti_Cherniak) Times'!$F140*0.000001)^2/(4*'D(Ti_Cherniak) Times'!$C140)/(365.35*24*3600)</f>
        <v>485.74573951125296</v>
      </c>
      <c r="X140" s="2"/>
      <c r="Y140" s="2">
        <f>('L-Values'!U140*'D(Ti_Cherniak) Times'!$F140*0.000001)^2/(4*'D(Ti_Cherniak) Times'!$C140)/(365.35*24*3600)</f>
        <v>517.14357410611581</v>
      </c>
      <c r="Z140" s="2">
        <f>('L-Values'!V140*'D(Ti_Cherniak) Times'!$F140*0.000001)^2/(4*'D(Ti_Cherniak) Times'!$C140)/(365.35*24*3600)</f>
        <v>511.4103728887016</v>
      </c>
      <c r="AA140" s="2">
        <f>('L-Values'!W140*'D(Ti_Cherniak) Times'!$F140*0.000001)^2/(4*'D(Ti_Cherniak) Times'!$C140)/(365.35*24*3600)</f>
        <v>60.407566844076484</v>
      </c>
      <c r="AB140" s="2">
        <f>('L-Values'!X140*'D(Ti_Cherniak) Times'!$F140*0.000001)^2/(4*'D(Ti_Cherniak) Times'!$C140)/(365.35*24*3600)</f>
        <v>1610.0247501547153</v>
      </c>
      <c r="AC140" s="2">
        <f t="shared" si="10"/>
        <v>451.00280604462512</v>
      </c>
      <c r="AD140" s="2">
        <f t="shared" si="11"/>
        <v>1098.6143772660137</v>
      </c>
    </row>
    <row r="141" spans="1:30" x14ac:dyDescent="0.2">
      <c r="A141" t="str">
        <f>'L-Values'!A141</f>
        <v>CGI008-qtz12-CL-fit-2-offset</v>
      </c>
      <c r="B141">
        <v>750</v>
      </c>
      <c r="C141">
        <f t="shared" si="8"/>
        <v>8.0537892000481889E-22</v>
      </c>
      <c r="D141">
        <v>1700</v>
      </c>
      <c r="E141">
        <v>1024</v>
      </c>
      <c r="F141">
        <f t="shared" si="9"/>
        <v>1.66015625</v>
      </c>
      <c r="I141" s="2">
        <f>('L-Values'!E141*'D(Ti_Cherniak) Times'!$F141*0.000001)^2/(4*'D(Ti_Cherniak) Times'!$C141)/(365.35*24*3600)</f>
        <v>35.519757967339501</v>
      </c>
      <c r="J141" s="2">
        <f>('L-Values'!F141*'D(Ti_Cherniak) Times'!$F141*0.000001)^2/(4*'D(Ti_Cherniak) Times'!$C141)/(365.35*24*3600)</f>
        <v>31.342340326602333</v>
      </c>
      <c r="K141" s="2">
        <f>('L-Values'!G141*'D(Ti_Cherniak) Times'!$F141*0.000001)^2/(4*'D(Ti_Cherniak) Times'!$C141)/(365.35*24*3600)</f>
        <v>8.0198985849803748</v>
      </c>
      <c r="L141" s="2">
        <f>('L-Values'!H141*'D(Ti_Cherniak) Times'!$F141*0.000001)^2/(4*'D(Ti_Cherniak) Times'!$C141)/(365.35*24*3600)</f>
        <v>0.14265547302645498</v>
      </c>
      <c r="M141" s="2">
        <f>('L-Values'!I141*'D(Ti_Cherniak) Times'!$F141*0.000001)^2/(4*'D(Ti_Cherniak) Times'!$C141)/(365.35*24*3600)</f>
        <v>17.574884943718867</v>
      </c>
      <c r="N141" s="2">
        <f>('L-Values'!J141*'D(Ti_Cherniak) Times'!$F141*0.000001)^2/(4*'D(Ti_Cherniak) Times'!$C141)/(365.35*24*3600)</f>
        <v>1.9512931745447213</v>
      </c>
      <c r="O141" s="2">
        <f>('L-Values'!K141*'D(Ti_Cherniak) Times'!$F141*0.000001)^2/(4*'D(Ti_Cherniak) Times'!$C141)/(365.35*24*3600)</f>
        <v>26.905354991013375</v>
      </c>
      <c r="P141" s="2">
        <f>('L-Values'!L141*'D(Ti_Cherniak) Times'!$F141*0.000001)^2/(4*'D(Ti_Cherniak) Times'!$C141)/(365.35*24*3600)</f>
        <v>2.8307032625784148</v>
      </c>
      <c r="Q141" s="2">
        <f>('L-Values'!M141*'D(Ti_Cherniak) Times'!$F141*0.000001)^2/(4*'D(Ti_Cherniak) Times'!$C141)/(365.35*24*3600)</f>
        <v>1.7048268147239902</v>
      </c>
      <c r="R141" s="2">
        <f>('L-Values'!N141*'D(Ti_Cherniak) Times'!$F141*0.000001)^2/(4*'D(Ti_Cherniak) Times'!$C141)/(365.35*24*3600)</f>
        <v>21.336505165905692</v>
      </c>
      <c r="S141" s="2">
        <f>('L-Values'!O141*'D(Ti_Cherniak) Times'!$F141*0.000001)^2/(4*'D(Ti_Cherniak) Times'!$C141)/(365.35*24*3600)</f>
        <v>41.305395668086959</v>
      </c>
      <c r="T141" s="2"/>
      <c r="U141" s="2">
        <f>('L-Values'!Q141*'D(Ti_Cherniak) Times'!$F141*0.000001)^2/(4*'D(Ti_Cherniak) Times'!$C141)/(365.35*24*3600)</f>
        <v>1.929313289598219</v>
      </c>
      <c r="V141" s="2">
        <f>('L-Values'!R141*'D(Ti_Cherniak) Times'!$F141*0.000001)^2/(4*'D(Ti_Cherniak) Times'!$C141)/(365.35*24*3600)</f>
        <v>12.945804368271007</v>
      </c>
      <c r="W141" s="2">
        <f>('L-Values'!S141*'D(Ti_Cherniak) Times'!$F141*0.000001)^2/(4*'D(Ti_Cherniak) Times'!$C141)/(365.35*24*3600)</f>
        <v>17.574884943718867</v>
      </c>
      <c r="X141" s="2"/>
      <c r="Y141" s="2">
        <f>('L-Values'!U141*'D(Ti_Cherniak) Times'!$F141*0.000001)^2/(4*'D(Ti_Cherniak) Times'!$C141)/(365.35*24*3600)</f>
        <v>2.1770354586091591</v>
      </c>
      <c r="Z141" s="2">
        <f>('L-Values'!V141*'D(Ti_Cherniak) Times'!$F141*0.000001)^2/(4*'D(Ti_Cherniak) Times'!$C141)/(365.35*24*3600)</f>
        <v>11.284681248950685</v>
      </c>
      <c r="AA141" s="2">
        <f>('L-Values'!W141*'D(Ti_Cherniak) Times'!$F141*0.000001)^2/(4*'D(Ti_Cherniak) Times'!$C141)/(365.35*24*3600)</f>
        <v>0.10334304970914653</v>
      </c>
      <c r="AB141" s="2">
        <f>('L-Values'!X141*'D(Ti_Cherniak) Times'!$F141*0.000001)^2/(4*'D(Ti_Cherniak) Times'!$C141)/(365.35*24*3600)</f>
        <v>117.71787055400567</v>
      </c>
      <c r="AC141" s="2">
        <f t="shared" si="10"/>
        <v>11.181338199241539</v>
      </c>
      <c r="AD141" s="2">
        <f t="shared" si="11"/>
        <v>106.43318930505498</v>
      </c>
    </row>
    <row r="142" spans="1:30" x14ac:dyDescent="0.2">
      <c r="A142" t="str">
        <f>'L-Values'!A142</f>
        <v>CGI008-qtz12-CL-fit-3-offset</v>
      </c>
      <c r="B142">
        <v>750</v>
      </c>
      <c r="C142">
        <f t="shared" si="8"/>
        <v>8.0537892000481889E-22</v>
      </c>
      <c r="D142">
        <v>1700</v>
      </c>
      <c r="E142">
        <v>1024</v>
      </c>
      <c r="F142">
        <f t="shared" si="9"/>
        <v>1.66015625</v>
      </c>
      <c r="I142" s="2">
        <f>('L-Values'!E142*'D(Ti_Cherniak) Times'!$F142*0.000001)^2/(4*'D(Ti_Cherniak) Times'!$C142)/(365.35*24*3600)</f>
        <v>281.62090171725674</v>
      </c>
      <c r="J142" s="2">
        <f>('L-Values'!F142*'D(Ti_Cherniak) Times'!$F142*0.000001)^2/(4*'D(Ti_Cherniak) Times'!$C142)/(365.35*24*3600)</f>
        <v>156.42128031518789</v>
      </c>
      <c r="K142" s="2">
        <f>('L-Values'!G142*'D(Ti_Cherniak) Times'!$F142*0.000001)^2/(4*'D(Ti_Cherniak) Times'!$C142)/(365.35*24*3600)</f>
        <v>262.40385163835117</v>
      </c>
      <c r="L142" s="2">
        <f>('L-Values'!H142*'D(Ti_Cherniak) Times'!$F142*0.000001)^2/(4*'D(Ti_Cherniak) Times'!$C142)/(365.35*24*3600)</f>
        <v>267.87057432042218</v>
      </c>
      <c r="M142" s="2">
        <f>('L-Values'!I142*'D(Ti_Cherniak) Times'!$F142*0.000001)^2/(4*'D(Ti_Cherniak) Times'!$C142)/(365.35*24*3600)</f>
        <v>354.15226927370429</v>
      </c>
      <c r="N142" s="2">
        <f>('L-Values'!J142*'D(Ti_Cherniak) Times'!$F142*0.000001)^2/(4*'D(Ti_Cherniak) Times'!$C142)/(365.35*24*3600)</f>
        <v>346.71613247865093</v>
      </c>
      <c r="O142" s="2">
        <f>('L-Values'!K142*'D(Ti_Cherniak) Times'!$F142*0.000001)^2/(4*'D(Ti_Cherniak) Times'!$C142)/(365.35*24*3600)</f>
        <v>322.65975385664427</v>
      </c>
      <c r="P142" s="2">
        <f>('L-Values'!L142*'D(Ti_Cherniak) Times'!$F142*0.000001)^2/(4*'D(Ti_Cherniak) Times'!$C142)/(365.35*24*3600)</f>
        <v>357.55828800482129</v>
      </c>
      <c r="Q142" s="2">
        <f>('L-Values'!M142*'D(Ti_Cherniak) Times'!$F142*0.000001)^2/(4*'D(Ti_Cherniak) Times'!$C142)/(365.35*24*3600)</f>
        <v>389.70773418114277</v>
      </c>
      <c r="R142" s="2">
        <f>('L-Values'!N142*'D(Ti_Cherniak) Times'!$F142*0.000001)^2/(4*'D(Ti_Cherniak) Times'!$C142)/(365.35*24*3600)</f>
        <v>407.18606148010491</v>
      </c>
      <c r="S142" s="2">
        <f>('L-Values'!O142*'D(Ti_Cherniak) Times'!$F142*0.000001)^2/(4*'D(Ti_Cherniak) Times'!$C142)/(365.35*24*3600)</f>
        <v>216.283935599552</v>
      </c>
      <c r="T142" s="2"/>
      <c r="U142" s="2">
        <f>('L-Values'!Q142*'D(Ti_Cherniak) Times'!$F142*0.000001)^2/(4*'D(Ti_Cherniak) Times'!$C142)/(365.35*24*3600)</f>
        <v>316.84690263466348</v>
      </c>
      <c r="V142" s="2">
        <f>('L-Values'!R142*'D(Ti_Cherniak) Times'!$F142*0.000001)^2/(4*'D(Ti_Cherniak) Times'!$C142)/(365.35*24*3600)</f>
        <v>300.83863804832811</v>
      </c>
      <c r="W142" s="2">
        <f>('L-Values'!S142*'D(Ti_Cherniak) Times'!$F142*0.000001)^2/(4*'D(Ti_Cherniak) Times'!$C142)/(365.35*24*3600)</f>
        <v>322.65975385664427</v>
      </c>
      <c r="X142" s="2"/>
      <c r="Y142" s="2">
        <f>('L-Values'!U142*'D(Ti_Cherniak) Times'!$F142*0.000001)^2/(4*'D(Ti_Cherniak) Times'!$C142)/(365.35*24*3600)</f>
        <v>307.31515888534403</v>
      </c>
      <c r="Z142" s="2">
        <f>('L-Values'!V142*'D(Ti_Cherniak) Times'!$F142*0.000001)^2/(4*'D(Ti_Cherniak) Times'!$C142)/(365.35*24*3600)</f>
        <v>304.67507362215139</v>
      </c>
      <c r="AA142" s="2">
        <f>('L-Values'!W142*'D(Ti_Cherniak) Times'!$F142*0.000001)^2/(4*'D(Ti_Cherniak) Times'!$C142)/(365.35*24*3600)</f>
        <v>112.97680980518253</v>
      </c>
      <c r="AB142" s="2">
        <f>('L-Values'!X142*'D(Ti_Cherniak) Times'!$F142*0.000001)^2/(4*'D(Ti_Cherniak) Times'!$C142)/(365.35*24*3600)</f>
        <v>536.87698277753861</v>
      </c>
      <c r="AC142" s="2">
        <f t="shared" si="10"/>
        <v>191.69826381696885</v>
      </c>
      <c r="AD142" s="2">
        <f t="shared" si="11"/>
        <v>232.20190915538723</v>
      </c>
    </row>
    <row r="143" spans="1:30" x14ac:dyDescent="0.2">
      <c r="A143" t="str">
        <f>'L-Values'!A143</f>
        <v>CGI009-qtz01-CL-fit-1-offset</v>
      </c>
      <c r="B143">
        <v>750</v>
      </c>
      <c r="C143">
        <f t="shared" si="8"/>
        <v>8.0537892000481889E-22</v>
      </c>
      <c r="D143">
        <v>1150</v>
      </c>
      <c r="E143">
        <v>1024</v>
      </c>
      <c r="F143">
        <f t="shared" si="9"/>
        <v>1.123046875</v>
      </c>
      <c r="I143" s="2">
        <f>('L-Values'!E143*'D(Ti_Cherniak) Times'!$F143*0.000001)^2/(4*'D(Ti_Cherniak) Times'!$C143)/(365.35*24*3600)</f>
        <v>22717.261296398257</v>
      </c>
      <c r="J143" s="2">
        <f>('L-Values'!F143*'D(Ti_Cherniak) Times'!$F143*0.000001)^2/(4*'D(Ti_Cherniak) Times'!$C143)/(365.35*24*3600)</f>
        <v>0</v>
      </c>
      <c r="K143" s="2">
        <f>('L-Values'!G143*'D(Ti_Cherniak) Times'!$F143*0.000001)^2/(4*'D(Ti_Cherniak) Times'!$C143)/(365.35*24*3600)</f>
        <v>88.116083205901987</v>
      </c>
      <c r="L143" s="2">
        <f>('L-Values'!H143*'D(Ti_Cherniak) Times'!$F143*0.000001)^2/(4*'D(Ti_Cherniak) Times'!$C143)/(365.35*24*3600)</f>
        <v>47.231973551678003</v>
      </c>
      <c r="M143" s="2">
        <f>('L-Values'!I143*'D(Ti_Cherniak) Times'!$F143*0.000001)^2/(4*'D(Ti_Cherniak) Times'!$C143)/(365.35*24*3600)</f>
        <v>102.67950107082524</v>
      </c>
      <c r="N143" s="2">
        <f>('L-Values'!J143*'D(Ti_Cherniak) Times'!$F143*0.000001)^2/(4*'D(Ti_Cherniak) Times'!$C143)/(365.35*24*3600)</f>
        <v>74.490122185752952</v>
      </c>
      <c r="O143" s="2">
        <f>('L-Values'!K143*'D(Ti_Cherniak) Times'!$F143*0.000001)^2/(4*'D(Ti_Cherniak) Times'!$C143)/(365.35*24*3600)</f>
        <v>115.6064427164076</v>
      </c>
      <c r="P143" s="2">
        <f>('L-Values'!L143*'D(Ti_Cherniak) Times'!$F143*0.000001)^2/(4*'D(Ti_Cherniak) Times'!$C143)/(365.35*24*3600)</f>
        <v>72.097755406694404</v>
      </c>
      <c r="Q143" s="2">
        <f>('L-Values'!M143*'D(Ti_Cherniak) Times'!$F143*0.000001)^2/(4*'D(Ti_Cherniak) Times'!$C143)/(365.35*24*3600)</f>
        <v>42.629549180428747</v>
      </c>
      <c r="R143" s="2">
        <f>('L-Values'!N143*'D(Ti_Cherniak) Times'!$F143*0.000001)^2/(4*'D(Ti_Cherniak) Times'!$C143)/(365.35*24*3600)</f>
        <v>66.552679709696534</v>
      </c>
      <c r="S143" s="2">
        <f>('L-Values'!O143*'D(Ti_Cherniak) Times'!$F143*0.000001)^2/(4*'D(Ti_Cherniak) Times'!$C143)/(365.35*24*3600)</f>
        <v>124.96440058593865</v>
      </c>
      <c r="T143" s="2"/>
      <c r="U143" s="2">
        <f>('L-Values'!Q143*'D(Ti_Cherniak) Times'!$F143*0.000001)^2/(4*'D(Ti_Cherniak) Times'!$C143)/(365.35*24*3600)</f>
        <v>95.193446702192148</v>
      </c>
      <c r="V143" s="2">
        <f>('L-Values'!R143*'D(Ti_Cherniak) Times'!$F143*0.000001)^2/(4*'D(Ti_Cherniak) Times'!$C143)/(365.35*24*3600)</f>
        <v>532.93954062020919</v>
      </c>
      <c r="W143" s="2">
        <f>('L-Values'!S143*'D(Ti_Cherniak) Times'!$F143*0.000001)^2/(4*'D(Ti_Cherniak) Times'!$C143)/(365.35*24*3600)</f>
        <v>81.160123911439172</v>
      </c>
      <c r="X143" s="2"/>
      <c r="Y143" s="2">
        <f>('L-Values'!U143*'D(Ti_Cherniak) Times'!$F143*0.000001)^2/(4*'D(Ti_Cherniak) Times'!$C143)/(365.35*24*3600)</f>
        <v>86.71685654290259</v>
      </c>
      <c r="Z143" s="2">
        <f>('L-Values'!V143*'D(Ti_Cherniak) Times'!$F143*0.000001)^2/(4*'D(Ti_Cherniak) Times'!$C143)/(365.35*24*3600)</f>
        <v>101.45404361165001</v>
      </c>
      <c r="AA143" s="2">
        <f>('L-Values'!W143*'D(Ti_Cherniak) Times'!$F143*0.000001)^2/(4*'D(Ti_Cherniak) Times'!$C143)/(365.35*24*3600)</f>
        <v>1.4393592384486025</v>
      </c>
      <c r="AB143" s="2">
        <f>('L-Values'!X143*'D(Ti_Cherniak) Times'!$F143*0.000001)^2/(4*'D(Ti_Cherniak) Times'!$C143)/(365.35*24*3600)</f>
        <v>350.78742634229513</v>
      </c>
      <c r="AC143" s="2">
        <f t="shared" si="10"/>
        <v>100.0146843732014</v>
      </c>
      <c r="AD143" s="2">
        <f t="shared" si="11"/>
        <v>249.33338273064513</v>
      </c>
    </row>
    <row r="144" spans="1:30" x14ac:dyDescent="0.2">
      <c r="A144" t="str">
        <f>'L-Values'!A144</f>
        <v>CGI009-qtz01-CL-fit-2-offset</v>
      </c>
      <c r="B144">
        <v>750</v>
      </c>
      <c r="C144">
        <f t="shared" si="8"/>
        <v>8.0537892000481889E-22</v>
      </c>
      <c r="D144">
        <v>1150</v>
      </c>
      <c r="E144">
        <v>1024</v>
      </c>
      <c r="F144">
        <f t="shared" si="9"/>
        <v>1.123046875</v>
      </c>
      <c r="I144" s="2">
        <f>('L-Values'!E144*'D(Ti_Cherniak) Times'!$F144*0.000001)^2/(4*'D(Ti_Cherniak) Times'!$C144)/(365.35*24*3600)</f>
        <v>132.10169246296937</v>
      </c>
      <c r="J144" s="2">
        <f>('L-Values'!F144*'D(Ti_Cherniak) Times'!$F144*0.000001)^2/(4*'D(Ti_Cherniak) Times'!$C144)/(365.35*24*3600)</f>
        <v>179.92867134563738</v>
      </c>
      <c r="K144" s="2">
        <f>('L-Values'!G144*'D(Ti_Cherniak) Times'!$F144*0.000001)^2/(4*'D(Ti_Cherniak) Times'!$C144)/(365.35*24*3600)</f>
        <v>189.43878036172191</v>
      </c>
      <c r="L144" s="2">
        <f>('L-Values'!H144*'D(Ti_Cherniak) Times'!$F144*0.000001)^2/(4*'D(Ti_Cherniak) Times'!$C144)/(365.35*24*3600)</f>
        <v>129.34949428938157</v>
      </c>
      <c r="M144" s="2">
        <f>('L-Values'!I144*'D(Ti_Cherniak) Times'!$F144*0.000001)^2/(4*'D(Ti_Cherniak) Times'!$C144)/(365.35*24*3600)</f>
        <v>155.08041950941288</v>
      </c>
      <c r="N144" s="2">
        <f>('L-Values'!J144*'D(Ti_Cherniak) Times'!$F144*0.000001)^2/(4*'D(Ti_Cherniak) Times'!$C144)/(365.35*24*3600)</f>
        <v>189.35884530462994</v>
      </c>
      <c r="O144" s="2">
        <f>('L-Values'!K144*'D(Ti_Cherniak) Times'!$F144*0.000001)^2/(4*'D(Ti_Cherniak) Times'!$C144)/(365.35*24*3600)</f>
        <v>308.35884851665173</v>
      </c>
      <c r="P144" s="2">
        <f>('L-Values'!L144*'D(Ti_Cherniak) Times'!$F144*0.000001)^2/(4*'D(Ti_Cherniak) Times'!$C144)/(365.35*24*3600)</f>
        <v>212.93574495467956</v>
      </c>
      <c r="Q144" s="2">
        <f>('L-Values'!M144*'D(Ti_Cherniak) Times'!$F144*0.000001)^2/(4*'D(Ti_Cherniak) Times'!$C144)/(365.35*24*3600)</f>
        <v>108.21099451110945</v>
      </c>
      <c r="R144" s="2">
        <f>('L-Values'!N144*'D(Ti_Cherniak) Times'!$F144*0.000001)^2/(4*'D(Ti_Cherniak) Times'!$C144)/(365.35*24*3600)</f>
        <v>123.76238719247941</v>
      </c>
      <c r="S144" s="2">
        <f>('L-Values'!O144*'D(Ti_Cherniak) Times'!$F144*0.000001)^2/(4*'D(Ti_Cherniak) Times'!$C144)/(365.35*24*3600)</f>
        <v>164.94060351214318</v>
      </c>
      <c r="T144" s="2"/>
      <c r="U144" s="2">
        <f>('L-Values'!Q144*'D(Ti_Cherniak) Times'!$F144*0.000001)^2/(4*'D(Ti_Cherniak) Times'!$C144)/(365.35*24*3600)</f>
        <v>164.49228891776832</v>
      </c>
      <c r="V144" s="2">
        <f>('L-Values'!R144*'D(Ti_Cherniak) Times'!$F144*0.000001)^2/(4*'D(Ti_Cherniak) Times'!$C144)/(365.35*24*3600)</f>
        <v>168.48219823123125</v>
      </c>
      <c r="W144" s="2">
        <f>('L-Values'!S144*'D(Ti_Cherniak) Times'!$F144*0.000001)^2/(4*'D(Ti_Cherniak) Times'!$C144)/(365.35*24*3600)</f>
        <v>164.94060351214318</v>
      </c>
      <c r="X144" s="2"/>
      <c r="Y144" s="2">
        <f>('L-Values'!U144*'D(Ti_Cherniak) Times'!$F144*0.000001)^2/(4*'D(Ti_Cherniak) Times'!$C144)/(365.35*24*3600)</f>
        <v>160.54989275174978</v>
      </c>
      <c r="Z144" s="2">
        <f>('L-Values'!V144*'D(Ti_Cherniak) Times'!$F144*0.000001)^2/(4*'D(Ti_Cherniak) Times'!$C144)/(365.35*24*3600)</f>
        <v>160.76565733972967</v>
      </c>
      <c r="AA144" s="2">
        <f>('L-Values'!W144*'D(Ti_Cherniak) Times'!$F144*0.000001)^2/(4*'D(Ti_Cherniak) Times'!$C144)/(365.35*24*3600)</f>
        <v>75.35268740869941</v>
      </c>
      <c r="AB144" s="2">
        <f>('L-Values'!X144*'D(Ti_Cherniak) Times'!$F144*0.000001)^2/(4*'D(Ti_Cherniak) Times'!$C144)/(365.35*24*3600)</f>
        <v>282.73610770199946</v>
      </c>
      <c r="AC144" s="2">
        <f t="shared" si="10"/>
        <v>85.412969931030261</v>
      </c>
      <c r="AD144" s="2">
        <f t="shared" si="11"/>
        <v>121.97045036226979</v>
      </c>
    </row>
    <row r="145" spans="1:30" x14ac:dyDescent="0.2">
      <c r="A145" t="str">
        <f>'L-Values'!A145</f>
        <v>CGI009-qtz01-CL-fit-3-offset</v>
      </c>
      <c r="B145">
        <v>750</v>
      </c>
      <c r="C145">
        <f t="shared" si="8"/>
        <v>8.0537892000481889E-22</v>
      </c>
      <c r="D145">
        <v>1150</v>
      </c>
      <c r="E145">
        <v>1024</v>
      </c>
      <c r="F145">
        <f t="shared" si="9"/>
        <v>1.123046875</v>
      </c>
      <c r="I145" s="2">
        <f>('L-Values'!E145*'D(Ti_Cherniak) Times'!$F145*0.000001)^2/(4*'D(Ti_Cherniak) Times'!$C145)/(365.35*24*3600)</f>
        <v>523.9977055595208</v>
      </c>
      <c r="J145" s="2">
        <f>('L-Values'!F145*'D(Ti_Cherniak) Times'!$F145*0.000001)^2/(4*'D(Ti_Cherniak) Times'!$C145)/(365.35*24*3600)</f>
        <v>328.3871768228326</v>
      </c>
      <c r="K145" s="2">
        <f>('L-Values'!G145*'D(Ti_Cherniak) Times'!$F145*0.000001)^2/(4*'D(Ti_Cherniak) Times'!$C145)/(365.35*24*3600)</f>
        <v>668.19402130629237</v>
      </c>
      <c r="L145" s="2">
        <f>('L-Values'!H145*'D(Ti_Cherniak) Times'!$F145*0.000001)^2/(4*'D(Ti_Cherniak) Times'!$C145)/(365.35*24*3600)</f>
        <v>522.06320123032162</v>
      </c>
      <c r="M145" s="2">
        <f>('L-Values'!I145*'D(Ti_Cherniak) Times'!$F145*0.000001)^2/(4*'D(Ti_Cherniak) Times'!$C145)/(365.35*24*3600)</f>
        <v>549.6970520616502</v>
      </c>
      <c r="N145" s="2">
        <f>('L-Values'!J145*'D(Ti_Cherniak) Times'!$F145*0.000001)^2/(4*'D(Ti_Cherniak) Times'!$C145)/(365.35*24*3600)</f>
        <v>780.71622858523835</v>
      </c>
      <c r="O145" s="2">
        <f>('L-Values'!K145*'D(Ti_Cherniak) Times'!$F145*0.000001)^2/(4*'D(Ti_Cherniak) Times'!$C145)/(365.35*24*3600)</f>
        <v>684.73209790496605</v>
      </c>
      <c r="P145" s="2">
        <f>('L-Values'!L145*'D(Ti_Cherniak) Times'!$F145*0.000001)^2/(4*'D(Ti_Cherniak) Times'!$C145)/(365.35*24*3600)</f>
        <v>1112.4064998568074</v>
      </c>
      <c r="Q145" s="2">
        <f>('L-Values'!M145*'D(Ti_Cherniak) Times'!$F145*0.000001)^2/(4*'D(Ti_Cherniak) Times'!$C145)/(365.35*24*3600)</f>
        <v>902.88066492907888</v>
      </c>
      <c r="R145" s="2">
        <f>('L-Values'!N145*'D(Ti_Cherniak) Times'!$F145*0.000001)^2/(4*'D(Ti_Cherniak) Times'!$C145)/(365.35*24*3600)</f>
        <v>1142.5578372688451</v>
      </c>
      <c r="S145" s="2">
        <f>('L-Values'!O145*'D(Ti_Cherniak) Times'!$F145*0.000001)^2/(4*'D(Ti_Cherniak) Times'!$C145)/(365.35*24*3600)</f>
        <v>857.91877048203366</v>
      </c>
      <c r="T145" s="2"/>
      <c r="U145" s="2">
        <f>('L-Values'!Q145*'D(Ti_Cherniak) Times'!$F145*0.000001)^2/(4*'D(Ti_Cherniak) Times'!$C145)/(365.35*24*3600)</f>
        <v>651.06628134996913</v>
      </c>
      <c r="V145" s="2">
        <f>('L-Values'!R145*'D(Ti_Cherniak) Times'!$F145*0.000001)^2/(4*'D(Ti_Cherniak) Times'!$C145)/(365.35*24*3600)</f>
        <v>713.16981250344293</v>
      </c>
      <c r="W145" s="2">
        <f>('L-Values'!S145*'D(Ti_Cherniak) Times'!$F145*0.000001)^2/(4*'D(Ti_Cherniak) Times'!$C145)/(365.35*24*3600)</f>
        <v>684.73209790496605</v>
      </c>
      <c r="X145" s="2"/>
      <c r="Y145" s="2">
        <f>('L-Values'!U145*'D(Ti_Cherniak) Times'!$F145*0.000001)^2/(4*'D(Ti_Cherniak) Times'!$C145)/(365.35*24*3600)</f>
        <v>704.27587827257355</v>
      </c>
      <c r="Z145" s="2">
        <f>('L-Values'!V145*'D(Ti_Cherniak) Times'!$F145*0.000001)^2/(4*'D(Ti_Cherniak) Times'!$C145)/(365.35*24*3600)</f>
        <v>911.66494333925709</v>
      </c>
      <c r="AA145" s="2">
        <f>('L-Values'!W145*'D(Ti_Cherniak) Times'!$F145*0.000001)^2/(4*'D(Ti_Cherniak) Times'!$C145)/(365.35*24*3600)</f>
        <v>201.40320421340317</v>
      </c>
      <c r="AB145" s="2">
        <f>('L-Values'!X145*'D(Ti_Cherniak) Times'!$F145*0.000001)^2/(4*'D(Ti_Cherniak) Times'!$C145)/(365.35*24*3600)</f>
        <v>2213.1687713408346</v>
      </c>
      <c r="AC145" s="2">
        <f t="shared" si="10"/>
        <v>710.26173912585386</v>
      </c>
      <c r="AD145" s="2">
        <f t="shared" si="11"/>
        <v>1301.5038280015774</v>
      </c>
    </row>
    <row r="146" spans="1:30" x14ac:dyDescent="0.2">
      <c r="A146" t="str">
        <f>'L-Values'!A146</f>
        <v>CGI009-qtz01-CL-fit-4-offset</v>
      </c>
      <c r="B146">
        <v>750</v>
      </c>
      <c r="C146">
        <f t="shared" si="8"/>
        <v>8.0537892000481889E-22</v>
      </c>
      <c r="D146">
        <v>1150</v>
      </c>
      <c r="E146">
        <v>1024</v>
      </c>
      <c r="F146">
        <f t="shared" si="9"/>
        <v>1.123046875</v>
      </c>
      <c r="I146" s="2">
        <f>('L-Values'!E146*'D(Ti_Cherniak) Times'!$F146*0.000001)^2/(4*'D(Ti_Cherniak) Times'!$C146)/(365.35*24*3600)</f>
        <v>137.27550924527543</v>
      </c>
      <c r="J146" s="2">
        <f>('L-Values'!F146*'D(Ti_Cherniak) Times'!$F146*0.000001)^2/(4*'D(Ti_Cherniak) Times'!$C146)/(365.35*24*3600)</f>
        <v>76.512915272890993</v>
      </c>
      <c r="K146" s="2">
        <f>('L-Values'!G146*'D(Ti_Cherniak) Times'!$F146*0.000001)^2/(4*'D(Ti_Cherniak) Times'!$C146)/(365.35*24*3600)</f>
        <v>104.03106604221958</v>
      </c>
      <c r="L146" s="2">
        <f>('L-Values'!H146*'D(Ti_Cherniak) Times'!$F146*0.000001)^2/(4*'D(Ti_Cherniak) Times'!$C146)/(365.35*24*3600)</f>
        <v>217.41017000513648</v>
      </c>
      <c r="M146" s="2">
        <f>('L-Values'!I146*'D(Ti_Cherniak) Times'!$F146*0.000001)^2/(4*'D(Ti_Cherniak) Times'!$C146)/(365.35*24*3600)</f>
        <v>203.65349844595417</v>
      </c>
      <c r="N146" s="2">
        <f>('L-Values'!J146*'D(Ti_Cherniak) Times'!$F146*0.000001)^2/(4*'D(Ti_Cherniak) Times'!$C146)/(365.35*24*3600)</f>
        <v>149.2212934437373</v>
      </c>
      <c r="O146" s="2">
        <f>('L-Values'!K146*'D(Ti_Cherniak) Times'!$F146*0.000001)^2/(4*'D(Ti_Cherniak) Times'!$C146)/(365.35*24*3600)</f>
        <v>153.15470295921872</v>
      </c>
      <c r="P146" s="2">
        <f>('L-Values'!L146*'D(Ti_Cherniak) Times'!$F146*0.000001)^2/(4*'D(Ti_Cherniak) Times'!$C146)/(365.35*24*3600)</f>
        <v>75.503605314154896</v>
      </c>
      <c r="Q146" s="2">
        <f>('L-Values'!M146*'D(Ti_Cherniak) Times'!$F146*0.000001)^2/(4*'D(Ti_Cherniak) Times'!$C146)/(365.35*24*3600)</f>
        <v>108.05465400884096</v>
      </c>
      <c r="R146" s="2">
        <f>('L-Values'!N146*'D(Ti_Cherniak) Times'!$F146*0.000001)^2/(4*'D(Ti_Cherniak) Times'!$C146)/(365.35*24*3600)</f>
        <v>115.15907654130076</v>
      </c>
      <c r="S146" s="2">
        <f>('L-Values'!O146*'D(Ti_Cherniak) Times'!$F146*0.000001)^2/(4*'D(Ti_Cherniak) Times'!$C146)/(365.35*24*3600)</f>
        <v>92.311953171101052</v>
      </c>
      <c r="T146" s="2"/>
      <c r="U146" s="2">
        <f>('L-Values'!Q146*'D(Ti_Cherniak) Times'!$F146*0.000001)^2/(4*'D(Ti_Cherniak) Times'!$C146)/(365.35*24*3600)</f>
        <v>128.67343258560615</v>
      </c>
      <c r="V146" s="2">
        <f>('L-Values'!R146*'D(Ti_Cherniak) Times'!$F146*0.000001)^2/(4*'D(Ti_Cherniak) Times'!$C146)/(365.35*24*3600)</f>
        <v>126.44650802449101</v>
      </c>
      <c r="W146" s="2">
        <f>('L-Values'!S146*'D(Ti_Cherniak) Times'!$F146*0.000001)^2/(4*'D(Ti_Cherniak) Times'!$C146)/(365.35*24*3600)</f>
        <v>115.15907654130076</v>
      </c>
      <c r="X146" s="2"/>
      <c r="Y146" s="2">
        <f>('L-Values'!U146*'D(Ti_Cherniak) Times'!$F146*0.000001)^2/(4*'D(Ti_Cherniak) Times'!$C146)/(365.35*24*3600)</f>
        <v>127.80248248238215</v>
      </c>
      <c r="Z146" s="2">
        <f>('L-Values'!V146*'D(Ti_Cherniak) Times'!$F146*0.000001)^2/(4*'D(Ti_Cherniak) Times'!$C146)/(365.35*24*3600)</f>
        <v>128.72550175368696</v>
      </c>
      <c r="AA146" s="2">
        <f>('L-Values'!W146*'D(Ti_Cherniak) Times'!$F146*0.000001)^2/(4*'D(Ti_Cherniak) Times'!$C146)/(365.35*24*3600)</f>
        <v>54.738584078495322</v>
      </c>
      <c r="AB146" s="2">
        <f>('L-Values'!X146*'D(Ti_Cherniak) Times'!$F146*0.000001)^2/(4*'D(Ti_Cherniak) Times'!$C146)/(365.35*24*3600)</f>
        <v>238.1133904200093</v>
      </c>
      <c r="AC146" s="2">
        <f t="shared" si="10"/>
        <v>73.986917675191634</v>
      </c>
      <c r="AD146" s="2">
        <f t="shared" si="11"/>
        <v>109.38788866632234</v>
      </c>
    </row>
    <row r="147" spans="1:30" x14ac:dyDescent="0.2">
      <c r="A147" t="str">
        <f>'L-Values'!A147</f>
        <v>CGI009-qtz01-CL-fit-5-offset</v>
      </c>
      <c r="B147">
        <v>750</v>
      </c>
      <c r="C147">
        <f t="shared" si="8"/>
        <v>8.0537892000481889E-22</v>
      </c>
      <c r="D147">
        <v>1150</v>
      </c>
      <c r="E147">
        <v>1024</v>
      </c>
      <c r="F147">
        <f t="shared" si="9"/>
        <v>1.123046875</v>
      </c>
      <c r="I147" s="2">
        <f>('L-Values'!E147*'D(Ti_Cherniak) Times'!$F147*0.000001)^2/(4*'D(Ti_Cherniak) Times'!$C147)/(365.35*24*3600)</f>
        <v>447.12188415468768</v>
      </c>
      <c r="J147" s="2">
        <f>('L-Values'!F147*'D(Ti_Cherniak) Times'!$F147*0.000001)^2/(4*'D(Ti_Cherniak) Times'!$C147)/(365.35*24*3600)</f>
        <v>405.91242835692179</v>
      </c>
      <c r="K147" s="2">
        <f>('L-Values'!G147*'D(Ti_Cherniak) Times'!$F147*0.000001)^2/(4*'D(Ti_Cherniak) Times'!$C147)/(365.35*24*3600)</f>
        <v>476.2795395227605</v>
      </c>
      <c r="L147" s="2">
        <f>('L-Values'!H147*'D(Ti_Cherniak) Times'!$F147*0.000001)^2/(4*'D(Ti_Cherniak) Times'!$C147)/(365.35*24*3600)</f>
        <v>524.41500576438023</v>
      </c>
      <c r="M147" s="2">
        <f>('L-Values'!I147*'D(Ti_Cherniak) Times'!$F147*0.000001)^2/(4*'D(Ti_Cherniak) Times'!$C147)/(365.35*24*3600)</f>
        <v>433.02558114447572</v>
      </c>
      <c r="N147" s="2">
        <f>('L-Values'!J147*'D(Ti_Cherniak) Times'!$F147*0.000001)^2/(4*'D(Ti_Cherniak) Times'!$C147)/(365.35*24*3600)</f>
        <v>537.62302416474631</v>
      </c>
      <c r="O147" s="2">
        <f>('L-Values'!K147*'D(Ti_Cherniak) Times'!$F147*0.000001)^2/(4*'D(Ti_Cherniak) Times'!$C147)/(365.35*24*3600)</f>
        <v>437.04314205138729</v>
      </c>
      <c r="P147" s="2">
        <f>('L-Values'!L147*'D(Ti_Cherniak) Times'!$F147*0.000001)^2/(4*'D(Ti_Cherniak) Times'!$C147)/(365.35*24*3600)</f>
        <v>498.42404133189945</v>
      </c>
      <c r="Q147" s="2">
        <f>('L-Values'!M147*'D(Ti_Cherniak) Times'!$F147*0.000001)^2/(4*'D(Ti_Cherniak) Times'!$C147)/(365.35*24*3600)</f>
        <v>590.58849718408328</v>
      </c>
      <c r="R147" s="2">
        <f>('L-Values'!N147*'D(Ti_Cherniak) Times'!$F147*0.000001)^2/(4*'D(Ti_Cherniak) Times'!$C147)/(365.35*24*3600)</f>
        <v>468.10885128688318</v>
      </c>
      <c r="S147" s="2">
        <f>('L-Values'!O147*'D(Ti_Cherniak) Times'!$F147*0.000001)^2/(4*'D(Ti_Cherniak) Times'!$C147)/(365.35*24*3600)</f>
        <v>480.7128318611334</v>
      </c>
      <c r="T147" s="2"/>
      <c r="U147" s="2">
        <f>('L-Values'!Q147*'D(Ti_Cherniak) Times'!$F147*0.000001)^2/(4*'D(Ti_Cherniak) Times'!$C147)/(365.35*24*3600)</f>
        <v>475.80512177566044</v>
      </c>
      <c r="V147" s="2">
        <f>('L-Values'!R147*'D(Ti_Cherniak) Times'!$F147*0.000001)^2/(4*'D(Ti_Cherniak) Times'!$C147)/(365.35*24*3600)</f>
        <v>480.43233396235843</v>
      </c>
      <c r="W147" s="2">
        <f>('L-Values'!S147*'D(Ti_Cherniak) Times'!$F147*0.000001)^2/(4*'D(Ti_Cherniak) Times'!$C147)/(365.35*24*3600)</f>
        <v>476.2795395227605</v>
      </c>
      <c r="X147" s="2"/>
      <c r="Y147" s="2">
        <f>('L-Values'!U147*'D(Ti_Cherniak) Times'!$F147*0.000001)^2/(4*'D(Ti_Cherniak) Times'!$C147)/(365.35*24*3600)</f>
        <v>469.38889972823364</v>
      </c>
      <c r="Z147" s="2">
        <f>('L-Values'!V147*'D(Ti_Cherniak) Times'!$F147*0.000001)^2/(4*'D(Ti_Cherniak) Times'!$C147)/(365.35*24*3600)</f>
        <v>479.05248297501373</v>
      </c>
      <c r="AA147" s="2">
        <f>('L-Values'!W147*'D(Ti_Cherniak) Times'!$F147*0.000001)^2/(4*'D(Ti_Cherniak) Times'!$C147)/(365.35*24*3600)</f>
        <v>341.11146874866904</v>
      </c>
      <c r="AB147" s="2">
        <f>('L-Values'!X147*'D(Ti_Cherniak) Times'!$F147*0.000001)^2/(4*'D(Ti_Cherniak) Times'!$C147)/(365.35*24*3600)</f>
        <v>674.61422521184181</v>
      </c>
      <c r="AC147" s="2">
        <f t="shared" si="10"/>
        <v>137.94101422634469</v>
      </c>
      <c r="AD147" s="2">
        <f t="shared" si="11"/>
        <v>195.56174223682808</v>
      </c>
    </row>
    <row r="148" spans="1:30" x14ac:dyDescent="0.2">
      <c r="A148" t="str">
        <f>'L-Values'!A148</f>
        <v>CGI009-qtz02-CL-fit-1-offset</v>
      </c>
      <c r="B148">
        <v>750</v>
      </c>
      <c r="C148">
        <f t="shared" si="8"/>
        <v>8.0537892000481889E-22</v>
      </c>
      <c r="D148">
        <v>1750</v>
      </c>
      <c r="E148">
        <v>1024</v>
      </c>
      <c r="F148">
        <f t="shared" si="9"/>
        <v>1.708984375</v>
      </c>
      <c r="I148" s="2">
        <f>('L-Values'!E148*'D(Ti_Cherniak) Times'!$F148*0.000001)^2/(4*'D(Ti_Cherniak) Times'!$C148)/(365.35*24*3600)</f>
        <v>4170.3639373474334</v>
      </c>
      <c r="J148" s="2">
        <f>('L-Values'!F148*'D(Ti_Cherniak) Times'!$F148*0.000001)^2/(4*'D(Ti_Cherniak) Times'!$C148)/(365.35*24*3600)</f>
        <v>6595.6598184312643</v>
      </c>
      <c r="K148" s="2">
        <f>('L-Values'!G148*'D(Ti_Cherniak) Times'!$F148*0.000001)^2/(4*'D(Ti_Cherniak) Times'!$C148)/(365.35*24*3600)</f>
        <v>5592.0402610289702</v>
      </c>
      <c r="L148" s="2">
        <f>('L-Values'!H148*'D(Ti_Cherniak) Times'!$F148*0.000001)^2/(4*'D(Ti_Cherniak) Times'!$C148)/(365.35*24*3600)</f>
        <v>10284.275700706012</v>
      </c>
      <c r="M148" s="2">
        <f>('L-Values'!I148*'D(Ti_Cherniak) Times'!$F148*0.000001)^2/(4*'D(Ti_Cherniak) Times'!$C148)/(365.35*24*3600)</f>
        <v>7592.2160894521312</v>
      </c>
      <c r="N148" s="2">
        <f>('L-Values'!J148*'D(Ti_Cherniak) Times'!$F148*0.000001)^2/(4*'D(Ti_Cherniak) Times'!$C148)/(365.35*24*3600)</f>
        <v>4720.4707972154902</v>
      </c>
      <c r="O148" s="2">
        <f>('L-Values'!K148*'D(Ti_Cherniak) Times'!$F148*0.000001)^2/(4*'D(Ti_Cherniak) Times'!$C148)/(365.35*24*3600)</f>
        <v>1325.7092260085292</v>
      </c>
      <c r="P148" s="2">
        <f>('L-Values'!L148*'D(Ti_Cherniak) Times'!$F148*0.000001)^2/(4*'D(Ti_Cherniak) Times'!$C148)/(365.35*24*3600)</f>
        <v>1900.4059296342357</v>
      </c>
      <c r="Q148" s="2">
        <f>('L-Values'!M148*'D(Ti_Cherniak) Times'!$F148*0.000001)^2/(4*'D(Ti_Cherniak) Times'!$C148)/(365.35*24*3600)</f>
        <v>1263.8568961536255</v>
      </c>
      <c r="R148" s="2">
        <f>('L-Values'!N148*'D(Ti_Cherniak) Times'!$F148*0.000001)^2/(4*'D(Ti_Cherniak) Times'!$C148)/(365.35*24*3600)</f>
        <v>2189.5782317636235</v>
      </c>
      <c r="S148" s="2">
        <f>('L-Values'!O148*'D(Ti_Cherniak) Times'!$F148*0.000001)^2/(4*'D(Ti_Cherniak) Times'!$C148)/(365.35*24*3600)</f>
        <v>1573.6080088844562</v>
      </c>
      <c r="T148" s="2"/>
      <c r="U148" s="2">
        <f>('L-Values'!Q148*'D(Ti_Cherniak) Times'!$F148*0.000001)^2/(4*'D(Ti_Cherniak) Times'!$C148)/(365.35*24*3600)</f>
        <v>3340.2152205346756</v>
      </c>
      <c r="V148" s="2">
        <f>('L-Values'!R148*'D(Ti_Cherniak) Times'!$F148*0.000001)^2/(4*'D(Ti_Cherniak) Times'!$C148)/(365.35*24*3600)</f>
        <v>3819.6754291724606</v>
      </c>
      <c r="W148" s="2">
        <f>('L-Values'!S148*'D(Ti_Cherniak) Times'!$F148*0.000001)^2/(4*'D(Ti_Cherniak) Times'!$C148)/(365.35*24*3600)</f>
        <v>4170.3639373474334</v>
      </c>
      <c r="X148" s="2"/>
      <c r="Y148" s="2">
        <f>('L-Values'!U148*'D(Ti_Cherniak) Times'!$F148*0.000001)^2/(4*'D(Ti_Cherniak) Times'!$C148)/(365.35*24*3600)</f>
        <v>3506.2801392207948</v>
      </c>
      <c r="Z148" s="2">
        <f>('L-Values'!V148*'D(Ti_Cherniak) Times'!$F148*0.000001)^2/(4*'D(Ti_Cherniak) Times'!$C148)/(365.35*24*3600)</f>
        <v>3754.3082971000108</v>
      </c>
      <c r="AA148" s="2">
        <f>('L-Values'!W148*'D(Ti_Cherniak) Times'!$F148*0.000001)^2/(4*'D(Ti_Cherniak) Times'!$C148)/(365.35*24*3600)</f>
        <v>1278.5270637981291</v>
      </c>
      <c r="AB148" s="2">
        <f>('L-Values'!X148*'D(Ti_Cherniak) Times'!$F148*0.000001)^2/(4*'D(Ti_Cherniak) Times'!$C148)/(365.35*24*3600)</f>
        <v>8784.2627031041902</v>
      </c>
      <c r="AC148" s="2">
        <f t="shared" si="10"/>
        <v>2475.7812333018819</v>
      </c>
      <c r="AD148" s="2">
        <f t="shared" si="11"/>
        <v>5029.954406004179</v>
      </c>
    </row>
    <row r="149" spans="1:30" x14ac:dyDescent="0.2">
      <c r="A149" t="str">
        <f>'L-Values'!A149</f>
        <v>CGI009-qtz02-CL-fit-2-offset</v>
      </c>
      <c r="B149">
        <v>750</v>
      </c>
      <c r="C149">
        <f t="shared" si="8"/>
        <v>8.0537892000481889E-22</v>
      </c>
      <c r="D149">
        <v>1750</v>
      </c>
      <c r="E149">
        <v>1024</v>
      </c>
      <c r="F149">
        <f t="shared" si="9"/>
        <v>1.708984375</v>
      </c>
      <c r="I149" s="2">
        <f>('L-Values'!E149*'D(Ti_Cherniak) Times'!$F149*0.000001)^2/(4*'D(Ti_Cherniak) Times'!$C149)/(365.35*24*3600)</f>
        <v>235.38254953435825</v>
      </c>
      <c r="J149" s="2">
        <f>('L-Values'!F149*'D(Ti_Cherniak) Times'!$F149*0.000001)^2/(4*'D(Ti_Cherniak) Times'!$C149)/(365.35*24*3600)</f>
        <v>515.06868457447763</v>
      </c>
      <c r="K149" s="2">
        <f>('L-Values'!G149*'D(Ti_Cherniak) Times'!$F149*0.000001)^2/(4*'D(Ti_Cherniak) Times'!$C149)/(365.35*24*3600)</f>
        <v>106.79527225749329</v>
      </c>
      <c r="L149" s="2">
        <f>('L-Values'!H149*'D(Ti_Cherniak) Times'!$F149*0.000001)^2/(4*'D(Ti_Cherniak) Times'!$C149)/(365.35*24*3600)</f>
        <v>357.13162658739321</v>
      </c>
      <c r="M149" s="2">
        <f>('L-Values'!I149*'D(Ti_Cherniak) Times'!$F149*0.000001)^2/(4*'D(Ti_Cherniak) Times'!$C149)/(365.35*24*3600)</f>
        <v>656.75951315281316</v>
      </c>
      <c r="N149" s="2">
        <f>('L-Values'!J149*'D(Ti_Cherniak) Times'!$F149*0.000001)^2/(4*'D(Ti_Cherniak) Times'!$C149)/(365.35*24*3600)</f>
        <v>491.05382655112749</v>
      </c>
      <c r="O149" s="2">
        <f>('L-Values'!K149*'D(Ti_Cherniak) Times'!$F149*0.000001)^2/(4*'D(Ti_Cherniak) Times'!$C149)/(365.35*24*3600)</f>
        <v>676.67899575053639</v>
      </c>
      <c r="P149" s="2">
        <f>('L-Values'!L149*'D(Ti_Cherniak) Times'!$F149*0.000001)^2/(4*'D(Ti_Cherniak) Times'!$C149)/(365.35*24*3600)</f>
        <v>277.90856676109269</v>
      </c>
      <c r="Q149" s="2">
        <f>('L-Values'!M149*'D(Ti_Cherniak) Times'!$F149*0.000001)^2/(4*'D(Ti_Cherniak) Times'!$C149)/(365.35*24*3600)</f>
        <v>511.42894353465209</v>
      </c>
      <c r="R149" s="2">
        <f>('L-Values'!N149*'D(Ti_Cherniak) Times'!$F149*0.000001)^2/(4*'D(Ti_Cherniak) Times'!$C149)/(365.35*24*3600)</f>
        <v>288.79523958208705</v>
      </c>
      <c r="S149" s="2">
        <f>('L-Values'!O149*'D(Ti_Cherniak) Times'!$F149*0.000001)^2/(4*'D(Ti_Cherniak) Times'!$C149)/(365.35*24*3600)</f>
        <v>363.6364711710325</v>
      </c>
      <c r="T149" s="2"/>
      <c r="U149" s="2">
        <f>('L-Values'!Q149*'D(Ti_Cherniak) Times'!$F149*0.000001)^2/(4*'D(Ti_Cherniak) Times'!$C149)/(365.35*24*3600)</f>
        <v>369.74132137861437</v>
      </c>
      <c r="V149" s="2">
        <f>('L-Values'!R149*'D(Ti_Cherniak) Times'!$F149*0.000001)^2/(4*'D(Ti_Cherniak) Times'!$C149)/(365.35*24*3600)</f>
        <v>387.08107539131129</v>
      </c>
      <c r="W149" s="2">
        <f>('L-Values'!S149*'D(Ti_Cherniak) Times'!$F149*0.000001)^2/(4*'D(Ti_Cherniak) Times'!$C149)/(365.35*24*3600)</f>
        <v>363.6364711710325</v>
      </c>
      <c r="X149" s="2"/>
      <c r="Y149" s="2">
        <f>('L-Values'!U149*'D(Ti_Cherniak) Times'!$F149*0.000001)^2/(4*'D(Ti_Cherniak) Times'!$C149)/(365.35*24*3600)</f>
        <v>354.8986467851168</v>
      </c>
      <c r="Z149" s="2">
        <f>('L-Values'!V149*'D(Ti_Cherniak) Times'!$F149*0.000001)^2/(4*'D(Ti_Cherniak) Times'!$C149)/(365.35*24*3600)</f>
        <v>379.6193964085378</v>
      </c>
      <c r="AA149" s="2">
        <f>('L-Values'!W149*'D(Ti_Cherniak) Times'!$F149*0.000001)^2/(4*'D(Ti_Cherniak) Times'!$C149)/(365.35*24*3600)</f>
        <v>113.39731898543617</v>
      </c>
      <c r="AB149" s="2">
        <f>('L-Values'!X149*'D(Ti_Cherniak) Times'!$F149*0.000001)^2/(4*'D(Ti_Cherniak) Times'!$C149)/(365.35*24*3600)</f>
        <v>1117.983456039429</v>
      </c>
      <c r="AC149" s="2">
        <f t="shared" si="10"/>
        <v>266.22207742310161</v>
      </c>
      <c r="AD149" s="2">
        <f t="shared" si="11"/>
        <v>738.36405963089123</v>
      </c>
    </row>
    <row r="150" spans="1:30" x14ac:dyDescent="0.2">
      <c r="A150" t="str">
        <f>'L-Values'!A150</f>
        <v>CGI009-qtz02-CL-fit-3-offset</v>
      </c>
      <c r="B150">
        <v>750</v>
      </c>
      <c r="C150">
        <f t="shared" si="8"/>
        <v>8.0537892000481889E-22</v>
      </c>
      <c r="D150">
        <v>1750</v>
      </c>
      <c r="E150">
        <v>1024</v>
      </c>
      <c r="F150">
        <f t="shared" si="9"/>
        <v>1.708984375</v>
      </c>
      <c r="I150" s="2">
        <f>('L-Values'!E150*'D(Ti_Cherniak) Times'!$F150*0.000001)^2/(4*'D(Ti_Cherniak) Times'!$C150)/(365.35*24*3600)</f>
        <v>110.17396964310831</v>
      </c>
      <c r="J150" s="2">
        <f>('L-Values'!F150*'D(Ti_Cherniak) Times'!$F150*0.000001)^2/(4*'D(Ti_Cherniak) Times'!$C150)/(365.35*24*3600)</f>
        <v>116.48805057888562</v>
      </c>
      <c r="K150" s="2">
        <f>('L-Values'!G150*'D(Ti_Cherniak) Times'!$F150*0.000001)^2/(4*'D(Ti_Cherniak) Times'!$C150)/(365.35*24*3600)</f>
        <v>47.522245908058089</v>
      </c>
      <c r="L150" s="2">
        <f>('L-Values'!H150*'D(Ti_Cherniak) Times'!$F150*0.000001)^2/(4*'D(Ti_Cherniak) Times'!$C150)/(365.35*24*3600)</f>
        <v>142.560632823388</v>
      </c>
      <c r="M150" s="2">
        <f>('L-Values'!I150*'D(Ti_Cherniak) Times'!$F150*0.000001)^2/(4*'D(Ti_Cherniak) Times'!$C150)/(365.35*24*3600)</f>
        <v>158.16007158635108</v>
      </c>
      <c r="N150" s="2">
        <f>('L-Values'!J150*'D(Ti_Cherniak) Times'!$F150*0.000001)^2/(4*'D(Ti_Cherniak) Times'!$C150)/(365.35*24*3600)</f>
        <v>94.509856544588587</v>
      </c>
      <c r="O150" s="2">
        <f>('L-Values'!K150*'D(Ti_Cherniak) Times'!$F150*0.000001)^2/(4*'D(Ti_Cherniak) Times'!$C150)/(365.35*24*3600)</f>
        <v>144.49515453127231</v>
      </c>
      <c r="P150" s="2">
        <f>('L-Values'!L150*'D(Ti_Cherniak) Times'!$F150*0.000001)^2/(4*'D(Ti_Cherniak) Times'!$C150)/(365.35*24*3600)</f>
        <v>107.70582019963155</v>
      </c>
      <c r="Q150" s="2">
        <f>('L-Values'!M150*'D(Ti_Cherniak) Times'!$F150*0.000001)^2/(4*'D(Ti_Cherniak) Times'!$C150)/(365.35*24*3600)</f>
        <v>82.979639145111406</v>
      </c>
      <c r="R150" s="2">
        <f>('L-Values'!N150*'D(Ti_Cherniak) Times'!$F150*0.000001)^2/(4*'D(Ti_Cherniak) Times'!$C150)/(365.35*24*3600)</f>
        <v>61.63444738376301</v>
      </c>
      <c r="S150" s="2">
        <f>('L-Values'!O150*'D(Ti_Cherniak) Times'!$F150*0.000001)^2/(4*'D(Ti_Cherniak) Times'!$C150)/(365.35*24*3600)</f>
        <v>87.108896484126205</v>
      </c>
      <c r="T150" s="2"/>
      <c r="U150" s="2">
        <f>('L-Values'!Q150*'D(Ti_Cherniak) Times'!$F150*0.000001)^2/(4*'D(Ti_Cherniak) Times'!$C150)/(365.35*24*3600)</f>
        <v>104.29000977413023</v>
      </c>
      <c r="V150" s="2">
        <f>('L-Values'!R150*'D(Ti_Cherniak) Times'!$F150*0.000001)^2/(4*'D(Ti_Cherniak) Times'!$C150)/(365.35*24*3600)</f>
        <v>102.03330734372007</v>
      </c>
      <c r="W150" s="2">
        <f>('L-Values'!S150*'D(Ti_Cherniak) Times'!$F150*0.000001)^2/(4*'D(Ti_Cherniak) Times'!$C150)/(365.35*24*3600)</f>
        <v>107.70582019963155</v>
      </c>
      <c r="X150" s="2"/>
      <c r="Y150" s="2">
        <f>('L-Values'!U150*'D(Ti_Cherniak) Times'!$F150*0.000001)^2/(4*'D(Ti_Cherniak) Times'!$C150)/(365.35*24*3600)</f>
        <v>104.23776920573854</v>
      </c>
      <c r="Z150" s="2">
        <f>('L-Values'!V150*'D(Ti_Cherniak) Times'!$F150*0.000001)^2/(4*'D(Ti_Cherniak) Times'!$C150)/(365.35*24*3600)</f>
        <v>92.969950592184375</v>
      </c>
      <c r="AA150" s="2">
        <f>('L-Values'!W150*'D(Ti_Cherniak) Times'!$F150*0.000001)^2/(4*'D(Ti_Cherniak) Times'!$C150)/(365.35*24*3600)</f>
        <v>1.5206546807397203</v>
      </c>
      <c r="AB150" s="2">
        <f>('L-Values'!X150*'D(Ti_Cherniak) Times'!$F150*0.000001)^2/(4*'D(Ti_Cherniak) Times'!$C150)/(365.35*24*3600)</f>
        <v>230.36842158000653</v>
      </c>
      <c r="AC150" s="2">
        <f t="shared" si="10"/>
        <v>91.449295911444651</v>
      </c>
      <c r="AD150" s="2">
        <f t="shared" si="11"/>
        <v>137.39847098782215</v>
      </c>
    </row>
    <row r="151" spans="1:30" x14ac:dyDescent="0.2">
      <c r="A151" t="str">
        <f>'L-Values'!A151</f>
        <v>CGI009-qtz03-CL-fit-1-offset</v>
      </c>
      <c r="B151">
        <v>750</v>
      </c>
      <c r="C151">
        <f t="shared" si="8"/>
        <v>8.0537892000481889E-22</v>
      </c>
      <c r="D151">
        <v>1750</v>
      </c>
      <c r="E151">
        <v>1024</v>
      </c>
      <c r="F151">
        <f t="shared" si="9"/>
        <v>1.708984375</v>
      </c>
      <c r="I151" s="2">
        <f>('L-Values'!E151*'D(Ti_Cherniak) Times'!$F151*0.000001)^2/(4*'D(Ti_Cherniak) Times'!$C151)/(365.35*24*3600)</f>
        <v>556.76679810110534</v>
      </c>
      <c r="J151" s="2">
        <f>('L-Values'!F151*'D(Ti_Cherniak) Times'!$F151*0.000001)^2/(4*'D(Ti_Cherniak) Times'!$C151)/(365.35*24*3600)</f>
        <v>380.49915227460536</v>
      </c>
      <c r="K151" s="2">
        <f>('L-Values'!G151*'D(Ti_Cherniak) Times'!$F151*0.000001)^2/(4*'D(Ti_Cherniak) Times'!$C151)/(365.35*24*3600)</f>
        <v>478.00379975488477</v>
      </c>
      <c r="L151" s="2">
        <f>('L-Values'!H151*'D(Ti_Cherniak) Times'!$F151*0.000001)^2/(4*'D(Ti_Cherniak) Times'!$C151)/(365.35*24*3600)</f>
        <v>368.50620957327101</v>
      </c>
      <c r="M151" s="2">
        <f>('L-Values'!I151*'D(Ti_Cherniak) Times'!$F151*0.000001)^2/(4*'D(Ti_Cherniak) Times'!$C151)/(365.35*24*3600)</f>
        <v>251.25167329448976</v>
      </c>
      <c r="N151" s="2">
        <f>('L-Values'!J151*'D(Ti_Cherniak) Times'!$F151*0.000001)^2/(4*'D(Ti_Cherniak) Times'!$C151)/(365.35*24*3600)</f>
        <v>682.54661703180273</v>
      </c>
      <c r="O151" s="2">
        <f>('L-Values'!K151*'D(Ti_Cherniak) Times'!$F151*0.000001)^2/(4*'D(Ti_Cherniak) Times'!$C151)/(365.35*24*3600)</f>
        <v>353.3603528733301</v>
      </c>
      <c r="P151" s="2">
        <f>('L-Values'!L151*'D(Ti_Cherniak) Times'!$F151*0.000001)^2/(4*'D(Ti_Cherniak) Times'!$C151)/(365.35*24*3600)</f>
        <v>413.3880856367565</v>
      </c>
      <c r="Q151" s="2">
        <f>('L-Values'!M151*'D(Ti_Cherniak) Times'!$F151*0.000001)^2/(4*'D(Ti_Cherniak) Times'!$C151)/(365.35*24*3600)</f>
        <v>464.43653188672278</v>
      </c>
      <c r="R151" s="2">
        <f>('L-Values'!N151*'D(Ti_Cherniak) Times'!$F151*0.000001)^2/(4*'D(Ti_Cherniak) Times'!$C151)/(365.35*24*3600)</f>
        <v>293.95744024276746</v>
      </c>
      <c r="S151" s="2">
        <f>('L-Values'!O151*'D(Ti_Cherniak) Times'!$F151*0.000001)^2/(4*'D(Ti_Cherniak) Times'!$C151)/(365.35*24*3600)</f>
        <v>327.82855880825514</v>
      </c>
      <c r="T151" s="2"/>
      <c r="U151" s="2">
        <f>('L-Values'!Q151*'D(Ti_Cherniak) Times'!$F151*0.000001)^2/(4*'D(Ti_Cherniak) Times'!$C151)/(365.35*24*3600)</f>
        <v>398.04456201184269</v>
      </c>
      <c r="V151" s="2">
        <f>('L-Values'!R151*'D(Ti_Cherniak) Times'!$F151*0.000001)^2/(4*'D(Ti_Cherniak) Times'!$C151)/(365.35*24*3600)</f>
        <v>407.56438481211472</v>
      </c>
      <c r="W151" s="2">
        <f>('L-Values'!S151*'D(Ti_Cherniak) Times'!$F151*0.000001)^2/(4*'D(Ti_Cherniak) Times'!$C151)/(365.35*24*3600)</f>
        <v>380.49915227460536</v>
      </c>
      <c r="X151" s="2"/>
      <c r="Y151" s="2">
        <f>('L-Values'!U151*'D(Ti_Cherniak) Times'!$F151*0.000001)^2/(4*'D(Ti_Cherniak) Times'!$C151)/(365.35*24*3600)</f>
        <v>398.15918710880197</v>
      </c>
      <c r="Z151" s="2">
        <f>('L-Values'!V151*'D(Ti_Cherniak) Times'!$F151*0.000001)^2/(4*'D(Ti_Cherniak) Times'!$C151)/(365.35*24*3600)</f>
        <v>398.7317645146141</v>
      </c>
      <c r="AA151" s="2">
        <f>('L-Values'!W151*'D(Ti_Cherniak) Times'!$F151*0.000001)^2/(4*'D(Ti_Cherniak) Times'!$C151)/(365.35*24*3600)</f>
        <v>208.69724633882123</v>
      </c>
      <c r="AB151" s="2">
        <f>('L-Values'!X151*'D(Ti_Cherniak) Times'!$F151*0.000001)^2/(4*'D(Ti_Cherniak) Times'!$C151)/(365.35*24*3600)</f>
        <v>619.287218239607</v>
      </c>
      <c r="AC151" s="2">
        <f t="shared" si="10"/>
        <v>190.03451817579287</v>
      </c>
      <c r="AD151" s="2">
        <f t="shared" si="11"/>
        <v>220.5554537249929</v>
      </c>
    </row>
    <row r="152" spans="1:30" x14ac:dyDescent="0.2">
      <c r="A152" t="str">
        <f>'L-Values'!A152</f>
        <v>CGI009-qtz03-CL-fit-2-offset</v>
      </c>
      <c r="B152">
        <v>750</v>
      </c>
      <c r="C152">
        <f t="shared" si="8"/>
        <v>8.0537892000481889E-22</v>
      </c>
      <c r="D152">
        <v>1750</v>
      </c>
      <c r="E152">
        <v>1024</v>
      </c>
      <c r="F152">
        <f t="shared" si="9"/>
        <v>1.708984375</v>
      </c>
      <c r="I152" s="2">
        <f>('L-Values'!E152*'D(Ti_Cherniak) Times'!$F152*0.000001)^2/(4*'D(Ti_Cherniak) Times'!$C152)/(365.35*24*3600)</f>
        <v>421.67311252371019</v>
      </c>
      <c r="J152" s="2">
        <f>('L-Values'!F152*'D(Ti_Cherniak) Times'!$F152*0.000001)^2/(4*'D(Ti_Cherniak) Times'!$C152)/(365.35*24*3600)</f>
        <v>477.82224758822764</v>
      </c>
      <c r="K152" s="2">
        <f>('L-Values'!G152*'D(Ti_Cherniak) Times'!$F152*0.000001)^2/(4*'D(Ti_Cherniak) Times'!$C152)/(365.35*24*3600)</f>
        <v>392.74763556002836</v>
      </c>
      <c r="L152" s="2">
        <f>('L-Values'!H152*'D(Ti_Cherniak) Times'!$F152*0.000001)^2/(4*'D(Ti_Cherniak) Times'!$C152)/(365.35*24*3600)</f>
        <v>217.11270614864037</v>
      </c>
      <c r="M152" s="2">
        <f>('L-Values'!I152*'D(Ti_Cherniak) Times'!$F152*0.000001)^2/(4*'D(Ti_Cherniak) Times'!$C152)/(365.35*24*3600)</f>
        <v>217.54883142681874</v>
      </c>
      <c r="N152" s="2">
        <f>('L-Values'!J152*'D(Ti_Cherniak) Times'!$F152*0.000001)^2/(4*'D(Ti_Cherniak) Times'!$C152)/(365.35*24*3600)</f>
        <v>309.26983033057235</v>
      </c>
      <c r="O152" s="2">
        <f>('L-Values'!K152*'D(Ti_Cherniak) Times'!$F152*0.000001)^2/(4*'D(Ti_Cherniak) Times'!$C152)/(365.35*24*3600)</f>
        <v>298.65446870721223</v>
      </c>
      <c r="P152" s="2">
        <f>('L-Values'!L152*'D(Ti_Cherniak) Times'!$F152*0.000001)^2/(4*'D(Ti_Cherniak) Times'!$C152)/(365.35*24*3600)</f>
        <v>323.88551417058972</v>
      </c>
      <c r="Q152" s="2">
        <f>('L-Values'!M152*'D(Ti_Cherniak) Times'!$F152*0.000001)^2/(4*'D(Ti_Cherniak) Times'!$C152)/(365.35*24*3600)</f>
        <v>345.4718462247032</v>
      </c>
      <c r="R152" s="2">
        <f>('L-Values'!N152*'D(Ti_Cherniak) Times'!$F152*0.000001)^2/(4*'D(Ti_Cherniak) Times'!$C152)/(365.35*24*3600)</f>
        <v>344.51551719739246</v>
      </c>
      <c r="S152" s="2">
        <f>('L-Values'!O152*'D(Ti_Cherniak) Times'!$F152*0.000001)^2/(4*'D(Ti_Cherniak) Times'!$C152)/(365.35*24*3600)</f>
        <v>337.84492446270724</v>
      </c>
      <c r="T152" s="2"/>
      <c r="U152" s="2">
        <f>('L-Values'!Q152*'D(Ti_Cherniak) Times'!$F152*0.000001)^2/(4*'D(Ti_Cherniak) Times'!$C152)/(365.35*24*3600)</f>
        <v>332.63880264983209</v>
      </c>
      <c r="V152" s="2">
        <f>('L-Values'!R152*'D(Ti_Cherniak) Times'!$F152*0.000001)^2/(4*'D(Ti_Cherniak) Times'!$C152)/(365.35*24*3600)</f>
        <v>330.87292810349328</v>
      </c>
      <c r="W152" s="2">
        <f>('L-Values'!S152*'D(Ti_Cherniak) Times'!$F152*0.000001)^2/(4*'D(Ti_Cherniak) Times'!$C152)/(365.35*24*3600)</f>
        <v>337.84492446270724</v>
      </c>
      <c r="X152" s="2"/>
      <c r="Y152" s="2">
        <f>('L-Values'!U152*'D(Ti_Cherniak) Times'!$F152*0.000001)^2/(4*'D(Ti_Cherniak) Times'!$C152)/(365.35*24*3600)</f>
        <v>326.03724530311655</v>
      </c>
      <c r="Z152" s="2">
        <f>('L-Values'!V152*'D(Ti_Cherniak) Times'!$F152*0.000001)^2/(4*'D(Ti_Cherniak) Times'!$C152)/(365.35*24*3600)</f>
        <v>331.08041970608514</v>
      </c>
      <c r="AA152" s="2">
        <f>('L-Values'!W152*'D(Ti_Cherniak) Times'!$F152*0.000001)^2/(4*'D(Ti_Cherniak) Times'!$C152)/(365.35*24*3600)</f>
        <v>215.86494356288725</v>
      </c>
      <c r="AB152" s="2">
        <f>('L-Values'!X152*'D(Ti_Cherniak) Times'!$F152*0.000001)^2/(4*'D(Ti_Cherniak) Times'!$C152)/(365.35*24*3600)</f>
        <v>482.01206854116043</v>
      </c>
      <c r="AC152" s="2">
        <f t="shared" si="10"/>
        <v>115.21547614319789</v>
      </c>
      <c r="AD152" s="2">
        <f t="shared" si="11"/>
        <v>150.93164883507529</v>
      </c>
    </row>
    <row r="153" spans="1:30" x14ac:dyDescent="0.2">
      <c r="A153" t="str">
        <f>'L-Values'!A153</f>
        <v>CGI009-qtz03-CL-fit-3-offset</v>
      </c>
      <c r="B153">
        <v>750</v>
      </c>
      <c r="C153">
        <f t="shared" si="8"/>
        <v>8.0537892000481889E-22</v>
      </c>
      <c r="D153">
        <v>1750</v>
      </c>
      <c r="E153">
        <v>1024</v>
      </c>
      <c r="F153">
        <f t="shared" si="9"/>
        <v>1.708984375</v>
      </c>
      <c r="I153" s="2">
        <f>('L-Values'!E153*'D(Ti_Cherniak) Times'!$F153*0.000001)^2/(4*'D(Ti_Cherniak) Times'!$C153)/(365.35*24*3600)</f>
        <v>236.16083098151981</v>
      </c>
      <c r="J153" s="2">
        <f>('L-Values'!F153*'D(Ti_Cherniak) Times'!$F153*0.000001)^2/(4*'D(Ti_Cherniak) Times'!$C153)/(365.35*24*3600)</f>
        <v>67.275705791054719</v>
      </c>
      <c r="K153" s="2">
        <f>('L-Values'!G153*'D(Ti_Cherniak) Times'!$F153*0.000001)^2/(4*'D(Ti_Cherniak) Times'!$C153)/(365.35*24*3600)</f>
        <v>99.416853612087721</v>
      </c>
      <c r="L153" s="2">
        <f>('L-Values'!H153*'D(Ti_Cherniak) Times'!$F153*0.000001)^2/(4*'D(Ti_Cherniak) Times'!$C153)/(365.35*24*3600)</f>
        <v>148.18824087816134</v>
      </c>
      <c r="M153" s="2">
        <f>('L-Values'!I153*'D(Ti_Cherniak) Times'!$F153*0.000001)^2/(4*'D(Ti_Cherniak) Times'!$C153)/(365.35*24*3600)</f>
        <v>62.496185965788115</v>
      </c>
      <c r="N153" s="2">
        <f>('L-Values'!J153*'D(Ti_Cherniak) Times'!$F153*0.000001)^2/(4*'D(Ti_Cherniak) Times'!$C153)/(365.35*24*3600)</f>
        <v>246.16441906551438</v>
      </c>
      <c r="O153" s="2">
        <f>('L-Values'!K153*'D(Ti_Cherniak) Times'!$F153*0.000001)^2/(4*'D(Ti_Cherniak) Times'!$C153)/(365.35*24*3600)</f>
        <v>199.21268750434388</v>
      </c>
      <c r="P153" s="2">
        <f>('L-Values'!L153*'D(Ti_Cherniak) Times'!$F153*0.000001)^2/(4*'D(Ti_Cherniak) Times'!$C153)/(365.35*24*3600)</f>
        <v>174.4463139474781</v>
      </c>
      <c r="Q153" s="2">
        <f>('L-Values'!M153*'D(Ti_Cherniak) Times'!$F153*0.000001)^2/(4*'D(Ti_Cherniak) Times'!$C153)/(365.35*24*3600)</f>
        <v>173.16220063363454</v>
      </c>
      <c r="R153" s="2">
        <f>('L-Values'!N153*'D(Ti_Cherniak) Times'!$F153*0.000001)^2/(4*'D(Ti_Cherniak) Times'!$C153)/(365.35*24*3600)</f>
        <v>97.389320894880512</v>
      </c>
      <c r="S153" s="2">
        <f>('L-Values'!O153*'D(Ti_Cherniak) Times'!$F153*0.000001)^2/(4*'D(Ti_Cherniak) Times'!$C153)/(365.35*24*3600)</f>
        <v>118.58822698180956</v>
      </c>
      <c r="T153" s="2"/>
      <c r="U153" s="2">
        <f>('L-Values'!Q153*'D(Ti_Cherniak) Times'!$F153*0.000001)^2/(4*'D(Ti_Cherniak) Times'!$C153)/(365.35*24*3600)</f>
        <v>133.64357225048792</v>
      </c>
      <c r="V153" s="2">
        <f>('L-Values'!R153*'D(Ti_Cherniak) Times'!$F153*0.000001)^2/(4*'D(Ti_Cherniak) Times'!$C153)/(365.35*24*3600)</f>
        <v>140.8504232071723</v>
      </c>
      <c r="W153" s="2">
        <f>('L-Values'!S153*'D(Ti_Cherniak) Times'!$F153*0.000001)^2/(4*'D(Ti_Cherniak) Times'!$C153)/(365.35*24*3600)</f>
        <v>148.18824087816134</v>
      </c>
      <c r="X153" s="2"/>
      <c r="Y153" s="2">
        <f>('L-Values'!U153*'D(Ti_Cherniak) Times'!$F153*0.000001)^2/(4*'D(Ti_Cherniak) Times'!$C153)/(365.35*24*3600)</f>
        <v>135.46034575367599</v>
      </c>
      <c r="Z153" s="2">
        <f>('L-Values'!V153*'D(Ti_Cherniak) Times'!$F153*0.000001)^2/(4*'D(Ti_Cherniak) Times'!$C153)/(365.35*24*3600)</f>
        <v>132.83029799887868</v>
      </c>
      <c r="AA153" s="2">
        <f>('L-Values'!W153*'D(Ti_Cherniak) Times'!$F153*0.000001)^2/(4*'D(Ti_Cherniak) Times'!$C153)/(365.35*24*3600)</f>
        <v>41.721253566400748</v>
      </c>
      <c r="AB153" s="2">
        <f>('L-Values'!X153*'D(Ti_Cherniak) Times'!$F153*0.000001)^2/(4*'D(Ti_Cherniak) Times'!$C153)/(365.35*24*3600)</f>
        <v>262.955990164718</v>
      </c>
      <c r="AC153" s="2">
        <f t="shared" si="10"/>
        <v>91.10904443247793</v>
      </c>
      <c r="AD153" s="2">
        <f t="shared" si="11"/>
        <v>130.12569216583933</v>
      </c>
    </row>
    <row r="154" spans="1:30" x14ac:dyDescent="0.2">
      <c r="A154" t="str">
        <f>'L-Values'!A154</f>
        <v>CGI009-qtz03-CL-fit-4-offset</v>
      </c>
      <c r="B154">
        <v>750</v>
      </c>
      <c r="C154">
        <f t="shared" si="8"/>
        <v>8.0537892000481889E-22</v>
      </c>
      <c r="D154">
        <v>1750</v>
      </c>
      <c r="E154">
        <v>1024</v>
      </c>
      <c r="F154">
        <f t="shared" si="9"/>
        <v>1.708984375</v>
      </c>
      <c r="I154" s="2">
        <f>('L-Values'!E154*'D(Ti_Cherniak) Times'!$F154*0.000001)^2/(4*'D(Ti_Cherniak) Times'!$C154)/(365.35*24*3600)</f>
        <v>136.19399079867904</v>
      </c>
      <c r="J154" s="2">
        <f>('L-Values'!F154*'D(Ti_Cherniak) Times'!$F154*0.000001)^2/(4*'D(Ti_Cherniak) Times'!$C154)/(365.35*24*3600)</f>
        <v>154.27486631906524</v>
      </c>
      <c r="K154" s="2">
        <f>('L-Values'!G154*'D(Ti_Cherniak) Times'!$F154*0.000001)^2/(4*'D(Ti_Cherniak) Times'!$C154)/(365.35*24*3600)</f>
        <v>153.66594581498074</v>
      </c>
      <c r="L154" s="2">
        <f>('L-Values'!H154*'D(Ti_Cherniak) Times'!$F154*0.000001)^2/(4*'D(Ti_Cherniak) Times'!$C154)/(365.35*24*3600)</f>
        <v>223.02553286265444</v>
      </c>
      <c r="M154" s="2">
        <f>('L-Values'!I154*'D(Ti_Cherniak) Times'!$F154*0.000001)^2/(4*'D(Ti_Cherniak) Times'!$C154)/(365.35*24*3600)</f>
        <v>127.11661246058644</v>
      </c>
      <c r="N154" s="2">
        <f>('L-Values'!J154*'D(Ti_Cherniak) Times'!$F154*0.000001)^2/(4*'D(Ti_Cherniak) Times'!$C154)/(365.35*24*3600)</f>
        <v>138.6726956083026</v>
      </c>
      <c r="O154" s="2">
        <f>('L-Values'!K154*'D(Ti_Cherniak) Times'!$F154*0.000001)^2/(4*'D(Ti_Cherniak) Times'!$C154)/(365.35*24*3600)</f>
        <v>180.97432069384024</v>
      </c>
      <c r="P154" s="2">
        <f>('L-Values'!L154*'D(Ti_Cherniak) Times'!$F154*0.000001)^2/(4*'D(Ti_Cherniak) Times'!$C154)/(365.35*24*3600)</f>
        <v>183.50637213824189</v>
      </c>
      <c r="Q154" s="2">
        <f>('L-Values'!M154*'D(Ti_Cherniak) Times'!$F154*0.000001)^2/(4*'D(Ti_Cherniak) Times'!$C154)/(365.35*24*3600)</f>
        <v>184.14044248929503</v>
      </c>
      <c r="R154" s="2">
        <f>('L-Values'!N154*'D(Ti_Cherniak) Times'!$F154*0.000001)^2/(4*'D(Ti_Cherniak) Times'!$C154)/(365.35*24*3600)</f>
        <v>151.74630313762358</v>
      </c>
      <c r="S154" s="2">
        <f>('L-Values'!O154*'D(Ti_Cherniak) Times'!$F154*0.000001)^2/(4*'D(Ti_Cherniak) Times'!$C154)/(365.35*24*3600)</f>
        <v>145.52325468569927</v>
      </c>
      <c r="T154" s="2"/>
      <c r="U154" s="2">
        <f>('L-Values'!Q154*'D(Ti_Cherniak) Times'!$F154*0.000001)^2/(4*'D(Ti_Cherniak) Times'!$C154)/(365.35*24*3600)</f>
        <v>164.85038398513944</v>
      </c>
      <c r="V154" s="2">
        <f>('L-Values'!R154*'D(Ti_Cherniak) Times'!$F154*0.000001)^2/(4*'D(Ti_Cherniak) Times'!$C154)/(365.35*24*3600)</f>
        <v>160.64995585822828</v>
      </c>
      <c r="W154" s="2">
        <f>('L-Values'!S154*'D(Ti_Cherniak) Times'!$F154*0.000001)^2/(4*'D(Ti_Cherniak) Times'!$C154)/(365.35*24*3600)</f>
        <v>153.66594581498074</v>
      </c>
      <c r="X154" s="2"/>
      <c r="Y154" s="2">
        <f>('L-Values'!U154*'D(Ti_Cherniak) Times'!$F154*0.000001)^2/(4*'D(Ti_Cherniak) Times'!$C154)/(365.35*24*3600)</f>
        <v>162.68562623675396</v>
      </c>
      <c r="Z154" s="2">
        <f>('L-Values'!V154*'D(Ti_Cherniak) Times'!$F154*0.000001)^2/(4*'D(Ti_Cherniak) Times'!$C154)/(365.35*24*3600)</f>
        <v>161.86249173243982</v>
      </c>
      <c r="AA154" s="2">
        <f>('L-Values'!W154*'D(Ti_Cherniak) Times'!$F154*0.000001)^2/(4*'D(Ti_Cherniak) Times'!$C154)/(365.35*24*3600)</f>
        <v>83.101317684128347</v>
      </c>
      <c r="AB154" s="2">
        <f>('L-Values'!X154*'D(Ti_Cherniak) Times'!$F154*0.000001)^2/(4*'D(Ti_Cherniak) Times'!$C154)/(365.35*24*3600)</f>
        <v>271.83127712794203</v>
      </c>
      <c r="AC154" s="2">
        <f t="shared" si="10"/>
        <v>78.761174048311474</v>
      </c>
      <c r="AD154" s="2">
        <f t="shared" si="11"/>
        <v>109.96878539550221</v>
      </c>
    </row>
    <row r="155" spans="1:30" x14ac:dyDescent="0.2">
      <c r="A155" t="str">
        <f>'L-Values'!A155</f>
        <v>CGI009-qtz03-CL-fit-5-offset</v>
      </c>
      <c r="B155">
        <v>750</v>
      </c>
      <c r="C155">
        <f t="shared" si="8"/>
        <v>8.0537892000481889E-22</v>
      </c>
      <c r="D155">
        <v>1750</v>
      </c>
      <c r="E155">
        <v>1024</v>
      </c>
      <c r="F155">
        <f t="shared" si="9"/>
        <v>1.708984375</v>
      </c>
      <c r="I155" s="2">
        <f>('L-Values'!E155*'D(Ti_Cherniak) Times'!$F155*0.000001)^2/(4*'D(Ti_Cherniak) Times'!$C155)/(365.35*24*3600)</f>
        <v>373.4591856343402</v>
      </c>
      <c r="J155" s="2">
        <f>('L-Values'!F155*'D(Ti_Cherniak) Times'!$F155*0.000001)^2/(4*'D(Ti_Cherniak) Times'!$C155)/(365.35*24*3600)</f>
        <v>373.20197426060014</v>
      </c>
      <c r="K155" s="2">
        <f>('L-Values'!G155*'D(Ti_Cherniak) Times'!$F155*0.000001)^2/(4*'D(Ti_Cherniak) Times'!$C155)/(365.35*24*3600)</f>
        <v>636.10993607971818</v>
      </c>
      <c r="L155" s="2">
        <f>('L-Values'!H155*'D(Ti_Cherniak) Times'!$F155*0.000001)^2/(4*'D(Ti_Cherniak) Times'!$C155)/(365.35*24*3600)</f>
        <v>188.72417722294179</v>
      </c>
      <c r="M155" s="2">
        <f>('L-Values'!I155*'D(Ti_Cherniak) Times'!$F155*0.000001)^2/(4*'D(Ti_Cherniak) Times'!$C155)/(365.35*24*3600)</f>
        <v>592.18712353247122</v>
      </c>
      <c r="N155" s="2">
        <f>('L-Values'!J155*'D(Ti_Cherniak) Times'!$F155*0.000001)^2/(4*'D(Ti_Cherniak) Times'!$C155)/(365.35*24*3600)</f>
        <v>332.99450015970751</v>
      </c>
      <c r="O155" s="2">
        <f>('L-Values'!K155*'D(Ti_Cherniak) Times'!$F155*0.000001)^2/(4*'D(Ti_Cherniak) Times'!$C155)/(365.35*24*3600)</f>
        <v>502.52762585517121</v>
      </c>
      <c r="P155" s="2">
        <f>('L-Values'!L155*'D(Ti_Cherniak) Times'!$F155*0.000001)^2/(4*'D(Ti_Cherniak) Times'!$C155)/(365.35*24*3600)</f>
        <v>812.72024078263473</v>
      </c>
      <c r="Q155" s="2">
        <f>('L-Values'!M155*'D(Ti_Cherniak) Times'!$F155*0.000001)^2/(4*'D(Ti_Cherniak) Times'!$C155)/(365.35*24*3600)</f>
        <v>481.90029667466314</v>
      </c>
      <c r="R155" s="2">
        <f>('L-Values'!N155*'D(Ti_Cherniak) Times'!$F155*0.000001)^2/(4*'D(Ti_Cherniak) Times'!$C155)/(365.35*24*3600)</f>
        <v>229.73141801561638</v>
      </c>
      <c r="S155" s="2">
        <f>('L-Values'!O155*'D(Ti_Cherniak) Times'!$F155*0.000001)^2/(4*'D(Ti_Cherniak) Times'!$C155)/(365.35*24*3600)</f>
        <v>607.10347081171858</v>
      </c>
      <c r="T155" s="2"/>
      <c r="U155" s="2">
        <f>('L-Values'!Q155*'D(Ti_Cherniak) Times'!$F155*0.000001)^2/(4*'D(Ti_Cherniak) Times'!$C155)/(365.35*24*3600)</f>
        <v>442.04774974411748</v>
      </c>
      <c r="V155" s="2">
        <f>('L-Values'!R155*'D(Ti_Cherniak) Times'!$F155*0.000001)^2/(4*'D(Ti_Cherniak) Times'!$C155)/(365.35*24*3600)</f>
        <v>448.12825268180245</v>
      </c>
      <c r="W155" s="2">
        <f>('L-Values'!S155*'D(Ti_Cherniak) Times'!$F155*0.000001)^2/(4*'D(Ti_Cherniak) Times'!$C155)/(365.35*24*3600)</f>
        <v>481.90029667466314</v>
      </c>
      <c r="X155" s="2"/>
      <c r="Y155" s="2">
        <f>('L-Values'!U155*'D(Ti_Cherniak) Times'!$F155*0.000001)^2/(4*'D(Ti_Cherniak) Times'!$C155)/(365.35*24*3600)</f>
        <v>446.1154468578348</v>
      </c>
      <c r="Z155" s="2">
        <f>('L-Values'!V155*'D(Ti_Cherniak) Times'!$F155*0.000001)^2/(4*'D(Ti_Cherniak) Times'!$C155)/(365.35*24*3600)</f>
        <v>447.10943094988141</v>
      </c>
      <c r="AA155" s="2">
        <f>('L-Values'!W155*'D(Ti_Cherniak) Times'!$F155*0.000001)^2/(4*'D(Ti_Cherniak) Times'!$C155)/(365.35*24*3600)</f>
        <v>92.635538648531806</v>
      </c>
      <c r="AB155" s="2">
        <f>('L-Values'!X155*'D(Ti_Cherniak) Times'!$F155*0.000001)^2/(4*'D(Ti_Cherniak) Times'!$C155)/(365.35*24*3600)</f>
        <v>925.46000412552303</v>
      </c>
      <c r="AC155" s="2">
        <f t="shared" si="10"/>
        <v>354.47389230134962</v>
      </c>
      <c r="AD155" s="2">
        <f t="shared" si="11"/>
        <v>478.35057317564161</v>
      </c>
    </row>
    <row r="156" spans="1:30" x14ac:dyDescent="0.2">
      <c r="A156" t="str">
        <f>'L-Values'!A156</f>
        <v>CGI009-qtz04-CL-fit-1-offset</v>
      </c>
      <c r="B156">
        <v>750</v>
      </c>
      <c r="C156">
        <f t="shared" si="8"/>
        <v>8.0537892000481889E-22</v>
      </c>
      <c r="D156">
        <v>1400</v>
      </c>
      <c r="E156">
        <v>1024</v>
      </c>
      <c r="F156">
        <f t="shared" si="9"/>
        <v>1.3671875</v>
      </c>
      <c r="I156" s="2">
        <f>('L-Values'!E156*'D(Ti_Cherniak) Times'!$F156*0.000001)^2/(4*'D(Ti_Cherniak) Times'!$C156)/(365.35*24*3600)</f>
        <v>257.21561798529251</v>
      </c>
      <c r="J156" s="2">
        <f>('L-Values'!F156*'D(Ti_Cherniak) Times'!$F156*0.000001)^2/(4*'D(Ti_Cherniak) Times'!$C156)/(365.35*24*3600)</f>
        <v>307.44829091067436</v>
      </c>
      <c r="K156" s="2">
        <f>('L-Values'!G156*'D(Ti_Cherniak) Times'!$F156*0.000001)^2/(4*'D(Ti_Cherniak) Times'!$C156)/(365.35*24*3600)</f>
        <v>521.22450819766482</v>
      </c>
      <c r="L156" s="2">
        <f>('L-Values'!H156*'D(Ti_Cherniak) Times'!$F156*0.000001)^2/(4*'D(Ti_Cherniak) Times'!$C156)/(365.35*24*3600)</f>
        <v>412.45939734280222</v>
      </c>
      <c r="M156" s="2">
        <f>('L-Values'!I156*'D(Ti_Cherniak) Times'!$F156*0.000001)^2/(4*'D(Ti_Cherniak) Times'!$C156)/(365.35*24*3600)</f>
        <v>211.27145400741918</v>
      </c>
      <c r="N156" s="2">
        <f>('L-Values'!J156*'D(Ti_Cherniak) Times'!$F156*0.000001)^2/(4*'D(Ti_Cherniak) Times'!$C156)/(365.35*24*3600)</f>
        <v>494.90286222737149</v>
      </c>
      <c r="O156" s="2">
        <f>('L-Values'!K156*'D(Ti_Cherniak) Times'!$F156*0.000001)^2/(4*'D(Ti_Cherniak) Times'!$C156)/(365.35*24*3600)</f>
        <v>749.26070508665111</v>
      </c>
      <c r="P156" s="2">
        <f>('L-Values'!L156*'D(Ti_Cherniak) Times'!$F156*0.000001)^2/(4*'D(Ti_Cherniak) Times'!$C156)/(365.35*24*3600)</f>
        <v>490.51258953321792</v>
      </c>
      <c r="Q156" s="2">
        <f>('L-Values'!M156*'D(Ti_Cherniak) Times'!$F156*0.000001)^2/(4*'D(Ti_Cherniak) Times'!$C156)/(365.35*24*3600)</f>
        <v>612.8712130540622</v>
      </c>
      <c r="R156" s="2">
        <f>('L-Values'!N156*'D(Ti_Cherniak) Times'!$F156*0.000001)^2/(4*'D(Ti_Cherniak) Times'!$C156)/(365.35*24*3600)</f>
        <v>840.91248396028664</v>
      </c>
      <c r="S156" s="2">
        <f>('L-Values'!O156*'D(Ti_Cherniak) Times'!$F156*0.000001)^2/(4*'D(Ti_Cherniak) Times'!$C156)/(365.35*24*3600)</f>
        <v>475.06440684860684</v>
      </c>
      <c r="T156" s="2"/>
      <c r="U156" s="2">
        <f>('L-Values'!Q156*'D(Ti_Cherniak) Times'!$F156*0.000001)^2/(4*'D(Ti_Cherniak) Times'!$C156)/(365.35*24*3600)</f>
        <v>467.88167030889156</v>
      </c>
      <c r="V156" s="2">
        <f>('L-Values'!R156*'D(Ti_Cherniak) Times'!$F156*0.000001)^2/(4*'D(Ti_Cherniak) Times'!$C156)/(365.35*24*3600)</f>
        <v>470.35365744554446</v>
      </c>
      <c r="W156" s="2">
        <f>('L-Values'!S156*'D(Ti_Cherniak) Times'!$F156*0.000001)^2/(4*'D(Ti_Cherniak) Times'!$C156)/(365.35*24*3600)</f>
        <v>490.51258953321792</v>
      </c>
      <c r="X156" s="2"/>
      <c r="Y156" s="2">
        <f>('L-Values'!U156*'D(Ti_Cherniak) Times'!$F156*0.000001)^2/(4*'D(Ti_Cherniak) Times'!$C156)/(365.35*24*3600)</f>
        <v>460.68248823013386</v>
      </c>
      <c r="Z156" s="2">
        <f>('L-Values'!V156*'D(Ti_Cherniak) Times'!$F156*0.000001)^2/(4*'D(Ti_Cherniak) Times'!$C156)/(365.35*24*3600)</f>
        <v>460.77870326982998</v>
      </c>
      <c r="AA156" s="2">
        <f>('L-Values'!W156*'D(Ti_Cherniak) Times'!$F156*0.000001)^2/(4*'D(Ti_Cherniak) Times'!$C156)/(365.35*24*3600)</f>
        <v>168.42447979422815</v>
      </c>
      <c r="AB156" s="2">
        <f>('L-Values'!X156*'D(Ti_Cherniak) Times'!$F156*0.000001)^2/(4*'D(Ti_Cherniak) Times'!$C156)/(365.35*24*3600)</f>
        <v>974.92104635044768</v>
      </c>
      <c r="AC156" s="2">
        <f t="shared" si="10"/>
        <v>292.35422347560183</v>
      </c>
      <c r="AD156" s="2">
        <f t="shared" si="11"/>
        <v>514.14234308061771</v>
      </c>
    </row>
    <row r="157" spans="1:30" x14ac:dyDescent="0.2">
      <c r="A157" t="str">
        <f>'L-Values'!A157</f>
        <v>CGI009-qtz04-CL-fit-2-offset</v>
      </c>
      <c r="B157">
        <v>750</v>
      </c>
      <c r="C157">
        <f t="shared" si="8"/>
        <v>8.0537892000481889E-22</v>
      </c>
      <c r="D157">
        <v>1400</v>
      </c>
      <c r="E157">
        <v>1024</v>
      </c>
      <c r="F157">
        <f t="shared" si="9"/>
        <v>1.3671875</v>
      </c>
      <c r="I157" s="2">
        <f>('L-Values'!E157*'D(Ti_Cherniak) Times'!$F157*0.000001)^2/(4*'D(Ti_Cherniak) Times'!$C157)/(365.35*24*3600)</f>
        <v>345.70192982630846</v>
      </c>
      <c r="J157" s="2">
        <f>('L-Values'!F157*'D(Ti_Cherniak) Times'!$F157*0.000001)^2/(4*'D(Ti_Cherniak) Times'!$C157)/(365.35*24*3600)</f>
        <v>389.62920836620248</v>
      </c>
      <c r="K157" s="2">
        <f>('L-Values'!G157*'D(Ti_Cherniak) Times'!$F157*0.000001)^2/(4*'D(Ti_Cherniak) Times'!$C157)/(365.35*24*3600)</f>
        <v>194.65711973854391</v>
      </c>
      <c r="L157" s="2">
        <f>('L-Values'!H157*'D(Ti_Cherniak) Times'!$F157*0.000001)^2/(4*'D(Ti_Cherniak) Times'!$C157)/(365.35*24*3600)</f>
        <v>165.72758062359318</v>
      </c>
      <c r="M157" s="2">
        <f>('L-Values'!I157*'D(Ti_Cherniak) Times'!$F157*0.000001)^2/(4*'D(Ti_Cherniak) Times'!$C157)/(365.35*24*3600)</f>
        <v>191.54172786552013</v>
      </c>
      <c r="N157" s="2">
        <f>('L-Values'!J157*'D(Ti_Cherniak) Times'!$F157*0.000001)^2/(4*'D(Ti_Cherniak) Times'!$C157)/(365.35*24*3600)</f>
        <v>247.82604657545619</v>
      </c>
      <c r="O157" s="2">
        <f>('L-Values'!K157*'D(Ti_Cherniak) Times'!$F157*0.000001)^2/(4*'D(Ti_Cherniak) Times'!$C157)/(365.35*24*3600)</f>
        <v>288.29368643748438</v>
      </c>
      <c r="P157" s="2">
        <f>('L-Values'!L157*'D(Ti_Cherniak) Times'!$F157*0.000001)^2/(4*'D(Ti_Cherniak) Times'!$C157)/(365.35*24*3600)</f>
        <v>285.67424876525132</v>
      </c>
      <c r="Q157" s="2">
        <f>('L-Values'!M157*'D(Ti_Cherniak) Times'!$F157*0.000001)^2/(4*'D(Ti_Cherniak) Times'!$C157)/(365.35*24*3600)</f>
        <v>466.16745555853186</v>
      </c>
      <c r="R157" s="2">
        <f>('L-Values'!N157*'D(Ti_Cherniak) Times'!$F157*0.000001)^2/(4*'D(Ti_Cherniak) Times'!$C157)/(365.35*24*3600)</f>
        <v>94.955584349014671</v>
      </c>
      <c r="S157" s="2">
        <f>('L-Values'!O157*'D(Ti_Cherniak) Times'!$F157*0.000001)^2/(4*'D(Ti_Cherniak) Times'!$C157)/(365.35*24*3600)</f>
        <v>679.61986807577478</v>
      </c>
      <c r="T157" s="2"/>
      <c r="U157" s="2">
        <f>('L-Values'!Q157*'D(Ti_Cherniak) Times'!$F157*0.000001)^2/(4*'D(Ti_Cherniak) Times'!$C157)/(365.35*24*3600)</f>
        <v>292.03100788288145</v>
      </c>
      <c r="V157" s="2">
        <f>('L-Values'!R157*'D(Ti_Cherniak) Times'!$F157*0.000001)^2/(4*'D(Ti_Cherniak) Times'!$C157)/(365.35*24*3600)</f>
        <v>285.99723885604658</v>
      </c>
      <c r="W157" s="2">
        <f>('L-Values'!S157*'D(Ti_Cherniak) Times'!$F157*0.000001)^2/(4*'D(Ti_Cherniak) Times'!$C157)/(365.35*24*3600)</f>
        <v>285.67424876525132</v>
      </c>
      <c r="X157" s="2"/>
      <c r="Y157" s="2">
        <f>('L-Values'!U157*'D(Ti_Cherniak) Times'!$F157*0.000001)^2/(4*'D(Ti_Cherniak) Times'!$C157)/(365.35*24*3600)</f>
        <v>311.55662286661084</v>
      </c>
      <c r="Z157" s="2">
        <f>('L-Values'!V157*'D(Ti_Cherniak) Times'!$F157*0.000001)^2/(4*'D(Ti_Cherniak) Times'!$C157)/(365.35*24*3600)</f>
        <v>308.49371831873549</v>
      </c>
      <c r="AA157" s="2">
        <f>('L-Values'!W157*'D(Ti_Cherniak) Times'!$F157*0.000001)^2/(4*'D(Ti_Cherniak) Times'!$C157)/(365.35*24*3600)</f>
        <v>62.711498699881311</v>
      </c>
      <c r="AB157" s="2">
        <f>('L-Values'!X157*'D(Ti_Cherniak) Times'!$F157*0.000001)^2/(4*'D(Ti_Cherniak) Times'!$C157)/(365.35*24*3600)</f>
        <v>830.02678400587956</v>
      </c>
      <c r="AC157" s="2">
        <f t="shared" si="10"/>
        <v>245.78221961885419</v>
      </c>
      <c r="AD157" s="2">
        <f t="shared" si="11"/>
        <v>521.53306568714402</v>
      </c>
    </row>
    <row r="158" spans="1:30" x14ac:dyDescent="0.2">
      <c r="A158" t="str">
        <f>'L-Values'!A158</f>
        <v>CGI009-qtz04-CL-fit-3-offset</v>
      </c>
      <c r="B158">
        <v>750</v>
      </c>
      <c r="C158">
        <f t="shared" si="8"/>
        <v>8.0537892000481889E-22</v>
      </c>
      <c r="D158">
        <v>1400</v>
      </c>
      <c r="E158">
        <v>1024</v>
      </c>
      <c r="F158">
        <f t="shared" si="9"/>
        <v>1.3671875</v>
      </c>
      <c r="I158" s="2">
        <f>('L-Values'!E158*'D(Ti_Cherniak) Times'!$F158*0.000001)^2/(4*'D(Ti_Cherniak) Times'!$C158)/(365.35*24*3600)</f>
        <v>184.85196302719177</v>
      </c>
      <c r="J158" s="2">
        <f>('L-Values'!F158*'D(Ti_Cherniak) Times'!$F158*0.000001)^2/(4*'D(Ti_Cherniak) Times'!$C158)/(365.35*24*3600)</f>
        <v>536.98509290567029</v>
      </c>
      <c r="K158" s="2">
        <f>('L-Values'!G158*'D(Ti_Cherniak) Times'!$F158*0.000001)^2/(4*'D(Ti_Cherniak) Times'!$C158)/(365.35*24*3600)</f>
        <v>202.05829123266579</v>
      </c>
      <c r="L158" s="2">
        <f>('L-Values'!H158*'D(Ti_Cherniak) Times'!$F158*0.000001)^2/(4*'D(Ti_Cherniak) Times'!$C158)/(365.35*24*3600)</f>
        <v>66.802587758924588</v>
      </c>
      <c r="M158" s="2">
        <f>('L-Values'!I158*'D(Ti_Cherniak) Times'!$F158*0.000001)^2/(4*'D(Ti_Cherniak) Times'!$C158)/(365.35*24*3600)</f>
        <v>1.0283573820298673</v>
      </c>
      <c r="N158" s="2">
        <f>('L-Values'!J158*'D(Ti_Cherniak) Times'!$F158*0.000001)^2/(4*'D(Ti_Cherniak) Times'!$C158)/(365.35*24*3600)</f>
        <v>79.234885436526682</v>
      </c>
      <c r="O158" s="2">
        <f>('L-Values'!K158*'D(Ti_Cherniak) Times'!$F158*0.000001)^2/(4*'D(Ti_Cherniak) Times'!$C158)/(365.35*24*3600)</f>
        <v>17.539828152229632</v>
      </c>
      <c r="P158" s="2">
        <f>('L-Values'!L158*'D(Ti_Cherniak) Times'!$F158*0.000001)^2/(4*'D(Ti_Cherniak) Times'!$C158)/(365.35*24*3600)</f>
        <v>502.36313432082625</v>
      </c>
      <c r="Q158" s="2">
        <f>('L-Values'!M158*'D(Ti_Cherniak) Times'!$F158*0.000001)^2/(4*'D(Ti_Cherniak) Times'!$C158)/(365.35*24*3600)</f>
        <v>174.07284206247817</v>
      </c>
      <c r="R158" s="2">
        <f>('L-Values'!N158*'D(Ti_Cherniak) Times'!$F158*0.000001)^2/(4*'D(Ti_Cherniak) Times'!$C158)/(365.35*24*3600)</f>
        <v>14.446130777040437</v>
      </c>
      <c r="S158" s="2">
        <f>('L-Values'!O158*'D(Ti_Cherniak) Times'!$F158*0.000001)^2/(4*'D(Ti_Cherniak) Times'!$C158)/(365.35*24*3600)</f>
        <v>228.35452959066853</v>
      </c>
      <c r="T158" s="2"/>
      <c r="U158" s="2">
        <f>('L-Values'!Q158*'D(Ti_Cherniak) Times'!$F158*0.000001)^2/(4*'D(Ti_Cherniak) Times'!$C158)/(365.35*24*3600)</f>
        <v>121.17243616279835</v>
      </c>
      <c r="V158" s="2">
        <f>('L-Values'!R158*'D(Ti_Cherniak) Times'!$F158*0.000001)^2/(4*'D(Ti_Cherniak) Times'!$C158)/(365.35*24*3600)</f>
        <v>134.93957382960107</v>
      </c>
      <c r="W158" s="2">
        <f>('L-Values'!S158*'D(Ti_Cherniak) Times'!$F158*0.000001)^2/(4*'D(Ti_Cherniak) Times'!$C158)/(365.35*24*3600)</f>
        <v>174.07284206247817</v>
      </c>
      <c r="X158" s="2"/>
      <c r="Y158" s="2">
        <f>('L-Values'!U158*'D(Ti_Cherniak) Times'!$F158*0.000001)^2/(4*'D(Ti_Cherniak) Times'!$C158)/(365.35*24*3600)</f>
        <v>113.80245016955911</v>
      </c>
      <c r="Z158" s="2">
        <f>('L-Values'!V158*'D(Ti_Cherniak) Times'!$F158*0.000001)^2/(4*'D(Ti_Cherniak) Times'!$C158)/(365.35*24*3600)</f>
        <v>157.2550032222988</v>
      </c>
      <c r="AA158" s="2">
        <f>('L-Values'!W158*'D(Ti_Cherniak) Times'!$F158*0.000001)^2/(4*'D(Ti_Cherniak) Times'!$C158)/(365.35*24*3600)</f>
        <v>1.1112403851057464</v>
      </c>
      <c r="AB158" s="2">
        <f>('L-Values'!X158*'D(Ti_Cherniak) Times'!$F158*0.000001)^2/(4*'D(Ti_Cherniak) Times'!$C158)/(365.35*24*3600)</f>
        <v>1421.7685324124695</v>
      </c>
      <c r="AC158" s="2">
        <f t="shared" si="10"/>
        <v>156.14376283719304</v>
      </c>
      <c r="AD158" s="2">
        <f t="shared" si="11"/>
        <v>1264.5135291901706</v>
      </c>
    </row>
    <row r="159" spans="1:30" x14ac:dyDescent="0.2">
      <c r="A159" t="str">
        <f>'L-Values'!A159</f>
        <v>CGI009-qtz04-CL-fit-4-offset</v>
      </c>
      <c r="B159">
        <v>750</v>
      </c>
      <c r="C159">
        <f t="shared" si="8"/>
        <v>8.0537892000481889E-22</v>
      </c>
      <c r="D159">
        <v>1400</v>
      </c>
      <c r="E159">
        <v>1024</v>
      </c>
      <c r="F159">
        <f t="shared" si="9"/>
        <v>1.3671875</v>
      </c>
      <c r="I159" s="2">
        <f>('L-Values'!E159*'D(Ti_Cherniak) Times'!$F159*0.000001)^2/(4*'D(Ti_Cherniak) Times'!$C159)/(365.35*24*3600)</f>
        <v>95.645502266818639</v>
      </c>
      <c r="J159" s="2">
        <f>('L-Values'!F159*'D(Ti_Cherniak) Times'!$F159*0.000001)^2/(4*'D(Ti_Cherniak) Times'!$C159)/(365.35*24*3600)</f>
        <v>56.49012785867297</v>
      </c>
      <c r="K159" s="2">
        <f>('L-Values'!G159*'D(Ti_Cherniak) Times'!$F159*0.000001)^2/(4*'D(Ti_Cherniak) Times'!$C159)/(365.35*24*3600)</f>
        <v>49.724455770089563</v>
      </c>
      <c r="L159" s="2">
        <f>('L-Values'!H159*'D(Ti_Cherniak) Times'!$F159*0.000001)^2/(4*'D(Ti_Cherniak) Times'!$C159)/(365.35*24*3600)</f>
        <v>87.522761205417879</v>
      </c>
      <c r="M159" s="2">
        <f>('L-Values'!I159*'D(Ti_Cherniak) Times'!$F159*0.000001)^2/(4*'D(Ti_Cherniak) Times'!$C159)/(365.35*24*3600)</f>
        <v>39.452310167364303</v>
      </c>
      <c r="N159" s="2">
        <f>('L-Values'!J159*'D(Ti_Cherniak) Times'!$F159*0.000001)^2/(4*'D(Ti_Cherniak) Times'!$C159)/(365.35*24*3600)</f>
        <v>45.988096328564346</v>
      </c>
      <c r="O159" s="2">
        <f>('L-Values'!K159*'D(Ti_Cherniak) Times'!$F159*0.000001)^2/(4*'D(Ti_Cherniak) Times'!$C159)/(365.35*24*3600)</f>
        <v>43.771251091144279</v>
      </c>
      <c r="P159" s="2">
        <f>('L-Values'!L159*'D(Ti_Cherniak) Times'!$F159*0.000001)^2/(4*'D(Ti_Cherniak) Times'!$C159)/(365.35*24*3600)</f>
        <v>103.73149716350632</v>
      </c>
      <c r="Q159" s="2">
        <f>('L-Values'!M159*'D(Ti_Cherniak) Times'!$F159*0.000001)^2/(4*'D(Ti_Cherniak) Times'!$C159)/(365.35*24*3600)</f>
        <v>39.962595775214602</v>
      </c>
      <c r="R159" s="2">
        <f>('L-Values'!N159*'D(Ti_Cherniak) Times'!$F159*0.000001)^2/(4*'D(Ti_Cherniak) Times'!$C159)/(365.35*24*3600)</f>
        <v>81.584243847946325</v>
      </c>
      <c r="S159" s="2">
        <f>('L-Values'!O159*'D(Ti_Cherniak) Times'!$F159*0.000001)^2/(4*'D(Ti_Cherniak) Times'!$C159)/(365.35*24*3600)</f>
        <v>83.150238660543636</v>
      </c>
      <c r="T159" s="2"/>
      <c r="U159" s="2">
        <f>('L-Values'!Q159*'D(Ti_Cherniak) Times'!$F159*0.000001)^2/(4*'D(Ti_Cherniak) Times'!$C159)/(365.35*24*3600)</f>
        <v>68.642751082442004</v>
      </c>
      <c r="V159" s="2">
        <f>('L-Values'!R159*'D(Ti_Cherniak) Times'!$F159*0.000001)^2/(4*'D(Ti_Cherniak) Times'!$C159)/(365.35*24*3600)</f>
        <v>64.056511684200785</v>
      </c>
      <c r="W159" s="2">
        <f>('L-Values'!S159*'D(Ti_Cherniak) Times'!$F159*0.000001)^2/(4*'D(Ti_Cherniak) Times'!$C159)/(365.35*24*3600)</f>
        <v>56.49012785867297</v>
      </c>
      <c r="X159" s="2"/>
      <c r="Y159" s="2">
        <f>('L-Values'!U159*'D(Ti_Cherniak) Times'!$F159*0.000001)^2/(4*'D(Ti_Cherniak) Times'!$C159)/(365.35*24*3600)</f>
        <v>65.953238639071714</v>
      </c>
      <c r="Z159" s="2">
        <f>('L-Values'!V159*'D(Ti_Cherniak) Times'!$F159*0.000001)^2/(4*'D(Ti_Cherniak) Times'!$C159)/(365.35*24*3600)</f>
        <v>65.374008924472875</v>
      </c>
      <c r="AA159" s="2">
        <f>('L-Values'!W159*'D(Ti_Cherniak) Times'!$F159*0.000001)^2/(4*'D(Ti_Cherniak) Times'!$C159)/(365.35*24*3600)</f>
        <v>15.78868507890993</v>
      </c>
      <c r="AB159" s="2">
        <f>('L-Values'!X159*'D(Ti_Cherniak) Times'!$F159*0.000001)^2/(4*'D(Ti_Cherniak) Times'!$C159)/(365.35*24*3600)</f>
        <v>163.38777970754788</v>
      </c>
      <c r="AC159" s="2">
        <f t="shared" si="10"/>
        <v>49.585323845562947</v>
      </c>
      <c r="AD159" s="2">
        <f t="shared" si="11"/>
        <v>98.013770783075003</v>
      </c>
    </row>
    <row r="160" spans="1:30" x14ac:dyDescent="0.2">
      <c r="A160" t="str">
        <f>'L-Values'!A160</f>
        <v>CGI009-qtz05-CL-fit-1-offset</v>
      </c>
      <c r="B160">
        <v>750</v>
      </c>
      <c r="C160">
        <f t="shared" si="8"/>
        <v>8.0537892000481889E-22</v>
      </c>
      <c r="D160">
        <v>1500</v>
      </c>
      <c r="E160">
        <v>1024</v>
      </c>
      <c r="F160">
        <f t="shared" si="9"/>
        <v>1.46484375</v>
      </c>
      <c r="I160" s="2">
        <f>('L-Values'!E160*'D(Ti_Cherniak) Times'!$F160*0.000001)^2/(4*'D(Ti_Cherniak) Times'!$C160)/(365.35*24*3600)</f>
        <v>559.5104675614424</v>
      </c>
      <c r="J160" s="2">
        <f>('L-Values'!F160*'D(Ti_Cherniak) Times'!$F160*0.000001)^2/(4*'D(Ti_Cherniak) Times'!$C160)/(365.35*24*3600)</f>
        <v>459.04459817257276</v>
      </c>
      <c r="K160" s="2">
        <f>('L-Values'!G160*'D(Ti_Cherniak) Times'!$F160*0.000001)^2/(4*'D(Ti_Cherniak) Times'!$C160)/(365.35*24*3600)</f>
        <v>543.86936638103941</v>
      </c>
      <c r="L160" s="2">
        <f>('L-Values'!H160*'D(Ti_Cherniak) Times'!$F160*0.000001)^2/(4*'D(Ti_Cherniak) Times'!$C160)/(365.35*24*3600)</f>
        <v>267.9198282223395</v>
      </c>
      <c r="M160" s="2">
        <f>('L-Values'!I160*'D(Ti_Cherniak) Times'!$F160*0.000001)^2/(4*'D(Ti_Cherniak) Times'!$C160)/(365.35*24*3600)</f>
        <v>507.54708183665628</v>
      </c>
      <c r="N160" s="2">
        <f>('L-Values'!J160*'D(Ti_Cherniak) Times'!$F160*0.000001)^2/(4*'D(Ti_Cherniak) Times'!$C160)/(365.35*24*3600)</f>
        <v>440.89112554534239</v>
      </c>
      <c r="O160" s="2">
        <f>('L-Values'!K160*'D(Ti_Cherniak) Times'!$F160*0.000001)^2/(4*'D(Ti_Cherniak) Times'!$C160)/(365.35*24*3600)</f>
        <v>278.41591801609269</v>
      </c>
      <c r="P160" s="2">
        <f>('L-Values'!L160*'D(Ti_Cherniak) Times'!$F160*0.000001)^2/(4*'D(Ti_Cherniak) Times'!$C160)/(365.35*24*3600)</f>
        <v>244.62271982469574</v>
      </c>
      <c r="Q160" s="2">
        <f>('L-Values'!M160*'D(Ti_Cherniak) Times'!$F160*0.000001)^2/(4*'D(Ti_Cherniak) Times'!$C160)/(365.35*24*3600)</f>
        <v>680.62851826906535</v>
      </c>
      <c r="R160" s="2">
        <f>('L-Values'!N160*'D(Ti_Cherniak) Times'!$F160*0.000001)^2/(4*'D(Ti_Cherniak) Times'!$C160)/(365.35*24*3600)</f>
        <v>247.74807562087088</v>
      </c>
      <c r="S160" s="2">
        <f>('L-Values'!O160*'D(Ti_Cherniak) Times'!$F160*0.000001)^2/(4*'D(Ti_Cherniak) Times'!$C160)/(365.35*24*3600)</f>
        <v>351.52476701806228</v>
      </c>
      <c r="T160" s="2"/>
      <c r="U160" s="2">
        <f>('L-Values'!Q160*'D(Ti_Cherniak) Times'!$F160*0.000001)^2/(4*'D(Ti_Cherniak) Times'!$C160)/(365.35*24*3600)</f>
        <v>398.02954907010252</v>
      </c>
      <c r="V160" s="2">
        <f>('L-Values'!R160*'D(Ti_Cherniak) Times'!$F160*0.000001)^2/(4*'D(Ti_Cherniak) Times'!$C160)/(365.35*24*3600)</f>
        <v>404.37137976831957</v>
      </c>
      <c r="W160" s="2">
        <f>('L-Values'!S160*'D(Ti_Cherniak) Times'!$F160*0.000001)^2/(4*'D(Ti_Cherniak) Times'!$C160)/(365.35*24*3600)</f>
        <v>440.89112554534239</v>
      </c>
      <c r="X160" s="2"/>
      <c r="Y160" s="2">
        <f>('L-Values'!U160*'D(Ti_Cherniak) Times'!$F160*0.000001)^2/(4*'D(Ti_Cherniak) Times'!$C160)/(365.35*24*3600)</f>
        <v>392.72824991252543</v>
      </c>
      <c r="Z160" s="2">
        <f>('L-Values'!V160*'D(Ti_Cherniak) Times'!$F160*0.000001)^2/(4*'D(Ti_Cherniak) Times'!$C160)/(365.35*24*3600)</f>
        <v>400.43054585781982</v>
      </c>
      <c r="AA160" s="2">
        <f>('L-Values'!W160*'D(Ti_Cherniak) Times'!$F160*0.000001)^2/(4*'D(Ti_Cherniak) Times'!$C160)/(365.35*24*3600)</f>
        <v>182.000389021209</v>
      </c>
      <c r="AB160" s="2">
        <f>('L-Values'!X160*'D(Ti_Cherniak) Times'!$F160*0.000001)^2/(4*'D(Ti_Cherniak) Times'!$C160)/(365.35*24*3600)</f>
        <v>811.55523825889384</v>
      </c>
      <c r="AC160" s="2">
        <f t="shared" si="10"/>
        <v>218.43015683661082</v>
      </c>
      <c r="AD160" s="2">
        <f t="shared" si="11"/>
        <v>411.12469240107401</v>
      </c>
    </row>
    <row r="161" spans="1:30" x14ac:dyDescent="0.2">
      <c r="A161" t="str">
        <f>'L-Values'!A161</f>
        <v>CGI009-qtz05-CL-fit-2-offset</v>
      </c>
      <c r="B161">
        <v>750</v>
      </c>
      <c r="C161">
        <f t="shared" si="8"/>
        <v>8.0537892000481889E-22</v>
      </c>
      <c r="D161">
        <v>1500</v>
      </c>
      <c r="E161">
        <v>1024</v>
      </c>
      <c r="F161">
        <f t="shared" si="9"/>
        <v>1.46484375</v>
      </c>
      <c r="I161" s="2">
        <f>('L-Values'!E161*'D(Ti_Cherniak) Times'!$F161*0.000001)^2/(4*'D(Ti_Cherniak) Times'!$C161)/(365.35*24*3600)</f>
        <v>354.83809862980632</v>
      </c>
      <c r="J161" s="2">
        <f>('L-Values'!F161*'D(Ti_Cherniak) Times'!$F161*0.000001)^2/(4*'D(Ti_Cherniak) Times'!$C161)/(365.35*24*3600)</f>
        <v>576.39433466330286</v>
      </c>
      <c r="K161" s="2">
        <f>('L-Values'!G161*'D(Ti_Cherniak) Times'!$F161*0.000001)^2/(4*'D(Ti_Cherniak) Times'!$C161)/(365.35*24*3600)</f>
        <v>614.84268670769916</v>
      </c>
      <c r="L161" s="2">
        <f>('L-Values'!H161*'D(Ti_Cherniak) Times'!$F161*0.000001)^2/(4*'D(Ti_Cherniak) Times'!$C161)/(365.35*24*3600)</f>
        <v>344.06048655885252</v>
      </c>
      <c r="M161" s="2">
        <f>('L-Values'!I161*'D(Ti_Cherniak) Times'!$F161*0.000001)^2/(4*'D(Ti_Cherniak) Times'!$C161)/(365.35*24*3600)</f>
        <v>470.94198676990368</v>
      </c>
      <c r="N161" s="2">
        <f>('L-Values'!J161*'D(Ti_Cherniak) Times'!$F161*0.000001)^2/(4*'D(Ti_Cherniak) Times'!$C161)/(365.35*24*3600)</f>
        <v>204.99953459027728</v>
      </c>
      <c r="O161" s="2">
        <f>('L-Values'!K161*'D(Ti_Cherniak) Times'!$F161*0.000001)^2/(4*'D(Ti_Cherniak) Times'!$C161)/(365.35*24*3600)</f>
        <v>215.00219126298759</v>
      </c>
      <c r="P161" s="2">
        <f>('L-Values'!L161*'D(Ti_Cherniak) Times'!$F161*0.000001)^2/(4*'D(Ti_Cherniak) Times'!$C161)/(365.35*24*3600)</f>
        <v>191.20969355646508</v>
      </c>
      <c r="Q161" s="2">
        <f>('L-Values'!M161*'D(Ti_Cherniak) Times'!$F161*0.000001)^2/(4*'D(Ti_Cherniak) Times'!$C161)/(365.35*24*3600)</f>
        <v>277.99308222212403</v>
      </c>
      <c r="R161" s="2">
        <f>('L-Values'!N161*'D(Ti_Cherniak) Times'!$F161*0.000001)^2/(4*'D(Ti_Cherniak) Times'!$C161)/(365.35*24*3600)</f>
        <v>395.93743715737298</v>
      </c>
      <c r="S161" s="2">
        <f>('L-Values'!O161*'D(Ti_Cherniak) Times'!$F161*0.000001)^2/(4*'D(Ti_Cherniak) Times'!$C161)/(365.35*24*3600)</f>
        <v>373.61357610198058</v>
      </c>
      <c r="T161" s="2"/>
      <c r="U161" s="2">
        <f>('L-Values'!Q161*'D(Ti_Cherniak) Times'!$F161*0.000001)^2/(4*'D(Ti_Cherniak) Times'!$C161)/(365.35*24*3600)</f>
        <v>364.24760639334539</v>
      </c>
      <c r="V161" s="2">
        <f>('L-Values'!R161*'D(Ti_Cherniak) Times'!$F161*0.000001)^2/(4*'D(Ti_Cherniak) Times'!$C161)/(365.35*24*3600)</f>
        <v>352.7582388295765</v>
      </c>
      <c r="W161" s="2">
        <f>('L-Values'!S161*'D(Ti_Cherniak) Times'!$F161*0.000001)^2/(4*'D(Ti_Cherniak) Times'!$C161)/(365.35*24*3600)</f>
        <v>354.83809862980632</v>
      </c>
      <c r="X161" s="2"/>
      <c r="Y161" s="2">
        <f>('L-Values'!U161*'D(Ti_Cherniak) Times'!$F161*0.000001)^2/(4*'D(Ti_Cherniak) Times'!$C161)/(365.35*24*3600)</f>
        <v>345.63287074180124</v>
      </c>
      <c r="Z161" s="2">
        <f>('L-Values'!V161*'D(Ti_Cherniak) Times'!$F161*0.000001)^2/(4*'D(Ti_Cherniak) Times'!$C161)/(365.35*24*3600)</f>
        <v>352.26784880842922</v>
      </c>
      <c r="AA161" s="2">
        <f>('L-Values'!W161*'D(Ti_Cherniak) Times'!$F161*0.000001)^2/(4*'D(Ti_Cherniak) Times'!$C161)/(365.35*24*3600)</f>
        <v>182.61562838005304</v>
      </c>
      <c r="AB161" s="2">
        <f>('L-Values'!X161*'D(Ti_Cherniak) Times'!$F161*0.000001)^2/(4*'D(Ti_Cherniak) Times'!$C161)/(365.35*24*3600)</f>
        <v>674.28216124674395</v>
      </c>
      <c r="AC161" s="2">
        <f t="shared" si="10"/>
        <v>169.65222042837618</v>
      </c>
      <c r="AD161" s="2">
        <f t="shared" si="11"/>
        <v>322.01431243831473</v>
      </c>
    </row>
    <row r="162" spans="1:30" x14ac:dyDescent="0.2">
      <c r="A162" t="str">
        <f>'L-Values'!A162</f>
        <v>CGI009-qtz05-CL-fit-3-offset</v>
      </c>
      <c r="B162">
        <v>750</v>
      </c>
      <c r="C162">
        <f t="shared" si="8"/>
        <v>8.0537892000481889E-22</v>
      </c>
      <c r="D162">
        <v>1500</v>
      </c>
      <c r="E162">
        <v>1024</v>
      </c>
      <c r="F162">
        <f t="shared" si="9"/>
        <v>1.46484375</v>
      </c>
      <c r="I162" s="2">
        <f>('L-Values'!E162*'D(Ti_Cherniak) Times'!$F162*0.000001)^2/(4*'D(Ti_Cherniak) Times'!$C162)/(365.35*24*3600)</f>
        <v>0</v>
      </c>
      <c r="J162" s="2">
        <f>('L-Values'!F162*'D(Ti_Cherniak) Times'!$F162*0.000001)^2/(4*'D(Ti_Cherniak) Times'!$C162)/(365.35*24*3600)</f>
        <v>298.55641847071621</v>
      </c>
      <c r="K162" s="2">
        <f>('L-Values'!G162*'D(Ti_Cherniak) Times'!$F162*0.000001)^2/(4*'D(Ti_Cherniak) Times'!$C162)/(365.35*24*3600)</f>
        <v>313.48476359970374</v>
      </c>
      <c r="L162" s="2">
        <f>('L-Values'!H162*'D(Ti_Cherniak) Times'!$F162*0.000001)^2/(4*'D(Ti_Cherniak) Times'!$C162)/(365.35*24*3600)</f>
        <v>267.31017417144449</v>
      </c>
      <c r="M162" s="2">
        <f>('L-Values'!I162*'D(Ti_Cherniak) Times'!$F162*0.000001)^2/(4*'D(Ti_Cherniak) Times'!$C162)/(365.35*24*3600)</f>
        <v>162.98578925567003</v>
      </c>
      <c r="N162" s="2">
        <f>('L-Values'!J162*'D(Ti_Cherniak) Times'!$F162*0.000001)^2/(4*'D(Ti_Cherniak) Times'!$C162)/(365.35*24*3600)</f>
        <v>384.01475516917537</v>
      </c>
      <c r="O162" s="2">
        <f>('L-Values'!K162*'D(Ti_Cherniak) Times'!$F162*0.000001)^2/(4*'D(Ti_Cherniak) Times'!$C162)/(365.35*24*3600)</f>
        <v>336.86770380117406</v>
      </c>
      <c r="P162" s="2">
        <f>('L-Values'!L162*'D(Ti_Cherniak) Times'!$F162*0.000001)^2/(4*'D(Ti_Cherniak) Times'!$C162)/(365.35*24*3600)</f>
        <v>399.40279484784293</v>
      </c>
      <c r="Q162" s="2">
        <f>('L-Values'!M162*'D(Ti_Cherniak) Times'!$F162*0.000001)^2/(4*'D(Ti_Cherniak) Times'!$C162)/(365.35*24*3600)</f>
        <v>110.73350182606019</v>
      </c>
      <c r="R162" s="2">
        <f>('L-Values'!N162*'D(Ti_Cherniak) Times'!$F162*0.000001)^2/(4*'D(Ti_Cherniak) Times'!$C162)/(365.35*24*3600)</f>
        <v>222.86859324055547</v>
      </c>
      <c r="S162" s="2">
        <f>('L-Values'!O162*'D(Ti_Cherniak) Times'!$F162*0.000001)^2/(4*'D(Ti_Cherniak) Times'!$C162)/(365.35*24*3600)</f>
        <v>456.43570176427176</v>
      </c>
      <c r="T162" s="2"/>
      <c r="U162" s="2">
        <f>('L-Values'!Q162*'D(Ti_Cherniak) Times'!$F162*0.000001)^2/(4*'D(Ti_Cherniak) Times'!$C162)/(365.35*24*3600)</f>
        <v>329.27157467016787</v>
      </c>
      <c r="V162" s="2">
        <f>('L-Values'!R162*'D(Ti_Cherniak) Times'!$F162*0.000001)^2/(4*'D(Ti_Cherniak) Times'!$C162)/(365.35*24*3600)</f>
        <v>285.10981502144102</v>
      </c>
      <c r="W162" s="2">
        <f>('L-Values'!S162*'D(Ti_Cherniak) Times'!$F162*0.000001)^2/(4*'D(Ti_Cherniak) Times'!$C162)/(365.35*24*3600)</f>
        <v>305.97506945711905</v>
      </c>
      <c r="X162" s="2"/>
      <c r="Y162" s="2">
        <f>('L-Values'!U162*'D(Ti_Cherniak) Times'!$F162*0.000001)^2/(4*'D(Ti_Cherniak) Times'!$C162)/(365.35*24*3600)</f>
        <v>285.79690134328575</v>
      </c>
      <c r="Z162" s="2">
        <f>('L-Values'!V162*'D(Ti_Cherniak) Times'!$F162*0.000001)^2/(4*'D(Ti_Cherniak) Times'!$C162)/(365.35*24*3600)</f>
        <v>273.76861426936028</v>
      </c>
      <c r="AA162" s="2">
        <f>('L-Values'!W162*'D(Ti_Cherniak) Times'!$F162*0.000001)^2/(4*'D(Ti_Cherniak) Times'!$C162)/(365.35*24*3600)</f>
        <v>90.789846651209828</v>
      </c>
      <c r="AB162" s="2">
        <f>('L-Values'!X162*'D(Ti_Cherniak) Times'!$F162*0.000001)^2/(4*'D(Ti_Cherniak) Times'!$C162)/(365.35*24*3600)</f>
        <v>515.7076887425286</v>
      </c>
      <c r="AC162" s="2">
        <f t="shared" si="10"/>
        <v>182.97876761815047</v>
      </c>
      <c r="AD162" s="2">
        <f t="shared" si="11"/>
        <v>241.93907447316832</v>
      </c>
    </row>
    <row r="163" spans="1:30" x14ac:dyDescent="0.2">
      <c r="A163" t="str">
        <f>'L-Values'!A163</f>
        <v>CGI009-qtz05-CL-fit-4-offset</v>
      </c>
      <c r="B163">
        <v>750</v>
      </c>
      <c r="C163">
        <f t="shared" si="8"/>
        <v>8.0537892000481889E-22</v>
      </c>
      <c r="D163">
        <v>1500</v>
      </c>
      <c r="E163">
        <v>1024</v>
      </c>
      <c r="F163">
        <f t="shared" si="9"/>
        <v>1.46484375</v>
      </c>
      <c r="I163" s="2">
        <f>('L-Values'!E163*'D(Ti_Cherniak) Times'!$F163*0.000001)^2/(4*'D(Ti_Cherniak) Times'!$C163)/(365.35*24*3600)</f>
        <v>203.22148089282211</v>
      </c>
      <c r="J163" s="2">
        <f>('L-Values'!F163*'D(Ti_Cherniak) Times'!$F163*0.000001)^2/(4*'D(Ti_Cherniak) Times'!$C163)/(365.35*24*3600)</f>
        <v>63.314555199796338</v>
      </c>
      <c r="K163" s="2">
        <f>('L-Values'!G163*'D(Ti_Cherniak) Times'!$F163*0.000001)^2/(4*'D(Ti_Cherniak) Times'!$C163)/(365.35*24*3600)</f>
        <v>101.27838397633069</v>
      </c>
      <c r="L163" s="2">
        <f>('L-Values'!H163*'D(Ti_Cherniak) Times'!$F163*0.000001)^2/(4*'D(Ti_Cherniak) Times'!$C163)/(365.35*24*3600)</f>
        <v>0.29154359948107689</v>
      </c>
      <c r="M163" s="2">
        <f>('L-Values'!I163*'D(Ti_Cherniak) Times'!$F163*0.000001)^2/(4*'D(Ti_Cherniak) Times'!$C163)/(365.35*24*3600)</f>
        <v>16.585818767541827</v>
      </c>
      <c r="N163" s="2">
        <f>('L-Values'!J163*'D(Ti_Cherniak) Times'!$F163*0.000001)^2/(4*'D(Ti_Cherniak) Times'!$C163)/(365.35*24*3600)</f>
        <v>2.5580281695058268E-2</v>
      </c>
      <c r="O163" s="2">
        <f>('L-Values'!K163*'D(Ti_Cherniak) Times'!$F163*0.000001)^2/(4*'D(Ti_Cherniak) Times'!$C163)/(365.35*24*3600)</f>
        <v>80.817000290324614</v>
      </c>
      <c r="P163" s="2">
        <f>('L-Values'!L163*'D(Ti_Cherniak) Times'!$F163*0.000001)^2/(4*'D(Ti_Cherniak) Times'!$C163)/(365.35*24*3600)</f>
        <v>15.053217319654633</v>
      </c>
      <c r="Q163" s="2">
        <f>('L-Values'!M163*'D(Ti_Cherniak) Times'!$F163*0.000001)^2/(4*'D(Ti_Cherniak) Times'!$C163)/(365.35*24*3600)</f>
        <v>68.707014323330341</v>
      </c>
      <c r="R163" s="2">
        <f>('L-Values'!N163*'D(Ti_Cherniak) Times'!$F163*0.000001)^2/(4*'D(Ti_Cherniak) Times'!$C163)/(365.35*24*3600)</f>
        <v>1.2259514099886133</v>
      </c>
      <c r="S163" s="2">
        <f>('L-Values'!O163*'D(Ti_Cherniak) Times'!$F163*0.000001)^2/(4*'D(Ti_Cherniak) Times'!$C163)/(365.35*24*3600)</f>
        <v>1.3656858986193003</v>
      </c>
      <c r="T163" s="2"/>
      <c r="U163" s="2">
        <f>('L-Values'!Q163*'D(Ti_Cherniak) Times'!$F163*0.000001)^2/(4*'D(Ti_Cherniak) Times'!$C163)/(365.35*24*3600)</f>
        <v>63.894394123671553</v>
      </c>
      <c r="V163" s="2">
        <f>('L-Values'!R163*'D(Ti_Cherniak) Times'!$F163*0.000001)^2/(4*'D(Ti_Cherniak) Times'!$C163)/(365.35*24*3600)</f>
        <v>30.23329245885121</v>
      </c>
      <c r="W163" s="2">
        <f>('L-Values'!S163*'D(Ti_Cherniak) Times'!$F163*0.000001)^2/(4*'D(Ti_Cherniak) Times'!$C163)/(365.35*24*3600)</f>
        <v>16.585818767541827</v>
      </c>
      <c r="X163" s="2"/>
      <c r="Y163" s="2">
        <f>('L-Values'!U163*'D(Ti_Cherniak) Times'!$F163*0.000001)^2/(4*'D(Ti_Cherniak) Times'!$C163)/(365.35*24*3600)</f>
        <v>48.486804488015132</v>
      </c>
      <c r="Z163" s="2">
        <f>('L-Values'!V163*'D(Ti_Cherniak) Times'!$F163*0.000001)^2/(4*'D(Ti_Cherniak) Times'!$C163)/(365.35*24*3600)</f>
        <v>48.038948068277094</v>
      </c>
      <c r="AA163" s="2">
        <f>('L-Values'!W163*'D(Ti_Cherniak) Times'!$F163*0.000001)^2/(4*'D(Ti_Cherniak) Times'!$C163)/(365.35*24*3600)</f>
        <v>1.4188980863549779E-2</v>
      </c>
      <c r="AB163" s="2">
        <f>('L-Values'!X163*'D(Ti_Cherniak) Times'!$F163*0.000001)^2/(4*'D(Ti_Cherniak) Times'!$C163)/(365.35*24*3600)</f>
        <v>340.59660964175208</v>
      </c>
      <c r="AC163" s="2">
        <f t="shared" si="10"/>
        <v>48.024759087413543</v>
      </c>
      <c r="AD163" s="2">
        <f t="shared" si="11"/>
        <v>292.557661573475</v>
      </c>
    </row>
    <row r="164" spans="1:30" x14ac:dyDescent="0.2">
      <c r="A164" t="str">
        <f>'L-Values'!A164</f>
        <v>CGI009-qtz05-CL-fit-5-offset</v>
      </c>
      <c r="B164">
        <v>750</v>
      </c>
      <c r="C164">
        <f t="shared" si="8"/>
        <v>8.0537892000481889E-22</v>
      </c>
      <c r="D164">
        <v>1500</v>
      </c>
      <c r="E164">
        <v>1024</v>
      </c>
      <c r="F164">
        <f t="shared" si="9"/>
        <v>1.46484375</v>
      </c>
      <c r="I164" s="2">
        <f>('L-Values'!E164*'D(Ti_Cherniak) Times'!$F164*0.000001)^2/(4*'D(Ti_Cherniak) Times'!$C164)/(365.35*24*3600)</f>
        <v>7.0411825851924013</v>
      </c>
      <c r="J164" s="2">
        <f>('L-Values'!F164*'D(Ti_Cherniak) Times'!$F164*0.000001)^2/(4*'D(Ti_Cherniak) Times'!$C164)/(365.35*24*3600)</f>
        <v>118.7095090463786</v>
      </c>
      <c r="K164" s="2">
        <f>('L-Values'!G164*'D(Ti_Cherniak) Times'!$F164*0.000001)^2/(4*'D(Ti_Cherniak) Times'!$C164)/(365.35*24*3600)</f>
        <v>40.329660777091256</v>
      </c>
      <c r="L164" s="2">
        <f>('L-Values'!H164*'D(Ti_Cherniak) Times'!$F164*0.000001)^2/(4*'D(Ti_Cherniak) Times'!$C164)/(365.35*24*3600)</f>
        <v>186.06497709865687</v>
      </c>
      <c r="M164" s="2">
        <f>('L-Values'!I164*'D(Ti_Cherniak) Times'!$F164*0.000001)^2/(4*'D(Ti_Cherniak) Times'!$C164)/(365.35*24*3600)</f>
        <v>99.705619657267476</v>
      </c>
      <c r="N164" s="2">
        <f>('L-Values'!J164*'D(Ti_Cherniak) Times'!$F164*0.000001)^2/(4*'D(Ti_Cherniak) Times'!$C164)/(365.35*24*3600)</f>
        <v>83.201537217386104</v>
      </c>
      <c r="O164" s="2">
        <f>('L-Values'!K164*'D(Ti_Cherniak) Times'!$F164*0.000001)^2/(4*'D(Ti_Cherniak) Times'!$C164)/(365.35*24*3600)</f>
        <v>143.92735189252372</v>
      </c>
      <c r="P164" s="2">
        <f>('L-Values'!L164*'D(Ti_Cherniak) Times'!$F164*0.000001)^2/(4*'D(Ti_Cherniak) Times'!$C164)/(365.35*24*3600)</f>
        <v>389.50000994989813</v>
      </c>
      <c r="Q164" s="2">
        <f>('L-Values'!M164*'D(Ti_Cherniak) Times'!$F164*0.000001)^2/(4*'D(Ti_Cherniak) Times'!$C164)/(365.35*24*3600)</f>
        <v>0</v>
      </c>
      <c r="R164" s="2">
        <f>('L-Values'!N164*'D(Ti_Cherniak) Times'!$F164*0.000001)^2/(4*'D(Ti_Cherniak) Times'!$C164)/(365.35*24*3600)</f>
        <v>2.7480723497052399</v>
      </c>
      <c r="S164" s="2">
        <f>('L-Values'!O164*'D(Ti_Cherniak) Times'!$F164*0.000001)^2/(4*'D(Ti_Cherniak) Times'!$C164)/(365.35*24*3600)</f>
        <v>87.946748222900851</v>
      </c>
      <c r="T164" s="2"/>
      <c r="U164" s="2">
        <f>('L-Values'!Q164*'D(Ti_Cherniak) Times'!$F164*0.000001)^2/(4*'D(Ti_Cherniak) Times'!$C164)/(365.35*24*3600)</f>
        <v>131.98150115944927</v>
      </c>
      <c r="V164" s="2">
        <f>('L-Values'!R164*'D(Ti_Cherniak) Times'!$F164*0.000001)^2/(4*'D(Ti_Cherniak) Times'!$C164)/(365.35*24*3600)</f>
        <v>91.040696215148145</v>
      </c>
      <c r="W164" s="2">
        <f>('L-Values'!S164*'D(Ti_Cherniak) Times'!$F164*0.000001)^2/(4*'D(Ti_Cherniak) Times'!$C164)/(365.35*24*3600)</f>
        <v>93.733987487978311</v>
      </c>
      <c r="X164" s="2"/>
      <c r="Y164" s="2">
        <f>('L-Values'!U164*'D(Ti_Cherniak) Times'!$F164*0.000001)^2/(4*'D(Ti_Cherniak) Times'!$C164)/(365.35*24*3600)</f>
        <v>95.564739818182133</v>
      </c>
      <c r="Z164" s="2">
        <f>('L-Values'!V164*'D(Ti_Cherniak) Times'!$F164*0.000001)^2/(4*'D(Ti_Cherniak) Times'!$C164)/(365.35*24*3600)</f>
        <v>93.441798263452966</v>
      </c>
      <c r="AA164" s="2">
        <f>('L-Values'!W164*'D(Ti_Cherniak) Times'!$F164*0.000001)^2/(4*'D(Ti_Cherniak) Times'!$C164)/(365.35*24*3600)</f>
        <v>2.0445609018323596</v>
      </c>
      <c r="AB164" s="2">
        <f>('L-Values'!X164*'D(Ti_Cherniak) Times'!$F164*0.000001)^2/(4*'D(Ti_Cherniak) Times'!$C164)/(365.35*24*3600)</f>
        <v>412.04996470087571</v>
      </c>
      <c r="AC164" s="2">
        <f t="shared" si="10"/>
        <v>91.397237361620611</v>
      </c>
      <c r="AD164" s="2">
        <f t="shared" si="11"/>
        <v>318.60816643742271</v>
      </c>
    </row>
    <row r="165" spans="1:30" x14ac:dyDescent="0.2">
      <c r="A165" t="str">
        <f>'L-Values'!A165</f>
        <v>CGI009-qtz06-CL-fit-1-offset</v>
      </c>
      <c r="B165">
        <v>750</v>
      </c>
      <c r="C165">
        <f t="shared" si="8"/>
        <v>8.0537892000481889E-22</v>
      </c>
      <c r="D165">
        <v>2000</v>
      </c>
      <c r="E165">
        <v>1024</v>
      </c>
      <c r="F165">
        <f t="shared" si="9"/>
        <v>1.953125</v>
      </c>
      <c r="I165" s="2">
        <f>('L-Values'!E165*'D(Ti_Cherniak) Times'!$F165*0.000001)^2/(4*'D(Ti_Cherniak) Times'!$C165)/(365.35*24*3600)</f>
        <v>963.71598142137157</v>
      </c>
      <c r="J165" s="2">
        <f>('L-Values'!F165*'D(Ti_Cherniak) Times'!$F165*0.000001)^2/(4*'D(Ti_Cherniak) Times'!$C165)/(365.35*24*3600)</f>
        <v>1109.1731563164435</v>
      </c>
      <c r="K165" s="2">
        <f>('L-Values'!G165*'D(Ti_Cherniak) Times'!$F165*0.000001)^2/(4*'D(Ti_Cherniak) Times'!$C165)/(365.35*24*3600)</f>
        <v>1347.6583908319694</v>
      </c>
      <c r="L165" s="2">
        <f>('L-Values'!H165*'D(Ti_Cherniak) Times'!$F165*0.000001)^2/(4*'D(Ti_Cherniak) Times'!$C165)/(365.35*24*3600)</f>
        <v>841.3283261177844</v>
      </c>
      <c r="M165" s="2">
        <f>('L-Values'!I165*'D(Ti_Cherniak) Times'!$F165*0.000001)^2/(4*'D(Ti_Cherniak) Times'!$C165)/(365.35*24*3600)</f>
        <v>0</v>
      </c>
      <c r="N165" s="2">
        <f>('L-Values'!J165*'D(Ti_Cherniak) Times'!$F165*0.000001)^2/(4*'D(Ti_Cherniak) Times'!$C165)/(365.35*24*3600)</f>
        <v>431.19950571175281</v>
      </c>
      <c r="O165" s="2">
        <f>('L-Values'!K165*'D(Ti_Cherniak) Times'!$F165*0.000001)^2/(4*'D(Ti_Cherniak) Times'!$C165)/(365.35*24*3600)</f>
        <v>63.389711707365535</v>
      </c>
      <c r="P165" s="2">
        <f>('L-Values'!L165*'D(Ti_Cherniak) Times'!$F165*0.000001)^2/(4*'D(Ti_Cherniak) Times'!$C165)/(365.35*24*3600)</f>
        <v>0</v>
      </c>
      <c r="Q165" s="2">
        <f>('L-Values'!M165*'D(Ti_Cherniak) Times'!$F165*0.000001)^2/(4*'D(Ti_Cherniak) Times'!$C165)/(365.35*24*3600)</f>
        <v>573.07125317050054</v>
      </c>
      <c r="R165" s="2">
        <f>('L-Values'!N165*'D(Ti_Cherniak) Times'!$F165*0.000001)^2/(4*'D(Ti_Cherniak) Times'!$C165)/(365.35*24*3600)</f>
        <v>833.57163646873778</v>
      </c>
      <c r="S165" s="2">
        <f>('L-Values'!O165*'D(Ti_Cherniak) Times'!$F165*0.000001)^2/(4*'D(Ti_Cherniak) Times'!$C165)/(365.35*24*3600)</f>
        <v>2.6711327830223617</v>
      </c>
      <c r="T165" s="2"/>
      <c r="U165" s="2">
        <f>('L-Values'!Q165*'D(Ti_Cherniak) Times'!$F165*0.000001)^2/(4*'D(Ti_Cherniak) Times'!$C165)/(365.35*24*3600)</f>
        <v>1170.9162655937378</v>
      </c>
      <c r="V165" s="2">
        <f>('L-Values'!R165*'D(Ti_Cherniak) Times'!$F165*0.000001)^2/(4*'D(Ti_Cherniak) Times'!$C165)/(365.35*24*3600)</f>
        <v>561.35388301075625</v>
      </c>
      <c r="W165" s="2">
        <f>('L-Values'!S165*'D(Ti_Cherniak) Times'!$F165*0.000001)^2/(4*'D(Ti_Cherniak) Times'!$C165)/(365.35*24*3600)</f>
        <v>833.57163646873778</v>
      </c>
      <c r="X165" s="2"/>
      <c r="Y165" s="2">
        <f>('L-Values'!U165*'D(Ti_Cherniak) Times'!$F165*0.000001)^2/(4*'D(Ti_Cherniak) Times'!$C165)/(365.35*24*3600)</f>
        <v>888.41828780760386</v>
      </c>
      <c r="Z165" s="2">
        <f>('L-Values'!V165*'D(Ti_Cherniak) Times'!$F165*0.000001)^2/(4*'D(Ti_Cherniak) Times'!$C165)/(365.35*24*3600)</f>
        <v>1381.2326871240202</v>
      </c>
      <c r="AA165" s="2">
        <f>('L-Values'!W165*'D(Ti_Cherniak) Times'!$F165*0.000001)^2/(4*'D(Ti_Cherniak) Times'!$C165)/(365.35*24*3600)</f>
        <v>8.3726065084779085E-3</v>
      </c>
      <c r="AB165" s="2">
        <f>('L-Values'!X165*'D(Ti_Cherniak) Times'!$F165*0.000001)^2/(4*'D(Ti_Cherniak) Times'!$C165)/(365.35*24*3600)</f>
        <v>12886.573079886197</v>
      </c>
      <c r="AC165" s="2">
        <f t="shared" si="10"/>
        <v>1381.2243145175119</v>
      </c>
      <c r="AD165" s="2">
        <f t="shared" si="11"/>
        <v>11505.340392762177</v>
      </c>
    </row>
    <row r="166" spans="1:30" x14ac:dyDescent="0.2">
      <c r="A166" t="str">
        <f>'L-Values'!A166</f>
        <v>CGI009-qtz06-CL-fit-2-offset</v>
      </c>
      <c r="B166">
        <v>750</v>
      </c>
      <c r="C166">
        <f t="shared" si="8"/>
        <v>8.0537892000481889E-22</v>
      </c>
      <c r="D166">
        <v>2000</v>
      </c>
      <c r="E166">
        <v>1024</v>
      </c>
      <c r="F166">
        <f t="shared" si="9"/>
        <v>1.953125</v>
      </c>
      <c r="I166" s="2">
        <f>('L-Values'!E166*'D(Ti_Cherniak) Times'!$F166*0.000001)^2/(4*'D(Ti_Cherniak) Times'!$C166)/(365.35*24*3600)</f>
        <v>113.28690265080736</v>
      </c>
      <c r="J166" s="2">
        <f>('L-Values'!F166*'D(Ti_Cherniak) Times'!$F166*0.000001)^2/(4*'D(Ti_Cherniak) Times'!$C166)/(365.35*24*3600)</f>
        <v>125.35559349555412</v>
      </c>
      <c r="K166" s="2">
        <f>('L-Values'!G166*'D(Ti_Cherniak) Times'!$F166*0.000001)^2/(4*'D(Ti_Cherniak) Times'!$C166)/(365.35*24*3600)</f>
        <v>34.829122704004149</v>
      </c>
      <c r="L166" s="2">
        <f>('L-Values'!H166*'D(Ti_Cherniak) Times'!$F166*0.000001)^2/(4*'D(Ti_Cherniak) Times'!$C166)/(365.35*24*3600)</f>
        <v>1434.4541378296478</v>
      </c>
      <c r="M166" s="2">
        <f>('L-Values'!I166*'D(Ti_Cherniak) Times'!$F166*0.000001)^2/(4*'D(Ti_Cherniak) Times'!$C166)/(365.35*24*3600)</f>
        <v>653.8267217145343</v>
      </c>
      <c r="N166" s="2">
        <f>('L-Values'!J166*'D(Ti_Cherniak) Times'!$F166*0.000001)^2/(4*'D(Ti_Cherniak) Times'!$C166)/(365.35*24*3600)</f>
        <v>711.0299512936399</v>
      </c>
      <c r="O166" s="2">
        <f>('L-Values'!K166*'D(Ti_Cherniak) Times'!$F166*0.000001)^2/(4*'D(Ti_Cherniak) Times'!$C166)/(365.35*24*3600)</f>
        <v>472.00967677028569</v>
      </c>
      <c r="P166" s="2">
        <f>('L-Values'!L166*'D(Ti_Cherniak) Times'!$F166*0.000001)^2/(4*'D(Ti_Cherniak) Times'!$C166)/(365.35*24*3600)</f>
        <v>476.89649661648883</v>
      </c>
      <c r="Q166" s="2">
        <f>('L-Values'!M166*'D(Ti_Cherniak) Times'!$F166*0.000001)^2/(4*'D(Ti_Cherniak) Times'!$C166)/(365.35*24*3600)</f>
        <v>725.00598045664549</v>
      </c>
      <c r="R166" s="2">
        <f>('L-Values'!N166*'D(Ti_Cherniak) Times'!$F166*0.000001)^2/(4*'D(Ti_Cherniak) Times'!$C166)/(365.35*24*3600)</f>
        <v>78.646631639638855</v>
      </c>
      <c r="S166" s="2">
        <f>('L-Values'!O166*'D(Ti_Cherniak) Times'!$F166*0.000001)^2/(4*'D(Ti_Cherniak) Times'!$C166)/(365.35*24*3600)</f>
        <v>247.80896568918595</v>
      </c>
      <c r="T166" s="2"/>
      <c r="U166" s="2">
        <f>('L-Values'!Q166*'D(Ti_Cherniak) Times'!$F166*0.000001)^2/(4*'D(Ti_Cherniak) Times'!$C166)/(365.35*24*3600)</f>
        <v>417.97120763685632</v>
      </c>
      <c r="V166" s="2">
        <f>('L-Values'!R166*'D(Ti_Cherniak) Times'!$F166*0.000001)^2/(4*'D(Ti_Cherniak) Times'!$C166)/(365.35*24*3600)</f>
        <v>374.77712512190931</v>
      </c>
      <c r="W166" s="2">
        <f>('L-Values'!S166*'D(Ti_Cherniak) Times'!$F166*0.000001)^2/(4*'D(Ti_Cherniak) Times'!$C166)/(365.35*24*3600)</f>
        <v>472.00967677028569</v>
      </c>
      <c r="X166" s="2"/>
      <c r="Y166" s="2">
        <f>('L-Values'!U166*'D(Ti_Cherniak) Times'!$F166*0.000001)^2/(4*'D(Ti_Cherniak) Times'!$C166)/(365.35*24*3600)</f>
        <v>414.6569097052037</v>
      </c>
      <c r="Z166" s="2">
        <f>('L-Values'!V166*'D(Ti_Cherniak) Times'!$F166*0.000001)^2/(4*'D(Ti_Cherniak) Times'!$C166)/(365.35*24*3600)</f>
        <v>395.63734721645574</v>
      </c>
      <c r="AA166" s="2">
        <f>('L-Values'!W166*'D(Ti_Cherniak) Times'!$F166*0.000001)^2/(4*'D(Ti_Cherniak) Times'!$C166)/(365.35*24*3600)</f>
        <v>54.323707093530217</v>
      </c>
      <c r="AB166" s="2">
        <f>('L-Values'!X166*'D(Ti_Cherniak) Times'!$F166*0.000001)^2/(4*'D(Ti_Cherniak) Times'!$C166)/(365.35*24*3600)</f>
        <v>1107.1018210261009</v>
      </c>
      <c r="AC166" s="2">
        <f t="shared" si="10"/>
        <v>341.31364012292551</v>
      </c>
      <c r="AD166" s="2">
        <f t="shared" si="11"/>
        <v>711.46447380964514</v>
      </c>
    </row>
    <row r="167" spans="1:30" x14ac:dyDescent="0.2">
      <c r="A167" t="str">
        <f>'L-Values'!A167</f>
        <v>CGI009-qtz06-CL-fit-3-offset</v>
      </c>
      <c r="B167">
        <v>750</v>
      </c>
      <c r="C167">
        <f t="shared" si="8"/>
        <v>8.0537892000481889E-22</v>
      </c>
      <c r="D167">
        <v>2000</v>
      </c>
      <c r="E167">
        <v>1024</v>
      </c>
      <c r="F167">
        <f t="shared" si="9"/>
        <v>1.953125</v>
      </c>
      <c r="I167" s="2">
        <f>('L-Values'!E167*'D(Ti_Cherniak) Times'!$F167*0.000001)^2/(4*'D(Ti_Cherniak) Times'!$C167)/(365.35*24*3600)</f>
        <v>607.32984488347256</v>
      </c>
      <c r="J167" s="2">
        <f>('L-Values'!F167*'D(Ti_Cherniak) Times'!$F167*0.000001)^2/(4*'D(Ti_Cherniak) Times'!$C167)/(365.35*24*3600)</f>
        <v>357.08134264478406</v>
      </c>
      <c r="K167" s="2">
        <f>('L-Values'!G167*'D(Ti_Cherniak) Times'!$F167*0.000001)^2/(4*'D(Ti_Cherniak) Times'!$C167)/(365.35*24*3600)</f>
        <v>556.04301042229974</v>
      </c>
      <c r="L167" s="2">
        <f>('L-Values'!H167*'D(Ti_Cherniak) Times'!$F167*0.000001)^2/(4*'D(Ti_Cherniak) Times'!$C167)/(365.35*24*3600)</f>
        <v>187.81152228612092</v>
      </c>
      <c r="M167" s="2">
        <f>('L-Values'!I167*'D(Ti_Cherniak) Times'!$F167*0.000001)^2/(4*'D(Ti_Cherniak) Times'!$C167)/(365.35*24*3600)</f>
        <v>385.679179742798</v>
      </c>
      <c r="N167" s="2">
        <f>('L-Values'!J167*'D(Ti_Cherniak) Times'!$F167*0.000001)^2/(4*'D(Ti_Cherniak) Times'!$C167)/(365.35*24*3600)</f>
        <v>245.42529417681118</v>
      </c>
      <c r="O167" s="2">
        <f>('L-Values'!K167*'D(Ti_Cherniak) Times'!$F167*0.000001)^2/(4*'D(Ti_Cherniak) Times'!$C167)/(365.35*24*3600)</f>
        <v>1014.1598233935561</v>
      </c>
      <c r="P167" s="2">
        <f>('L-Values'!L167*'D(Ti_Cherniak) Times'!$F167*0.000001)^2/(4*'D(Ti_Cherniak) Times'!$C167)/(365.35*24*3600)</f>
        <v>475.4745044026015</v>
      </c>
      <c r="Q167" s="2">
        <f>('L-Values'!M167*'D(Ti_Cherniak) Times'!$F167*0.000001)^2/(4*'D(Ti_Cherniak) Times'!$C167)/(365.35*24*3600)</f>
        <v>466.94941233454881</v>
      </c>
      <c r="R167" s="2">
        <f>('L-Values'!N167*'D(Ti_Cherniak) Times'!$F167*0.000001)^2/(4*'D(Ti_Cherniak) Times'!$C167)/(365.35*24*3600)</f>
        <v>408.20124375747002</v>
      </c>
      <c r="S167" s="2">
        <f>('L-Values'!O167*'D(Ti_Cherniak) Times'!$F167*0.000001)^2/(4*'D(Ti_Cherniak) Times'!$C167)/(365.35*24*3600)</f>
        <v>663.80743241734126</v>
      </c>
      <c r="T167" s="2"/>
      <c r="U167" s="2">
        <f>('L-Values'!Q167*'D(Ti_Cherniak) Times'!$F167*0.000001)^2/(4*'D(Ti_Cherniak) Times'!$C167)/(365.35*24*3600)</f>
        <v>467.66631763553437</v>
      </c>
      <c r="V167" s="2">
        <f>('L-Values'!R167*'D(Ti_Cherniak) Times'!$F167*0.000001)^2/(4*'D(Ti_Cherniak) Times'!$C167)/(365.35*24*3600)</f>
        <v>465.61458518293222</v>
      </c>
      <c r="W167" s="2">
        <f>('L-Values'!S167*'D(Ti_Cherniak) Times'!$F167*0.000001)^2/(4*'D(Ti_Cherniak) Times'!$C167)/(365.35*24*3600)</f>
        <v>466.94941233454881</v>
      </c>
      <c r="X167" s="2"/>
      <c r="Y167" s="2">
        <f>('L-Values'!U167*'D(Ti_Cherniak) Times'!$F167*0.000001)^2/(4*'D(Ti_Cherniak) Times'!$C167)/(365.35*24*3600)</f>
        <v>479.48773332913379</v>
      </c>
      <c r="Z167" s="2">
        <f>('L-Values'!V167*'D(Ti_Cherniak) Times'!$F167*0.000001)^2/(4*'D(Ti_Cherniak) Times'!$C167)/(365.35*24*3600)</f>
        <v>487.3667759970179</v>
      </c>
      <c r="AA167" s="2">
        <f>('L-Values'!W167*'D(Ti_Cherniak) Times'!$F167*0.000001)^2/(4*'D(Ti_Cherniak) Times'!$C167)/(365.35*24*3600)</f>
        <v>123.50655202952095</v>
      </c>
      <c r="AB167" s="2">
        <f>('L-Values'!X167*'D(Ti_Cherniak) Times'!$F167*0.000001)^2/(4*'D(Ti_Cherniak) Times'!$C167)/(365.35*24*3600)</f>
        <v>1238.0496937613509</v>
      </c>
      <c r="AC167" s="2">
        <f t="shared" si="10"/>
        <v>363.86022396749695</v>
      </c>
      <c r="AD167" s="2">
        <f t="shared" si="11"/>
        <v>750.68291776433307</v>
      </c>
    </row>
    <row r="168" spans="1:30" x14ac:dyDescent="0.2">
      <c r="A168" t="str">
        <f>'L-Values'!A168</f>
        <v>CGI009-qtz06-CL-fit-4-offset</v>
      </c>
      <c r="B168">
        <v>750</v>
      </c>
      <c r="C168">
        <f t="shared" si="8"/>
        <v>8.0537892000481889E-22</v>
      </c>
      <c r="D168">
        <v>2000</v>
      </c>
      <c r="E168">
        <v>1024</v>
      </c>
      <c r="F168">
        <f t="shared" si="9"/>
        <v>1.953125</v>
      </c>
      <c r="I168" s="2">
        <f>('L-Values'!E168*'D(Ti_Cherniak) Times'!$F168*0.000001)^2/(4*'D(Ti_Cherniak) Times'!$C168)/(365.35*24*3600)</f>
        <v>112.84390651826213</v>
      </c>
      <c r="J168" s="2">
        <f>('L-Values'!F168*'D(Ti_Cherniak) Times'!$F168*0.000001)^2/(4*'D(Ti_Cherniak) Times'!$C168)/(365.35*24*3600)</f>
        <v>50.898555582579966</v>
      </c>
      <c r="K168" s="2">
        <f>('L-Values'!G168*'D(Ti_Cherniak) Times'!$F168*0.000001)^2/(4*'D(Ti_Cherniak) Times'!$C168)/(365.35*24*3600)</f>
        <v>1.1171382893269002</v>
      </c>
      <c r="L168" s="2">
        <f>('L-Values'!H168*'D(Ti_Cherniak) Times'!$F168*0.000001)^2/(4*'D(Ti_Cherniak) Times'!$C168)/(365.35*24*3600)</f>
        <v>96.640633721688019</v>
      </c>
      <c r="M168" s="2">
        <f>('L-Values'!I168*'D(Ti_Cherniak) Times'!$F168*0.000001)^2/(4*'D(Ti_Cherniak) Times'!$C168)/(365.35*24*3600)</f>
        <v>58.567011953719295</v>
      </c>
      <c r="N168" s="2">
        <f>('L-Values'!J168*'D(Ti_Cherniak) Times'!$F168*0.000001)^2/(4*'D(Ti_Cherniak) Times'!$C168)/(365.35*24*3600)</f>
        <v>76.447130762969095</v>
      </c>
      <c r="O168" s="2">
        <f>('L-Values'!K168*'D(Ti_Cherniak) Times'!$F168*0.000001)^2/(4*'D(Ti_Cherniak) Times'!$C168)/(365.35*24*3600)</f>
        <v>3.8882474014535164</v>
      </c>
      <c r="P168" s="2">
        <f>('L-Values'!L168*'D(Ti_Cherniak) Times'!$F168*0.000001)^2/(4*'D(Ti_Cherniak) Times'!$C168)/(365.35*24*3600)</f>
        <v>82.172650210785974</v>
      </c>
      <c r="Q168" s="2">
        <f>('L-Values'!M168*'D(Ti_Cherniak) Times'!$F168*0.000001)^2/(4*'D(Ti_Cherniak) Times'!$C168)/(365.35*24*3600)</f>
        <v>617.83176530887624</v>
      </c>
      <c r="R168" s="2">
        <f>('L-Values'!N168*'D(Ti_Cherniak) Times'!$F168*0.000001)^2/(4*'D(Ti_Cherniak) Times'!$C168)/(365.35*24*3600)</f>
        <v>2.284926924147737</v>
      </c>
      <c r="S168" s="2">
        <f>('L-Values'!O168*'D(Ti_Cherniak) Times'!$F168*0.000001)^2/(4*'D(Ti_Cherniak) Times'!$C168)/(365.35*24*3600)</f>
        <v>219.95104435320891</v>
      </c>
      <c r="T168" s="2"/>
      <c r="U168" s="2">
        <f>('L-Values'!Q168*'D(Ti_Cherniak) Times'!$F168*0.000001)^2/(4*'D(Ti_Cherniak) Times'!$C168)/(365.35*24*3600)</f>
        <v>72.743709144589346</v>
      </c>
      <c r="V168" s="2">
        <f>('L-Values'!R168*'D(Ti_Cherniak) Times'!$F168*0.000001)^2/(4*'D(Ti_Cherniak) Times'!$C168)/(365.35*24*3600)</f>
        <v>78.203994730051107</v>
      </c>
      <c r="W168" s="2">
        <f>('L-Values'!S168*'D(Ti_Cherniak) Times'!$F168*0.000001)^2/(4*'D(Ti_Cherniak) Times'!$C168)/(365.35*24*3600)</f>
        <v>76.447130762969095</v>
      </c>
      <c r="X168" s="2"/>
      <c r="Y168" s="2">
        <f>('L-Values'!U168*'D(Ti_Cherniak) Times'!$F168*0.000001)^2/(4*'D(Ti_Cherniak) Times'!$C168)/(365.35*24*3600)</f>
        <v>52.752370963775682</v>
      </c>
      <c r="Z168" s="2">
        <f>('L-Values'!V168*'D(Ti_Cherniak) Times'!$F168*0.000001)^2/(4*'D(Ti_Cherniak) Times'!$C168)/(365.35*24*3600)</f>
        <v>77.516181927377104</v>
      </c>
      <c r="AA168" s="2">
        <f>('L-Values'!W168*'D(Ti_Cherniak) Times'!$F168*0.000001)^2/(4*'D(Ti_Cherniak) Times'!$C168)/(365.35*24*3600)</f>
        <v>1.6969766710840148E-2</v>
      </c>
      <c r="AB168" s="2">
        <f>('L-Values'!X168*'D(Ti_Cherniak) Times'!$F168*0.000001)^2/(4*'D(Ti_Cherniak) Times'!$C168)/(365.35*24*3600)</f>
        <v>1038.9208286335959</v>
      </c>
      <c r="AC168" s="2">
        <f t="shared" si="10"/>
        <v>77.499212160666261</v>
      </c>
      <c r="AD168" s="2">
        <f t="shared" si="11"/>
        <v>961.40464670621873</v>
      </c>
    </row>
    <row r="169" spans="1:30" x14ac:dyDescent="0.2">
      <c r="A169" t="str">
        <f>'L-Values'!A169</f>
        <v>CGI009-qtz06-CL-fit-5-offset</v>
      </c>
      <c r="B169">
        <v>750</v>
      </c>
      <c r="C169">
        <f t="shared" si="8"/>
        <v>8.0537892000481889E-22</v>
      </c>
      <c r="D169">
        <v>2000</v>
      </c>
      <c r="E169">
        <v>1024</v>
      </c>
      <c r="F169">
        <f t="shared" si="9"/>
        <v>1.953125</v>
      </c>
      <c r="I169" s="2">
        <f>('L-Values'!E169*'D(Ti_Cherniak) Times'!$F169*0.000001)^2/(4*'D(Ti_Cherniak) Times'!$C169)/(365.35*24*3600)</f>
        <v>140.70760032649119</v>
      </c>
      <c r="J169" s="2">
        <f>('L-Values'!F169*'D(Ti_Cherniak) Times'!$F169*0.000001)^2/(4*'D(Ti_Cherniak) Times'!$C169)/(365.35*24*3600)</f>
        <v>312.71035478440365</v>
      </c>
      <c r="K169" s="2">
        <f>('L-Values'!G169*'D(Ti_Cherniak) Times'!$F169*0.000001)^2/(4*'D(Ti_Cherniak) Times'!$C169)/(365.35*24*3600)</f>
        <v>148.23552853622812</v>
      </c>
      <c r="L169" s="2">
        <f>('L-Values'!H169*'D(Ti_Cherniak) Times'!$F169*0.000001)^2/(4*'D(Ti_Cherniak) Times'!$C169)/(365.35*24*3600)</f>
        <v>277.45183744197908</v>
      </c>
      <c r="M169" s="2">
        <f>('L-Values'!I169*'D(Ti_Cherniak) Times'!$F169*0.000001)^2/(4*'D(Ti_Cherniak) Times'!$C169)/(365.35*24*3600)</f>
        <v>116.9988895503709</v>
      </c>
      <c r="N169" s="2">
        <f>('L-Values'!J169*'D(Ti_Cherniak) Times'!$F169*0.000001)^2/(4*'D(Ti_Cherniak) Times'!$C169)/(365.35*24*3600)</f>
        <v>220.50251523779073</v>
      </c>
      <c r="O169" s="2">
        <f>('L-Values'!K169*'D(Ti_Cherniak) Times'!$F169*0.000001)^2/(4*'D(Ti_Cherniak) Times'!$C169)/(365.35*24*3600)</f>
        <v>174.39255781201697</v>
      </c>
      <c r="P169" s="2">
        <f>('L-Values'!L169*'D(Ti_Cherniak) Times'!$F169*0.000001)^2/(4*'D(Ti_Cherniak) Times'!$C169)/(365.35*24*3600)</f>
        <v>312.56706696703895</v>
      </c>
      <c r="Q169" s="2">
        <f>('L-Values'!M169*'D(Ti_Cherniak) Times'!$F169*0.000001)^2/(4*'D(Ti_Cherniak) Times'!$C169)/(365.35*24*3600)</f>
        <v>131.93184573793425</v>
      </c>
      <c r="R169" s="2">
        <f>('L-Values'!N169*'D(Ti_Cherniak) Times'!$F169*0.000001)^2/(4*'D(Ti_Cherniak) Times'!$C169)/(365.35*24*3600)</f>
        <v>246.39356057526393</v>
      </c>
      <c r="S169" s="2">
        <f>('L-Values'!O169*'D(Ti_Cherniak) Times'!$F169*0.000001)^2/(4*'D(Ti_Cherniak) Times'!$C169)/(365.35*24*3600)</f>
        <v>163.00100856995979</v>
      </c>
      <c r="T169" s="2"/>
      <c r="U169" s="2">
        <f>('L-Values'!Q169*'D(Ti_Cherniak) Times'!$F169*0.000001)^2/(4*'D(Ti_Cherniak) Times'!$C169)/(365.35*24*3600)</f>
        <v>207.04936078253459</v>
      </c>
      <c r="V169" s="2">
        <f>('L-Values'!R169*'D(Ti_Cherniak) Times'!$F169*0.000001)^2/(4*'D(Ti_Cherniak) Times'!$C169)/(365.35*24*3600)</f>
        <v>198.24454186543252</v>
      </c>
      <c r="W169" s="2">
        <f>('L-Values'!S169*'D(Ti_Cherniak) Times'!$F169*0.000001)^2/(4*'D(Ti_Cherniak) Times'!$C169)/(365.35*24*3600)</f>
        <v>174.39255781201697</v>
      </c>
      <c r="X169" s="2"/>
      <c r="Y169" s="2">
        <f>('L-Values'!U169*'D(Ti_Cherniak) Times'!$F169*0.000001)^2/(4*'D(Ti_Cherniak) Times'!$C169)/(365.35*24*3600)</f>
        <v>189.97379093997546</v>
      </c>
      <c r="Z169" s="2">
        <f>('L-Values'!V169*'D(Ti_Cherniak) Times'!$F169*0.000001)^2/(4*'D(Ti_Cherniak) Times'!$C169)/(365.35*24*3600)</f>
        <v>191.52809919517156</v>
      </c>
      <c r="AA169" s="2">
        <f>('L-Values'!W169*'D(Ti_Cherniak) Times'!$F169*0.000001)^2/(4*'D(Ti_Cherniak) Times'!$C169)/(365.35*24*3600)</f>
        <v>58.068407272223212</v>
      </c>
      <c r="AB169" s="2">
        <f>('L-Values'!X169*'D(Ti_Cherniak) Times'!$F169*0.000001)^2/(4*'D(Ti_Cherniak) Times'!$C169)/(365.35*24*3600)</f>
        <v>407.82121214684236</v>
      </c>
      <c r="AC169" s="2">
        <f t="shared" si="10"/>
        <v>133.45969192294837</v>
      </c>
      <c r="AD169" s="2">
        <f t="shared" si="11"/>
        <v>216.29311295167079</v>
      </c>
    </row>
    <row r="170" spans="1:30" x14ac:dyDescent="0.2">
      <c r="A170" t="str">
        <f>'L-Values'!A170</f>
        <v>CGI009-qtz07-CL-fit-1-offset</v>
      </c>
      <c r="B170">
        <v>750</v>
      </c>
      <c r="C170">
        <f t="shared" si="8"/>
        <v>8.0537892000481889E-22</v>
      </c>
      <c r="D170">
        <v>1200</v>
      </c>
      <c r="E170">
        <v>1024</v>
      </c>
      <c r="F170">
        <f t="shared" si="9"/>
        <v>1.171875</v>
      </c>
      <c r="I170" s="2">
        <f>('L-Values'!E170*'D(Ti_Cherniak) Times'!$F170*0.000001)^2/(4*'D(Ti_Cherniak) Times'!$C170)/(365.35*24*3600)</f>
        <v>270.98054719597496</v>
      </c>
      <c r="J170" s="2">
        <f>('L-Values'!F170*'D(Ti_Cherniak) Times'!$F170*0.000001)^2/(4*'D(Ti_Cherniak) Times'!$C170)/(365.35*24*3600)</f>
        <v>106.41970781744922</v>
      </c>
      <c r="K170" s="2">
        <f>('L-Values'!G170*'D(Ti_Cherniak) Times'!$F170*0.000001)^2/(4*'D(Ti_Cherniak) Times'!$C170)/(365.35*24*3600)</f>
        <v>187.38302040493639</v>
      </c>
      <c r="L170" s="2">
        <f>('L-Values'!H170*'D(Ti_Cherniak) Times'!$F170*0.000001)^2/(4*'D(Ti_Cherniak) Times'!$C170)/(365.35*24*3600)</f>
        <v>120.86799026436921</v>
      </c>
      <c r="M170" s="2">
        <f>('L-Values'!I170*'D(Ti_Cherniak) Times'!$F170*0.000001)^2/(4*'D(Ti_Cherniak) Times'!$C170)/(365.35*24*3600)</f>
        <v>147.20584796894636</v>
      </c>
      <c r="N170" s="2">
        <f>('L-Values'!J170*'D(Ti_Cherniak) Times'!$F170*0.000001)^2/(4*'D(Ti_Cherniak) Times'!$C170)/(365.35*24*3600)</f>
        <v>94.343444751054008</v>
      </c>
      <c r="O170" s="2">
        <f>('L-Values'!K170*'D(Ti_Cherniak) Times'!$F170*0.000001)^2/(4*'D(Ti_Cherniak) Times'!$C170)/(365.35*24*3600)</f>
        <v>179.95542949892172</v>
      </c>
      <c r="P170" s="2">
        <f>('L-Values'!L170*'D(Ti_Cherniak) Times'!$F170*0.000001)^2/(4*'D(Ti_Cherniak) Times'!$C170)/(365.35*24*3600)</f>
        <v>247.62122371828139</v>
      </c>
      <c r="Q170" s="2">
        <f>('L-Values'!M170*'D(Ti_Cherniak) Times'!$F170*0.000001)^2/(4*'D(Ti_Cherniak) Times'!$C170)/(365.35*24*3600)</f>
        <v>155.22350365761284</v>
      </c>
      <c r="R170" s="2">
        <f>('L-Values'!N170*'D(Ti_Cherniak) Times'!$F170*0.000001)^2/(4*'D(Ti_Cherniak) Times'!$C170)/(365.35*24*3600)</f>
        <v>226.82933936194934</v>
      </c>
      <c r="S170" s="2">
        <f>('L-Values'!O170*'D(Ti_Cherniak) Times'!$F170*0.000001)^2/(4*'D(Ti_Cherniak) Times'!$C170)/(365.35*24*3600)</f>
        <v>279.32785381486786</v>
      </c>
      <c r="T170" s="2"/>
      <c r="U170" s="2">
        <f>('L-Values'!Q170*'D(Ti_Cherniak) Times'!$F170*0.000001)^2/(4*'D(Ti_Cherniak) Times'!$C170)/(365.35*24*3600)</f>
        <v>182.00607214969804</v>
      </c>
      <c r="V170" s="2">
        <f>('L-Values'!R170*'D(Ti_Cherniak) Times'!$F170*0.000001)^2/(4*'D(Ti_Cherniak) Times'!$C170)/(365.35*24*3600)</f>
        <v>177.83369178187826</v>
      </c>
      <c r="W170" s="2">
        <f>('L-Values'!S170*'D(Ti_Cherniak) Times'!$F170*0.000001)^2/(4*'D(Ti_Cherniak) Times'!$C170)/(365.35*24*3600)</f>
        <v>179.95542949892172</v>
      </c>
      <c r="X170" s="2"/>
      <c r="Y170" s="2">
        <f>('L-Values'!U170*'D(Ti_Cherniak) Times'!$F170*0.000001)^2/(4*'D(Ti_Cherniak) Times'!$C170)/(365.35*24*3600)</f>
        <v>175.5407580899583</v>
      </c>
      <c r="Z170" s="2">
        <f>('L-Values'!V170*'D(Ti_Cherniak) Times'!$F170*0.000001)^2/(4*'D(Ti_Cherniak) Times'!$C170)/(365.35*24*3600)</f>
        <v>185.31793591807121</v>
      </c>
      <c r="AA170" s="2">
        <f>('L-Values'!W170*'D(Ti_Cherniak) Times'!$F170*0.000001)^2/(4*'D(Ti_Cherniak) Times'!$C170)/(365.35*24*3600)</f>
        <v>55.174491060644584</v>
      </c>
      <c r="AB170" s="2">
        <f>('L-Values'!X170*'D(Ti_Cherniak) Times'!$F170*0.000001)^2/(4*'D(Ti_Cherniak) Times'!$C170)/(365.35*24*3600)</f>
        <v>448.44092079478492</v>
      </c>
      <c r="AC170" s="2">
        <f t="shared" si="10"/>
        <v>130.14344485742663</v>
      </c>
      <c r="AD170" s="2">
        <f t="shared" si="11"/>
        <v>263.1229848767137</v>
      </c>
    </row>
    <row r="171" spans="1:30" x14ac:dyDescent="0.2">
      <c r="A171" t="str">
        <f>'L-Values'!A171</f>
        <v>CGI009-qtz07-CL-fit-2-offset</v>
      </c>
      <c r="B171">
        <v>750</v>
      </c>
      <c r="C171">
        <f t="shared" si="8"/>
        <v>8.0537892000481889E-22</v>
      </c>
      <c r="D171">
        <v>1200</v>
      </c>
      <c r="E171">
        <v>1024</v>
      </c>
      <c r="F171">
        <f t="shared" si="9"/>
        <v>1.171875</v>
      </c>
      <c r="I171" s="2">
        <f>('L-Values'!E171*'D(Ti_Cherniak) Times'!$F171*0.000001)^2/(4*'D(Ti_Cherniak) Times'!$C171)/(365.35*24*3600)</f>
        <v>25.449324639509523</v>
      </c>
      <c r="J171" s="2">
        <f>('L-Values'!F171*'D(Ti_Cherniak) Times'!$F171*0.000001)^2/(4*'D(Ti_Cherniak) Times'!$C171)/(365.35*24*3600)</f>
        <v>20.294616365147359</v>
      </c>
      <c r="K171" s="2">
        <f>('L-Values'!G171*'D(Ti_Cherniak) Times'!$F171*0.000001)^2/(4*'D(Ti_Cherniak) Times'!$C171)/(365.35*24*3600)</f>
        <v>9.0908927219238631</v>
      </c>
      <c r="L171" s="2">
        <f>('L-Values'!H171*'D(Ti_Cherniak) Times'!$F171*0.000001)^2/(4*'D(Ti_Cherniak) Times'!$C171)/(365.35*24*3600)</f>
        <v>0.55984694395541079</v>
      </c>
      <c r="M171" s="2">
        <f>('L-Values'!I171*'D(Ti_Cherniak) Times'!$F171*0.000001)^2/(4*'D(Ti_Cherniak) Times'!$C171)/(365.35*24*3600)</f>
        <v>9.1157527526676621</v>
      </c>
      <c r="N171" s="2">
        <f>('L-Values'!J171*'D(Ti_Cherniak) Times'!$F171*0.000001)^2/(4*'D(Ti_Cherniak) Times'!$C171)/(365.35*24*3600)</f>
        <v>44.613145048206398</v>
      </c>
      <c r="O171" s="2">
        <f>('L-Values'!K171*'D(Ti_Cherniak) Times'!$F171*0.000001)^2/(4*'D(Ti_Cherniak) Times'!$C171)/(365.35*24*3600)</f>
        <v>1.7802167926592894E-3</v>
      </c>
      <c r="P171" s="2">
        <f>('L-Values'!L171*'D(Ti_Cherniak) Times'!$F171*0.000001)^2/(4*'D(Ti_Cherniak) Times'!$C171)/(365.35*24*3600)</f>
        <v>174.99943928662276</v>
      </c>
      <c r="Q171" s="2">
        <f>('L-Values'!M171*'D(Ti_Cherniak) Times'!$F171*0.000001)^2/(4*'D(Ti_Cherniak) Times'!$C171)/(365.35*24*3600)</f>
        <v>44.57503937043937</v>
      </c>
      <c r="R171" s="2">
        <f>('L-Values'!N171*'D(Ti_Cherniak) Times'!$F171*0.000001)^2/(4*'D(Ti_Cherniak) Times'!$C171)/(365.35*24*3600)</f>
        <v>93.280211526218778</v>
      </c>
      <c r="S171" s="2">
        <f>('L-Values'!O171*'D(Ti_Cherniak) Times'!$F171*0.000001)^2/(4*'D(Ti_Cherniak) Times'!$C171)/(365.35*24*3600)</f>
        <v>5.8612820777003618</v>
      </c>
      <c r="T171" s="2"/>
      <c r="U171" s="2">
        <f>('L-Values'!Q171*'D(Ti_Cherniak) Times'!$F171*0.000001)^2/(4*'D(Ti_Cherniak) Times'!$C171)/(365.35*24*3600)</f>
        <v>36.372819247446664</v>
      </c>
      <c r="V171" s="2">
        <f>('L-Values'!R171*'D(Ti_Cherniak) Times'!$F171*0.000001)^2/(4*'D(Ti_Cherniak) Times'!$C171)/(365.35*24*3600)</f>
        <v>25.034669606534401</v>
      </c>
      <c r="W171" s="2">
        <f>('L-Values'!S171*'D(Ti_Cherniak) Times'!$F171*0.000001)^2/(4*'D(Ti_Cherniak) Times'!$C171)/(365.35*24*3600)</f>
        <v>20.294616365147359</v>
      </c>
      <c r="X171" s="2"/>
      <c r="Y171" s="2">
        <f>('L-Values'!U171*'D(Ti_Cherniak) Times'!$F171*0.000001)^2/(4*'D(Ti_Cherniak) Times'!$C171)/(365.35*24*3600)</f>
        <v>38.102586134323047</v>
      </c>
      <c r="Z171" s="2">
        <f>('L-Values'!V171*'D(Ti_Cherniak) Times'!$F171*0.000001)^2/(4*'D(Ti_Cherniak) Times'!$C171)/(365.35*24*3600)</f>
        <v>39.193620325308103</v>
      </c>
      <c r="AA171" s="2">
        <f>('L-Values'!W171*'D(Ti_Cherniak) Times'!$F171*0.000001)^2/(4*'D(Ti_Cherniak) Times'!$C171)/(365.35*24*3600)</f>
        <v>7.8698849347766928E-2</v>
      </c>
      <c r="AB171" s="2">
        <f>('L-Values'!X171*'D(Ti_Cherniak) Times'!$F171*0.000001)^2/(4*'D(Ti_Cherniak) Times'!$C171)/(365.35*24*3600)</f>
        <v>277.15227632381988</v>
      </c>
      <c r="AC171" s="2">
        <f t="shared" si="10"/>
        <v>39.114921475960337</v>
      </c>
      <c r="AD171" s="2">
        <f t="shared" si="11"/>
        <v>237.95865599851177</v>
      </c>
    </row>
    <row r="172" spans="1:30" x14ac:dyDescent="0.2">
      <c r="A172" t="str">
        <f>'L-Values'!A172</f>
        <v>CGI009-qtz07-CL-fit-3-offset</v>
      </c>
      <c r="B172">
        <v>750</v>
      </c>
      <c r="C172">
        <f t="shared" si="8"/>
        <v>8.0537892000481889E-22</v>
      </c>
      <c r="D172">
        <v>1200</v>
      </c>
      <c r="E172">
        <v>1024</v>
      </c>
      <c r="F172">
        <f t="shared" si="9"/>
        <v>1.171875</v>
      </c>
      <c r="I172" s="2">
        <f>('L-Values'!E172*'D(Ti_Cherniak) Times'!$F172*0.000001)^2/(4*'D(Ti_Cherniak) Times'!$C172)/(365.35*24*3600)</f>
        <v>78.830600789980167</v>
      </c>
      <c r="J172" s="2">
        <f>('L-Values'!F172*'D(Ti_Cherniak) Times'!$F172*0.000001)^2/(4*'D(Ti_Cherniak) Times'!$C172)/(365.35*24*3600)</f>
        <v>67.097095891551248</v>
      </c>
      <c r="K172" s="2">
        <f>('L-Values'!G172*'D(Ti_Cherniak) Times'!$F172*0.000001)^2/(4*'D(Ti_Cherniak) Times'!$C172)/(365.35*24*3600)</f>
        <v>28.319479906532816</v>
      </c>
      <c r="L172" s="2">
        <f>('L-Values'!H172*'D(Ti_Cherniak) Times'!$F172*0.000001)^2/(4*'D(Ti_Cherniak) Times'!$C172)/(365.35*24*3600)</f>
        <v>72.727090029557473</v>
      </c>
      <c r="M172" s="2">
        <f>('L-Values'!I172*'D(Ti_Cherniak) Times'!$F172*0.000001)^2/(4*'D(Ti_Cherniak) Times'!$C172)/(365.35*24*3600)</f>
        <v>152.1786850004199</v>
      </c>
      <c r="N172" s="2">
        <f>('L-Values'!J172*'D(Ti_Cherniak) Times'!$F172*0.000001)^2/(4*'D(Ti_Cherniak) Times'!$C172)/(365.35*24*3600)</f>
        <v>56.63667233747892</v>
      </c>
      <c r="O172" s="2">
        <f>('L-Values'!K172*'D(Ti_Cherniak) Times'!$F172*0.000001)^2/(4*'D(Ti_Cherniak) Times'!$C172)/(365.35*24*3600)</f>
        <v>67.441861984492775</v>
      </c>
      <c r="P172" s="2">
        <f>('L-Values'!L172*'D(Ti_Cherniak) Times'!$F172*0.000001)^2/(4*'D(Ti_Cherniak) Times'!$C172)/(365.35*24*3600)</f>
        <v>33.255858409519675</v>
      </c>
      <c r="Q172" s="2">
        <f>('L-Values'!M172*'D(Ti_Cherniak) Times'!$F172*0.000001)^2/(4*'D(Ti_Cherniak) Times'!$C172)/(365.35*24*3600)</f>
        <v>52.011515532724076</v>
      </c>
      <c r="R172" s="2">
        <f>('L-Values'!N172*'D(Ti_Cherniak) Times'!$F172*0.000001)^2/(4*'D(Ti_Cherniak) Times'!$C172)/(365.35*24*3600)</f>
        <v>59.201947905613885</v>
      </c>
      <c r="S172" s="2">
        <f>('L-Values'!O172*'D(Ti_Cherniak) Times'!$F172*0.000001)^2/(4*'D(Ti_Cherniak) Times'!$C172)/(365.35*24*3600)</f>
        <v>89.604107636153373</v>
      </c>
      <c r="T172" s="2"/>
      <c r="U172" s="2">
        <f>('L-Values'!Q172*'D(Ti_Cherniak) Times'!$F172*0.000001)^2/(4*'D(Ti_Cherniak) Times'!$C172)/(365.35*24*3600)</f>
        <v>62.731280046939034</v>
      </c>
      <c r="V172" s="2">
        <f>('L-Values'!R172*'D(Ti_Cherniak) Times'!$F172*0.000001)^2/(4*'D(Ti_Cherniak) Times'!$C172)/(365.35*24*3600)</f>
        <v>65.657998359253085</v>
      </c>
      <c r="W172" s="2">
        <f>('L-Values'!S172*'D(Ti_Cherniak) Times'!$F172*0.000001)^2/(4*'D(Ti_Cherniak) Times'!$C172)/(365.35*24*3600)</f>
        <v>67.097095891551248</v>
      </c>
      <c r="X172" s="2"/>
      <c r="Y172" s="2">
        <f>('L-Values'!U172*'D(Ti_Cherniak) Times'!$F172*0.000001)^2/(4*'D(Ti_Cherniak) Times'!$C172)/(365.35*24*3600)</f>
        <v>64.533547017467626</v>
      </c>
      <c r="Z172" s="2">
        <f>('L-Values'!V172*'D(Ti_Cherniak) Times'!$F172*0.000001)^2/(4*'D(Ti_Cherniak) Times'!$C172)/(365.35*24*3600)</f>
        <v>64.824173792986969</v>
      </c>
      <c r="AA172" s="2">
        <f>('L-Values'!W172*'D(Ti_Cherniak) Times'!$F172*0.000001)^2/(4*'D(Ti_Cherniak) Times'!$C172)/(365.35*24*3600)</f>
        <v>11.337257569119473</v>
      </c>
      <c r="AB172" s="2">
        <f>('L-Values'!X172*'D(Ti_Cherniak) Times'!$F172*0.000001)^2/(4*'D(Ti_Cherniak) Times'!$C172)/(365.35*24*3600)</f>
        <v>190.35628728216071</v>
      </c>
      <c r="AC172" s="2">
        <f t="shared" si="10"/>
        <v>53.486916223867496</v>
      </c>
      <c r="AD172" s="2">
        <f t="shared" si="11"/>
        <v>125.53211348917374</v>
      </c>
    </row>
    <row r="173" spans="1:30" x14ac:dyDescent="0.2">
      <c r="A173" t="str">
        <f>'L-Values'!A173</f>
        <v>CGI009-qtz07-CL-fit-4-offset</v>
      </c>
      <c r="B173">
        <v>750</v>
      </c>
      <c r="C173">
        <f t="shared" si="8"/>
        <v>8.0537892000481889E-22</v>
      </c>
      <c r="D173">
        <v>1200</v>
      </c>
      <c r="E173">
        <v>1024</v>
      </c>
      <c r="F173">
        <f t="shared" si="9"/>
        <v>1.171875</v>
      </c>
      <c r="I173" s="2">
        <f>('L-Values'!E173*'D(Ti_Cherniak) Times'!$F173*0.000001)^2/(4*'D(Ti_Cherniak) Times'!$C173)/(365.35*24*3600)</f>
        <v>2.9714385881806273</v>
      </c>
      <c r="J173" s="2">
        <f>('L-Values'!F173*'D(Ti_Cherniak) Times'!$F173*0.000001)^2/(4*'D(Ti_Cherniak) Times'!$C173)/(365.35*24*3600)</f>
        <v>79.799911242595641</v>
      </c>
      <c r="K173" s="2">
        <f>('L-Values'!G173*'D(Ti_Cherniak) Times'!$F173*0.000001)^2/(4*'D(Ti_Cherniak) Times'!$C173)/(365.35*24*3600)</f>
        <v>92.651884863473384</v>
      </c>
      <c r="L173" s="2">
        <f>('L-Values'!H173*'D(Ti_Cherniak) Times'!$F173*0.000001)^2/(4*'D(Ti_Cherniak) Times'!$C173)/(365.35*24*3600)</f>
        <v>16.524582119400499</v>
      </c>
      <c r="M173" s="2">
        <f>('L-Values'!I173*'D(Ti_Cherniak) Times'!$F173*0.000001)^2/(4*'D(Ti_Cherniak) Times'!$C173)/(365.35*24*3600)</f>
        <v>52.906986338651798</v>
      </c>
      <c r="N173" s="2">
        <f>('L-Values'!J173*'D(Ti_Cherniak) Times'!$F173*0.000001)^2/(4*'D(Ti_Cherniak) Times'!$C173)/(365.35*24*3600)</f>
        <v>28.782656271567301</v>
      </c>
      <c r="O173" s="2">
        <f>('L-Values'!K173*'D(Ti_Cherniak) Times'!$F173*0.000001)^2/(4*'D(Ti_Cherniak) Times'!$C173)/(365.35*24*3600)</f>
        <v>53.532586866881374</v>
      </c>
      <c r="P173" s="2">
        <f>('L-Values'!L173*'D(Ti_Cherniak) Times'!$F173*0.000001)^2/(4*'D(Ti_Cherniak) Times'!$C173)/(365.35*24*3600)</f>
        <v>96.145842220670232</v>
      </c>
      <c r="Q173" s="2">
        <f>('L-Values'!M173*'D(Ti_Cherniak) Times'!$F173*0.000001)^2/(4*'D(Ti_Cherniak) Times'!$C173)/(365.35*24*3600)</f>
        <v>83.750833866529192</v>
      </c>
      <c r="R173" s="2">
        <f>('L-Values'!N173*'D(Ti_Cherniak) Times'!$F173*0.000001)^2/(4*'D(Ti_Cherniak) Times'!$C173)/(365.35*24*3600)</f>
        <v>1.5176689334097566E-2</v>
      </c>
      <c r="S173" s="2">
        <f>('L-Values'!O173*'D(Ti_Cherniak) Times'!$F173*0.000001)^2/(4*'D(Ti_Cherniak) Times'!$C173)/(365.35*24*3600)</f>
        <v>13.301526553731616</v>
      </c>
      <c r="T173" s="2"/>
      <c r="U173" s="2">
        <f>('L-Values'!Q173*'D(Ti_Cherniak) Times'!$F173*0.000001)^2/(4*'D(Ti_Cherniak) Times'!$C173)/(365.35*24*3600)</f>
        <v>39.937034456586083</v>
      </c>
      <c r="V173" s="2">
        <f>('L-Values'!R173*'D(Ti_Cherniak) Times'!$F173*0.000001)^2/(4*'D(Ti_Cherniak) Times'!$C173)/(365.35*24*3600)</f>
        <v>37.132430062615597</v>
      </c>
      <c r="W173" s="2">
        <f>('L-Values'!S173*'D(Ti_Cherniak) Times'!$F173*0.000001)^2/(4*'D(Ti_Cherniak) Times'!$C173)/(365.35*24*3600)</f>
        <v>52.906986338651798</v>
      </c>
      <c r="X173" s="2"/>
      <c r="Y173" s="2">
        <f>('L-Values'!U173*'D(Ti_Cherniak) Times'!$F173*0.000001)^2/(4*'D(Ti_Cherniak) Times'!$C173)/(365.35*24*3600)</f>
        <v>29.748359522309592</v>
      </c>
      <c r="Z173" s="2">
        <f>('L-Values'!V173*'D(Ti_Cherniak) Times'!$F173*0.000001)^2/(4*'D(Ti_Cherniak) Times'!$C173)/(365.35*24*3600)</f>
        <v>36.084299105782755</v>
      </c>
      <c r="AA173" s="2">
        <f>('L-Values'!W173*'D(Ti_Cherniak) Times'!$F173*0.000001)^2/(4*'D(Ti_Cherniak) Times'!$C173)/(365.35*24*3600)</f>
        <v>1.7190879406989215E-11</v>
      </c>
      <c r="AB173" s="2">
        <f>('L-Values'!X173*'D(Ti_Cherniak) Times'!$F173*0.000001)^2/(4*'D(Ti_Cherniak) Times'!$C173)/(365.35*24*3600)</f>
        <v>294.66984818116902</v>
      </c>
      <c r="AC173" s="2">
        <f t="shared" si="10"/>
        <v>36.084299105765567</v>
      </c>
      <c r="AD173" s="2">
        <f t="shared" si="11"/>
        <v>258.58554907538627</v>
      </c>
    </row>
    <row r="174" spans="1:30" x14ac:dyDescent="0.2">
      <c r="A174" t="str">
        <f>'L-Values'!A174</f>
        <v>CGI009-qtz08-CL-fit-1-offset</v>
      </c>
      <c r="B174">
        <v>750</v>
      </c>
      <c r="C174">
        <f t="shared" si="8"/>
        <v>8.0537892000481889E-22</v>
      </c>
      <c r="D174">
        <v>2300</v>
      </c>
      <c r="E174">
        <v>1024</v>
      </c>
      <c r="F174">
        <f t="shared" si="9"/>
        <v>2.24609375</v>
      </c>
      <c r="I174" s="2">
        <f>('L-Values'!E174*'D(Ti_Cherniak) Times'!$F174*0.000001)^2/(4*'D(Ti_Cherniak) Times'!$C174)/(365.35*24*3600)</f>
        <v>242.02598084532076</v>
      </c>
      <c r="J174" s="2">
        <f>('L-Values'!F174*'D(Ti_Cherniak) Times'!$F174*0.000001)^2/(4*'D(Ti_Cherniak) Times'!$C174)/(365.35*24*3600)</f>
        <v>1554.5896543479444</v>
      </c>
      <c r="K174" s="2">
        <f>('L-Values'!G174*'D(Ti_Cherniak) Times'!$F174*0.000001)^2/(4*'D(Ti_Cherniak) Times'!$C174)/(365.35*24*3600)</f>
        <v>468.9357111102654</v>
      </c>
      <c r="L174" s="2">
        <f>('L-Values'!H174*'D(Ti_Cherniak) Times'!$F174*0.000001)^2/(4*'D(Ti_Cherniak) Times'!$C174)/(365.35*24*3600)</f>
        <v>545.17397304008341</v>
      </c>
      <c r="M174" s="2">
        <f>('L-Values'!I174*'D(Ti_Cherniak) Times'!$F174*0.000001)^2/(4*'D(Ti_Cherniak) Times'!$C174)/(365.35*24*3600)</f>
        <v>1940.507423289682</v>
      </c>
      <c r="N174" s="2">
        <f>('L-Values'!J174*'D(Ti_Cherniak) Times'!$F174*0.000001)^2/(4*'D(Ti_Cherniak) Times'!$C174)/(365.35*24*3600)</f>
        <v>1096.6510729629963</v>
      </c>
      <c r="O174" s="2">
        <f>('L-Values'!K174*'D(Ti_Cherniak) Times'!$F174*0.000001)^2/(4*'D(Ti_Cherniak) Times'!$C174)/(365.35*24*3600)</f>
        <v>620.61490343052208</v>
      </c>
      <c r="P174" s="2">
        <f>('L-Values'!L174*'D(Ti_Cherniak) Times'!$F174*0.000001)^2/(4*'D(Ti_Cherniak) Times'!$C174)/(365.35*24*3600)</f>
        <v>426.10462682574553</v>
      </c>
      <c r="Q174" s="2">
        <f>('L-Values'!M174*'D(Ti_Cherniak) Times'!$F174*0.000001)^2/(4*'D(Ti_Cherniak) Times'!$C174)/(365.35*24*3600)</f>
        <v>593.18441572628092</v>
      </c>
      <c r="R174" s="2">
        <f>('L-Values'!N174*'D(Ti_Cherniak) Times'!$F174*0.000001)^2/(4*'D(Ti_Cherniak) Times'!$C174)/(365.35*24*3600)</f>
        <v>659.93226202429958</v>
      </c>
      <c r="S174" s="2">
        <f>('L-Values'!O174*'D(Ti_Cherniak) Times'!$F174*0.000001)^2/(4*'D(Ti_Cherniak) Times'!$C174)/(365.35*24*3600)</f>
        <v>527.06946833286713</v>
      </c>
      <c r="T174" s="2"/>
      <c r="U174" s="2">
        <f>('L-Values'!Q174*'D(Ti_Cherniak) Times'!$F174*0.000001)^2/(4*'D(Ti_Cherniak) Times'!$C174)/(365.35*24*3600)</f>
        <v>765.91886715222563</v>
      </c>
      <c r="V174" s="2">
        <f>('L-Values'!R174*'D(Ti_Cherniak) Times'!$F174*0.000001)^2/(4*'D(Ti_Cherniak) Times'!$C174)/(365.35*24*3600)</f>
        <v>722.69681494519716</v>
      </c>
      <c r="W174" s="2">
        <f>('L-Values'!S174*'D(Ti_Cherniak) Times'!$F174*0.000001)^2/(4*'D(Ti_Cherniak) Times'!$C174)/(365.35*24*3600)</f>
        <v>593.18441572628092</v>
      </c>
      <c r="X174" s="2"/>
      <c r="Y174" s="2">
        <f>('L-Values'!U174*'D(Ti_Cherniak) Times'!$F174*0.000001)^2/(4*'D(Ti_Cherniak) Times'!$C174)/(365.35*24*3600)</f>
        <v>662.73033331336376</v>
      </c>
      <c r="Z174" s="2">
        <f>('L-Values'!V174*'D(Ti_Cherniak) Times'!$F174*0.000001)^2/(4*'D(Ti_Cherniak) Times'!$C174)/(365.35*24*3600)</f>
        <v>656.23948645043242</v>
      </c>
      <c r="AA174" s="2">
        <f>('L-Values'!W174*'D(Ti_Cherniak) Times'!$F174*0.000001)^2/(4*'D(Ti_Cherniak) Times'!$C174)/(365.35*24*3600)</f>
        <v>23.446594100066264</v>
      </c>
      <c r="AB174" s="2">
        <f>('L-Values'!X174*'D(Ti_Cherniak) Times'!$F174*0.000001)^2/(4*'D(Ti_Cherniak) Times'!$C174)/(365.35*24*3600)</f>
        <v>1957.7580963944458</v>
      </c>
      <c r="AC174" s="2">
        <f t="shared" si="10"/>
        <v>632.79289235036617</v>
      </c>
      <c r="AD174" s="2">
        <f t="shared" si="11"/>
        <v>1301.5186099440134</v>
      </c>
    </row>
    <row r="175" spans="1:30" x14ac:dyDescent="0.2">
      <c r="A175" t="str">
        <f>'L-Values'!A175</f>
        <v>CGI009-qtz08-CL-fit-2-offset</v>
      </c>
      <c r="B175">
        <v>750</v>
      </c>
      <c r="C175">
        <f t="shared" si="8"/>
        <v>8.0537892000481889E-22</v>
      </c>
      <c r="D175">
        <v>2300</v>
      </c>
      <c r="E175">
        <v>1024</v>
      </c>
      <c r="F175">
        <f t="shared" si="9"/>
        <v>2.24609375</v>
      </c>
      <c r="I175" s="2">
        <f>('L-Values'!E175*'D(Ti_Cherniak) Times'!$F175*0.000001)^2/(4*'D(Ti_Cherniak) Times'!$C175)/(365.35*24*3600)</f>
        <v>1311.1038491543634</v>
      </c>
      <c r="J175" s="2">
        <f>('L-Values'!F175*'D(Ti_Cherniak) Times'!$F175*0.000001)^2/(4*'D(Ti_Cherniak) Times'!$C175)/(365.35*24*3600)</f>
        <v>1036.7209417789313</v>
      </c>
      <c r="K175" s="2">
        <f>('L-Values'!G175*'D(Ti_Cherniak) Times'!$F175*0.000001)^2/(4*'D(Ti_Cherniak) Times'!$C175)/(365.35*24*3600)</f>
        <v>1559.0908150230096</v>
      </c>
      <c r="L175" s="2">
        <f>('L-Values'!H175*'D(Ti_Cherniak) Times'!$F175*0.000001)^2/(4*'D(Ti_Cherniak) Times'!$C175)/(365.35*24*3600)</f>
        <v>1393.7047069248522</v>
      </c>
      <c r="M175" s="2">
        <f>('L-Values'!I175*'D(Ti_Cherniak) Times'!$F175*0.000001)^2/(4*'D(Ti_Cherniak) Times'!$C175)/(365.35*24*3600)</f>
        <v>1587.6589013889452</v>
      </c>
      <c r="N175" s="2">
        <f>('L-Values'!J175*'D(Ti_Cherniak) Times'!$F175*0.000001)^2/(4*'D(Ti_Cherniak) Times'!$C175)/(365.35*24*3600)</f>
        <v>1046.753619624586</v>
      </c>
      <c r="O175" s="2">
        <f>('L-Values'!K175*'D(Ti_Cherniak) Times'!$F175*0.000001)^2/(4*'D(Ti_Cherniak) Times'!$C175)/(365.35*24*3600)</f>
        <v>2240.9128584896162</v>
      </c>
      <c r="P175" s="2">
        <f>('L-Values'!L175*'D(Ti_Cherniak) Times'!$F175*0.000001)^2/(4*'D(Ti_Cherniak) Times'!$C175)/(365.35*24*3600)</f>
        <v>1272.385665926508</v>
      </c>
      <c r="Q175" s="2">
        <f>('L-Values'!M175*'D(Ti_Cherniak) Times'!$F175*0.000001)^2/(4*'D(Ti_Cherniak) Times'!$C175)/(365.35*24*3600)</f>
        <v>1912.1275898740405</v>
      </c>
      <c r="R175" s="2">
        <f>('L-Values'!N175*'D(Ti_Cherniak) Times'!$F175*0.000001)^2/(4*'D(Ti_Cherniak) Times'!$C175)/(365.35*24*3600)</f>
        <v>1474.3642654210282</v>
      </c>
      <c r="S175" s="2">
        <f>('L-Values'!O175*'D(Ti_Cherniak) Times'!$F175*0.000001)^2/(4*'D(Ti_Cherniak) Times'!$C175)/(365.35*24*3600)</f>
        <v>1661.8103415774603</v>
      </c>
      <c r="T175" s="2"/>
      <c r="U175" s="2">
        <f>('L-Values'!Q175*'D(Ti_Cherniak) Times'!$F175*0.000001)^2/(4*'D(Ti_Cherniak) Times'!$C175)/(365.35*24*3600)</f>
        <v>1489.5303431192069</v>
      </c>
      <c r="V175" s="2">
        <f>('L-Values'!R175*'D(Ti_Cherniak) Times'!$F175*0.000001)^2/(4*'D(Ti_Cherniak) Times'!$C175)/(365.35*24*3600)</f>
        <v>1481.014369663932</v>
      </c>
      <c r="W175" s="2">
        <f>('L-Values'!S175*'D(Ti_Cherniak) Times'!$F175*0.000001)^2/(4*'D(Ti_Cherniak) Times'!$C175)/(365.35*24*3600)</f>
        <v>1474.3642654210282</v>
      </c>
      <c r="X175" s="2"/>
      <c r="Y175" s="2">
        <f>('L-Values'!U175*'D(Ti_Cherniak) Times'!$F175*0.000001)^2/(4*'D(Ti_Cherniak) Times'!$C175)/(365.35*24*3600)</f>
        <v>1484.3504707516126</v>
      </c>
      <c r="Z175" s="2">
        <f>('L-Values'!V175*'D(Ti_Cherniak) Times'!$F175*0.000001)^2/(4*'D(Ti_Cherniak) Times'!$C175)/(365.35*24*3600)</f>
        <v>1513.4979391929023</v>
      </c>
      <c r="AA175" s="2">
        <f>('L-Values'!W175*'D(Ti_Cherniak) Times'!$F175*0.000001)^2/(4*'D(Ti_Cherniak) Times'!$C175)/(365.35*24*3600)</f>
        <v>897.31895336614434</v>
      </c>
      <c r="AB175" s="2">
        <f>('L-Values'!X175*'D(Ti_Cherniak) Times'!$F175*0.000001)^2/(4*'D(Ti_Cherniak) Times'!$C175)/(365.35*24*3600)</f>
        <v>2407.743256312162</v>
      </c>
      <c r="AC175" s="2">
        <f t="shared" si="10"/>
        <v>616.17898582675798</v>
      </c>
      <c r="AD175" s="2">
        <f t="shared" si="11"/>
        <v>894.24531711925965</v>
      </c>
    </row>
    <row r="176" spans="1:30" x14ac:dyDescent="0.2">
      <c r="A176" t="str">
        <f>'L-Values'!A176</f>
        <v>CGI009-qtz08-CL-fit-3-offset</v>
      </c>
      <c r="B176">
        <v>750</v>
      </c>
      <c r="C176">
        <f t="shared" si="8"/>
        <v>8.0537892000481889E-22</v>
      </c>
      <c r="D176">
        <v>2300</v>
      </c>
      <c r="E176">
        <v>1024</v>
      </c>
      <c r="F176">
        <f t="shared" si="9"/>
        <v>2.24609375</v>
      </c>
      <c r="I176" s="2">
        <f>('L-Values'!E176*'D(Ti_Cherniak) Times'!$F176*0.000001)^2/(4*'D(Ti_Cherniak) Times'!$C176)/(365.35*24*3600)</f>
        <v>1089.1814113285682</v>
      </c>
      <c r="J176" s="2">
        <f>('L-Values'!F176*'D(Ti_Cherniak) Times'!$F176*0.000001)^2/(4*'D(Ti_Cherniak) Times'!$C176)/(365.35*24*3600)</f>
        <v>1192.3432357729382</v>
      </c>
      <c r="K176" s="2">
        <f>('L-Values'!G176*'D(Ti_Cherniak) Times'!$F176*0.000001)^2/(4*'D(Ti_Cherniak) Times'!$C176)/(365.35*24*3600)</f>
        <v>2004.128188797019</v>
      </c>
      <c r="L176" s="2">
        <f>('L-Values'!H176*'D(Ti_Cherniak) Times'!$F176*0.000001)^2/(4*'D(Ti_Cherniak) Times'!$C176)/(365.35*24*3600)</f>
        <v>960.24169012552443</v>
      </c>
      <c r="M176" s="2">
        <f>('L-Values'!I176*'D(Ti_Cherniak) Times'!$F176*0.000001)^2/(4*'D(Ti_Cherniak) Times'!$C176)/(365.35*24*3600)</f>
        <v>743.53428074098485</v>
      </c>
      <c r="N176" s="2">
        <f>('L-Values'!J176*'D(Ti_Cherniak) Times'!$F176*0.000001)^2/(4*'D(Ti_Cherniak) Times'!$C176)/(365.35*24*3600)</f>
        <v>699.43125594372464</v>
      </c>
      <c r="O176" s="2">
        <f>('L-Values'!K176*'D(Ti_Cherniak) Times'!$F176*0.000001)^2/(4*'D(Ti_Cherniak) Times'!$C176)/(365.35*24*3600)</f>
        <v>1467.3337549152234</v>
      </c>
      <c r="P176" s="2">
        <f>('L-Values'!L176*'D(Ti_Cherniak) Times'!$F176*0.000001)^2/(4*'D(Ti_Cherniak) Times'!$C176)/(365.35*24*3600)</f>
        <v>510.67160293169479</v>
      </c>
      <c r="Q176" s="2">
        <f>('L-Values'!M176*'D(Ti_Cherniak) Times'!$F176*0.000001)^2/(4*'D(Ti_Cherniak) Times'!$C176)/(365.35*24*3600)</f>
        <v>1505.2542053292188</v>
      </c>
      <c r="R176" s="2">
        <f>('L-Values'!N176*'D(Ti_Cherniak) Times'!$F176*0.000001)^2/(4*'D(Ti_Cherniak) Times'!$C176)/(365.35*24*3600)</f>
        <v>990.8927271820188</v>
      </c>
      <c r="S176" s="2">
        <f>('L-Values'!O176*'D(Ti_Cherniak) Times'!$F176*0.000001)^2/(4*'D(Ti_Cherniak) Times'!$C176)/(365.35*24*3600)</f>
        <v>1795.7343727161142</v>
      </c>
      <c r="T176" s="2"/>
      <c r="U176" s="2">
        <f>('L-Values'!Q176*'D(Ti_Cherniak) Times'!$F176*0.000001)^2/(4*'D(Ti_Cherniak) Times'!$C176)/(365.35*24*3600)</f>
        <v>1135.4197861023292</v>
      </c>
      <c r="V176" s="2">
        <f>('L-Values'!R176*'D(Ti_Cherniak) Times'!$F176*0.000001)^2/(4*'D(Ti_Cherniak) Times'!$C176)/(365.35*24*3600)</f>
        <v>1134.8256927858115</v>
      </c>
      <c r="W176" s="2">
        <f>('L-Values'!S176*'D(Ti_Cherniak) Times'!$F176*0.000001)^2/(4*'D(Ti_Cherniak) Times'!$C176)/(365.35*24*3600)</f>
        <v>1089.1814113285682</v>
      </c>
      <c r="X176" s="2"/>
      <c r="Y176" s="2">
        <f>('L-Values'!U176*'D(Ti_Cherniak) Times'!$F176*0.000001)^2/(4*'D(Ti_Cherniak) Times'!$C176)/(365.35*24*3600)</f>
        <v>1130.4689598222296</v>
      </c>
      <c r="Z176" s="2">
        <f>('L-Values'!V176*'D(Ti_Cherniak) Times'!$F176*0.000001)^2/(4*'D(Ti_Cherniak) Times'!$C176)/(365.35*24*3600)</f>
        <v>1174.6919119685383</v>
      </c>
      <c r="AA176" s="2">
        <f>('L-Values'!W176*'D(Ti_Cherniak) Times'!$F176*0.000001)^2/(4*'D(Ti_Cherniak) Times'!$C176)/(365.35*24*3600)</f>
        <v>363.71263987871959</v>
      </c>
      <c r="AB176" s="2">
        <f>('L-Values'!X176*'D(Ti_Cherniak) Times'!$F176*0.000001)^2/(4*'D(Ti_Cherniak) Times'!$C176)/(365.35*24*3600)</f>
        <v>2736.8271994804477</v>
      </c>
      <c r="AC176" s="2">
        <f t="shared" si="10"/>
        <v>810.97927208981878</v>
      </c>
      <c r="AD176" s="2">
        <f t="shared" si="11"/>
        <v>1562.1352875119094</v>
      </c>
    </row>
    <row r="177" spans="1:30" x14ac:dyDescent="0.2">
      <c r="A177" t="str">
        <f>'L-Values'!A177</f>
        <v>CGI009-qtz08-CL-fit-4-offset</v>
      </c>
      <c r="B177">
        <v>750</v>
      </c>
      <c r="C177">
        <f t="shared" si="8"/>
        <v>8.0537892000481889E-22</v>
      </c>
      <c r="D177">
        <v>2300</v>
      </c>
      <c r="E177">
        <v>1024</v>
      </c>
      <c r="F177">
        <f t="shared" si="9"/>
        <v>2.24609375</v>
      </c>
      <c r="I177" s="2">
        <f>('L-Values'!E177*'D(Ti_Cherniak) Times'!$F177*0.000001)^2/(4*'D(Ti_Cherniak) Times'!$C177)/(365.35*24*3600)</f>
        <v>0</v>
      </c>
      <c r="J177" s="2">
        <f>('L-Values'!F177*'D(Ti_Cherniak) Times'!$F177*0.000001)^2/(4*'D(Ti_Cherniak) Times'!$C177)/(365.35*24*3600)</f>
        <v>895.53911765074622</v>
      </c>
      <c r="K177" s="2">
        <f>('L-Values'!G177*'D(Ti_Cherniak) Times'!$F177*0.000001)^2/(4*'D(Ti_Cherniak) Times'!$C177)/(365.35*24*3600)</f>
        <v>1596.3766547601535</v>
      </c>
      <c r="L177" s="2">
        <f>('L-Values'!H177*'D(Ti_Cherniak) Times'!$F177*0.000001)^2/(4*'D(Ti_Cherniak) Times'!$C177)/(365.35*24*3600)</f>
        <v>1276.674371624254</v>
      </c>
      <c r="M177" s="2">
        <f>('L-Values'!I177*'D(Ti_Cherniak) Times'!$F177*0.000001)^2/(4*'D(Ti_Cherniak) Times'!$C177)/(365.35*24*3600)</f>
        <v>1303.3999773923733</v>
      </c>
      <c r="N177" s="2">
        <f>('L-Values'!J177*'D(Ti_Cherniak) Times'!$F177*0.000001)^2/(4*'D(Ti_Cherniak) Times'!$C177)/(365.35*24*3600)</f>
        <v>419.10627518138551</v>
      </c>
      <c r="O177" s="2">
        <f>('L-Values'!K177*'D(Ti_Cherniak) Times'!$F177*0.000001)^2/(4*'D(Ti_Cherniak) Times'!$C177)/(365.35*24*3600)</f>
        <v>221.91801186367505</v>
      </c>
      <c r="P177" s="2">
        <f>('L-Values'!L177*'D(Ti_Cherniak) Times'!$F177*0.000001)^2/(4*'D(Ti_Cherniak) Times'!$C177)/(365.35*24*3600)</f>
        <v>1289.7238718586495</v>
      </c>
      <c r="Q177" s="2">
        <f>('L-Values'!M177*'D(Ti_Cherniak) Times'!$F177*0.000001)^2/(4*'D(Ti_Cherniak) Times'!$C177)/(365.35*24*3600)</f>
        <v>41.833345299718957</v>
      </c>
      <c r="R177" s="2">
        <f>('L-Values'!N177*'D(Ti_Cherniak) Times'!$F177*0.000001)^2/(4*'D(Ti_Cherniak) Times'!$C177)/(365.35*24*3600)</f>
        <v>1538.3038321381991</v>
      </c>
      <c r="S177" s="2">
        <f>('L-Values'!O177*'D(Ti_Cherniak) Times'!$F177*0.000001)^2/(4*'D(Ti_Cherniak) Times'!$C177)/(365.35*24*3600)</f>
        <v>0.15555988394386319</v>
      </c>
      <c r="T177" s="2"/>
      <c r="U177" s="2">
        <f>('L-Values'!Q177*'D(Ti_Cherniak) Times'!$F177*0.000001)^2/(4*'D(Ti_Cherniak) Times'!$C177)/(365.35*24*3600)</f>
        <v>1051.4410278979572</v>
      </c>
      <c r="V177" s="2">
        <f>('L-Values'!R177*'D(Ti_Cherniak) Times'!$F177*0.000001)^2/(4*'D(Ti_Cherniak) Times'!$C177)/(365.35*24*3600)</f>
        <v>671.21759909614593</v>
      </c>
      <c r="W177" s="2">
        <f>('L-Values'!S177*'D(Ti_Cherniak) Times'!$F177*0.000001)^2/(4*'D(Ti_Cherniak) Times'!$C177)/(365.35*24*3600)</f>
        <v>1077.6821781952447</v>
      </c>
      <c r="X177" s="2"/>
      <c r="Y177" s="2">
        <f>('L-Values'!U177*'D(Ti_Cherniak) Times'!$F177*0.000001)^2/(4*'D(Ti_Cherniak) Times'!$C177)/(365.35*24*3600)</f>
        <v>109.60751297932258</v>
      </c>
      <c r="Z177" s="2">
        <f>('L-Values'!V177*'D(Ti_Cherniak) Times'!$F177*0.000001)^2/(4*'D(Ti_Cherniak) Times'!$C177)/(365.35*24*3600)</f>
        <v>340.36618116297751</v>
      </c>
      <c r="AA177" s="2">
        <f>('L-Values'!W177*'D(Ti_Cherniak) Times'!$F177*0.000001)^2/(4*'D(Ti_Cherniak) Times'!$C177)/(365.35*24*3600)</f>
        <v>3.9901689085957487E-3</v>
      </c>
      <c r="AB177" s="2">
        <f>('L-Values'!X177*'D(Ti_Cherniak) Times'!$F177*0.000001)^2/(4*'D(Ti_Cherniak) Times'!$C177)/(365.35*24*3600)</f>
        <v>4662.6568902520603</v>
      </c>
      <c r="AC177" s="2">
        <f t="shared" si="10"/>
        <v>340.3621909940689</v>
      </c>
      <c r="AD177" s="2">
        <f t="shared" si="11"/>
        <v>4322.2907090890831</v>
      </c>
    </row>
    <row r="178" spans="1:30" x14ac:dyDescent="0.2">
      <c r="A178" t="str">
        <f>'L-Values'!A178</f>
        <v>CGI009-qtz08-CL-fit-5-offset</v>
      </c>
      <c r="B178">
        <v>750</v>
      </c>
      <c r="C178">
        <f t="shared" si="8"/>
        <v>8.0537892000481889E-22</v>
      </c>
      <c r="D178">
        <v>2300</v>
      </c>
      <c r="E178">
        <v>1024</v>
      </c>
      <c r="F178">
        <f t="shared" si="9"/>
        <v>2.24609375</v>
      </c>
      <c r="I178" s="2">
        <f>('L-Values'!E178*'D(Ti_Cherniak) Times'!$F178*0.000001)^2/(4*'D(Ti_Cherniak) Times'!$C178)/(365.35*24*3600)</f>
        <v>219.72583519929753</v>
      </c>
      <c r="J178" s="2">
        <f>('L-Values'!F178*'D(Ti_Cherniak) Times'!$F178*0.000001)^2/(4*'D(Ti_Cherniak) Times'!$C178)/(365.35*24*3600)</f>
        <v>167.50376344952227</v>
      </c>
      <c r="K178" s="2">
        <f>('L-Values'!G178*'D(Ti_Cherniak) Times'!$F178*0.000001)^2/(4*'D(Ti_Cherniak) Times'!$C178)/(365.35*24*3600)</f>
        <v>256.41462516764932</v>
      </c>
      <c r="L178" s="2">
        <f>('L-Values'!H178*'D(Ti_Cherniak) Times'!$F178*0.000001)^2/(4*'D(Ti_Cherniak) Times'!$C178)/(365.35*24*3600)</f>
        <v>244.72489653823783</v>
      </c>
      <c r="M178" s="2">
        <f>('L-Values'!I178*'D(Ti_Cherniak) Times'!$F178*0.000001)^2/(4*'D(Ti_Cherniak) Times'!$C178)/(365.35*24*3600)</f>
        <v>457.5242665232276</v>
      </c>
      <c r="N178" s="2">
        <f>('L-Values'!J178*'D(Ti_Cherniak) Times'!$F178*0.000001)^2/(4*'D(Ti_Cherniak) Times'!$C178)/(365.35*24*3600)</f>
        <v>104.94569852162746</v>
      </c>
      <c r="O178" s="2">
        <f>('L-Values'!K178*'D(Ti_Cherniak) Times'!$F178*0.000001)^2/(4*'D(Ti_Cherniak) Times'!$C178)/(365.35*24*3600)</f>
        <v>265.11158919142605</v>
      </c>
      <c r="P178" s="2">
        <f>('L-Values'!L178*'D(Ti_Cherniak) Times'!$F178*0.000001)^2/(4*'D(Ti_Cherniak) Times'!$C178)/(365.35*24*3600)</f>
        <v>262.13872233992169</v>
      </c>
      <c r="Q178" s="2">
        <f>('L-Values'!M178*'D(Ti_Cherniak) Times'!$F178*0.000001)^2/(4*'D(Ti_Cherniak) Times'!$C178)/(365.35*24*3600)</f>
        <v>399.50366461380406</v>
      </c>
      <c r="R178" s="2">
        <f>('L-Values'!N178*'D(Ti_Cherniak) Times'!$F178*0.000001)^2/(4*'D(Ti_Cherniak) Times'!$C178)/(365.35*24*3600)</f>
        <v>348.39424700760998</v>
      </c>
      <c r="S178" s="2">
        <f>('L-Values'!O178*'D(Ti_Cherniak) Times'!$F178*0.000001)^2/(4*'D(Ti_Cherniak) Times'!$C178)/(365.35*24*3600)</f>
        <v>298.44771103217784</v>
      </c>
      <c r="T178" s="2"/>
      <c r="U178" s="2">
        <f>('L-Values'!Q178*'D(Ti_Cherniak) Times'!$F178*0.000001)^2/(4*'D(Ti_Cherniak) Times'!$C178)/(365.35*24*3600)</f>
        <v>266.69598247321505</v>
      </c>
      <c r="V178" s="2">
        <f>('L-Values'!R178*'D(Ti_Cherniak) Times'!$F178*0.000001)^2/(4*'D(Ti_Cherniak) Times'!$C178)/(365.35*24*3600)</f>
        <v>266.1576505753635</v>
      </c>
      <c r="W178" s="2">
        <f>('L-Values'!S178*'D(Ti_Cherniak) Times'!$F178*0.000001)^2/(4*'D(Ti_Cherniak) Times'!$C178)/(365.35*24*3600)</f>
        <v>262.13872233992169</v>
      </c>
      <c r="X178" s="2"/>
      <c r="Y178" s="2">
        <f>('L-Values'!U178*'D(Ti_Cherniak) Times'!$F178*0.000001)^2/(4*'D(Ti_Cherniak) Times'!$C178)/(365.35*24*3600)</f>
        <v>243.7581019618691</v>
      </c>
      <c r="Z178" s="2">
        <f>('L-Values'!V178*'D(Ti_Cherniak) Times'!$F178*0.000001)^2/(4*'D(Ti_Cherniak) Times'!$C178)/(365.35*24*3600)</f>
        <v>256.77231026527193</v>
      </c>
      <c r="AA178" s="2">
        <f>('L-Values'!W178*'D(Ti_Cherniak) Times'!$F178*0.000001)^2/(4*'D(Ti_Cherniak) Times'!$C178)/(365.35*24*3600)</f>
        <v>75.508878784303192</v>
      </c>
      <c r="AB178" s="2">
        <f>('L-Values'!X178*'D(Ti_Cherniak) Times'!$F178*0.000001)^2/(4*'D(Ti_Cherniak) Times'!$C178)/(365.35*24*3600)</f>
        <v>638.74375763014677</v>
      </c>
      <c r="AC178" s="2">
        <f t="shared" si="10"/>
        <v>181.26343148096873</v>
      </c>
      <c r="AD178" s="2">
        <f t="shared" si="11"/>
        <v>381.97144736487485</v>
      </c>
    </row>
    <row r="179" spans="1:30" x14ac:dyDescent="0.2">
      <c r="A179" t="str">
        <f>'L-Values'!A179</f>
        <v>CGI009-qtz09-CL-fit-1-offset</v>
      </c>
      <c r="B179">
        <v>750</v>
      </c>
      <c r="C179">
        <f t="shared" si="8"/>
        <v>8.0537892000481889E-22</v>
      </c>
      <c r="D179">
        <v>2100</v>
      </c>
      <c r="E179">
        <v>1024</v>
      </c>
      <c r="F179">
        <f t="shared" si="9"/>
        <v>2.05078125</v>
      </c>
      <c r="I179" s="2">
        <f>('L-Values'!E179*'D(Ti_Cherniak) Times'!$F179*0.000001)^2/(4*'D(Ti_Cherniak) Times'!$C179)/(365.35*24*3600)</f>
        <v>1131.6123972179375</v>
      </c>
      <c r="J179" s="2">
        <f>('L-Values'!F179*'D(Ti_Cherniak) Times'!$F179*0.000001)^2/(4*'D(Ti_Cherniak) Times'!$C179)/(365.35*24*3600)</f>
        <v>689.7907767457333</v>
      </c>
      <c r="K179" s="2">
        <f>('L-Values'!G179*'D(Ti_Cherniak) Times'!$F179*0.000001)^2/(4*'D(Ti_Cherniak) Times'!$C179)/(365.35*24*3600)</f>
        <v>809.16560728101592</v>
      </c>
      <c r="L179" s="2">
        <f>('L-Values'!H179*'D(Ti_Cherniak) Times'!$F179*0.000001)^2/(4*'D(Ti_Cherniak) Times'!$C179)/(365.35*24*3600)</f>
        <v>935.68439086232149</v>
      </c>
      <c r="M179" s="2">
        <f>('L-Values'!I179*'D(Ti_Cherniak) Times'!$F179*0.000001)^2/(4*'D(Ti_Cherniak) Times'!$C179)/(365.35*24*3600)</f>
        <v>779.96183832645841</v>
      </c>
      <c r="N179" s="2">
        <f>('L-Values'!J179*'D(Ti_Cherniak) Times'!$F179*0.000001)^2/(4*'D(Ti_Cherniak) Times'!$C179)/(365.35*24*3600)</f>
        <v>769.60951600214469</v>
      </c>
      <c r="O179" s="2">
        <f>('L-Values'!K179*'D(Ti_Cherniak) Times'!$F179*0.000001)^2/(4*'D(Ti_Cherniak) Times'!$C179)/(365.35*24*3600)</f>
        <v>801.27335498699938</v>
      </c>
      <c r="P179" s="2">
        <f>('L-Values'!L179*'D(Ti_Cherniak) Times'!$F179*0.000001)^2/(4*'D(Ti_Cherniak) Times'!$C179)/(365.35*24*3600)</f>
        <v>1260.6529924399795</v>
      </c>
      <c r="Q179" s="2">
        <f>('L-Values'!M179*'D(Ti_Cherniak) Times'!$F179*0.000001)^2/(4*'D(Ti_Cherniak) Times'!$C179)/(365.35*24*3600)</f>
        <v>1197.2766668647705</v>
      </c>
      <c r="R179" s="2">
        <f>('L-Values'!N179*'D(Ti_Cherniak) Times'!$F179*0.000001)^2/(4*'D(Ti_Cherniak) Times'!$C179)/(365.35*24*3600)</f>
        <v>836.3097429569109</v>
      </c>
      <c r="S179" s="2">
        <f>('L-Values'!O179*'D(Ti_Cherniak) Times'!$F179*0.000001)^2/(4*'D(Ti_Cherniak) Times'!$C179)/(365.35*24*3600)</f>
        <v>720.73192988647759</v>
      </c>
      <c r="T179" s="2"/>
      <c r="U179" s="2">
        <f>('L-Values'!Q179*'D(Ti_Cherniak) Times'!$F179*0.000001)^2/(4*'D(Ti_Cherniak) Times'!$C179)/(365.35*24*3600)</f>
        <v>901.48621269652131</v>
      </c>
      <c r="V179" s="2">
        <f>('L-Values'!R179*'D(Ti_Cherniak) Times'!$F179*0.000001)^2/(4*'D(Ti_Cherniak) Times'!$C179)/(365.35*24*3600)</f>
        <v>893.39769408974871</v>
      </c>
      <c r="W179" s="2">
        <f>('L-Values'!S179*'D(Ti_Cherniak) Times'!$F179*0.000001)^2/(4*'D(Ti_Cherniak) Times'!$C179)/(365.35*24*3600)</f>
        <v>809.16560728101592</v>
      </c>
      <c r="X179" s="2"/>
      <c r="Y179" s="2">
        <f>('L-Values'!U179*'D(Ti_Cherniak) Times'!$F179*0.000001)^2/(4*'D(Ti_Cherniak) Times'!$C179)/(365.35*24*3600)</f>
        <v>908.33796074758959</v>
      </c>
      <c r="Z179" s="2">
        <f>('L-Values'!V179*'D(Ti_Cherniak) Times'!$F179*0.000001)^2/(4*'D(Ti_Cherniak) Times'!$C179)/(365.35*24*3600)</f>
        <v>961.40187810592874</v>
      </c>
      <c r="AA179" s="2">
        <f>('L-Values'!W179*'D(Ti_Cherniak) Times'!$F179*0.000001)^2/(4*'D(Ti_Cherniak) Times'!$C179)/(365.35*24*3600)</f>
        <v>551.15268415501157</v>
      </c>
      <c r="AB179" s="2">
        <f>('L-Values'!X179*'D(Ti_Cherniak) Times'!$F179*0.000001)^2/(4*'D(Ti_Cherniak) Times'!$C179)/(365.35*24*3600)</f>
        <v>1777.8483479912541</v>
      </c>
      <c r="AC179" s="2">
        <f t="shared" si="10"/>
        <v>410.24919395091717</v>
      </c>
      <c r="AD179" s="2">
        <f t="shared" si="11"/>
        <v>816.44646988532531</v>
      </c>
    </row>
    <row r="180" spans="1:30" x14ac:dyDescent="0.2">
      <c r="A180" t="str">
        <f>'L-Values'!A180</f>
        <v>CGI009-qtz09-CL-fit-2-offset</v>
      </c>
      <c r="B180">
        <v>750</v>
      </c>
      <c r="C180">
        <f t="shared" si="8"/>
        <v>8.0537892000481889E-22</v>
      </c>
      <c r="D180">
        <v>2100</v>
      </c>
      <c r="E180">
        <v>1024</v>
      </c>
      <c r="F180">
        <f t="shared" si="9"/>
        <v>2.05078125</v>
      </c>
      <c r="I180" s="2">
        <f>('L-Values'!E180*'D(Ti_Cherniak) Times'!$F180*0.000001)^2/(4*'D(Ti_Cherniak) Times'!$C180)/(365.35*24*3600)</f>
        <v>682.52558556375607</v>
      </c>
      <c r="J180" s="2">
        <f>('L-Values'!F180*'D(Ti_Cherniak) Times'!$F180*0.000001)^2/(4*'D(Ti_Cherniak) Times'!$C180)/(365.35*24*3600)</f>
        <v>1181.5556685037345</v>
      </c>
      <c r="K180" s="2">
        <f>('L-Values'!G180*'D(Ti_Cherniak) Times'!$F180*0.000001)^2/(4*'D(Ti_Cherniak) Times'!$C180)/(365.35*24*3600)</f>
        <v>878.36116866069926</v>
      </c>
      <c r="L180" s="2">
        <f>('L-Values'!H180*'D(Ti_Cherniak) Times'!$F180*0.000001)^2/(4*'D(Ti_Cherniak) Times'!$C180)/(365.35*24*3600)</f>
        <v>2609.3355938140412</v>
      </c>
      <c r="M180" s="2">
        <f>('L-Values'!I180*'D(Ti_Cherniak) Times'!$F180*0.000001)^2/(4*'D(Ti_Cherniak) Times'!$C180)/(365.35*24*3600)</f>
        <v>955.67201805566515</v>
      </c>
      <c r="N180" s="2">
        <f>('L-Values'!J180*'D(Ti_Cherniak) Times'!$F180*0.000001)^2/(4*'D(Ti_Cherniak) Times'!$C180)/(365.35*24*3600)</f>
        <v>1255.9238175789799</v>
      </c>
      <c r="O180" s="2">
        <f>('L-Values'!K180*'D(Ti_Cherniak) Times'!$F180*0.000001)^2/(4*'D(Ti_Cherniak) Times'!$C180)/(365.35*24*3600)</f>
        <v>1017.5160991286225</v>
      </c>
      <c r="P180" s="2">
        <f>('L-Values'!L180*'D(Ti_Cherniak) Times'!$F180*0.000001)^2/(4*'D(Ti_Cherniak) Times'!$C180)/(365.35*24*3600)</f>
        <v>938.11697485230775</v>
      </c>
      <c r="Q180" s="2">
        <f>('L-Values'!M180*'D(Ti_Cherniak) Times'!$F180*0.000001)^2/(4*'D(Ti_Cherniak) Times'!$C180)/(365.35*24*3600)</f>
        <v>1444.8057923462236</v>
      </c>
      <c r="R180" s="2">
        <f>('L-Values'!N180*'D(Ti_Cherniak) Times'!$F180*0.000001)^2/(4*'D(Ti_Cherniak) Times'!$C180)/(365.35*24*3600)</f>
        <v>1046.5226667989514</v>
      </c>
      <c r="S180" s="2">
        <f>('L-Values'!O180*'D(Ti_Cherniak) Times'!$F180*0.000001)^2/(4*'D(Ti_Cherniak) Times'!$C180)/(365.35*24*3600)</f>
        <v>791.98761239226735</v>
      </c>
      <c r="T180" s="2"/>
      <c r="U180" s="2">
        <f>('L-Values'!Q180*'D(Ti_Cherniak) Times'!$F180*0.000001)^2/(4*'D(Ti_Cherniak) Times'!$C180)/(365.35*24*3600)</f>
        <v>1081.5955065500002</v>
      </c>
      <c r="V180" s="2">
        <f>('L-Values'!R180*'D(Ti_Cherniak) Times'!$F180*0.000001)^2/(4*'D(Ti_Cherniak) Times'!$C180)/(365.35*24*3600)</f>
        <v>1122.864242478269</v>
      </c>
      <c r="W180" s="2">
        <f>('L-Values'!S180*'D(Ti_Cherniak) Times'!$F180*0.000001)^2/(4*'D(Ti_Cherniak) Times'!$C180)/(365.35*24*3600)</f>
        <v>1017.5160991286225</v>
      </c>
      <c r="X180" s="2"/>
      <c r="Y180" s="2">
        <f>('L-Values'!U180*'D(Ti_Cherniak) Times'!$F180*0.000001)^2/(4*'D(Ti_Cherniak) Times'!$C180)/(365.35*24*3600)</f>
        <v>1103.782823683752</v>
      </c>
      <c r="Z180" s="2">
        <f>('L-Values'!V180*'D(Ti_Cherniak) Times'!$F180*0.000001)^2/(4*'D(Ti_Cherniak) Times'!$C180)/(365.35*24*3600)</f>
        <v>1080.7901084845648</v>
      </c>
      <c r="AA180" s="2">
        <f>('L-Values'!W180*'D(Ti_Cherniak) Times'!$F180*0.000001)^2/(4*'D(Ti_Cherniak) Times'!$C180)/(365.35*24*3600)</f>
        <v>540.95860660742096</v>
      </c>
      <c r="AB180" s="2">
        <f>('L-Values'!X180*'D(Ti_Cherniak) Times'!$F180*0.000001)^2/(4*'D(Ti_Cherniak) Times'!$C180)/(365.35*24*3600)</f>
        <v>1940.951396463111</v>
      </c>
      <c r="AC180" s="2">
        <f t="shared" si="10"/>
        <v>539.83150187714386</v>
      </c>
      <c r="AD180" s="2">
        <f t="shared" si="11"/>
        <v>860.16128797854617</v>
      </c>
    </row>
    <row r="181" spans="1:30" x14ac:dyDescent="0.2">
      <c r="A181" t="str">
        <f>'L-Values'!A181</f>
        <v>CGI009-qtz09-CL-fit-3-offset</v>
      </c>
      <c r="B181">
        <v>750</v>
      </c>
      <c r="C181">
        <f t="shared" si="8"/>
        <v>8.0537892000481889E-22</v>
      </c>
      <c r="D181">
        <v>2100</v>
      </c>
      <c r="E181">
        <v>1024</v>
      </c>
      <c r="F181">
        <f t="shared" si="9"/>
        <v>2.05078125</v>
      </c>
      <c r="I181" s="2">
        <f>('L-Values'!E181*'D(Ti_Cherniak) Times'!$F181*0.000001)^2/(4*'D(Ti_Cherniak) Times'!$C181)/(365.35*24*3600)</f>
        <v>417.08021165745578</v>
      </c>
      <c r="J181" s="2">
        <f>('L-Values'!F181*'D(Ti_Cherniak) Times'!$F181*0.000001)^2/(4*'D(Ti_Cherniak) Times'!$C181)/(365.35*24*3600)</f>
        <v>209.72307745954021</v>
      </c>
      <c r="K181" s="2">
        <f>('L-Values'!G181*'D(Ti_Cherniak) Times'!$F181*0.000001)^2/(4*'D(Ti_Cherniak) Times'!$C181)/(365.35*24*3600)</f>
        <v>292.32029807621171</v>
      </c>
      <c r="L181" s="2">
        <f>('L-Values'!H181*'D(Ti_Cherniak) Times'!$F181*0.000001)^2/(4*'D(Ti_Cherniak) Times'!$C181)/(365.35*24*3600)</f>
        <v>190.47959381976762</v>
      </c>
      <c r="M181" s="2">
        <f>('L-Values'!I181*'D(Ti_Cherniak) Times'!$F181*0.000001)^2/(4*'D(Ti_Cherniak) Times'!$C181)/(365.35*24*3600)</f>
        <v>393.36615974616132</v>
      </c>
      <c r="N181" s="2">
        <f>('L-Values'!J181*'D(Ti_Cherniak) Times'!$F181*0.000001)^2/(4*'D(Ti_Cherniak) Times'!$C181)/(365.35*24*3600)</f>
        <v>331.06127594332196</v>
      </c>
      <c r="O181" s="2">
        <f>('L-Values'!K181*'D(Ti_Cherniak) Times'!$F181*0.000001)^2/(4*'D(Ti_Cherniak) Times'!$C181)/(365.35*24*3600)</f>
        <v>240.79791146339133</v>
      </c>
      <c r="P181" s="2">
        <f>('L-Values'!L181*'D(Ti_Cherniak) Times'!$F181*0.000001)^2/(4*'D(Ti_Cherniak) Times'!$C181)/(365.35*24*3600)</f>
        <v>265.79792241667212</v>
      </c>
      <c r="Q181" s="2">
        <f>('L-Values'!M181*'D(Ti_Cherniak) Times'!$F181*0.000001)^2/(4*'D(Ti_Cherniak) Times'!$C181)/(365.35*24*3600)</f>
        <v>251.07563799371198</v>
      </c>
      <c r="R181" s="2">
        <f>('L-Values'!N181*'D(Ti_Cherniak) Times'!$F181*0.000001)^2/(4*'D(Ti_Cherniak) Times'!$C181)/(365.35*24*3600)</f>
        <v>254.87740119313398</v>
      </c>
      <c r="S181" s="2">
        <f>('L-Values'!O181*'D(Ti_Cherniak) Times'!$F181*0.000001)^2/(4*'D(Ti_Cherniak) Times'!$C181)/(365.35*24*3600)</f>
        <v>389.39390154775981</v>
      </c>
      <c r="T181" s="2"/>
      <c r="U181" s="2">
        <f>('L-Values'!Q181*'D(Ti_Cherniak) Times'!$F181*0.000001)^2/(4*'D(Ti_Cherniak) Times'!$C181)/(365.35*24*3600)</f>
        <v>289.93843696881322</v>
      </c>
      <c r="V181" s="2">
        <f>('L-Values'!R181*'D(Ti_Cherniak) Times'!$F181*0.000001)^2/(4*'D(Ti_Cherniak) Times'!$C181)/(365.35*24*3600)</f>
        <v>289.60616517203329</v>
      </c>
      <c r="W181" s="2">
        <f>('L-Values'!S181*'D(Ti_Cherniak) Times'!$F181*0.000001)^2/(4*'D(Ti_Cherniak) Times'!$C181)/(365.35*24*3600)</f>
        <v>265.79792241667212</v>
      </c>
      <c r="X181" s="2"/>
      <c r="Y181" s="2">
        <f>('L-Values'!U181*'D(Ti_Cherniak) Times'!$F181*0.000001)^2/(4*'D(Ti_Cherniak) Times'!$C181)/(365.35*24*3600)</f>
        <v>288.95126928701302</v>
      </c>
      <c r="Z181" s="2">
        <f>('L-Values'!V181*'D(Ti_Cherniak) Times'!$F181*0.000001)^2/(4*'D(Ti_Cherniak) Times'!$C181)/(365.35*24*3600)</f>
        <v>287.09322374879844</v>
      </c>
      <c r="AA181" s="2">
        <f>('L-Values'!W181*'D(Ti_Cherniak) Times'!$F181*0.000001)^2/(4*'D(Ti_Cherniak) Times'!$C181)/(365.35*24*3600)</f>
        <v>144.88640920348337</v>
      </c>
      <c r="AB181" s="2">
        <f>('L-Values'!X181*'D(Ti_Cherniak) Times'!$F181*0.000001)^2/(4*'D(Ti_Cherniak) Times'!$C181)/(365.35*24*3600)</f>
        <v>497.8800145290511</v>
      </c>
      <c r="AC181" s="2">
        <f t="shared" si="10"/>
        <v>142.20681454531507</v>
      </c>
      <c r="AD181" s="2">
        <f t="shared" si="11"/>
        <v>210.78679078025266</v>
      </c>
    </row>
    <row r="182" spans="1:30" x14ac:dyDescent="0.2">
      <c r="A182" t="str">
        <f>'L-Values'!A182</f>
        <v>CGI009-qtz09-CL-fit-4-offset</v>
      </c>
      <c r="B182">
        <v>750</v>
      </c>
      <c r="C182">
        <f t="shared" si="8"/>
        <v>8.0537892000481889E-22</v>
      </c>
      <c r="D182">
        <v>2100</v>
      </c>
      <c r="E182">
        <v>1024</v>
      </c>
      <c r="F182">
        <f t="shared" si="9"/>
        <v>2.05078125</v>
      </c>
      <c r="I182" s="2">
        <f>('L-Values'!E182*'D(Ti_Cherniak) Times'!$F182*0.000001)^2/(4*'D(Ti_Cherniak) Times'!$C182)/(365.35*24*3600)</f>
        <v>94.444229107937417</v>
      </c>
      <c r="J182" s="2">
        <f>('L-Values'!F182*'D(Ti_Cherniak) Times'!$F182*0.000001)^2/(4*'D(Ti_Cherniak) Times'!$C182)/(365.35*24*3600)</f>
        <v>80.205065041501669</v>
      </c>
      <c r="K182" s="2">
        <f>('L-Values'!G182*'D(Ti_Cherniak) Times'!$F182*0.000001)^2/(4*'D(Ti_Cherniak) Times'!$C182)/(365.35*24*3600)</f>
        <v>72.323402350357341</v>
      </c>
      <c r="L182" s="2">
        <f>('L-Values'!H182*'D(Ti_Cherniak) Times'!$F182*0.000001)^2/(4*'D(Ti_Cherniak) Times'!$C182)/(365.35*24*3600)</f>
        <v>72.8690750787014</v>
      </c>
      <c r="M182" s="2">
        <f>('L-Values'!I182*'D(Ti_Cherniak) Times'!$F182*0.000001)^2/(4*'D(Ti_Cherniak) Times'!$C182)/(365.35*24*3600)</f>
        <v>158.93259495352285</v>
      </c>
      <c r="N182" s="2">
        <f>('L-Values'!J182*'D(Ti_Cherniak) Times'!$F182*0.000001)^2/(4*'D(Ti_Cherniak) Times'!$C182)/(365.35*24*3600)</f>
        <v>107.95874556769968</v>
      </c>
      <c r="O182" s="2">
        <f>('L-Values'!K182*'D(Ti_Cherniak) Times'!$F182*0.000001)^2/(4*'D(Ti_Cherniak) Times'!$C182)/(365.35*24*3600)</f>
        <v>68.629939942359712</v>
      </c>
      <c r="P182" s="2">
        <f>('L-Values'!L182*'D(Ti_Cherniak) Times'!$F182*0.000001)^2/(4*'D(Ti_Cherniak) Times'!$C182)/(365.35*24*3600)</f>
        <v>32.596867703555645</v>
      </c>
      <c r="Q182" s="2">
        <f>('L-Values'!M182*'D(Ti_Cherniak) Times'!$F182*0.000001)^2/(4*'D(Ti_Cherniak) Times'!$C182)/(365.35*24*3600)</f>
        <v>46.671943516625717</v>
      </c>
      <c r="R182" s="2">
        <f>('L-Values'!N182*'D(Ti_Cherniak) Times'!$F182*0.000001)^2/(4*'D(Ti_Cherniak) Times'!$C182)/(365.35*24*3600)</f>
        <v>62.098915314421347</v>
      </c>
      <c r="S182" s="2">
        <f>('L-Values'!O182*'D(Ti_Cherniak) Times'!$F182*0.000001)^2/(4*'D(Ti_Cherniak) Times'!$C182)/(365.35*24*3600)</f>
        <v>27.064945117383807</v>
      </c>
      <c r="T182" s="2"/>
      <c r="U182" s="2">
        <f>('L-Values'!Q182*'D(Ti_Cherniak) Times'!$F182*0.000001)^2/(4*'D(Ti_Cherniak) Times'!$C182)/(365.35*24*3600)</f>
        <v>82.767204455310946</v>
      </c>
      <c r="V182" s="2">
        <f>('L-Values'!R182*'D(Ti_Cherniak) Times'!$F182*0.000001)^2/(4*'D(Ti_Cherniak) Times'!$C182)/(365.35*24*3600)</f>
        <v>70.896168988324561</v>
      </c>
      <c r="W182" s="2">
        <f>('L-Values'!S182*'D(Ti_Cherniak) Times'!$F182*0.000001)^2/(4*'D(Ti_Cherniak) Times'!$C182)/(365.35*24*3600)</f>
        <v>72.323402350357341</v>
      </c>
      <c r="X182" s="2"/>
      <c r="Y182" s="2">
        <f>('L-Values'!U182*'D(Ti_Cherniak) Times'!$F182*0.000001)^2/(4*'D(Ti_Cherniak) Times'!$C182)/(365.35*24*3600)</f>
        <v>63.180304502263965</v>
      </c>
      <c r="Z182" s="2">
        <f>('L-Values'!V182*'D(Ti_Cherniak) Times'!$F182*0.000001)^2/(4*'D(Ti_Cherniak) Times'!$C182)/(365.35*24*3600)</f>
        <v>58.086438499213713</v>
      </c>
      <c r="AA182" s="2">
        <f>('L-Values'!W182*'D(Ti_Cherniak) Times'!$F182*0.000001)^2/(4*'D(Ti_Cherniak) Times'!$C182)/(365.35*24*3600)</f>
        <v>4.8655390941599643</v>
      </c>
      <c r="AB182" s="2">
        <f>('L-Values'!X182*'D(Ti_Cherniak) Times'!$F182*0.000001)^2/(4*'D(Ti_Cherniak) Times'!$C182)/(365.35*24*3600)</f>
        <v>182.86611940706982</v>
      </c>
      <c r="AC182" s="2">
        <f t="shared" si="10"/>
        <v>53.22089940505375</v>
      </c>
      <c r="AD182" s="2">
        <f t="shared" si="11"/>
        <v>124.7796809078561</v>
      </c>
    </row>
    <row r="183" spans="1:30" x14ac:dyDescent="0.2">
      <c r="A183" t="str">
        <f>'L-Values'!A183</f>
        <v>CGI009-qtz10-CL-fit-1-offset</v>
      </c>
      <c r="B183">
        <v>750</v>
      </c>
      <c r="C183">
        <f t="shared" si="8"/>
        <v>8.0537892000481889E-22</v>
      </c>
      <c r="D183">
        <v>1900</v>
      </c>
      <c r="E183">
        <v>1024</v>
      </c>
      <c r="F183">
        <f t="shared" si="9"/>
        <v>1.85546875</v>
      </c>
      <c r="I183" s="2">
        <f>('L-Values'!E183*'D(Ti_Cherniak) Times'!$F183*0.000001)^2/(4*'D(Ti_Cherniak) Times'!$C183)/(365.35*24*3600)</f>
        <v>1182.3637676831488</v>
      </c>
      <c r="J183" s="2">
        <f>('L-Values'!F183*'D(Ti_Cherniak) Times'!$F183*0.000001)^2/(4*'D(Ti_Cherniak) Times'!$C183)/(365.35*24*3600)</f>
        <v>819.2109664182326</v>
      </c>
      <c r="K183" s="2">
        <f>('L-Values'!G183*'D(Ti_Cherniak) Times'!$F183*0.000001)^2/(4*'D(Ti_Cherniak) Times'!$C183)/(365.35*24*3600)</f>
        <v>991.58380271617045</v>
      </c>
      <c r="L183" s="2">
        <f>('L-Values'!H183*'D(Ti_Cherniak) Times'!$F183*0.000001)^2/(4*'D(Ti_Cherniak) Times'!$C183)/(365.35*24*3600)</f>
        <v>988.97141452353969</v>
      </c>
      <c r="M183" s="2">
        <f>('L-Values'!I183*'D(Ti_Cherniak) Times'!$F183*0.000001)^2/(4*'D(Ti_Cherniak) Times'!$C183)/(365.35*24*3600)</f>
        <v>1056.2078181148161</v>
      </c>
      <c r="N183" s="2">
        <f>('L-Values'!J183*'D(Ti_Cherniak) Times'!$F183*0.000001)^2/(4*'D(Ti_Cherniak) Times'!$C183)/(365.35*24*3600)</f>
        <v>1105.3597667560723</v>
      </c>
      <c r="O183" s="2">
        <f>('L-Values'!K183*'D(Ti_Cherniak) Times'!$F183*0.000001)^2/(4*'D(Ti_Cherniak) Times'!$C183)/(365.35*24*3600)</f>
        <v>1033.3261737374405</v>
      </c>
      <c r="P183" s="2">
        <f>('L-Values'!L183*'D(Ti_Cherniak) Times'!$F183*0.000001)^2/(4*'D(Ti_Cherniak) Times'!$C183)/(365.35*24*3600)</f>
        <v>1061.2211538744918</v>
      </c>
      <c r="Q183" s="2">
        <f>('L-Values'!M183*'D(Ti_Cherniak) Times'!$F183*0.000001)^2/(4*'D(Ti_Cherniak) Times'!$C183)/(365.35*24*3600)</f>
        <v>960.04698540475306</v>
      </c>
      <c r="R183" s="2">
        <f>('L-Values'!N183*'D(Ti_Cherniak) Times'!$F183*0.000001)^2/(4*'D(Ti_Cherniak) Times'!$C183)/(365.35*24*3600)</f>
        <v>1078.9530182972389</v>
      </c>
      <c r="S183" s="2">
        <f>('L-Values'!O183*'D(Ti_Cherniak) Times'!$F183*0.000001)^2/(4*'D(Ti_Cherniak) Times'!$C183)/(365.35*24*3600)</f>
        <v>976.85829038310601</v>
      </c>
      <c r="T183" s="2"/>
      <c r="U183" s="2">
        <f>('L-Values'!Q183*'D(Ti_Cherniak) Times'!$F183*0.000001)^2/(4*'D(Ti_Cherniak) Times'!$C183)/(365.35*24*3600)</f>
        <v>1026.3051728387275</v>
      </c>
      <c r="V183" s="2">
        <f>('L-Values'!R183*'D(Ti_Cherniak) Times'!$F183*0.000001)^2/(4*'D(Ti_Cherniak) Times'!$C183)/(365.35*24*3600)</f>
        <v>1021.0905268752902</v>
      </c>
      <c r="W183" s="2">
        <f>('L-Values'!S183*'D(Ti_Cherniak) Times'!$F183*0.000001)^2/(4*'D(Ti_Cherniak) Times'!$C183)/(365.35*24*3600)</f>
        <v>1033.3261737374405</v>
      </c>
      <c r="X183" s="2"/>
      <c r="Y183" s="2">
        <f>('L-Values'!U183*'D(Ti_Cherniak) Times'!$F183*0.000001)^2/(4*'D(Ti_Cherniak) Times'!$C183)/(365.35*24*3600)</f>
        <v>1018.2779637168505</v>
      </c>
      <c r="Z183" s="2">
        <f>('L-Values'!V183*'D(Ti_Cherniak) Times'!$F183*0.000001)^2/(4*'D(Ti_Cherniak) Times'!$C183)/(365.35*24*3600)</f>
        <v>1019.6609908592916</v>
      </c>
      <c r="AA183" s="2">
        <f>('L-Values'!W183*'D(Ti_Cherniak) Times'!$F183*0.000001)^2/(4*'D(Ti_Cherniak) Times'!$C183)/(365.35*24*3600)</f>
        <v>695.28714575651804</v>
      </c>
      <c r="AB183" s="2">
        <f>('L-Values'!X183*'D(Ti_Cherniak) Times'!$F183*0.000001)^2/(4*'D(Ti_Cherniak) Times'!$C183)/(365.35*24*3600)</f>
        <v>1404.6100302087118</v>
      </c>
      <c r="AC183" s="2">
        <f t="shared" si="10"/>
        <v>324.37384510277354</v>
      </c>
      <c r="AD183" s="2">
        <f t="shared" si="11"/>
        <v>384.94903934942022</v>
      </c>
    </row>
    <row r="184" spans="1:30" x14ac:dyDescent="0.2">
      <c r="A184" t="str">
        <f>'L-Values'!A184</f>
        <v>CGI009-qtz10-CL-fit-2-offset</v>
      </c>
      <c r="B184">
        <v>750</v>
      </c>
      <c r="C184">
        <f t="shared" si="8"/>
        <v>8.0537892000481889E-22</v>
      </c>
      <c r="D184">
        <v>1900</v>
      </c>
      <c r="E184">
        <v>1024</v>
      </c>
      <c r="F184">
        <f t="shared" si="9"/>
        <v>1.85546875</v>
      </c>
      <c r="I184" s="2">
        <f>('L-Values'!E184*'D(Ti_Cherniak) Times'!$F184*0.000001)^2/(4*'D(Ti_Cherniak) Times'!$C184)/(365.35*24*3600)</f>
        <v>226.94648046585456</v>
      </c>
      <c r="J184" s="2">
        <f>('L-Values'!F184*'D(Ti_Cherniak) Times'!$F184*0.000001)^2/(4*'D(Ti_Cherniak) Times'!$C184)/(365.35*24*3600)</f>
        <v>557.13264361302913</v>
      </c>
      <c r="K184" s="2">
        <f>('L-Values'!G184*'D(Ti_Cherniak) Times'!$F184*0.000001)^2/(4*'D(Ti_Cherniak) Times'!$C184)/(365.35*24*3600)</f>
        <v>424.10977152034877</v>
      </c>
      <c r="L184" s="2">
        <f>('L-Values'!H184*'D(Ti_Cherniak) Times'!$F184*0.000001)^2/(4*'D(Ti_Cherniak) Times'!$C184)/(365.35*24*3600)</f>
        <v>552.483466912224</v>
      </c>
      <c r="M184" s="2">
        <f>('L-Values'!I184*'D(Ti_Cherniak) Times'!$F184*0.000001)^2/(4*'D(Ti_Cherniak) Times'!$C184)/(365.35*24*3600)</f>
        <v>489.50253000085468</v>
      </c>
      <c r="N184" s="2">
        <f>('L-Values'!J184*'D(Ti_Cherniak) Times'!$F184*0.000001)^2/(4*'D(Ti_Cherniak) Times'!$C184)/(365.35*24*3600)</f>
        <v>358.20642061300333</v>
      </c>
      <c r="O184" s="2">
        <f>('L-Values'!K184*'D(Ti_Cherniak) Times'!$F184*0.000001)^2/(4*'D(Ti_Cherniak) Times'!$C184)/(365.35*24*3600)</f>
        <v>143.30506847589402</v>
      </c>
      <c r="P184" s="2">
        <f>('L-Values'!L184*'D(Ti_Cherniak) Times'!$F184*0.000001)^2/(4*'D(Ti_Cherniak) Times'!$C184)/(365.35*24*3600)</f>
        <v>465.78493498405544</v>
      </c>
      <c r="Q184" s="2">
        <f>('L-Values'!M184*'D(Ti_Cherniak) Times'!$F184*0.000001)^2/(4*'D(Ti_Cherniak) Times'!$C184)/(365.35*24*3600)</f>
        <v>422.38165098310446</v>
      </c>
      <c r="R184" s="2">
        <f>('L-Values'!N184*'D(Ti_Cherniak) Times'!$F184*0.000001)^2/(4*'D(Ti_Cherniak) Times'!$C184)/(365.35*24*3600)</f>
        <v>385.85365953919461</v>
      </c>
      <c r="S184" s="2">
        <f>('L-Values'!O184*'D(Ti_Cherniak) Times'!$F184*0.000001)^2/(4*'D(Ti_Cherniak) Times'!$C184)/(365.35*24*3600)</f>
        <v>459.91197780079943</v>
      </c>
      <c r="T184" s="2"/>
      <c r="U184" s="2">
        <f>('L-Values'!Q184*'D(Ti_Cherniak) Times'!$F184*0.000001)^2/(4*'D(Ti_Cherniak) Times'!$C184)/(365.35*24*3600)</f>
        <v>401.9950121567573</v>
      </c>
      <c r="V184" s="2">
        <f>('L-Values'!R184*'D(Ti_Cherniak) Times'!$F184*0.000001)^2/(4*'D(Ti_Cherniak) Times'!$C184)/(365.35*24*3600)</f>
        <v>396.41549161572129</v>
      </c>
      <c r="W184" s="2">
        <f>('L-Values'!S184*'D(Ti_Cherniak) Times'!$F184*0.000001)^2/(4*'D(Ti_Cherniak) Times'!$C184)/(365.35*24*3600)</f>
        <v>424.10977152034877</v>
      </c>
      <c r="X184" s="2"/>
      <c r="Y184" s="2">
        <f>('L-Values'!U184*'D(Ti_Cherniak) Times'!$F184*0.000001)^2/(4*'D(Ti_Cherniak) Times'!$C184)/(365.35*24*3600)</f>
        <v>388.25111243834277</v>
      </c>
      <c r="Z184" s="2">
        <f>('L-Values'!V184*'D(Ti_Cherniak) Times'!$F184*0.000001)^2/(4*'D(Ti_Cherniak) Times'!$C184)/(365.35*24*3600)</f>
        <v>378.69487631906918</v>
      </c>
      <c r="AA184" s="2">
        <f>('L-Values'!W184*'D(Ti_Cherniak) Times'!$F184*0.000001)^2/(4*'D(Ti_Cherniak) Times'!$C184)/(365.35*24*3600)</f>
        <v>166.34653512963612</v>
      </c>
      <c r="AB184" s="2">
        <f>('L-Values'!X184*'D(Ti_Cherniak) Times'!$F184*0.000001)^2/(4*'D(Ti_Cherniak) Times'!$C184)/(365.35*24*3600)</f>
        <v>701.51353539021841</v>
      </c>
      <c r="AC184" s="2">
        <f t="shared" si="10"/>
        <v>212.34834118943306</v>
      </c>
      <c r="AD184" s="2">
        <f t="shared" si="11"/>
        <v>322.81865907114923</v>
      </c>
    </row>
    <row r="185" spans="1:30" x14ac:dyDescent="0.2">
      <c r="A185" t="str">
        <f>'L-Values'!A185</f>
        <v>CGI009-qtz10-CL-fit-3-offset</v>
      </c>
      <c r="B185">
        <v>750</v>
      </c>
      <c r="C185">
        <f t="shared" si="8"/>
        <v>8.0537892000481889E-22</v>
      </c>
      <c r="D185">
        <v>1900</v>
      </c>
      <c r="E185">
        <v>1024</v>
      </c>
      <c r="F185">
        <f t="shared" si="9"/>
        <v>1.85546875</v>
      </c>
      <c r="I185" s="2">
        <f>('L-Values'!E185*'D(Ti_Cherniak) Times'!$F185*0.000001)^2/(4*'D(Ti_Cherniak) Times'!$C185)/(365.35*24*3600)</f>
        <v>342.61160969121903</v>
      </c>
      <c r="J185" s="2">
        <f>('L-Values'!F185*'D(Ti_Cherniak) Times'!$F185*0.000001)^2/(4*'D(Ti_Cherniak) Times'!$C185)/(365.35*24*3600)</f>
        <v>276.33556552128891</v>
      </c>
      <c r="K185" s="2">
        <f>('L-Values'!G185*'D(Ti_Cherniak) Times'!$F185*0.000001)^2/(4*'D(Ti_Cherniak) Times'!$C185)/(365.35*24*3600)</f>
        <v>287.91743019987604</v>
      </c>
      <c r="L185" s="2">
        <f>('L-Values'!H185*'D(Ti_Cherniak) Times'!$F185*0.000001)^2/(4*'D(Ti_Cherniak) Times'!$C185)/(365.35*24*3600)</f>
        <v>264.94680721912766</v>
      </c>
      <c r="M185" s="2">
        <f>('L-Values'!I185*'D(Ti_Cherniak) Times'!$F185*0.000001)^2/(4*'D(Ti_Cherniak) Times'!$C185)/(365.35*24*3600)</f>
        <v>251.48384555664055</v>
      </c>
      <c r="N185" s="2">
        <f>('L-Values'!J185*'D(Ti_Cherniak) Times'!$F185*0.000001)^2/(4*'D(Ti_Cherniak) Times'!$C185)/(365.35*24*3600)</f>
        <v>327.3515698727893</v>
      </c>
      <c r="O185" s="2">
        <f>('L-Values'!K185*'D(Ti_Cherniak) Times'!$F185*0.000001)^2/(4*'D(Ti_Cherniak) Times'!$C185)/(365.35*24*3600)</f>
        <v>335.26792535753674</v>
      </c>
      <c r="P185" s="2">
        <f>('L-Values'!L185*'D(Ti_Cherniak) Times'!$F185*0.000001)^2/(4*'D(Ti_Cherniak) Times'!$C185)/(365.35*24*3600)</f>
        <v>317.08995693749802</v>
      </c>
      <c r="Q185" s="2">
        <f>('L-Values'!M185*'D(Ti_Cherniak) Times'!$F185*0.000001)^2/(4*'D(Ti_Cherniak) Times'!$C185)/(365.35*24*3600)</f>
        <v>395.31998497343608</v>
      </c>
      <c r="R185" s="2">
        <f>('L-Values'!N185*'D(Ti_Cherniak) Times'!$F185*0.000001)^2/(4*'D(Ti_Cherniak) Times'!$C185)/(365.35*24*3600)</f>
        <v>290.03627254242122</v>
      </c>
      <c r="S185" s="2">
        <f>('L-Values'!O185*'D(Ti_Cherniak) Times'!$F185*0.000001)^2/(4*'D(Ti_Cherniak) Times'!$C185)/(365.35*24*3600)</f>
        <v>186.30721505962327</v>
      </c>
      <c r="T185" s="2"/>
      <c r="U185" s="2">
        <f>('L-Values'!Q185*'D(Ti_Cherniak) Times'!$F185*0.000001)^2/(4*'D(Ti_Cherniak) Times'!$C185)/(365.35*24*3600)</f>
        <v>300.19163026421506</v>
      </c>
      <c r="V185" s="2">
        <f>('L-Values'!R185*'D(Ti_Cherniak) Times'!$F185*0.000001)^2/(4*'D(Ti_Cherniak) Times'!$C185)/(365.35*24*3600)</f>
        <v>295.24431277976424</v>
      </c>
      <c r="W185" s="2">
        <f>('L-Values'!S185*'D(Ti_Cherniak) Times'!$F185*0.000001)^2/(4*'D(Ti_Cherniak) Times'!$C185)/(365.35*24*3600)</f>
        <v>290.03627254242122</v>
      </c>
      <c r="X185" s="2"/>
      <c r="Y185" s="2">
        <f>('L-Values'!U185*'D(Ti_Cherniak) Times'!$F185*0.000001)^2/(4*'D(Ti_Cherniak) Times'!$C185)/(365.35*24*3600)</f>
        <v>296.87702360780679</v>
      </c>
      <c r="Z185" s="2">
        <f>('L-Values'!V185*'D(Ti_Cherniak) Times'!$F185*0.000001)^2/(4*'D(Ti_Cherniak) Times'!$C185)/(365.35*24*3600)</f>
        <v>296.74847780572719</v>
      </c>
      <c r="AA185" s="2">
        <f>('L-Values'!W185*'D(Ti_Cherniak) Times'!$F185*0.000001)^2/(4*'D(Ti_Cherniak) Times'!$C185)/(365.35*24*3600)</f>
        <v>190.4899784811935</v>
      </c>
      <c r="AB185" s="2">
        <f>('L-Values'!X185*'D(Ti_Cherniak) Times'!$F185*0.000001)^2/(4*'D(Ti_Cherniak) Times'!$C185)/(365.35*24*3600)</f>
        <v>405.33218414753594</v>
      </c>
      <c r="AC185" s="2">
        <f t="shared" si="10"/>
        <v>106.25849932453369</v>
      </c>
      <c r="AD185" s="2">
        <f t="shared" si="11"/>
        <v>108.58370634180875</v>
      </c>
    </row>
    <row r="186" spans="1:30" x14ac:dyDescent="0.2">
      <c r="A186" t="str">
        <f>'L-Values'!A186</f>
        <v>CGI009-qtz10-CL-fit-4-offset</v>
      </c>
      <c r="B186">
        <v>750</v>
      </c>
      <c r="C186">
        <f t="shared" si="8"/>
        <v>8.0537892000481889E-22</v>
      </c>
      <c r="D186">
        <v>1900</v>
      </c>
      <c r="E186">
        <v>1024</v>
      </c>
      <c r="F186">
        <f t="shared" si="9"/>
        <v>1.85546875</v>
      </c>
      <c r="I186" s="2">
        <f>('L-Values'!E186*'D(Ti_Cherniak) Times'!$F186*0.000001)^2/(4*'D(Ti_Cherniak) Times'!$C186)/(365.35*24*3600)</f>
        <v>107.9160405980839</v>
      </c>
      <c r="J186" s="2">
        <f>('L-Values'!F186*'D(Ti_Cherniak) Times'!$F186*0.000001)^2/(4*'D(Ti_Cherniak) Times'!$C186)/(365.35*24*3600)</f>
        <v>138.76607004367992</v>
      </c>
      <c r="K186" s="2">
        <f>('L-Values'!G186*'D(Ti_Cherniak) Times'!$F186*0.000001)^2/(4*'D(Ti_Cherniak) Times'!$C186)/(365.35*24*3600)</f>
        <v>176.1015052213551</v>
      </c>
      <c r="L186" s="2">
        <f>('L-Values'!H186*'D(Ti_Cherniak) Times'!$F186*0.000001)^2/(4*'D(Ti_Cherniak) Times'!$C186)/(365.35*24*3600)</f>
        <v>142.82354896303758</v>
      </c>
      <c r="M186" s="2">
        <f>('L-Values'!I186*'D(Ti_Cherniak) Times'!$F186*0.000001)^2/(4*'D(Ti_Cherniak) Times'!$C186)/(365.35*24*3600)</f>
        <v>211.20542394471809</v>
      </c>
      <c r="N186" s="2">
        <f>('L-Values'!J186*'D(Ti_Cherniak) Times'!$F186*0.000001)^2/(4*'D(Ti_Cherniak) Times'!$C186)/(365.35*24*3600)</f>
        <v>90.466856118052192</v>
      </c>
      <c r="O186" s="2">
        <f>('L-Values'!K186*'D(Ti_Cherniak) Times'!$F186*0.000001)^2/(4*'D(Ti_Cherniak) Times'!$C186)/(365.35*24*3600)</f>
        <v>138.43156014568368</v>
      </c>
      <c r="P186" s="2">
        <f>('L-Values'!L186*'D(Ti_Cherniak) Times'!$F186*0.000001)^2/(4*'D(Ti_Cherniak) Times'!$C186)/(365.35*24*3600)</f>
        <v>194.14679040125412</v>
      </c>
      <c r="Q186" s="2">
        <f>('L-Values'!M186*'D(Ti_Cherniak) Times'!$F186*0.000001)^2/(4*'D(Ti_Cherniak) Times'!$C186)/(365.35*24*3600)</f>
        <v>96.475072590305601</v>
      </c>
      <c r="R186" s="2">
        <f>('L-Values'!N186*'D(Ti_Cherniak) Times'!$F186*0.000001)^2/(4*'D(Ti_Cherniak) Times'!$C186)/(365.35*24*3600)</f>
        <v>102.23239551058776</v>
      </c>
      <c r="S186" s="2">
        <f>('L-Values'!O186*'D(Ti_Cherniak) Times'!$F186*0.000001)^2/(4*'D(Ti_Cherniak) Times'!$C186)/(365.35*24*3600)</f>
        <v>110.56632506132462</v>
      </c>
      <c r="T186" s="2"/>
      <c r="U186" s="2">
        <f>('L-Values'!Q186*'D(Ti_Cherniak) Times'!$F186*0.000001)^2/(4*'D(Ti_Cherniak) Times'!$C186)/(365.35*24*3600)</f>
        <v>136.986364358825</v>
      </c>
      <c r="V186" s="2">
        <f>('L-Values'!R186*'D(Ti_Cherniak) Times'!$F186*0.000001)^2/(4*'D(Ti_Cherniak) Times'!$C186)/(365.35*24*3600)</f>
        <v>134.52048900805991</v>
      </c>
      <c r="W186" s="2">
        <f>('L-Values'!S186*'D(Ti_Cherniak) Times'!$F186*0.000001)^2/(4*'D(Ti_Cherniak) Times'!$C186)/(365.35*24*3600)</f>
        <v>138.43156014568368</v>
      </c>
      <c r="X186" s="2"/>
      <c r="Y186" s="2">
        <f>('L-Values'!U186*'D(Ti_Cherniak) Times'!$F186*0.000001)^2/(4*'D(Ti_Cherniak) Times'!$C186)/(365.35*24*3600)</f>
        <v>129.19593320334502</v>
      </c>
      <c r="Z186" s="2">
        <f>('L-Values'!V186*'D(Ti_Cherniak) Times'!$F186*0.000001)^2/(4*'D(Ti_Cherniak) Times'!$C186)/(365.35*24*3600)</f>
        <v>132.26481629327202</v>
      </c>
      <c r="AA186" s="2">
        <f>('L-Values'!W186*'D(Ti_Cherniak) Times'!$F186*0.000001)^2/(4*'D(Ti_Cherniak) Times'!$C186)/(365.35*24*3600)</f>
        <v>65.400640485746564</v>
      </c>
      <c r="AB186" s="2">
        <f>('L-Values'!X186*'D(Ti_Cherniak) Times'!$F186*0.000001)^2/(4*'D(Ti_Cherniak) Times'!$C186)/(365.35*24*3600)</f>
        <v>243.61216327259945</v>
      </c>
      <c r="AC186" s="2">
        <f t="shared" si="10"/>
        <v>66.864175807525456</v>
      </c>
      <c r="AD186" s="2">
        <f t="shared" si="11"/>
        <v>111.34734697932743</v>
      </c>
    </row>
    <row r="187" spans="1:30" x14ac:dyDescent="0.2">
      <c r="A187" t="str">
        <f>'L-Values'!A187</f>
        <v>CGI009-qtz10-CL-fit-5-offset</v>
      </c>
      <c r="B187">
        <v>750</v>
      </c>
      <c r="C187">
        <f t="shared" si="8"/>
        <v>8.0537892000481889E-22</v>
      </c>
      <c r="D187">
        <v>1900</v>
      </c>
      <c r="E187">
        <v>1024</v>
      </c>
      <c r="F187">
        <f t="shared" si="9"/>
        <v>1.85546875</v>
      </c>
      <c r="I187" s="2">
        <f>('L-Values'!E187*'D(Ti_Cherniak) Times'!$F187*0.000001)^2/(4*'D(Ti_Cherniak) Times'!$C187)/(365.35*24*3600)</f>
        <v>23.910997241141445</v>
      </c>
      <c r="J187" s="2">
        <f>('L-Values'!F187*'D(Ti_Cherniak) Times'!$F187*0.000001)^2/(4*'D(Ti_Cherniak) Times'!$C187)/(365.35*24*3600)</f>
        <v>4.5285756588712078E-4</v>
      </c>
      <c r="K187" s="2">
        <f>('L-Values'!G187*'D(Ti_Cherniak) Times'!$F187*0.000001)^2/(4*'D(Ti_Cherniak) Times'!$C187)/(365.35*24*3600)</f>
        <v>11.459487444982861</v>
      </c>
      <c r="L187" s="2">
        <f>('L-Values'!H187*'D(Ti_Cherniak) Times'!$F187*0.000001)^2/(4*'D(Ti_Cherniak) Times'!$C187)/(365.35*24*3600)</f>
        <v>69.134212035869652</v>
      </c>
      <c r="M187" s="2">
        <f>('L-Values'!I187*'D(Ti_Cherniak) Times'!$F187*0.000001)^2/(4*'D(Ti_Cherniak) Times'!$C187)/(365.35*24*3600)</f>
        <v>1.3184635138727316</v>
      </c>
      <c r="N187" s="2">
        <f>('L-Values'!J187*'D(Ti_Cherniak) Times'!$F187*0.000001)^2/(4*'D(Ti_Cherniak) Times'!$C187)/(365.35*24*3600)</f>
        <v>1.6758438585048618</v>
      </c>
      <c r="O187" s="2">
        <f>('L-Values'!K187*'D(Ti_Cherniak) Times'!$F187*0.000001)^2/(4*'D(Ti_Cherniak) Times'!$C187)/(365.35*24*3600)</f>
        <v>29.729457213993758</v>
      </c>
      <c r="P187" s="2">
        <f>('L-Values'!L187*'D(Ti_Cherniak) Times'!$F187*0.000001)^2/(4*'D(Ti_Cherniak) Times'!$C187)/(365.35*24*3600)</f>
        <v>2.4482882840000482</v>
      </c>
      <c r="Q187" s="2">
        <f>('L-Values'!M187*'D(Ti_Cherniak) Times'!$F187*0.000001)^2/(4*'D(Ti_Cherniak) Times'!$C187)/(365.35*24*3600)</f>
        <v>0.88848150256457792</v>
      </c>
      <c r="R187" s="2">
        <f>('L-Values'!N187*'D(Ti_Cherniak) Times'!$F187*0.000001)^2/(4*'D(Ti_Cherniak) Times'!$C187)/(365.35*24*3600)</f>
        <v>1.12558669044007</v>
      </c>
      <c r="S187" s="2">
        <f>('L-Values'!O187*'D(Ti_Cherniak) Times'!$F187*0.000001)^2/(4*'D(Ti_Cherniak) Times'!$C187)/(365.35*24*3600)</f>
        <v>1.1400362835432307</v>
      </c>
      <c r="T187" s="2"/>
      <c r="U187" s="2">
        <f>('L-Values'!Q187*'D(Ti_Cherniak) Times'!$F187*0.000001)^2/(4*'D(Ti_Cherniak) Times'!$C187)/(365.35*24*3600)</f>
        <v>17.581581328582271</v>
      </c>
      <c r="V187" s="2">
        <f>('L-Values'!R187*'D(Ti_Cherniak) Times'!$F187*0.000001)^2/(4*'D(Ti_Cherniak) Times'!$C187)/(365.35*24*3600)</f>
        <v>7.0187750903169013</v>
      </c>
      <c r="W187" s="2">
        <f>('L-Values'!S187*'D(Ti_Cherniak) Times'!$F187*0.000001)^2/(4*'D(Ti_Cherniak) Times'!$C187)/(365.35*24*3600)</f>
        <v>1.6758438585048618</v>
      </c>
      <c r="X187" s="2"/>
      <c r="Y187" s="2">
        <f>('L-Values'!U187*'D(Ti_Cherniak) Times'!$F187*0.000001)^2/(4*'D(Ti_Cherniak) Times'!$C187)/(365.35*24*3600)</f>
        <v>6.1788815248045088</v>
      </c>
      <c r="Z187" s="2">
        <f>('L-Values'!V187*'D(Ti_Cherniak) Times'!$F187*0.000001)^2/(4*'D(Ti_Cherniak) Times'!$C187)/(365.35*24*3600)</f>
        <v>10.037448763234634</v>
      </c>
      <c r="AA187" s="2">
        <f>('L-Values'!W187*'D(Ti_Cherniak) Times'!$F187*0.000001)^2/(4*'D(Ti_Cherniak) Times'!$C187)/(365.35*24*3600)</f>
        <v>8.1784684527768159E-2</v>
      </c>
      <c r="AB187" s="2">
        <f>('L-Values'!X187*'D(Ti_Cherniak) Times'!$F187*0.000001)^2/(4*'D(Ti_Cherniak) Times'!$C187)/(365.35*24*3600)</f>
        <v>67.33468066028378</v>
      </c>
      <c r="AC187" s="2">
        <f t="shared" si="10"/>
        <v>9.9556640787068655</v>
      </c>
      <c r="AD187" s="2">
        <f t="shared" si="11"/>
        <v>57.297231897049144</v>
      </c>
    </row>
    <row r="188" spans="1:30" x14ac:dyDescent="0.2">
      <c r="A188" t="str">
        <f>'L-Values'!A188</f>
        <v>CGI009-qtz11-CL-fit-1-offset</v>
      </c>
      <c r="B188">
        <v>750</v>
      </c>
      <c r="C188">
        <f t="shared" si="8"/>
        <v>8.0537892000481889E-22</v>
      </c>
      <c r="D188">
        <v>1700</v>
      </c>
      <c r="E188">
        <v>1024</v>
      </c>
      <c r="F188">
        <f t="shared" si="9"/>
        <v>1.66015625</v>
      </c>
      <c r="I188" s="2">
        <f>('L-Values'!E188*'D(Ti_Cherniak) Times'!$F188*0.000001)^2/(4*'D(Ti_Cherniak) Times'!$C188)/(365.35*24*3600)</f>
        <v>499.45623755724233</v>
      </c>
      <c r="J188" s="2">
        <f>('L-Values'!F188*'D(Ti_Cherniak) Times'!$F188*0.000001)^2/(4*'D(Ti_Cherniak) Times'!$C188)/(365.35*24*3600)</f>
        <v>2.4156763751732924</v>
      </c>
      <c r="K188" s="2">
        <f>('L-Values'!G188*'D(Ti_Cherniak) Times'!$F188*0.000001)^2/(4*'D(Ti_Cherniak) Times'!$C188)/(365.35*24*3600)</f>
        <v>33.857485100108107</v>
      </c>
      <c r="L188" s="2">
        <f>('L-Values'!H188*'D(Ti_Cherniak) Times'!$F188*0.000001)^2/(4*'D(Ti_Cherniak) Times'!$C188)/(365.35*24*3600)</f>
        <v>3.7262784680384207</v>
      </c>
      <c r="M188" s="2">
        <f>('L-Values'!I188*'D(Ti_Cherniak) Times'!$F188*0.000001)^2/(4*'D(Ti_Cherniak) Times'!$C188)/(365.35*24*3600)</f>
        <v>39.759503752629016</v>
      </c>
      <c r="N188" s="2">
        <f>('L-Values'!J188*'D(Ti_Cherniak) Times'!$F188*0.000001)^2/(4*'D(Ti_Cherniak) Times'!$C188)/(365.35*24*3600)</f>
        <v>119.08999785814217</v>
      </c>
      <c r="O188" s="2">
        <f>('L-Values'!K188*'D(Ti_Cherniak) Times'!$F188*0.000001)^2/(4*'D(Ti_Cherniak) Times'!$C188)/(365.35*24*3600)</f>
        <v>473.81468191958686</v>
      </c>
      <c r="P188" s="2">
        <f>('L-Values'!L188*'D(Ti_Cherniak) Times'!$F188*0.000001)^2/(4*'D(Ti_Cherniak) Times'!$C188)/(365.35*24*3600)</f>
        <v>44.504932781570318</v>
      </c>
      <c r="Q188" s="2">
        <f>('L-Values'!M188*'D(Ti_Cherniak) Times'!$F188*0.000001)^2/(4*'D(Ti_Cherniak) Times'!$C188)/(365.35*24*3600)</f>
        <v>1.9576227670660391</v>
      </c>
      <c r="R188" s="2">
        <f>('L-Values'!N188*'D(Ti_Cherniak) Times'!$F188*0.000001)^2/(4*'D(Ti_Cherniak) Times'!$C188)/(365.35*24*3600)</f>
        <v>1.9847463500758773</v>
      </c>
      <c r="S188" s="2">
        <f>('L-Values'!O188*'D(Ti_Cherniak) Times'!$F188*0.000001)^2/(4*'D(Ti_Cherniak) Times'!$C188)/(365.35*24*3600)</f>
        <v>26.523078569783383</v>
      </c>
      <c r="T188" s="2"/>
      <c r="U188" s="2">
        <f>('L-Values'!Q188*'D(Ti_Cherniak) Times'!$F188*0.000001)^2/(4*'D(Ti_Cherniak) Times'!$C188)/(365.35*24*3600)</f>
        <v>70.237484209203501</v>
      </c>
      <c r="V188" s="2">
        <f>('L-Values'!R188*'D(Ti_Cherniak) Times'!$F188*0.000001)^2/(4*'D(Ti_Cherniak) Times'!$C188)/(365.35*24*3600)</f>
        <v>60.086022164513544</v>
      </c>
      <c r="W188" s="2">
        <f>('L-Values'!S188*'D(Ti_Cherniak) Times'!$F188*0.000001)^2/(4*'D(Ti_Cherniak) Times'!$C188)/(365.35*24*3600)</f>
        <v>33.857485100108107</v>
      </c>
      <c r="X188" s="2"/>
      <c r="Y188" s="2">
        <f>('L-Values'!U188*'D(Ti_Cherniak) Times'!$F188*0.000001)^2/(4*'D(Ti_Cherniak) Times'!$C188)/(365.35*24*3600)</f>
        <v>60.56521634331763</v>
      </c>
      <c r="Z188" s="2">
        <f>('L-Values'!V188*'D(Ti_Cherniak) Times'!$F188*0.000001)^2/(4*'D(Ti_Cherniak) Times'!$C188)/(365.35*24*3600)</f>
        <v>159.384730766677</v>
      </c>
      <c r="AA188" s="2">
        <f>('L-Values'!W188*'D(Ti_Cherniak) Times'!$F188*0.000001)^2/(4*'D(Ti_Cherniak) Times'!$C188)/(365.35*24*3600)</f>
        <v>5.8693828358582351E-4</v>
      </c>
      <c r="AB188" s="2">
        <f>('L-Values'!X188*'D(Ti_Cherniak) Times'!$F188*0.000001)^2/(4*'D(Ti_Cherniak) Times'!$C188)/(365.35*24*3600)</f>
        <v>6412.2010739852449</v>
      </c>
      <c r="AC188" s="2">
        <f t="shared" si="10"/>
        <v>159.38414382839341</v>
      </c>
      <c r="AD188" s="2">
        <f t="shared" si="11"/>
        <v>6252.8163432185675</v>
      </c>
    </row>
    <row r="189" spans="1:30" x14ac:dyDescent="0.2">
      <c r="A189" t="str">
        <f>'L-Values'!A189</f>
        <v>CGI009-qtz11-CL-fit-2-offset</v>
      </c>
      <c r="B189">
        <v>750</v>
      </c>
      <c r="C189">
        <f t="shared" si="8"/>
        <v>8.0537892000481889E-22</v>
      </c>
      <c r="D189">
        <v>1700</v>
      </c>
      <c r="E189">
        <v>1024</v>
      </c>
      <c r="F189">
        <f t="shared" si="9"/>
        <v>1.66015625</v>
      </c>
      <c r="I189" s="2">
        <f>('L-Values'!E189*'D(Ti_Cherniak) Times'!$F189*0.000001)^2/(4*'D(Ti_Cherniak) Times'!$C189)/(365.35*24*3600)</f>
        <v>174.66588394966007</v>
      </c>
      <c r="J189" s="2">
        <f>('L-Values'!F189*'D(Ti_Cherniak) Times'!$F189*0.000001)^2/(4*'D(Ti_Cherniak) Times'!$C189)/(365.35*24*3600)</f>
        <v>107.98549355445743</v>
      </c>
      <c r="K189" s="2">
        <f>('L-Values'!G189*'D(Ti_Cherniak) Times'!$F189*0.000001)^2/(4*'D(Ti_Cherniak) Times'!$C189)/(365.35*24*3600)</f>
        <v>151.5127100848778</v>
      </c>
      <c r="L189" s="2">
        <f>('L-Values'!H189*'D(Ti_Cherniak) Times'!$F189*0.000001)^2/(4*'D(Ti_Cherniak) Times'!$C189)/(365.35*24*3600)</f>
        <v>250.00443966315302</v>
      </c>
      <c r="M189" s="2">
        <f>('L-Values'!I189*'D(Ti_Cherniak) Times'!$F189*0.000001)^2/(4*'D(Ti_Cherniak) Times'!$C189)/(365.35*24*3600)</f>
        <v>146.61474940726868</v>
      </c>
      <c r="N189" s="2">
        <f>('L-Values'!J189*'D(Ti_Cherniak) Times'!$F189*0.000001)^2/(4*'D(Ti_Cherniak) Times'!$C189)/(365.35*24*3600)</f>
        <v>136.51927585412994</v>
      </c>
      <c r="O189" s="2">
        <f>('L-Values'!K189*'D(Ti_Cherniak) Times'!$F189*0.000001)^2/(4*'D(Ti_Cherniak) Times'!$C189)/(365.35*24*3600)</f>
        <v>467.2886133786368</v>
      </c>
      <c r="P189" s="2">
        <f>('L-Values'!L189*'D(Ti_Cherniak) Times'!$F189*0.000001)^2/(4*'D(Ti_Cherniak) Times'!$C189)/(365.35*24*3600)</f>
        <v>258.95142790701664</v>
      </c>
      <c r="Q189" s="2">
        <f>('L-Values'!M189*'D(Ti_Cherniak) Times'!$F189*0.000001)^2/(4*'D(Ti_Cherniak) Times'!$C189)/(365.35*24*3600)</f>
        <v>176.79636603210236</v>
      </c>
      <c r="R189" s="2">
        <f>('L-Values'!N189*'D(Ti_Cherniak) Times'!$F189*0.000001)^2/(4*'D(Ti_Cherniak) Times'!$C189)/(365.35*24*3600)</f>
        <v>56.569763766892571</v>
      </c>
      <c r="S189" s="2">
        <f>('L-Values'!O189*'D(Ti_Cherniak) Times'!$F189*0.000001)^2/(4*'D(Ti_Cherniak) Times'!$C189)/(365.35*24*3600)</f>
        <v>91.79830219684338</v>
      </c>
      <c r="T189" s="2"/>
      <c r="U189" s="2">
        <f>('L-Values'!Q189*'D(Ti_Cherniak) Times'!$F189*0.000001)^2/(4*'D(Ti_Cherniak) Times'!$C189)/(365.35*24*3600)</f>
        <v>164.18928474307819</v>
      </c>
      <c r="V189" s="2">
        <f>('L-Values'!R189*'D(Ti_Cherniak) Times'!$F189*0.000001)^2/(4*'D(Ti_Cherniak) Times'!$C189)/(365.35*24*3600)</f>
        <v>170.48916350777944</v>
      </c>
      <c r="W189" s="2">
        <f>('L-Values'!S189*'D(Ti_Cherniak) Times'!$F189*0.000001)^2/(4*'D(Ti_Cherniak) Times'!$C189)/(365.35*24*3600)</f>
        <v>151.5127100848778</v>
      </c>
      <c r="X189" s="2"/>
      <c r="Y189" s="2">
        <f>('L-Values'!U189*'D(Ti_Cherniak) Times'!$F189*0.000001)^2/(4*'D(Ti_Cherniak) Times'!$C189)/(365.35*24*3600)</f>
        <v>167.73111481744888</v>
      </c>
      <c r="Z189" s="2">
        <f>('L-Values'!V189*'D(Ti_Cherniak) Times'!$F189*0.000001)^2/(4*'D(Ti_Cherniak) Times'!$C189)/(365.35*24*3600)</f>
        <v>163.57447722376585</v>
      </c>
      <c r="AA189" s="2">
        <f>('L-Values'!W189*'D(Ti_Cherniak) Times'!$F189*0.000001)^2/(4*'D(Ti_Cherniak) Times'!$C189)/(365.35*24*3600)</f>
        <v>3.4405535318265579</v>
      </c>
      <c r="AB189" s="2">
        <f>('L-Values'!X189*'D(Ti_Cherniak) Times'!$F189*0.000001)^2/(4*'D(Ti_Cherniak) Times'!$C189)/(365.35*24*3600)</f>
        <v>443.49928635517244</v>
      </c>
      <c r="AC189" s="2">
        <f t="shared" si="10"/>
        <v>160.13392369193929</v>
      </c>
      <c r="AD189" s="2">
        <f t="shared" si="11"/>
        <v>279.92480913140662</v>
      </c>
    </row>
    <row r="190" spans="1:30" x14ac:dyDescent="0.2">
      <c r="A190" t="str">
        <f>'L-Values'!A190</f>
        <v>CGI009-qtz11-CL-fit-3-offset</v>
      </c>
      <c r="B190">
        <v>750</v>
      </c>
      <c r="C190">
        <f t="shared" si="8"/>
        <v>8.0537892000481889E-22</v>
      </c>
      <c r="D190">
        <v>1700</v>
      </c>
      <c r="E190">
        <v>1024</v>
      </c>
      <c r="F190">
        <f t="shared" si="9"/>
        <v>1.66015625</v>
      </c>
      <c r="I190" s="2">
        <f>('L-Values'!E190*'D(Ti_Cherniak) Times'!$F190*0.000001)^2/(4*'D(Ti_Cherniak) Times'!$C190)/(365.35*24*3600)</f>
        <v>359.73115004198291</v>
      </c>
      <c r="J190" s="2">
        <f>('L-Values'!F190*'D(Ti_Cherniak) Times'!$F190*0.000001)^2/(4*'D(Ti_Cherniak) Times'!$C190)/(365.35*24*3600)</f>
        <v>340.39399241076813</v>
      </c>
      <c r="K190" s="2">
        <f>('L-Values'!G190*'D(Ti_Cherniak) Times'!$F190*0.000001)^2/(4*'D(Ti_Cherniak) Times'!$C190)/(365.35*24*3600)</f>
        <v>353.898918879007</v>
      </c>
      <c r="L190" s="2">
        <f>('L-Values'!H190*'D(Ti_Cherniak) Times'!$F190*0.000001)^2/(4*'D(Ti_Cherniak) Times'!$C190)/(365.35*24*3600)</f>
        <v>419.46799601512538</v>
      </c>
      <c r="M190" s="2">
        <f>('L-Values'!I190*'D(Ti_Cherniak) Times'!$F190*0.000001)^2/(4*'D(Ti_Cherniak) Times'!$C190)/(365.35*24*3600)</f>
        <v>435.50314933812354</v>
      </c>
      <c r="N190" s="2">
        <f>('L-Values'!J190*'D(Ti_Cherniak) Times'!$F190*0.000001)^2/(4*'D(Ti_Cherniak) Times'!$C190)/(365.35*24*3600)</f>
        <v>314.95482817015812</v>
      </c>
      <c r="O190" s="2">
        <f>('L-Values'!K190*'D(Ti_Cherniak) Times'!$F190*0.000001)^2/(4*'D(Ti_Cherniak) Times'!$C190)/(365.35*24*3600)</f>
        <v>523.55102249043478</v>
      </c>
      <c r="P190" s="2">
        <f>('L-Values'!L190*'D(Ti_Cherniak) Times'!$F190*0.000001)^2/(4*'D(Ti_Cherniak) Times'!$C190)/(365.35*24*3600)</f>
        <v>377.87199420264858</v>
      </c>
      <c r="Q190" s="2">
        <f>('L-Values'!M190*'D(Ti_Cherniak) Times'!$F190*0.000001)^2/(4*'D(Ti_Cherniak) Times'!$C190)/(365.35*24*3600)</f>
        <v>369.91368777555783</v>
      </c>
      <c r="R190" s="2">
        <f>('L-Values'!N190*'D(Ti_Cherniak) Times'!$F190*0.000001)^2/(4*'D(Ti_Cherniak) Times'!$C190)/(365.35*24*3600)</f>
        <v>285.30024348361513</v>
      </c>
      <c r="S190" s="2">
        <f>('L-Values'!O190*'D(Ti_Cherniak) Times'!$F190*0.000001)^2/(4*'D(Ti_Cherniak) Times'!$C190)/(365.35*24*3600)</f>
        <v>338.68952781069299</v>
      </c>
      <c r="T190" s="2"/>
      <c r="U190" s="2">
        <f>('L-Values'!Q190*'D(Ti_Cherniak) Times'!$F190*0.000001)^2/(4*'D(Ti_Cherniak) Times'!$C190)/(365.35*24*3600)</f>
        <v>384.17626824134499</v>
      </c>
      <c r="V190" s="2">
        <f>('L-Values'!R190*'D(Ti_Cherniak) Times'!$F190*0.000001)^2/(4*'D(Ti_Cherniak) Times'!$C190)/(365.35*24*3600)</f>
        <v>372.04380367034315</v>
      </c>
      <c r="W190" s="2">
        <f>('L-Values'!S190*'D(Ti_Cherniak) Times'!$F190*0.000001)^2/(4*'D(Ti_Cherniak) Times'!$C190)/(365.35*24*3600)</f>
        <v>359.73115004198291</v>
      </c>
      <c r="X190" s="2"/>
      <c r="Y190" s="2">
        <f>('L-Values'!U190*'D(Ti_Cherniak) Times'!$F190*0.000001)^2/(4*'D(Ti_Cherniak) Times'!$C190)/(365.35*24*3600)</f>
        <v>372.45602734316037</v>
      </c>
      <c r="Z190" s="2">
        <f>('L-Values'!V190*'D(Ti_Cherniak) Times'!$F190*0.000001)^2/(4*'D(Ti_Cherniak) Times'!$C190)/(365.35*24*3600)</f>
        <v>375.01232561874849</v>
      </c>
      <c r="AA190" s="2">
        <f>('L-Values'!W190*'D(Ti_Cherniak) Times'!$F190*0.000001)^2/(4*'D(Ti_Cherniak) Times'!$C190)/(365.35*24*3600)</f>
        <v>205.93658599855911</v>
      </c>
      <c r="AB190" s="2">
        <f>('L-Values'!X190*'D(Ti_Cherniak) Times'!$F190*0.000001)^2/(4*'D(Ti_Cherniak) Times'!$C190)/(365.35*24*3600)</f>
        <v>566.19218065169309</v>
      </c>
      <c r="AC190" s="2">
        <f t="shared" si="10"/>
        <v>169.07573962018938</v>
      </c>
      <c r="AD190" s="2">
        <f t="shared" si="11"/>
        <v>191.1798550329446</v>
      </c>
    </row>
    <row r="191" spans="1:30" x14ac:dyDescent="0.2">
      <c r="A191" t="str">
        <f>'L-Values'!A191</f>
        <v>CGI009-qtz11-CL-fit-4-offset</v>
      </c>
      <c r="B191">
        <v>750</v>
      </c>
      <c r="C191">
        <f t="shared" si="8"/>
        <v>8.0537892000481889E-22</v>
      </c>
      <c r="D191">
        <v>1700</v>
      </c>
      <c r="E191">
        <v>1024</v>
      </c>
      <c r="F191">
        <f t="shared" si="9"/>
        <v>1.66015625</v>
      </c>
      <c r="I191" s="2">
        <f>('L-Values'!E191*'D(Ti_Cherniak) Times'!$F191*0.000001)^2/(4*'D(Ti_Cherniak) Times'!$C191)/(365.35*24*3600)</f>
        <v>109.0126554806631</v>
      </c>
      <c r="J191" s="2">
        <f>('L-Values'!F191*'D(Ti_Cherniak) Times'!$F191*0.000001)^2/(4*'D(Ti_Cherniak) Times'!$C191)/(365.35*24*3600)</f>
        <v>755.19099772835398</v>
      </c>
      <c r="K191" s="2">
        <f>('L-Values'!G191*'D(Ti_Cherniak) Times'!$F191*0.000001)^2/(4*'D(Ti_Cherniak) Times'!$C191)/(365.35*24*3600)</f>
        <v>565.48535995654049</v>
      </c>
      <c r="L191" s="2">
        <f>('L-Values'!H191*'D(Ti_Cherniak) Times'!$F191*0.000001)^2/(4*'D(Ti_Cherniak) Times'!$C191)/(365.35*24*3600)</f>
        <v>95.841058716326529</v>
      </c>
      <c r="M191" s="2">
        <f>('L-Values'!I191*'D(Ti_Cherniak) Times'!$F191*0.000001)^2/(4*'D(Ti_Cherniak) Times'!$C191)/(365.35*24*3600)</f>
        <v>204.96289759827675</v>
      </c>
      <c r="N191" s="2">
        <f>('L-Values'!J191*'D(Ti_Cherniak) Times'!$F191*0.000001)^2/(4*'D(Ti_Cherniak) Times'!$C191)/(365.35*24*3600)</f>
        <v>44.486253516300124</v>
      </c>
      <c r="O191" s="2">
        <f>('L-Values'!K191*'D(Ti_Cherniak) Times'!$F191*0.000001)^2/(4*'D(Ti_Cherniak) Times'!$C191)/(365.35*24*3600)</f>
        <v>54.96504694640506</v>
      </c>
      <c r="P191" s="2">
        <f>('L-Values'!L191*'D(Ti_Cherniak) Times'!$F191*0.000001)^2/(4*'D(Ti_Cherniak) Times'!$C191)/(365.35*24*3600)</f>
        <v>5.1280261297426945E-2</v>
      </c>
      <c r="Q191" s="2">
        <f>('L-Values'!M191*'D(Ti_Cherniak) Times'!$F191*0.000001)^2/(4*'D(Ti_Cherniak) Times'!$C191)/(365.35*24*3600)</f>
        <v>106.70674012150072</v>
      </c>
      <c r="R191" s="2">
        <f>('L-Values'!N191*'D(Ti_Cherniak) Times'!$F191*0.000001)^2/(4*'D(Ti_Cherniak) Times'!$C191)/(365.35*24*3600)</f>
        <v>2.6828586039487687</v>
      </c>
      <c r="S191" s="2">
        <f>('L-Values'!O191*'D(Ti_Cherniak) Times'!$F191*0.000001)^2/(4*'D(Ti_Cherniak) Times'!$C191)/(365.35*24*3600)</f>
        <v>221.06978706191632</v>
      </c>
      <c r="T191" s="2"/>
      <c r="U191" s="2">
        <f>('L-Values'!Q191*'D(Ti_Cherniak) Times'!$F191*0.000001)^2/(4*'D(Ti_Cherniak) Times'!$C191)/(365.35*24*3600)</f>
        <v>73.982937957375</v>
      </c>
      <c r="V191" s="2">
        <f>('L-Values'!R191*'D(Ti_Cherniak) Times'!$F191*0.000001)^2/(4*'D(Ti_Cherniak) Times'!$C191)/(365.35*24*3600)</f>
        <v>133.20161952237561</v>
      </c>
      <c r="W191" s="2">
        <f>('L-Values'!S191*'D(Ti_Cherniak) Times'!$F191*0.000001)^2/(4*'D(Ti_Cherniak) Times'!$C191)/(365.35*24*3600)</f>
        <v>106.70674012150072</v>
      </c>
      <c r="X191" s="2"/>
      <c r="Y191" s="2">
        <f>('L-Values'!U191*'D(Ti_Cherniak) Times'!$F191*0.000001)^2/(4*'D(Ti_Cherniak) Times'!$C191)/(365.35*24*3600)</f>
        <v>80.298039551267749</v>
      </c>
      <c r="Z191" s="2">
        <f>('L-Values'!V191*'D(Ti_Cherniak) Times'!$F191*0.000001)^2/(4*'D(Ti_Cherniak) Times'!$C191)/(365.35*24*3600)</f>
        <v>173.24812464976807</v>
      </c>
      <c r="AA191" s="2">
        <f>('L-Values'!W191*'D(Ti_Cherniak) Times'!$F191*0.000001)^2/(4*'D(Ti_Cherniak) Times'!$C191)/(365.35*24*3600)</f>
        <v>3.0683255219044416</v>
      </c>
      <c r="AB191" s="2">
        <f>('L-Values'!X191*'D(Ti_Cherniak) Times'!$F191*0.000001)^2/(4*'D(Ti_Cherniak) Times'!$C191)/(365.35*24*3600)</f>
        <v>1754.4666788324953</v>
      </c>
      <c r="AC191" s="2">
        <f t="shared" si="10"/>
        <v>170.17979912786362</v>
      </c>
      <c r="AD191" s="2">
        <f t="shared" si="11"/>
        <v>1581.2185541827273</v>
      </c>
    </row>
    <row r="192" spans="1:30" x14ac:dyDescent="0.2">
      <c r="A192" t="str">
        <f>'L-Values'!A192</f>
        <v>CGI009-qtz11-CL-fit-5-offset</v>
      </c>
      <c r="B192">
        <v>750</v>
      </c>
      <c r="C192">
        <f t="shared" si="8"/>
        <v>8.0537892000481889E-22</v>
      </c>
      <c r="D192">
        <v>1700</v>
      </c>
      <c r="E192">
        <v>1024</v>
      </c>
      <c r="F192">
        <f t="shared" si="9"/>
        <v>1.66015625</v>
      </c>
      <c r="I192" s="2">
        <f>('L-Values'!E192*'D(Ti_Cherniak) Times'!$F192*0.000001)^2/(4*'D(Ti_Cherniak) Times'!$C192)/(365.35*24*3600)</f>
        <v>59.055744670388904</v>
      </c>
      <c r="J192" s="2">
        <f>('L-Values'!F192*'D(Ti_Cherniak) Times'!$F192*0.000001)^2/(4*'D(Ti_Cherniak) Times'!$C192)/(365.35*24*3600)</f>
        <v>101.11852588516061</v>
      </c>
      <c r="K192" s="2">
        <f>('L-Values'!G192*'D(Ti_Cherniak) Times'!$F192*0.000001)^2/(4*'D(Ti_Cherniak) Times'!$C192)/(365.35*24*3600)</f>
        <v>41.836688063254741</v>
      </c>
      <c r="L192" s="2">
        <f>('L-Values'!H192*'D(Ti_Cherniak) Times'!$F192*0.000001)^2/(4*'D(Ti_Cherniak) Times'!$C192)/(365.35*24*3600)</f>
        <v>85.566482584107547</v>
      </c>
      <c r="M192" s="2">
        <f>('L-Values'!I192*'D(Ti_Cherniak) Times'!$F192*0.000001)^2/(4*'D(Ti_Cherniak) Times'!$C192)/(365.35*24*3600)</f>
        <v>125.29623699951591</v>
      </c>
      <c r="N192" s="2">
        <f>('L-Values'!J192*'D(Ti_Cherniak) Times'!$F192*0.000001)^2/(4*'D(Ti_Cherniak) Times'!$C192)/(365.35*24*3600)</f>
        <v>35.174572532570195</v>
      </c>
      <c r="O192" s="2">
        <f>('L-Values'!K192*'D(Ti_Cherniak) Times'!$F192*0.000001)^2/(4*'D(Ti_Cherniak) Times'!$C192)/(365.35*24*3600)</f>
        <v>68.401632421611737</v>
      </c>
      <c r="P192" s="2">
        <f>('L-Values'!L192*'D(Ti_Cherniak) Times'!$F192*0.000001)^2/(4*'D(Ti_Cherniak) Times'!$C192)/(365.35*24*3600)</f>
        <v>52.420129641361981</v>
      </c>
      <c r="Q192" s="2">
        <f>('L-Values'!M192*'D(Ti_Cherniak) Times'!$F192*0.000001)^2/(4*'D(Ti_Cherniak) Times'!$C192)/(365.35*24*3600)</f>
        <v>30.226044811835546</v>
      </c>
      <c r="R192" s="2">
        <f>('L-Values'!N192*'D(Ti_Cherniak) Times'!$F192*0.000001)^2/(4*'D(Ti_Cherniak) Times'!$C192)/(365.35*24*3600)</f>
        <v>34.406697758555808</v>
      </c>
      <c r="S192" s="2">
        <f>('L-Values'!O192*'D(Ti_Cherniak) Times'!$F192*0.000001)^2/(4*'D(Ti_Cherniak) Times'!$C192)/(365.35*24*3600)</f>
        <v>65.596764454181809</v>
      </c>
      <c r="T192" s="2"/>
      <c r="U192" s="2">
        <f>('L-Values'!Q192*'D(Ti_Cherniak) Times'!$F192*0.000001)^2/(4*'D(Ti_Cherniak) Times'!$C192)/(365.35*24*3600)</f>
        <v>57.897069016722739</v>
      </c>
      <c r="V192" s="2">
        <f>('L-Values'!R192*'D(Ti_Cherniak) Times'!$F192*0.000001)^2/(4*'D(Ti_Cherniak) Times'!$C192)/(365.35*24*3600)</f>
        <v>60.495464809472239</v>
      </c>
      <c r="W192" s="2">
        <f>('L-Values'!S192*'D(Ti_Cherniak) Times'!$F192*0.000001)^2/(4*'D(Ti_Cherniak) Times'!$C192)/(365.35*24*3600)</f>
        <v>59.055744670388904</v>
      </c>
      <c r="X192" s="2"/>
      <c r="Y192" s="2">
        <f>('L-Values'!U192*'D(Ti_Cherniak) Times'!$F192*0.000001)^2/(4*'D(Ti_Cherniak) Times'!$C192)/(365.35*24*3600)</f>
        <v>54.622401380683677</v>
      </c>
      <c r="Z192" s="2">
        <f>('L-Values'!V192*'D(Ti_Cherniak) Times'!$F192*0.000001)^2/(4*'D(Ti_Cherniak) Times'!$C192)/(365.35*24*3600)</f>
        <v>55.00672964457933</v>
      </c>
      <c r="AA192" s="2">
        <f>('L-Values'!W192*'D(Ti_Cherniak) Times'!$F192*0.000001)^2/(4*'D(Ti_Cherniak) Times'!$C192)/(365.35*24*3600)</f>
        <v>2.162349415527602</v>
      </c>
      <c r="AB192" s="2">
        <f>('L-Values'!X192*'D(Ti_Cherniak) Times'!$F192*0.000001)^2/(4*'D(Ti_Cherniak) Times'!$C192)/(365.35*24*3600)</f>
        <v>117.47385591917855</v>
      </c>
      <c r="AC192" s="2">
        <f t="shared" si="10"/>
        <v>52.84438022905173</v>
      </c>
      <c r="AD192" s="2">
        <f t="shared" si="11"/>
        <v>62.467126274599217</v>
      </c>
    </row>
    <row r="193" spans="1:30" x14ac:dyDescent="0.2">
      <c r="A193" t="str">
        <f>'L-Values'!A193</f>
        <v>CGI009-qtz12-CL-fit-1-offset</v>
      </c>
      <c r="B193">
        <v>750</v>
      </c>
      <c r="C193">
        <f t="shared" si="8"/>
        <v>8.0537892000481889E-22</v>
      </c>
      <c r="D193">
        <v>2000</v>
      </c>
      <c r="E193">
        <v>1024</v>
      </c>
      <c r="F193">
        <f t="shared" si="9"/>
        <v>1.953125</v>
      </c>
      <c r="I193" s="2">
        <f>('L-Values'!E193*'D(Ti_Cherniak) Times'!$F193*0.000001)^2/(4*'D(Ti_Cherniak) Times'!$C193)/(365.35*24*3600)</f>
        <v>1807.9260430503878</v>
      </c>
      <c r="J193" s="2">
        <f>('L-Values'!F193*'D(Ti_Cherniak) Times'!$F193*0.000001)^2/(4*'D(Ti_Cherniak) Times'!$C193)/(365.35*24*3600)</f>
        <v>649.94733825316416</v>
      </c>
      <c r="K193" s="2">
        <f>('L-Values'!G193*'D(Ti_Cherniak) Times'!$F193*0.000001)^2/(4*'D(Ti_Cherniak) Times'!$C193)/(365.35*24*3600)</f>
        <v>905.00066702119636</v>
      </c>
      <c r="L193" s="2">
        <f>('L-Values'!H193*'D(Ti_Cherniak) Times'!$F193*0.000001)^2/(4*'D(Ti_Cherniak) Times'!$C193)/(365.35*24*3600)</f>
        <v>1142.0057848570136</v>
      </c>
      <c r="M193" s="2">
        <f>('L-Values'!I193*'D(Ti_Cherniak) Times'!$F193*0.000001)^2/(4*'D(Ti_Cherniak) Times'!$C193)/(365.35*24*3600)</f>
        <v>1428.0197135147896</v>
      </c>
      <c r="N193" s="2">
        <f>('L-Values'!J193*'D(Ti_Cherniak) Times'!$F193*0.000001)^2/(4*'D(Ti_Cherniak) Times'!$C193)/(365.35*24*3600)</f>
        <v>1870.6283614929662</v>
      </c>
      <c r="O193" s="2">
        <f>('L-Values'!K193*'D(Ti_Cherniak) Times'!$F193*0.000001)^2/(4*'D(Ti_Cherniak) Times'!$C193)/(365.35*24*3600)</f>
        <v>1039.061798737941</v>
      </c>
      <c r="P193" s="2">
        <f>('L-Values'!L193*'D(Ti_Cherniak) Times'!$F193*0.000001)^2/(4*'D(Ti_Cherniak) Times'!$C193)/(365.35*24*3600)</f>
        <v>1213.714700641699</v>
      </c>
      <c r="Q193" s="2">
        <f>('L-Values'!M193*'D(Ti_Cherniak) Times'!$F193*0.000001)^2/(4*'D(Ti_Cherniak) Times'!$C193)/(365.35*24*3600)</f>
        <v>1321.6255428216534</v>
      </c>
      <c r="R193" s="2">
        <f>('L-Values'!N193*'D(Ti_Cherniak) Times'!$F193*0.000001)^2/(4*'D(Ti_Cherniak) Times'!$C193)/(365.35*24*3600)</f>
        <v>1805.3547120364078</v>
      </c>
      <c r="S193" s="2">
        <f>('L-Values'!O193*'D(Ti_Cherniak) Times'!$F193*0.000001)^2/(4*'D(Ti_Cherniak) Times'!$C193)/(365.35*24*3600)</f>
        <v>1806.4334334614091</v>
      </c>
      <c r="T193" s="2"/>
      <c r="U193" s="2">
        <f>('L-Values'!Q193*'D(Ti_Cherniak) Times'!$F193*0.000001)^2/(4*'D(Ti_Cherniak) Times'!$C193)/(365.35*24*3600)</f>
        <v>1334.3695859542806</v>
      </c>
      <c r="V193" s="2">
        <f>('L-Values'!R193*'D(Ti_Cherniak) Times'!$F193*0.000001)^2/(4*'D(Ti_Cherniak) Times'!$C193)/(365.35*24*3600)</f>
        <v>1331.2492577771452</v>
      </c>
      <c r="W193" s="2">
        <f>('L-Values'!S193*'D(Ti_Cherniak) Times'!$F193*0.000001)^2/(4*'D(Ti_Cherniak) Times'!$C193)/(365.35*24*3600)</f>
        <v>1321.6255428216534</v>
      </c>
      <c r="X193" s="2"/>
      <c r="Y193" s="2">
        <f>('L-Values'!U193*'D(Ti_Cherniak) Times'!$F193*0.000001)^2/(4*'D(Ti_Cherniak) Times'!$C193)/(365.35*24*3600)</f>
        <v>1350.9449366831418</v>
      </c>
      <c r="Z193" s="2">
        <f>('L-Values'!V193*'D(Ti_Cherniak) Times'!$F193*0.000001)^2/(4*'D(Ti_Cherniak) Times'!$C193)/(365.35*24*3600)</f>
        <v>1347.2726949794214</v>
      </c>
      <c r="AA193" s="2">
        <f>('L-Values'!W193*'D(Ti_Cherniak) Times'!$F193*0.000001)^2/(4*'D(Ti_Cherniak) Times'!$C193)/(365.35*24*3600)</f>
        <v>776.94162005467092</v>
      </c>
      <c r="AB193" s="2">
        <f>('L-Values'!X193*'D(Ti_Cherniak) Times'!$F193*0.000001)^2/(4*'D(Ti_Cherniak) Times'!$C193)/(365.35*24*3600)</f>
        <v>2280.9721131424394</v>
      </c>
      <c r="AC193" s="2">
        <f t="shared" si="10"/>
        <v>570.33107492475051</v>
      </c>
      <c r="AD193" s="2">
        <f t="shared" si="11"/>
        <v>933.69941816301798</v>
      </c>
    </row>
    <row r="194" spans="1:30" x14ac:dyDescent="0.2">
      <c r="A194" t="str">
        <f>'L-Values'!A194</f>
        <v>CGI009-qtz12-CL-fit-2-offset</v>
      </c>
      <c r="B194">
        <v>750</v>
      </c>
      <c r="C194">
        <f t="shared" si="8"/>
        <v>8.0537892000481889E-22</v>
      </c>
      <c r="D194">
        <v>2000</v>
      </c>
      <c r="E194">
        <v>1024</v>
      </c>
      <c r="F194">
        <f t="shared" si="9"/>
        <v>1.953125</v>
      </c>
      <c r="I194" s="2">
        <f>('L-Values'!E194*'D(Ti_Cherniak) Times'!$F194*0.000001)^2/(4*'D(Ti_Cherniak) Times'!$C194)/(365.35*24*3600)</f>
        <v>493.17466291350871</v>
      </c>
      <c r="J194" s="2">
        <f>('L-Values'!F194*'D(Ti_Cherniak) Times'!$F194*0.000001)^2/(4*'D(Ti_Cherniak) Times'!$C194)/(365.35*24*3600)</f>
        <v>244.57671956045922</v>
      </c>
      <c r="K194" s="2">
        <f>('L-Values'!G194*'D(Ti_Cherniak) Times'!$F194*0.000001)^2/(4*'D(Ti_Cherniak) Times'!$C194)/(365.35*24*3600)</f>
        <v>120.39805801938876</v>
      </c>
      <c r="L194" s="2">
        <f>('L-Values'!H194*'D(Ti_Cherniak) Times'!$F194*0.000001)^2/(4*'D(Ti_Cherniak) Times'!$C194)/(365.35*24*3600)</f>
        <v>163.88041262791177</v>
      </c>
      <c r="M194" s="2">
        <f>('L-Values'!I194*'D(Ti_Cherniak) Times'!$F194*0.000001)^2/(4*'D(Ti_Cherniak) Times'!$C194)/(365.35*24*3600)</f>
        <v>293.76016394162866</v>
      </c>
      <c r="N194" s="2">
        <f>('L-Values'!J194*'D(Ti_Cherniak) Times'!$F194*0.000001)^2/(4*'D(Ti_Cherniak) Times'!$C194)/(365.35*24*3600)</f>
        <v>151.85204963516239</v>
      </c>
      <c r="O194" s="2">
        <f>('L-Values'!K194*'D(Ti_Cherniak) Times'!$F194*0.000001)^2/(4*'D(Ti_Cherniak) Times'!$C194)/(365.35*24*3600)</f>
        <v>188.4320809177145</v>
      </c>
      <c r="P194" s="2">
        <f>('L-Values'!L194*'D(Ti_Cherniak) Times'!$F194*0.000001)^2/(4*'D(Ti_Cherniak) Times'!$C194)/(365.35*24*3600)</f>
        <v>84.078186622564942</v>
      </c>
      <c r="Q194" s="2">
        <f>('L-Values'!M194*'D(Ti_Cherniak) Times'!$F194*0.000001)^2/(4*'D(Ti_Cherniak) Times'!$C194)/(365.35*24*3600)</f>
        <v>596.12714308852458</v>
      </c>
      <c r="R194" s="2">
        <f>('L-Values'!N194*'D(Ti_Cherniak) Times'!$F194*0.000001)^2/(4*'D(Ti_Cherniak) Times'!$C194)/(365.35*24*3600)</f>
        <v>398.47359288627013</v>
      </c>
      <c r="S194" s="2">
        <f>('L-Values'!O194*'D(Ti_Cherniak) Times'!$F194*0.000001)^2/(4*'D(Ti_Cherniak) Times'!$C194)/(365.35*24*3600)</f>
        <v>863.18315469252377</v>
      </c>
      <c r="T194" s="2"/>
      <c r="U194" s="2">
        <f>('L-Values'!Q194*'D(Ti_Cherniak) Times'!$F194*0.000001)^2/(4*'D(Ti_Cherniak) Times'!$C194)/(365.35*24*3600)</f>
        <v>284.27977622835789</v>
      </c>
      <c r="V194" s="2">
        <f>('L-Values'!R194*'D(Ti_Cherniak) Times'!$F194*0.000001)^2/(4*'D(Ti_Cherniak) Times'!$C194)/(365.35*24*3600)</f>
        <v>291.28217047801917</v>
      </c>
      <c r="W194" s="2">
        <f>('L-Values'!S194*'D(Ti_Cherniak) Times'!$F194*0.000001)^2/(4*'D(Ti_Cherniak) Times'!$C194)/(365.35*24*3600)</f>
        <v>244.57671956045922</v>
      </c>
      <c r="X194" s="2"/>
      <c r="Y194" s="2">
        <f>('L-Values'!U194*'D(Ti_Cherniak) Times'!$F194*0.000001)^2/(4*'D(Ti_Cherniak) Times'!$C194)/(365.35*24*3600)</f>
        <v>290.95203491994027</v>
      </c>
      <c r="Z194" s="2">
        <f>('L-Values'!V194*'D(Ti_Cherniak) Times'!$F194*0.000001)^2/(4*'D(Ti_Cherniak) Times'!$C194)/(365.35*24*3600)</f>
        <v>274.39900792275131</v>
      </c>
      <c r="AA194" s="2">
        <f>('L-Values'!W194*'D(Ti_Cherniak) Times'!$F194*0.000001)^2/(4*'D(Ti_Cherniak) Times'!$C194)/(365.35*24*3600)</f>
        <v>70.807014343791792</v>
      </c>
      <c r="AB194" s="2">
        <f>('L-Values'!X194*'D(Ti_Cherniak) Times'!$F194*0.000001)^2/(4*'D(Ti_Cherniak) Times'!$C194)/(365.35*24*3600)</f>
        <v>537.19697675275688</v>
      </c>
      <c r="AC194" s="2">
        <f t="shared" si="10"/>
        <v>203.59199357895952</v>
      </c>
      <c r="AD194" s="2">
        <f t="shared" si="11"/>
        <v>262.79796883000557</v>
      </c>
    </row>
    <row r="195" spans="1:30" x14ac:dyDescent="0.2">
      <c r="A195" t="str">
        <f>'L-Values'!A195</f>
        <v>CGI009-qtz12-CL-fit-3-offset</v>
      </c>
      <c r="B195">
        <v>750</v>
      </c>
      <c r="C195">
        <f t="shared" ref="C195:C258" si="12">0.00000007*EXP(-273/(0.00831451*(B195+273)))</f>
        <v>8.0537892000481889E-22</v>
      </c>
      <c r="D195">
        <v>2000</v>
      </c>
      <c r="E195">
        <v>1024</v>
      </c>
      <c r="F195">
        <f t="shared" ref="F195:F258" si="13">D195/E195</f>
        <v>1.953125</v>
      </c>
      <c r="I195" s="2">
        <f>('L-Values'!E195*'D(Ti_Cherniak) Times'!$F195*0.000001)^2/(4*'D(Ti_Cherniak) Times'!$C195)/(365.35*24*3600)</f>
        <v>81.436950183677268</v>
      </c>
      <c r="J195" s="2">
        <f>('L-Values'!F195*'D(Ti_Cherniak) Times'!$F195*0.000001)^2/(4*'D(Ti_Cherniak) Times'!$C195)/(365.35*24*3600)</f>
        <v>38.303209678969154</v>
      </c>
      <c r="K195" s="2">
        <f>('L-Values'!G195*'D(Ti_Cherniak) Times'!$F195*0.000001)^2/(4*'D(Ti_Cherniak) Times'!$C195)/(365.35*24*3600)</f>
        <v>168.40631722056719</v>
      </c>
      <c r="L195" s="2">
        <f>('L-Values'!H195*'D(Ti_Cherniak) Times'!$F195*0.000001)^2/(4*'D(Ti_Cherniak) Times'!$C195)/(365.35*24*3600)</f>
        <v>186.9509050167085</v>
      </c>
      <c r="M195" s="2">
        <f>('L-Values'!I195*'D(Ti_Cherniak) Times'!$F195*0.000001)^2/(4*'D(Ti_Cherniak) Times'!$C195)/(365.35*24*3600)</f>
        <v>280.78330301009424</v>
      </c>
      <c r="N195" s="2">
        <f>('L-Values'!J195*'D(Ti_Cherniak) Times'!$F195*0.000001)^2/(4*'D(Ti_Cherniak) Times'!$C195)/(365.35*24*3600)</f>
        <v>345.31100973984326</v>
      </c>
      <c r="O195" s="2">
        <f>('L-Values'!K195*'D(Ti_Cherniak) Times'!$F195*0.000001)^2/(4*'D(Ti_Cherniak) Times'!$C195)/(365.35*24*3600)</f>
        <v>0.3753900444527144</v>
      </c>
      <c r="P195" s="2">
        <f>('L-Values'!L195*'D(Ti_Cherniak) Times'!$F195*0.000001)^2/(4*'D(Ti_Cherniak) Times'!$C195)/(365.35*24*3600)</f>
        <v>52.835143650581465</v>
      </c>
      <c r="Q195" s="2">
        <f>('L-Values'!M195*'D(Ti_Cherniak) Times'!$F195*0.000001)^2/(4*'D(Ti_Cherniak) Times'!$C195)/(365.35*24*3600)</f>
        <v>202.01225582581668</v>
      </c>
      <c r="R195" s="2">
        <f>('L-Values'!N195*'D(Ti_Cherniak) Times'!$F195*0.000001)^2/(4*'D(Ti_Cherniak) Times'!$C195)/(365.35*24*3600)</f>
        <v>6.8964048584089861</v>
      </c>
      <c r="S195" s="2">
        <f>('L-Values'!O195*'D(Ti_Cherniak) Times'!$F195*0.000001)^2/(4*'D(Ti_Cherniak) Times'!$C195)/(365.35*24*3600)</f>
        <v>47.381401981973632</v>
      </c>
      <c r="T195" s="2"/>
      <c r="U195" s="2">
        <f>('L-Values'!Q195*'D(Ti_Cherniak) Times'!$F195*0.000001)^2/(4*'D(Ti_Cherniak) Times'!$C195)/(365.35*24*3600)</f>
        <v>142.73123939611844</v>
      </c>
      <c r="V195" s="2">
        <f>('L-Values'!R195*'D(Ti_Cherniak) Times'!$F195*0.000001)^2/(4*'D(Ti_Cherniak) Times'!$C195)/(365.35*24*3600)</f>
        <v>97.841895560295555</v>
      </c>
      <c r="W195" s="2">
        <f>('L-Values'!S195*'D(Ti_Cherniak) Times'!$F195*0.000001)^2/(4*'D(Ti_Cherniak) Times'!$C195)/(365.35*24*3600)</f>
        <v>81.436950183677268</v>
      </c>
      <c r="X195" s="2"/>
      <c r="Y195" s="2">
        <f>('L-Values'!U195*'D(Ti_Cherniak) Times'!$F195*0.000001)^2/(4*'D(Ti_Cherniak) Times'!$C195)/(365.35*24*3600)</f>
        <v>107.88860054717104</v>
      </c>
      <c r="Z195" s="2">
        <f>('L-Values'!V195*'D(Ti_Cherniak) Times'!$F195*0.000001)^2/(4*'D(Ti_Cherniak) Times'!$C195)/(365.35*24*3600)</f>
        <v>140.0773622075283</v>
      </c>
      <c r="AA195" s="2">
        <f>('L-Values'!W195*'D(Ti_Cherniak) Times'!$F195*0.000001)^2/(4*'D(Ti_Cherniak) Times'!$C195)/(365.35*24*3600)</f>
        <v>0.77938762667508654</v>
      </c>
      <c r="AB195" s="2">
        <f>('L-Values'!X195*'D(Ti_Cherniak) Times'!$F195*0.000001)^2/(4*'D(Ti_Cherniak) Times'!$C195)/(365.35*24*3600)</f>
        <v>1304.4687030289581</v>
      </c>
      <c r="AC195" s="2">
        <f t="shared" ref="AC195:AC258" si="14">Z195-AA195</f>
        <v>139.29797458085321</v>
      </c>
      <c r="AD195" s="2">
        <f t="shared" ref="AD195:AD258" si="15">AB195-Z195</f>
        <v>1164.3913408214298</v>
      </c>
    </row>
    <row r="196" spans="1:30" x14ac:dyDescent="0.2">
      <c r="A196" t="str">
        <f>'L-Values'!A196</f>
        <v>CGI009-qtz12-CL-fit-4-offset</v>
      </c>
      <c r="B196">
        <v>750</v>
      </c>
      <c r="C196">
        <f t="shared" si="12"/>
        <v>8.0537892000481889E-22</v>
      </c>
      <c r="D196">
        <v>2000</v>
      </c>
      <c r="E196">
        <v>1024</v>
      </c>
      <c r="F196">
        <f t="shared" si="13"/>
        <v>1.953125</v>
      </c>
      <c r="I196" s="2">
        <f>('L-Values'!E196*'D(Ti_Cherniak) Times'!$F196*0.000001)^2/(4*'D(Ti_Cherniak) Times'!$C196)/(365.35*24*3600)</f>
        <v>281.26991825698371</v>
      </c>
      <c r="J196" s="2">
        <f>('L-Values'!F196*'D(Ti_Cherniak) Times'!$F196*0.000001)^2/(4*'D(Ti_Cherniak) Times'!$C196)/(365.35*24*3600)</f>
        <v>135.92930358273586</v>
      </c>
      <c r="K196" s="2">
        <f>('L-Values'!G196*'D(Ti_Cherniak) Times'!$F196*0.000001)^2/(4*'D(Ti_Cherniak) Times'!$C196)/(365.35*24*3600)</f>
        <v>93.148407937283253</v>
      </c>
      <c r="L196" s="2">
        <f>('L-Values'!H196*'D(Ti_Cherniak) Times'!$F196*0.000001)^2/(4*'D(Ti_Cherniak) Times'!$C196)/(365.35*24*3600)</f>
        <v>216.9979969850599</v>
      </c>
      <c r="M196" s="2">
        <f>('L-Values'!I196*'D(Ti_Cherniak) Times'!$F196*0.000001)^2/(4*'D(Ti_Cherniak) Times'!$C196)/(365.35*24*3600)</f>
        <v>121.58331434874755</v>
      </c>
      <c r="N196" s="2">
        <f>('L-Values'!J196*'D(Ti_Cherniak) Times'!$F196*0.000001)^2/(4*'D(Ti_Cherniak) Times'!$C196)/(365.35*24*3600)</f>
        <v>125.31353040384776</v>
      </c>
      <c r="O196" s="2">
        <f>('L-Values'!K196*'D(Ti_Cherniak) Times'!$F196*0.000001)^2/(4*'D(Ti_Cherniak) Times'!$C196)/(365.35*24*3600)</f>
        <v>119.69570227541811</v>
      </c>
      <c r="P196" s="2">
        <f>('L-Values'!L196*'D(Ti_Cherniak) Times'!$F196*0.000001)^2/(4*'D(Ti_Cherniak) Times'!$C196)/(365.35*24*3600)</f>
        <v>80.033460890185907</v>
      </c>
      <c r="Q196" s="2">
        <f>('L-Values'!M196*'D(Ti_Cherniak) Times'!$F196*0.000001)^2/(4*'D(Ti_Cherniak) Times'!$C196)/(365.35*24*3600)</f>
        <v>25.231235495268823</v>
      </c>
      <c r="R196" s="2">
        <f>('L-Values'!N196*'D(Ti_Cherniak) Times'!$F196*0.000001)^2/(4*'D(Ti_Cherniak) Times'!$C196)/(365.35*24*3600)</f>
        <v>221.5436095311284</v>
      </c>
      <c r="S196" s="2">
        <f>('L-Values'!O196*'D(Ti_Cherniak) Times'!$F196*0.000001)^2/(4*'D(Ti_Cherniak) Times'!$C196)/(365.35*24*3600)</f>
        <v>835.5043102943157</v>
      </c>
      <c r="T196" s="2"/>
      <c r="U196" s="2">
        <f>('L-Values'!Q196*'D(Ti_Cherniak) Times'!$F196*0.000001)^2/(4*'D(Ti_Cherniak) Times'!$C196)/(365.35*24*3600)</f>
        <v>120.62516231237302</v>
      </c>
      <c r="V196" s="2">
        <f>('L-Values'!R196*'D(Ti_Cherniak) Times'!$F196*0.000001)^2/(4*'D(Ti_Cherniak) Times'!$C196)/(365.35*24*3600)</f>
        <v>170.73509320387726</v>
      </c>
      <c r="W196" s="2">
        <f>('L-Values'!S196*'D(Ti_Cherniak) Times'!$F196*0.000001)^2/(4*'D(Ti_Cherniak) Times'!$C196)/(365.35*24*3600)</f>
        <v>125.31353040384776</v>
      </c>
      <c r="X196" s="2"/>
      <c r="Y196" s="2">
        <f>('L-Values'!U196*'D(Ti_Cherniak) Times'!$F196*0.000001)^2/(4*'D(Ti_Cherniak) Times'!$C196)/(365.35*24*3600)</f>
        <v>94.304342327288211</v>
      </c>
      <c r="Z196" s="2">
        <f>('L-Values'!V196*'D(Ti_Cherniak) Times'!$F196*0.000001)^2/(4*'D(Ti_Cherniak) Times'!$C196)/(365.35*24*3600)</f>
        <v>105.9124181420629</v>
      </c>
      <c r="AA196" s="2">
        <f>('L-Values'!W196*'D(Ti_Cherniak) Times'!$F196*0.000001)^2/(4*'D(Ti_Cherniak) Times'!$C196)/(365.35*24*3600)</f>
        <v>2.2382571189248088E-3</v>
      </c>
      <c r="AB196" s="2">
        <f>('L-Values'!X196*'D(Ti_Cherniak) Times'!$F196*0.000001)^2/(4*'D(Ti_Cherniak) Times'!$C196)/(365.35*24*3600)</f>
        <v>576.76106106794418</v>
      </c>
      <c r="AC196" s="2">
        <f t="shared" si="14"/>
        <v>105.91017988494399</v>
      </c>
      <c r="AD196" s="2">
        <f t="shared" si="15"/>
        <v>470.84864292588128</v>
      </c>
    </row>
    <row r="197" spans="1:30" x14ac:dyDescent="0.2">
      <c r="A197" t="str">
        <f>'L-Values'!A197</f>
        <v>CGI011-qtz01-CL-fit-1-offset</v>
      </c>
      <c r="B197">
        <v>750</v>
      </c>
      <c r="C197">
        <f t="shared" si="12"/>
        <v>8.0537892000481889E-22</v>
      </c>
      <c r="D197">
        <v>2000</v>
      </c>
      <c r="E197">
        <v>1024</v>
      </c>
      <c r="F197">
        <f t="shared" si="13"/>
        <v>1.953125</v>
      </c>
      <c r="I197" s="2">
        <f>('L-Values'!E197*'D(Ti_Cherniak) Times'!$F197*0.000001)^2/(4*'D(Ti_Cherniak) Times'!$C197)/(365.35*24*3600)</f>
        <v>832.4429428613397</v>
      </c>
      <c r="J197" s="2">
        <f>('L-Values'!F197*'D(Ti_Cherniak) Times'!$F197*0.000001)^2/(4*'D(Ti_Cherniak) Times'!$C197)/(365.35*24*3600)</f>
        <v>804.38143527513955</v>
      </c>
      <c r="K197" s="2">
        <f>('L-Values'!G197*'D(Ti_Cherniak) Times'!$F197*0.000001)^2/(4*'D(Ti_Cherniak) Times'!$C197)/(365.35*24*3600)</f>
        <v>538.17922490550825</v>
      </c>
      <c r="L197" s="2">
        <f>('L-Values'!H197*'D(Ti_Cherniak) Times'!$F197*0.000001)^2/(4*'D(Ti_Cherniak) Times'!$C197)/(365.35*24*3600)</f>
        <v>1282.3287047626816</v>
      </c>
      <c r="M197" s="2">
        <f>('L-Values'!I197*'D(Ti_Cherniak) Times'!$F197*0.000001)^2/(4*'D(Ti_Cherniak) Times'!$C197)/(365.35*24*3600)</f>
        <v>693.51949280915471</v>
      </c>
      <c r="N197" s="2">
        <f>('L-Values'!J197*'D(Ti_Cherniak) Times'!$F197*0.000001)^2/(4*'D(Ti_Cherniak) Times'!$C197)/(365.35*24*3600)</f>
        <v>679.34164572856537</v>
      </c>
      <c r="O197" s="2">
        <f>('L-Values'!K197*'D(Ti_Cherniak) Times'!$F197*0.000001)^2/(4*'D(Ti_Cherniak) Times'!$C197)/(365.35*24*3600)</f>
        <v>888.18890785364863</v>
      </c>
      <c r="P197" s="2">
        <f>('L-Values'!L197*'D(Ti_Cherniak) Times'!$F197*0.000001)^2/(4*'D(Ti_Cherniak) Times'!$C197)/(365.35*24*3600)</f>
        <v>1504.0876597817066</v>
      </c>
      <c r="Q197" s="2">
        <f>('L-Values'!M197*'D(Ti_Cherniak) Times'!$F197*0.000001)^2/(4*'D(Ti_Cherniak) Times'!$C197)/(365.35*24*3600)</f>
        <v>920.15630523501545</v>
      </c>
      <c r="R197" s="2">
        <f>('L-Values'!N197*'D(Ti_Cherniak) Times'!$F197*0.000001)^2/(4*'D(Ti_Cherniak) Times'!$C197)/(365.35*24*3600)</f>
        <v>505.72967256950687</v>
      </c>
      <c r="S197" s="2">
        <f>('L-Values'!O197*'D(Ti_Cherniak) Times'!$F197*0.000001)^2/(4*'D(Ti_Cherniak) Times'!$C197)/(365.35*24*3600)</f>
        <v>984.59791926290666</v>
      </c>
      <c r="T197" s="2"/>
      <c r="U197" s="2">
        <f>('L-Values'!Q197*'D(Ti_Cherniak) Times'!$F197*0.000001)^2/(4*'D(Ti_Cherniak) Times'!$C197)/(365.35*24*3600)</f>
        <v>838.01380100619031</v>
      </c>
      <c r="V197" s="2">
        <f>('L-Values'!R197*'D(Ti_Cherniak) Times'!$F197*0.000001)^2/(4*'D(Ti_Cherniak) Times'!$C197)/(365.35*24*3600)</f>
        <v>853.73847875579122</v>
      </c>
      <c r="W197" s="2">
        <f>('L-Values'!S197*'D(Ti_Cherniak) Times'!$F197*0.000001)^2/(4*'D(Ti_Cherniak) Times'!$C197)/(365.35*24*3600)</f>
        <v>832.4429428613397</v>
      </c>
      <c r="X197" s="2"/>
      <c r="Y197" s="2">
        <f>('L-Values'!U197*'D(Ti_Cherniak) Times'!$F197*0.000001)^2/(4*'D(Ti_Cherniak) Times'!$C197)/(365.35*24*3600)</f>
        <v>815.80191135462201</v>
      </c>
      <c r="Z197" s="2">
        <f>('L-Values'!V197*'D(Ti_Cherniak) Times'!$F197*0.000001)^2/(4*'D(Ti_Cherniak) Times'!$C197)/(365.35*24*3600)</f>
        <v>833.94332831799773</v>
      </c>
      <c r="AA197" s="2">
        <f>('L-Values'!W197*'D(Ti_Cherniak) Times'!$F197*0.000001)^2/(4*'D(Ti_Cherniak) Times'!$C197)/(365.35*24*3600)</f>
        <v>387.21688040632716</v>
      </c>
      <c r="AB197" s="2">
        <f>('L-Values'!X197*'D(Ti_Cherniak) Times'!$F197*0.000001)^2/(4*'D(Ti_Cherniak) Times'!$C197)/(365.35*24*3600)</f>
        <v>1648.373938147457</v>
      </c>
      <c r="AC197" s="2">
        <f t="shared" si="14"/>
        <v>446.72644791167056</v>
      </c>
      <c r="AD197" s="2">
        <f t="shared" si="15"/>
        <v>814.43060982945929</v>
      </c>
    </row>
    <row r="198" spans="1:30" x14ac:dyDescent="0.2">
      <c r="A198" t="str">
        <f>'L-Values'!A198</f>
        <v>CGI011-qtz01-CL-fit-2-offset</v>
      </c>
      <c r="B198">
        <v>750</v>
      </c>
      <c r="C198">
        <f t="shared" si="12"/>
        <v>8.0537892000481889E-22</v>
      </c>
      <c r="D198">
        <v>2000</v>
      </c>
      <c r="E198">
        <v>1024</v>
      </c>
      <c r="F198">
        <f t="shared" si="13"/>
        <v>1.953125</v>
      </c>
      <c r="I198" s="2">
        <f>('L-Values'!E198*'D(Ti_Cherniak) Times'!$F198*0.000001)^2/(4*'D(Ti_Cherniak) Times'!$C198)/(365.35*24*3600)</f>
        <v>72.927494303660524</v>
      </c>
      <c r="J198" s="2">
        <f>('L-Values'!F198*'D(Ti_Cherniak) Times'!$F198*0.000001)^2/(4*'D(Ti_Cherniak) Times'!$C198)/(365.35*24*3600)</f>
        <v>1101.8407071843606</v>
      </c>
      <c r="K198" s="2">
        <f>('L-Values'!G198*'D(Ti_Cherniak) Times'!$F198*0.000001)^2/(4*'D(Ti_Cherniak) Times'!$C198)/(365.35*24*3600)</f>
        <v>876.68447998497379</v>
      </c>
      <c r="L198" s="2">
        <f>('L-Values'!H198*'D(Ti_Cherniak) Times'!$F198*0.000001)^2/(4*'D(Ti_Cherniak) Times'!$C198)/(365.35*24*3600)</f>
        <v>264.77740422668495</v>
      </c>
      <c r="M198" s="2">
        <f>('L-Values'!I198*'D(Ti_Cherniak) Times'!$F198*0.000001)^2/(4*'D(Ti_Cherniak) Times'!$C198)/(365.35*24*3600)</f>
        <v>727.28449652918027</v>
      </c>
      <c r="N198" s="2">
        <f>('L-Values'!J198*'D(Ti_Cherniak) Times'!$F198*0.000001)^2/(4*'D(Ti_Cherniak) Times'!$C198)/(365.35*24*3600)</f>
        <v>193.8918740229812</v>
      </c>
      <c r="O198" s="2">
        <f>('L-Values'!K198*'D(Ti_Cherniak) Times'!$F198*0.000001)^2/(4*'D(Ti_Cherniak) Times'!$C198)/(365.35*24*3600)</f>
        <v>310.11428280219098</v>
      </c>
      <c r="P198" s="2">
        <f>('L-Values'!L198*'D(Ti_Cherniak) Times'!$F198*0.000001)^2/(4*'D(Ti_Cherniak) Times'!$C198)/(365.35*24*3600)</f>
        <v>871.37295306963802</v>
      </c>
      <c r="Q198" s="2">
        <f>('L-Values'!M198*'D(Ti_Cherniak) Times'!$F198*0.000001)^2/(4*'D(Ti_Cherniak) Times'!$C198)/(365.35*24*3600)</f>
        <v>112.49013813424747</v>
      </c>
      <c r="R198" s="2">
        <f>('L-Values'!N198*'D(Ti_Cherniak) Times'!$F198*0.000001)^2/(4*'D(Ti_Cherniak) Times'!$C198)/(365.35*24*3600)</f>
        <v>305.96522000586253</v>
      </c>
      <c r="S198" s="2">
        <f>('L-Values'!O198*'D(Ti_Cherniak) Times'!$F198*0.000001)^2/(4*'D(Ti_Cherniak) Times'!$C198)/(365.35*24*3600)</f>
        <v>155.34299317593866</v>
      </c>
      <c r="T198" s="2"/>
      <c r="U198" s="2">
        <f>('L-Values'!Q198*'D(Ti_Cherniak) Times'!$F198*0.000001)^2/(4*'D(Ti_Cherniak) Times'!$C198)/(365.35*24*3600)</f>
        <v>363.18226600139855</v>
      </c>
      <c r="V198" s="2">
        <f>('L-Values'!R198*'D(Ti_Cherniak) Times'!$F198*0.000001)^2/(4*'D(Ti_Cherniak) Times'!$C198)/(365.35*24*3600)</f>
        <v>386.29422117045937</v>
      </c>
      <c r="W198" s="2">
        <f>('L-Values'!S198*'D(Ti_Cherniak) Times'!$F198*0.000001)^2/(4*'D(Ti_Cherniak) Times'!$C198)/(365.35*24*3600)</f>
        <v>305.96522000586253</v>
      </c>
      <c r="X198" s="2"/>
      <c r="Y198" s="2">
        <f>('L-Values'!U198*'D(Ti_Cherniak) Times'!$F198*0.000001)^2/(4*'D(Ti_Cherniak) Times'!$C198)/(365.35*24*3600)</f>
        <v>379.58522788910579</v>
      </c>
      <c r="Z198" s="2">
        <f>('L-Values'!V198*'D(Ti_Cherniak) Times'!$F198*0.000001)^2/(4*'D(Ti_Cherniak) Times'!$C198)/(365.35*24*3600)</f>
        <v>407.20948021397311</v>
      </c>
      <c r="AA198" s="2">
        <f>('L-Values'!W198*'D(Ti_Cherniak) Times'!$F198*0.000001)^2/(4*'D(Ti_Cherniak) Times'!$C198)/(365.35*24*3600)</f>
        <v>49.023674751077351</v>
      </c>
      <c r="AB198" s="2">
        <f>('L-Values'!X198*'D(Ti_Cherniak) Times'!$F198*0.000001)^2/(4*'D(Ti_Cherniak) Times'!$C198)/(365.35*24*3600)</f>
        <v>1388.1074903313165</v>
      </c>
      <c r="AC198" s="2">
        <f t="shared" si="14"/>
        <v>358.18580546289576</v>
      </c>
      <c r="AD198" s="2">
        <f t="shared" si="15"/>
        <v>980.89801011734335</v>
      </c>
    </row>
    <row r="199" spans="1:30" x14ac:dyDescent="0.2">
      <c r="A199" t="str">
        <f>'L-Values'!A199</f>
        <v>CGI011-qtz01-CL-fit-3-offset</v>
      </c>
      <c r="B199">
        <v>750</v>
      </c>
      <c r="C199">
        <f t="shared" si="12"/>
        <v>8.0537892000481889E-22</v>
      </c>
      <c r="D199">
        <v>2000</v>
      </c>
      <c r="E199">
        <v>1024</v>
      </c>
      <c r="F199">
        <f t="shared" si="13"/>
        <v>1.953125</v>
      </c>
      <c r="I199" s="2">
        <f>('L-Values'!E199*'D(Ti_Cherniak) Times'!$F199*0.000001)^2/(4*'D(Ti_Cherniak) Times'!$C199)/(365.35*24*3600)</f>
        <v>192.32087463113709</v>
      </c>
      <c r="J199" s="2">
        <f>('L-Values'!F199*'D(Ti_Cherniak) Times'!$F199*0.000001)^2/(4*'D(Ti_Cherniak) Times'!$C199)/(365.35*24*3600)</f>
        <v>196.627517592147</v>
      </c>
      <c r="K199" s="2">
        <f>('L-Values'!G199*'D(Ti_Cherniak) Times'!$F199*0.000001)^2/(4*'D(Ti_Cherniak) Times'!$C199)/(365.35*24*3600)</f>
        <v>312.94365031294319</v>
      </c>
      <c r="L199" s="2">
        <f>('L-Values'!H199*'D(Ti_Cherniak) Times'!$F199*0.000001)^2/(4*'D(Ti_Cherniak) Times'!$C199)/(365.35*24*3600)</f>
        <v>349.49571109959192</v>
      </c>
      <c r="M199" s="2">
        <f>('L-Values'!I199*'D(Ti_Cherniak) Times'!$F199*0.000001)^2/(4*'D(Ti_Cherniak) Times'!$C199)/(365.35*24*3600)</f>
        <v>197.22516074063643</v>
      </c>
      <c r="N199" s="2">
        <f>('L-Values'!J199*'D(Ti_Cherniak) Times'!$F199*0.000001)^2/(4*'D(Ti_Cherniak) Times'!$C199)/(365.35*24*3600)</f>
        <v>230.46663889261842</v>
      </c>
      <c r="O199" s="2">
        <f>('L-Values'!K199*'D(Ti_Cherniak) Times'!$F199*0.000001)^2/(4*'D(Ti_Cherniak) Times'!$C199)/(365.35*24*3600)</f>
        <v>330.67637355427013</v>
      </c>
      <c r="P199" s="2">
        <f>('L-Values'!L199*'D(Ti_Cherniak) Times'!$F199*0.000001)^2/(4*'D(Ti_Cherniak) Times'!$C199)/(365.35*24*3600)</f>
        <v>334.13340208484419</v>
      </c>
      <c r="Q199" s="2">
        <f>('L-Values'!M199*'D(Ti_Cherniak) Times'!$F199*0.000001)^2/(4*'D(Ti_Cherniak) Times'!$C199)/(365.35*24*3600)</f>
        <v>166.16202546218256</v>
      </c>
      <c r="R199" s="2">
        <f>('L-Values'!N199*'D(Ti_Cherniak) Times'!$F199*0.000001)^2/(4*'D(Ti_Cherniak) Times'!$C199)/(365.35*24*3600)</f>
        <v>166.47383727476233</v>
      </c>
      <c r="S199" s="2">
        <f>('L-Values'!O199*'D(Ti_Cherniak) Times'!$F199*0.000001)^2/(4*'D(Ti_Cherniak) Times'!$C199)/(365.35*24*3600)</f>
        <v>500.90179172459329</v>
      </c>
      <c r="T199" s="2"/>
      <c r="U199" s="2">
        <f>('L-Values'!Q199*'D(Ti_Cherniak) Times'!$F199*0.000001)^2/(4*'D(Ti_Cherniak) Times'!$C199)/(365.35*24*3600)</f>
        <v>252.47870895970684</v>
      </c>
      <c r="V199" s="2">
        <f>('L-Values'!R199*'D(Ti_Cherniak) Times'!$F199*0.000001)^2/(4*'D(Ti_Cherniak) Times'!$C199)/(365.35*24*3600)</f>
        <v>262.25660846558395</v>
      </c>
      <c r="W199" s="2">
        <f>('L-Values'!S199*'D(Ti_Cherniak) Times'!$F199*0.000001)^2/(4*'D(Ti_Cherniak) Times'!$C199)/(365.35*24*3600)</f>
        <v>230.46663889261842</v>
      </c>
      <c r="X199" s="2"/>
      <c r="Y199" s="2">
        <f>('L-Values'!U199*'D(Ti_Cherniak) Times'!$F199*0.000001)^2/(4*'D(Ti_Cherniak) Times'!$C199)/(365.35*24*3600)</f>
        <v>233.08405323502234</v>
      </c>
      <c r="Z199" s="2">
        <f>('L-Values'!V199*'D(Ti_Cherniak) Times'!$F199*0.000001)^2/(4*'D(Ti_Cherniak) Times'!$C199)/(365.35*24*3600)</f>
        <v>249.94909393910993</v>
      </c>
      <c r="AA199" s="2">
        <f>('L-Values'!W199*'D(Ti_Cherniak) Times'!$F199*0.000001)^2/(4*'D(Ti_Cherniak) Times'!$C199)/(365.35*24*3600)</f>
        <v>99.270898901538388</v>
      </c>
      <c r="AB199" s="2">
        <f>('L-Values'!X199*'D(Ti_Cherniak) Times'!$F199*0.000001)^2/(4*'D(Ti_Cherniak) Times'!$C199)/(365.35*24*3600)</f>
        <v>544.87074945274469</v>
      </c>
      <c r="AC199" s="2">
        <f t="shared" si="14"/>
        <v>150.67819503757153</v>
      </c>
      <c r="AD199" s="2">
        <f t="shared" si="15"/>
        <v>294.92165551363473</v>
      </c>
    </row>
    <row r="200" spans="1:30" x14ac:dyDescent="0.2">
      <c r="A200" t="str">
        <f>'L-Values'!A200</f>
        <v>CGI011-qtz01-CL-fit-4-offset</v>
      </c>
      <c r="B200">
        <v>750</v>
      </c>
      <c r="C200">
        <f t="shared" si="12"/>
        <v>8.0537892000481889E-22</v>
      </c>
      <c r="D200">
        <v>2000</v>
      </c>
      <c r="E200">
        <v>1024</v>
      </c>
      <c r="F200">
        <f t="shared" si="13"/>
        <v>1.953125</v>
      </c>
      <c r="I200" s="2">
        <f>('L-Values'!E200*'D(Ti_Cherniak) Times'!$F200*0.000001)^2/(4*'D(Ti_Cherniak) Times'!$C200)/(365.35*24*3600)</f>
        <v>998.05659687815489</v>
      </c>
      <c r="J200" s="2">
        <f>('L-Values'!F200*'D(Ti_Cherniak) Times'!$F200*0.000001)^2/(4*'D(Ti_Cherniak) Times'!$C200)/(365.35*24*3600)</f>
        <v>2147.9293840890532</v>
      </c>
      <c r="K200" s="2">
        <f>('L-Values'!G200*'D(Ti_Cherniak) Times'!$F200*0.000001)^2/(4*'D(Ti_Cherniak) Times'!$C200)/(365.35*24*3600)</f>
        <v>61.587790285539747</v>
      </c>
      <c r="L200" s="2">
        <f>('L-Values'!H200*'D(Ti_Cherniak) Times'!$F200*0.000001)^2/(4*'D(Ti_Cherniak) Times'!$C200)/(365.35*24*3600)</f>
        <v>3558.054461910996</v>
      </c>
      <c r="M200" s="2">
        <f>('L-Values'!I200*'D(Ti_Cherniak) Times'!$F200*0.000001)^2/(4*'D(Ti_Cherniak) Times'!$C200)/(365.35*24*3600)</f>
        <v>1255.3095527074531</v>
      </c>
      <c r="N200" s="2">
        <f>('L-Values'!J200*'D(Ti_Cherniak) Times'!$F200*0.000001)^2/(4*'D(Ti_Cherniak) Times'!$C200)/(365.35*24*3600)</f>
        <v>1812.640557175378</v>
      </c>
      <c r="O200" s="2">
        <f>('L-Values'!K200*'D(Ti_Cherniak) Times'!$F200*0.000001)^2/(4*'D(Ti_Cherniak) Times'!$C200)/(365.35*24*3600)</f>
        <v>440.63485393837135</v>
      </c>
      <c r="P200" s="2">
        <f>('L-Values'!L200*'D(Ti_Cherniak) Times'!$F200*0.000001)^2/(4*'D(Ti_Cherniak) Times'!$C200)/(365.35*24*3600)</f>
        <v>2018.4114175336276</v>
      </c>
      <c r="Q200" s="2">
        <f>('L-Values'!M200*'D(Ti_Cherniak) Times'!$F200*0.000001)^2/(4*'D(Ti_Cherniak) Times'!$C200)/(365.35*24*3600)</f>
        <v>81.826350684007011</v>
      </c>
      <c r="R200" s="2">
        <f>('L-Values'!N200*'D(Ti_Cherniak) Times'!$F200*0.000001)^2/(4*'D(Ti_Cherniak) Times'!$C200)/(365.35*24*3600)</f>
        <v>2858.0373423073734</v>
      </c>
      <c r="S200" s="2">
        <f>('L-Values'!O200*'D(Ti_Cherniak) Times'!$F200*0.000001)^2/(4*'D(Ti_Cherniak) Times'!$C200)/(365.35*24*3600)</f>
        <v>1770.6212184865267</v>
      </c>
      <c r="T200" s="2"/>
      <c r="U200" s="2">
        <f>('L-Values'!Q200*'D(Ti_Cherniak) Times'!$F200*0.000001)^2/(4*'D(Ti_Cherniak) Times'!$C200)/(365.35*24*3600)</f>
        <v>1549.3691974331746</v>
      </c>
      <c r="V200" s="2">
        <f>('L-Values'!R200*'D(Ti_Cherniak) Times'!$F200*0.000001)^2/(4*'D(Ti_Cherniak) Times'!$C200)/(365.35*24*3600)</f>
        <v>1282.5753383368667</v>
      </c>
      <c r="W200" s="2">
        <f>('L-Values'!S200*'D(Ti_Cherniak) Times'!$F200*0.000001)^2/(4*'D(Ti_Cherniak) Times'!$C200)/(365.35*24*3600)</f>
        <v>1770.6212184865267</v>
      </c>
      <c r="X200" s="2"/>
      <c r="Y200" s="2">
        <f>('L-Values'!U200*'D(Ti_Cherniak) Times'!$F200*0.000001)^2/(4*'D(Ti_Cherniak) Times'!$C200)/(365.35*24*3600)</f>
        <v>1442.5854393133811</v>
      </c>
      <c r="Z200" s="2">
        <f>('L-Values'!V200*'D(Ti_Cherniak) Times'!$F200*0.000001)^2/(4*'D(Ti_Cherniak) Times'!$C200)/(365.35*24*3600)</f>
        <v>1382.5593822999253</v>
      </c>
      <c r="AA200" s="2">
        <f>('L-Values'!W200*'D(Ti_Cherniak) Times'!$F200*0.000001)^2/(4*'D(Ti_Cherniak) Times'!$C200)/(365.35*24*3600)</f>
        <v>71.782982392018027</v>
      </c>
      <c r="AB200" s="2">
        <f>('L-Values'!X200*'D(Ti_Cherniak) Times'!$F200*0.000001)^2/(4*'D(Ti_Cherniak) Times'!$C200)/(365.35*24*3600)</f>
        <v>4645.7479085379873</v>
      </c>
      <c r="AC200" s="2">
        <f t="shared" si="14"/>
        <v>1310.7763999079073</v>
      </c>
      <c r="AD200" s="2">
        <f t="shared" si="15"/>
        <v>3263.188526238062</v>
      </c>
    </row>
    <row r="201" spans="1:30" x14ac:dyDescent="0.2">
      <c r="A201" t="str">
        <f>'L-Values'!A201</f>
        <v>CGI011-qtz01-CL-fit-5-offset</v>
      </c>
      <c r="B201">
        <v>750</v>
      </c>
      <c r="C201">
        <f t="shared" si="12"/>
        <v>8.0537892000481889E-22</v>
      </c>
      <c r="D201">
        <v>2000</v>
      </c>
      <c r="E201">
        <v>1024</v>
      </c>
      <c r="F201">
        <f t="shared" si="13"/>
        <v>1.953125</v>
      </c>
      <c r="I201" s="2">
        <f>('L-Values'!E201*'D(Ti_Cherniak) Times'!$F201*0.000001)^2/(4*'D(Ti_Cherniak) Times'!$C201)/(365.35*24*3600)</f>
        <v>7.6705389207167487</v>
      </c>
      <c r="J201" s="2">
        <f>('L-Values'!F201*'D(Ti_Cherniak) Times'!$F201*0.000001)^2/(4*'D(Ti_Cherniak) Times'!$C201)/(365.35*24*3600)</f>
        <v>95.087045025655527</v>
      </c>
      <c r="K201" s="2">
        <f>('L-Values'!G201*'D(Ti_Cherniak) Times'!$F201*0.000001)^2/(4*'D(Ti_Cherniak) Times'!$C201)/(365.35*24*3600)</f>
        <v>102.62665967742097</v>
      </c>
      <c r="L201" s="2">
        <f>('L-Values'!H201*'D(Ti_Cherniak) Times'!$F201*0.000001)^2/(4*'D(Ti_Cherniak) Times'!$C201)/(365.35*24*3600)</f>
        <v>42.549194403348473</v>
      </c>
      <c r="M201" s="2">
        <f>('L-Values'!I201*'D(Ti_Cherniak) Times'!$F201*0.000001)^2/(4*'D(Ti_Cherniak) Times'!$C201)/(365.35*24*3600)</f>
        <v>85.865298901491187</v>
      </c>
      <c r="N201" s="2">
        <f>('L-Values'!J201*'D(Ti_Cherniak) Times'!$F201*0.000001)^2/(4*'D(Ti_Cherniak) Times'!$C201)/(365.35*24*3600)</f>
        <v>121.09631886703748</v>
      </c>
      <c r="O201" s="2">
        <f>('L-Values'!K201*'D(Ti_Cherniak) Times'!$F201*0.000001)^2/(4*'D(Ti_Cherniak) Times'!$C201)/(365.35*24*3600)</f>
        <v>89.217114011975994</v>
      </c>
      <c r="P201" s="2">
        <f>('L-Values'!L201*'D(Ti_Cherniak) Times'!$F201*0.000001)^2/(4*'D(Ti_Cherniak) Times'!$C201)/(365.35*24*3600)</f>
        <v>4.3540227994963106E-2</v>
      </c>
      <c r="Q201" s="2">
        <f>('L-Values'!M201*'D(Ti_Cherniak) Times'!$F201*0.000001)^2/(4*'D(Ti_Cherniak) Times'!$C201)/(365.35*24*3600)</f>
        <v>122.87319365831932</v>
      </c>
      <c r="R201" s="2">
        <f>('L-Values'!N201*'D(Ti_Cherniak) Times'!$F201*0.000001)^2/(4*'D(Ti_Cherniak) Times'!$C201)/(365.35*24*3600)</f>
        <v>72.448049449700449</v>
      </c>
      <c r="S201" s="2">
        <f>('L-Values'!O201*'D(Ti_Cherniak) Times'!$F201*0.000001)^2/(4*'D(Ti_Cherniak) Times'!$C201)/(365.35*24*3600)</f>
        <v>208.93902314514318</v>
      </c>
      <c r="T201" s="2"/>
      <c r="U201" s="2">
        <f>('L-Values'!Q201*'D(Ti_Cherniak) Times'!$F201*0.000001)^2/(4*'D(Ti_Cherniak) Times'!$C201)/(365.35*24*3600)</f>
        <v>107.59318700907278</v>
      </c>
      <c r="V201" s="2">
        <f>('L-Values'!R201*'D(Ti_Cherniak) Times'!$F201*0.000001)^2/(4*'D(Ti_Cherniak) Times'!$C201)/(365.35*24*3600)</f>
        <v>71.710636426684246</v>
      </c>
      <c r="W201" s="2">
        <f>('L-Values'!S201*'D(Ti_Cherniak) Times'!$F201*0.000001)^2/(4*'D(Ti_Cherniak) Times'!$C201)/(365.35*24*3600)</f>
        <v>89.217114011975994</v>
      </c>
      <c r="X201" s="2"/>
      <c r="Y201" s="2">
        <f>('L-Values'!U201*'D(Ti_Cherniak) Times'!$F201*0.000001)^2/(4*'D(Ti_Cherniak) Times'!$C201)/(365.35*24*3600)</f>
        <v>89.478312331153717</v>
      </c>
      <c r="Z201" s="2">
        <f>('L-Values'!V201*'D(Ti_Cherniak) Times'!$F201*0.000001)^2/(4*'D(Ti_Cherniak) Times'!$C201)/(365.35*24*3600)</f>
        <v>92.235248545000189</v>
      </c>
      <c r="AA201" s="2">
        <f>('L-Values'!W201*'D(Ti_Cherniak) Times'!$F201*0.000001)^2/(4*'D(Ti_Cherniak) Times'!$C201)/(365.35*24*3600)</f>
        <v>2.3497426658967768</v>
      </c>
      <c r="AB201" s="2">
        <f>('L-Values'!X201*'D(Ti_Cherniak) Times'!$F201*0.000001)^2/(4*'D(Ti_Cherniak) Times'!$C201)/(365.35*24*3600)</f>
        <v>317.75572762172987</v>
      </c>
      <c r="AC201" s="2">
        <f t="shared" si="14"/>
        <v>89.88550587910342</v>
      </c>
      <c r="AD201" s="2">
        <f t="shared" si="15"/>
        <v>225.52047907672969</v>
      </c>
    </row>
    <row r="202" spans="1:30" x14ac:dyDescent="0.2">
      <c r="A202" t="str">
        <f>'L-Values'!A202</f>
        <v>CGI011-qtz02-CL-fit-1-offset</v>
      </c>
      <c r="B202">
        <v>750</v>
      </c>
      <c r="C202">
        <f t="shared" si="12"/>
        <v>8.0537892000481889E-22</v>
      </c>
      <c r="D202">
        <v>1600</v>
      </c>
      <c r="E202">
        <v>1024</v>
      </c>
      <c r="F202">
        <f t="shared" si="13"/>
        <v>1.5625</v>
      </c>
      <c r="I202" s="2">
        <f>('L-Values'!E202*'D(Ti_Cherniak) Times'!$F202*0.000001)^2/(4*'D(Ti_Cherniak) Times'!$C202)/(365.35*24*3600)</f>
        <v>1164.6573410748103</v>
      </c>
      <c r="J202" s="2">
        <f>('L-Values'!F202*'D(Ti_Cherniak) Times'!$F202*0.000001)^2/(4*'D(Ti_Cherniak) Times'!$C202)/(365.35*24*3600)</f>
        <v>779.13012961415996</v>
      </c>
      <c r="K202" s="2">
        <f>('L-Values'!G202*'D(Ti_Cherniak) Times'!$F202*0.000001)^2/(4*'D(Ti_Cherniak) Times'!$C202)/(365.35*24*3600)</f>
        <v>384.41326903773495</v>
      </c>
      <c r="L202" s="2">
        <f>('L-Values'!H202*'D(Ti_Cherniak) Times'!$F202*0.000001)^2/(4*'D(Ti_Cherniak) Times'!$C202)/(365.35*24*3600)</f>
        <v>2653.9897910073455</v>
      </c>
      <c r="M202" s="2">
        <f>('L-Values'!I202*'D(Ti_Cherniak) Times'!$F202*0.000001)^2/(4*'D(Ti_Cherniak) Times'!$C202)/(365.35*24*3600)</f>
        <v>834.30151990673096</v>
      </c>
      <c r="N202" s="2">
        <f>('L-Values'!J202*'D(Ti_Cherniak) Times'!$F202*0.000001)^2/(4*'D(Ti_Cherniak) Times'!$C202)/(365.35*24*3600)</f>
        <v>65.242992002444169</v>
      </c>
      <c r="O202" s="2">
        <f>('L-Values'!K202*'D(Ti_Cherniak) Times'!$F202*0.000001)^2/(4*'D(Ti_Cherniak) Times'!$C202)/(365.35*24*3600)</f>
        <v>1231.617218569065</v>
      </c>
      <c r="P202" s="2">
        <f>('L-Values'!L202*'D(Ti_Cherniak) Times'!$F202*0.000001)^2/(4*'D(Ti_Cherniak) Times'!$C202)/(365.35*24*3600)</f>
        <v>1343.4859766898558</v>
      </c>
      <c r="Q202" s="2">
        <f>('L-Values'!M202*'D(Ti_Cherniak) Times'!$F202*0.000001)^2/(4*'D(Ti_Cherniak) Times'!$C202)/(365.35*24*3600)</f>
        <v>1866.1476216647093</v>
      </c>
      <c r="R202" s="2">
        <f>('L-Values'!N202*'D(Ti_Cherniak) Times'!$F202*0.000001)^2/(4*'D(Ti_Cherniak) Times'!$C202)/(365.35*24*3600)</f>
        <v>369.27714903313017</v>
      </c>
      <c r="S202" s="2">
        <f>('L-Values'!O202*'D(Ti_Cherniak) Times'!$F202*0.000001)^2/(4*'D(Ti_Cherniak) Times'!$C202)/(365.35*24*3600)</f>
        <v>474.51763684380393</v>
      </c>
      <c r="T202" s="2"/>
      <c r="U202" s="2">
        <f>('L-Values'!Q202*'D(Ti_Cherniak) Times'!$F202*0.000001)^2/(4*'D(Ti_Cherniak) Times'!$C202)/(365.35*24*3600)</f>
        <v>878.10220382787907</v>
      </c>
      <c r="V202" s="2">
        <f>('L-Values'!R202*'D(Ti_Cherniak) Times'!$F202*0.000001)^2/(4*'D(Ti_Cherniak) Times'!$C202)/(365.35*24*3600)</f>
        <v>878.70130046988049</v>
      </c>
      <c r="W202" s="2">
        <f>('L-Values'!S202*'D(Ti_Cherniak) Times'!$F202*0.000001)^2/(4*'D(Ti_Cherniak) Times'!$C202)/(365.35*24*3600)</f>
        <v>834.30151990673096</v>
      </c>
      <c r="X202" s="2"/>
      <c r="Y202" s="2">
        <f>('L-Values'!U202*'D(Ti_Cherniak) Times'!$F202*0.000001)^2/(4*'D(Ti_Cherniak) Times'!$C202)/(365.35*24*3600)</f>
        <v>677.85147203313807</v>
      </c>
      <c r="Z202" s="2">
        <f>('L-Values'!V202*'D(Ti_Cherniak) Times'!$F202*0.000001)^2/(4*'D(Ti_Cherniak) Times'!$C202)/(365.35*24*3600)</f>
        <v>1054.7393705334305</v>
      </c>
      <c r="AA202" s="2">
        <f>('L-Values'!W202*'D(Ti_Cherniak) Times'!$F202*0.000001)^2/(4*'D(Ti_Cherniak) Times'!$C202)/(365.35*24*3600)</f>
        <v>163.04386531577646</v>
      </c>
      <c r="AB202" s="2">
        <f>('L-Values'!X202*'D(Ti_Cherniak) Times'!$F202*0.000001)^2/(4*'D(Ti_Cherniak) Times'!$C202)/(365.35*24*3600)</f>
        <v>6929.2314016732489</v>
      </c>
      <c r="AC202" s="2">
        <f t="shared" si="14"/>
        <v>891.69550521765404</v>
      </c>
      <c r="AD202" s="2">
        <f t="shared" si="15"/>
        <v>5874.4920311398182</v>
      </c>
    </row>
    <row r="203" spans="1:30" x14ac:dyDescent="0.2">
      <c r="A203" t="str">
        <f>'L-Values'!A203</f>
        <v>CGI011-qtz02-CL-fit-2-offset</v>
      </c>
      <c r="B203">
        <v>750</v>
      </c>
      <c r="C203">
        <f t="shared" si="12"/>
        <v>8.0537892000481889E-22</v>
      </c>
      <c r="D203">
        <v>1600</v>
      </c>
      <c r="E203">
        <v>1024</v>
      </c>
      <c r="F203">
        <f t="shared" si="13"/>
        <v>1.5625</v>
      </c>
      <c r="I203" s="2">
        <f>('L-Values'!E203*'D(Ti_Cherniak) Times'!$F203*0.000001)^2/(4*'D(Ti_Cherniak) Times'!$C203)/(365.35*24*3600)</f>
        <v>1451.5825603029684</v>
      </c>
      <c r="J203" s="2">
        <f>('L-Values'!F203*'D(Ti_Cherniak) Times'!$F203*0.000001)^2/(4*'D(Ti_Cherniak) Times'!$C203)/(365.35*24*3600)</f>
        <v>1742.9624314799541</v>
      </c>
      <c r="K203" s="2">
        <f>('L-Values'!G203*'D(Ti_Cherniak) Times'!$F203*0.000001)^2/(4*'D(Ti_Cherniak) Times'!$C203)/(365.35*24*3600)</f>
        <v>1084.7287887250893</v>
      </c>
      <c r="L203" s="2">
        <f>('L-Values'!H203*'D(Ti_Cherniak) Times'!$F203*0.000001)^2/(4*'D(Ti_Cherniak) Times'!$C203)/(365.35*24*3600)</f>
        <v>1399.2823354998418</v>
      </c>
      <c r="M203" s="2">
        <f>('L-Values'!I203*'D(Ti_Cherniak) Times'!$F203*0.000001)^2/(4*'D(Ti_Cherniak) Times'!$C203)/(365.35*24*3600)</f>
        <v>1932.4259838248331</v>
      </c>
      <c r="N203" s="2">
        <f>('L-Values'!J203*'D(Ti_Cherniak) Times'!$F203*0.000001)^2/(4*'D(Ti_Cherniak) Times'!$C203)/(365.35*24*3600)</f>
        <v>1304.8638952026956</v>
      </c>
      <c r="O203" s="2">
        <f>('L-Values'!K203*'D(Ti_Cherniak) Times'!$F203*0.000001)^2/(4*'D(Ti_Cherniak) Times'!$C203)/(365.35*24*3600)</f>
        <v>782.54914278948434</v>
      </c>
      <c r="P203" s="2">
        <f>('L-Values'!L203*'D(Ti_Cherniak) Times'!$F203*0.000001)^2/(4*'D(Ti_Cherniak) Times'!$C203)/(365.35*24*3600)</f>
        <v>659.35023691410595</v>
      </c>
      <c r="Q203" s="2">
        <f>('L-Values'!M203*'D(Ti_Cherniak) Times'!$F203*0.000001)^2/(4*'D(Ti_Cherniak) Times'!$C203)/(365.35*24*3600)</f>
        <v>498.85689416409861</v>
      </c>
      <c r="R203" s="2">
        <f>('L-Values'!N203*'D(Ti_Cherniak) Times'!$F203*0.000001)^2/(4*'D(Ti_Cherniak) Times'!$C203)/(365.35*24*3600)</f>
        <v>300.15537499803418</v>
      </c>
      <c r="S203" s="2">
        <f>('L-Values'!O203*'D(Ti_Cherniak) Times'!$F203*0.000001)^2/(4*'D(Ti_Cherniak) Times'!$C203)/(365.35*24*3600)</f>
        <v>459.39257982079425</v>
      </c>
      <c r="T203" s="2"/>
      <c r="U203" s="2">
        <f>('L-Values'!Q203*'D(Ti_Cherniak) Times'!$F203*0.000001)^2/(4*'D(Ti_Cherniak) Times'!$C203)/(365.35*24*3600)</f>
        <v>985.68474924969962</v>
      </c>
      <c r="V203" s="2">
        <f>('L-Values'!R203*'D(Ti_Cherniak) Times'!$F203*0.000001)^2/(4*'D(Ti_Cherniak) Times'!$C203)/(365.35*24*3600)</f>
        <v>983.78233400115596</v>
      </c>
      <c r="W203" s="2">
        <f>('L-Values'!S203*'D(Ti_Cherniak) Times'!$F203*0.000001)^2/(4*'D(Ti_Cherniak) Times'!$C203)/(365.35*24*3600)</f>
        <v>1084.7287887250893</v>
      </c>
      <c r="X203" s="2"/>
      <c r="Y203" s="2">
        <f>('L-Values'!U203*'D(Ti_Cherniak) Times'!$F203*0.000001)^2/(4*'D(Ti_Cherniak) Times'!$C203)/(365.35*24*3600)</f>
        <v>919.75279859817101</v>
      </c>
      <c r="Z203" s="2">
        <f>('L-Values'!V203*'D(Ti_Cherniak) Times'!$F203*0.000001)^2/(4*'D(Ti_Cherniak) Times'!$C203)/(365.35*24*3600)</f>
        <v>918.42547320916458</v>
      </c>
      <c r="AA203" s="2">
        <f>('L-Values'!W203*'D(Ti_Cherniak) Times'!$F203*0.000001)^2/(4*'D(Ti_Cherniak) Times'!$C203)/(365.35*24*3600)</f>
        <v>333.13951355519072</v>
      </c>
      <c r="AB203" s="2">
        <f>('L-Values'!X203*'D(Ti_Cherniak) Times'!$F203*0.000001)^2/(4*'D(Ti_Cherniak) Times'!$C203)/(365.35*24*3600)</f>
        <v>2009.3440757531682</v>
      </c>
      <c r="AC203" s="2">
        <f t="shared" si="14"/>
        <v>585.2859596539738</v>
      </c>
      <c r="AD203" s="2">
        <f t="shared" si="15"/>
        <v>1090.9186025440035</v>
      </c>
    </row>
    <row r="204" spans="1:30" x14ac:dyDescent="0.2">
      <c r="A204" t="str">
        <f>'L-Values'!A204</f>
        <v>CGI011-qtz02-CL-fit-3-offset</v>
      </c>
      <c r="B204">
        <v>750</v>
      </c>
      <c r="C204">
        <f t="shared" si="12"/>
        <v>8.0537892000481889E-22</v>
      </c>
      <c r="D204">
        <v>1600</v>
      </c>
      <c r="E204">
        <v>1024</v>
      </c>
      <c r="F204">
        <f t="shared" si="13"/>
        <v>1.5625</v>
      </c>
      <c r="I204" s="2">
        <f>('L-Values'!E204*'D(Ti_Cherniak) Times'!$F204*0.000001)^2/(4*'D(Ti_Cherniak) Times'!$C204)/(365.35*24*3600)</f>
        <v>274.78592129135524</v>
      </c>
      <c r="J204" s="2">
        <f>('L-Values'!F204*'D(Ti_Cherniak) Times'!$F204*0.000001)^2/(4*'D(Ti_Cherniak) Times'!$C204)/(365.35*24*3600)</f>
        <v>145.21457627615433</v>
      </c>
      <c r="K204" s="2">
        <f>('L-Values'!G204*'D(Ti_Cherniak) Times'!$F204*0.000001)^2/(4*'D(Ti_Cherniak) Times'!$C204)/(365.35*24*3600)</f>
        <v>186.00419861136709</v>
      </c>
      <c r="L204" s="2">
        <f>('L-Values'!H204*'D(Ti_Cherniak) Times'!$F204*0.000001)^2/(4*'D(Ti_Cherniak) Times'!$C204)/(365.35*24*3600)</f>
        <v>200.19829578750947</v>
      </c>
      <c r="M204" s="2">
        <f>('L-Values'!I204*'D(Ti_Cherniak) Times'!$F204*0.000001)^2/(4*'D(Ti_Cherniak) Times'!$C204)/(365.35*24*3600)</f>
        <v>303.31189603184652</v>
      </c>
      <c r="N204" s="2">
        <f>('L-Values'!J204*'D(Ti_Cherniak) Times'!$F204*0.000001)^2/(4*'D(Ti_Cherniak) Times'!$C204)/(365.35*24*3600)</f>
        <v>259.77596549185301</v>
      </c>
      <c r="O204" s="2">
        <f>('L-Values'!K204*'D(Ti_Cherniak) Times'!$F204*0.000001)^2/(4*'D(Ti_Cherniak) Times'!$C204)/(365.35*24*3600)</f>
        <v>173.91116408012167</v>
      </c>
      <c r="P204" s="2">
        <f>('L-Values'!L204*'D(Ti_Cherniak) Times'!$F204*0.000001)^2/(4*'D(Ti_Cherniak) Times'!$C204)/(365.35*24*3600)</f>
        <v>328.66518102727611</v>
      </c>
      <c r="Q204" s="2">
        <f>('L-Values'!M204*'D(Ti_Cherniak) Times'!$F204*0.000001)^2/(4*'D(Ti_Cherniak) Times'!$C204)/(365.35*24*3600)</f>
        <v>43.637406606506943</v>
      </c>
      <c r="R204" s="2">
        <f>('L-Values'!N204*'D(Ti_Cherniak) Times'!$F204*0.000001)^2/(4*'D(Ti_Cherniak) Times'!$C204)/(365.35*24*3600)</f>
        <v>134.40177919522736</v>
      </c>
      <c r="S204" s="2">
        <f>('L-Values'!O204*'D(Ti_Cherniak) Times'!$F204*0.000001)^2/(4*'D(Ti_Cherniak) Times'!$C204)/(365.35*24*3600)</f>
        <v>144.87661215274821</v>
      </c>
      <c r="T204" s="2"/>
      <c r="U204" s="2">
        <f>('L-Values'!Q204*'D(Ti_Cherniak) Times'!$F204*0.000001)^2/(4*'D(Ti_Cherniak) Times'!$C204)/(365.35*24*3600)</f>
        <v>184.39357229501502</v>
      </c>
      <c r="V204" s="2">
        <f>('L-Values'!R204*'D(Ti_Cherniak) Times'!$F204*0.000001)^2/(4*'D(Ti_Cherniak) Times'!$C204)/(365.35*24*3600)</f>
        <v>189.68862104822347</v>
      </c>
      <c r="W204" s="2">
        <f>('L-Values'!S204*'D(Ti_Cherniak) Times'!$F204*0.000001)^2/(4*'D(Ti_Cherniak) Times'!$C204)/(365.35*24*3600)</f>
        <v>186.00419861136709</v>
      </c>
      <c r="X204" s="2"/>
      <c r="Y204" s="2">
        <f>('L-Values'!U204*'D(Ti_Cherniak) Times'!$F204*0.000001)^2/(4*'D(Ti_Cherniak) Times'!$C204)/(365.35*24*3600)</f>
        <v>182.04647475070576</v>
      </c>
      <c r="Z204" s="2">
        <f>('L-Values'!V204*'D(Ti_Cherniak) Times'!$F204*0.000001)^2/(4*'D(Ti_Cherniak) Times'!$C204)/(365.35*24*3600)</f>
        <v>183.86514896144641</v>
      </c>
      <c r="AA204" s="2">
        <f>('L-Values'!W204*'D(Ti_Cherniak) Times'!$F204*0.000001)^2/(4*'D(Ti_Cherniak) Times'!$C204)/(365.35*24*3600)</f>
        <v>74.476042907444636</v>
      </c>
      <c r="AB204" s="2">
        <f>('L-Values'!X204*'D(Ti_Cherniak) Times'!$F204*0.000001)^2/(4*'D(Ti_Cherniak) Times'!$C204)/(365.35*24*3600)</f>
        <v>346.28280932180741</v>
      </c>
      <c r="AC204" s="2">
        <f t="shared" si="14"/>
        <v>109.38910605400177</v>
      </c>
      <c r="AD204" s="2">
        <f t="shared" si="15"/>
        <v>162.417660360361</v>
      </c>
    </row>
    <row r="205" spans="1:30" x14ac:dyDescent="0.2">
      <c r="A205" t="str">
        <f>'L-Values'!A205</f>
        <v>CGI011-qtz02-CL-fit-4-offset</v>
      </c>
      <c r="B205">
        <v>750</v>
      </c>
      <c r="C205">
        <f t="shared" si="12"/>
        <v>8.0537892000481889E-22</v>
      </c>
      <c r="D205">
        <v>1600</v>
      </c>
      <c r="E205">
        <v>1024</v>
      </c>
      <c r="F205">
        <f t="shared" si="13"/>
        <v>1.5625</v>
      </c>
      <c r="I205" s="2">
        <f>('L-Values'!E205*'D(Ti_Cherniak) Times'!$F205*0.000001)^2/(4*'D(Ti_Cherniak) Times'!$C205)/(365.35*24*3600)</f>
        <v>191.10869324306063</v>
      </c>
      <c r="J205" s="2">
        <f>('L-Values'!F205*'D(Ti_Cherniak) Times'!$F205*0.000001)^2/(4*'D(Ti_Cherniak) Times'!$C205)/(365.35*24*3600)</f>
        <v>279.28946498537647</v>
      </c>
      <c r="K205" s="2">
        <f>('L-Values'!G205*'D(Ti_Cherniak) Times'!$F205*0.000001)^2/(4*'D(Ti_Cherniak) Times'!$C205)/(365.35*24*3600)</f>
        <v>181.41428847054578</v>
      </c>
      <c r="L205" s="2">
        <f>('L-Values'!H205*'D(Ti_Cherniak) Times'!$F205*0.000001)^2/(4*'D(Ti_Cherniak) Times'!$C205)/(365.35*24*3600)</f>
        <v>195.35179632376082</v>
      </c>
      <c r="M205" s="2">
        <f>('L-Values'!I205*'D(Ti_Cherniak) Times'!$F205*0.000001)^2/(4*'D(Ti_Cherniak) Times'!$C205)/(365.35*24*3600)</f>
        <v>281.06737115911244</v>
      </c>
      <c r="N205" s="2">
        <f>('L-Values'!J205*'D(Ti_Cherniak) Times'!$F205*0.000001)^2/(4*'D(Ti_Cherniak) Times'!$C205)/(365.35*24*3600)</f>
        <v>127.66350810704041</v>
      </c>
      <c r="O205" s="2">
        <f>('L-Values'!K205*'D(Ti_Cherniak) Times'!$F205*0.000001)^2/(4*'D(Ti_Cherniak) Times'!$C205)/(365.35*24*3600)</f>
        <v>412.66717970961759</v>
      </c>
      <c r="P205" s="2">
        <f>('L-Values'!L205*'D(Ti_Cherniak) Times'!$F205*0.000001)^2/(4*'D(Ti_Cherniak) Times'!$C205)/(365.35*24*3600)</f>
        <v>84.574400394256216</v>
      </c>
      <c r="Q205" s="2">
        <f>('L-Values'!M205*'D(Ti_Cherniak) Times'!$F205*0.000001)^2/(4*'D(Ti_Cherniak) Times'!$C205)/(365.35*24*3600)</f>
        <v>259.37242941887411</v>
      </c>
      <c r="R205" s="2">
        <f>('L-Values'!N205*'D(Ti_Cherniak) Times'!$F205*0.000001)^2/(4*'D(Ti_Cherniak) Times'!$C205)/(365.35*24*3600)</f>
        <v>76.79163147842624</v>
      </c>
      <c r="S205" s="2">
        <f>('L-Values'!O205*'D(Ti_Cherniak) Times'!$F205*0.000001)^2/(4*'D(Ti_Cherniak) Times'!$C205)/(365.35*24*3600)</f>
        <v>211.20515381757284</v>
      </c>
      <c r="T205" s="2"/>
      <c r="U205" s="2">
        <f>('L-Values'!Q205*'D(Ti_Cherniak) Times'!$F205*0.000001)^2/(4*'D(Ti_Cherniak) Times'!$C205)/(365.35*24*3600)</f>
        <v>210.34762406329182</v>
      </c>
      <c r="V205" s="2">
        <f>('L-Values'!R205*'D(Ti_Cherniak) Times'!$F205*0.000001)^2/(4*'D(Ti_Cherniak) Times'!$C205)/(365.35*24*3600)</f>
        <v>198.44502528713193</v>
      </c>
      <c r="W205" s="2">
        <f>('L-Values'!S205*'D(Ti_Cherniak) Times'!$F205*0.000001)^2/(4*'D(Ti_Cherniak) Times'!$C205)/(365.35*24*3600)</f>
        <v>195.35179632376082</v>
      </c>
      <c r="X205" s="2"/>
      <c r="Y205" s="2">
        <f>('L-Values'!U205*'D(Ti_Cherniak) Times'!$F205*0.000001)^2/(4*'D(Ti_Cherniak) Times'!$C205)/(365.35*24*3600)</f>
        <v>201.73498562606784</v>
      </c>
      <c r="Z205" s="2">
        <f>('L-Values'!V205*'D(Ti_Cherniak) Times'!$F205*0.000001)^2/(4*'D(Ti_Cherniak) Times'!$C205)/(365.35*24*3600)</f>
        <v>197.66274392032989</v>
      </c>
      <c r="AA205" s="2">
        <f>('L-Values'!W205*'D(Ti_Cherniak) Times'!$F205*0.000001)^2/(4*'D(Ti_Cherniak) Times'!$C205)/(365.35*24*3600)</f>
        <v>58.785996578643051</v>
      </c>
      <c r="AB205" s="2">
        <f>('L-Values'!X205*'D(Ti_Cherniak) Times'!$F205*0.000001)^2/(4*'D(Ti_Cherniak) Times'!$C205)/(365.35*24*3600)</f>
        <v>442.01581040858474</v>
      </c>
      <c r="AC205" s="2">
        <f t="shared" si="14"/>
        <v>138.87674734168684</v>
      </c>
      <c r="AD205" s="2">
        <f t="shared" si="15"/>
        <v>244.35306648825485</v>
      </c>
    </row>
    <row r="206" spans="1:30" x14ac:dyDescent="0.2">
      <c r="A206" t="str">
        <f>'L-Values'!A206</f>
        <v>CGI011-qtz02-CL-fit-5-offset</v>
      </c>
      <c r="B206">
        <v>750</v>
      </c>
      <c r="C206">
        <f t="shared" si="12"/>
        <v>8.0537892000481889E-22</v>
      </c>
      <c r="D206">
        <v>1600</v>
      </c>
      <c r="E206">
        <v>1024</v>
      </c>
      <c r="F206">
        <f t="shared" si="13"/>
        <v>1.5625</v>
      </c>
      <c r="I206" s="2">
        <f>('L-Values'!E206*'D(Ti_Cherniak) Times'!$F206*0.000001)^2/(4*'D(Ti_Cherniak) Times'!$C206)/(365.35*24*3600)</f>
        <v>17.597740677245827</v>
      </c>
      <c r="J206" s="2">
        <f>('L-Values'!F206*'D(Ti_Cherniak) Times'!$F206*0.000001)^2/(4*'D(Ti_Cherniak) Times'!$C206)/(365.35*24*3600)</f>
        <v>34.609694673425167</v>
      </c>
      <c r="K206" s="2">
        <f>('L-Values'!G206*'D(Ti_Cherniak) Times'!$F206*0.000001)^2/(4*'D(Ti_Cherniak) Times'!$C206)/(365.35*24*3600)</f>
        <v>32.409641446041832</v>
      </c>
      <c r="L206" s="2">
        <f>('L-Values'!H206*'D(Ti_Cherniak) Times'!$F206*0.000001)^2/(4*'D(Ti_Cherniak) Times'!$C206)/(365.35*24*3600)</f>
        <v>26.518330747287592</v>
      </c>
      <c r="M206" s="2">
        <f>('L-Values'!I206*'D(Ti_Cherniak) Times'!$F206*0.000001)^2/(4*'D(Ti_Cherniak) Times'!$C206)/(365.35*24*3600)</f>
        <v>56.475152024038785</v>
      </c>
      <c r="N206" s="2">
        <f>('L-Values'!J206*'D(Ti_Cherniak) Times'!$F206*0.000001)^2/(4*'D(Ti_Cherniak) Times'!$C206)/(365.35*24*3600)</f>
        <v>20.75500493922128</v>
      </c>
      <c r="O206" s="2">
        <f>('L-Values'!K206*'D(Ti_Cherniak) Times'!$F206*0.000001)^2/(4*'D(Ti_Cherniak) Times'!$C206)/(365.35*24*3600)</f>
        <v>115.90806747916425</v>
      </c>
      <c r="P206" s="2">
        <f>('L-Values'!L206*'D(Ti_Cherniak) Times'!$F206*0.000001)^2/(4*'D(Ti_Cherniak) Times'!$C206)/(365.35*24*3600)</f>
        <v>66.436625243980885</v>
      </c>
      <c r="Q206" s="2">
        <f>('L-Values'!M206*'D(Ti_Cherniak) Times'!$F206*0.000001)^2/(4*'D(Ti_Cherniak) Times'!$C206)/(365.35*24*3600)</f>
        <v>97.826656924092759</v>
      </c>
      <c r="R206" s="2">
        <f>('L-Values'!N206*'D(Ti_Cherniak) Times'!$F206*0.000001)^2/(4*'D(Ti_Cherniak) Times'!$C206)/(365.35*24*3600)</f>
        <v>25.40395869371261</v>
      </c>
      <c r="S206" s="2">
        <f>('L-Values'!O206*'D(Ti_Cherniak) Times'!$F206*0.000001)^2/(4*'D(Ti_Cherniak) Times'!$C206)/(365.35*24*3600)</f>
        <v>0.22902264992481836</v>
      </c>
      <c r="T206" s="2"/>
      <c r="U206" s="2">
        <f>('L-Values'!Q206*'D(Ti_Cherniak) Times'!$F206*0.000001)^2/(4*'D(Ti_Cherniak) Times'!$C206)/(365.35*24*3600)</f>
        <v>52.540966391642705</v>
      </c>
      <c r="V206" s="2">
        <f>('L-Values'!R206*'D(Ti_Cherniak) Times'!$F206*0.000001)^2/(4*'D(Ti_Cherniak) Times'!$C206)/(365.35*24*3600)</f>
        <v>37.451874327388836</v>
      </c>
      <c r="W206" s="2">
        <f>('L-Values'!S206*'D(Ti_Cherniak) Times'!$F206*0.000001)^2/(4*'D(Ti_Cherniak) Times'!$C206)/(365.35*24*3600)</f>
        <v>32.409641446041832</v>
      </c>
      <c r="X206" s="2"/>
      <c r="Y206" s="2">
        <f>('L-Values'!U206*'D(Ti_Cherniak) Times'!$F206*0.000001)^2/(4*'D(Ti_Cherniak) Times'!$C206)/(365.35*24*3600)</f>
        <v>46.583137576070435</v>
      </c>
      <c r="Z206" s="2">
        <f>('L-Values'!V206*'D(Ti_Cherniak) Times'!$F206*0.000001)^2/(4*'D(Ti_Cherniak) Times'!$C206)/(365.35*24*3600)</f>
        <v>48.103696168329179</v>
      </c>
      <c r="AA206" s="2">
        <f>('L-Values'!W206*'D(Ti_Cherniak) Times'!$F206*0.000001)^2/(4*'D(Ti_Cherniak) Times'!$C206)/(365.35*24*3600)</f>
        <v>1.6175275022770792</v>
      </c>
      <c r="AB206" s="2">
        <f>('L-Values'!X206*'D(Ti_Cherniak) Times'!$F206*0.000001)^2/(4*'D(Ti_Cherniak) Times'!$C206)/(365.35*24*3600)</f>
        <v>178.50341162826498</v>
      </c>
      <c r="AC206" s="2">
        <f t="shared" si="14"/>
        <v>46.486168666052102</v>
      </c>
      <c r="AD206" s="2">
        <f t="shared" si="15"/>
        <v>130.39971545993581</v>
      </c>
    </row>
    <row r="207" spans="1:30" x14ac:dyDescent="0.2">
      <c r="A207" t="str">
        <f>'L-Values'!A207</f>
        <v>CGI011-qtz03-CL-fit-1-offset</v>
      </c>
      <c r="B207">
        <v>750</v>
      </c>
      <c r="C207">
        <f t="shared" si="12"/>
        <v>8.0537892000481889E-22</v>
      </c>
      <c r="D207">
        <v>1550</v>
      </c>
      <c r="E207">
        <v>1024</v>
      </c>
      <c r="F207">
        <f t="shared" si="13"/>
        <v>1.513671875</v>
      </c>
      <c r="I207" s="2">
        <f>('L-Values'!E207*'D(Ti_Cherniak) Times'!$F207*0.000001)^2/(4*'D(Ti_Cherniak) Times'!$C207)/(365.35*24*3600)</f>
        <v>2841.4025115410018</v>
      </c>
      <c r="J207" s="2">
        <f>('L-Values'!F207*'D(Ti_Cherniak) Times'!$F207*0.000001)^2/(4*'D(Ti_Cherniak) Times'!$C207)/(365.35*24*3600)</f>
        <v>1361.7553570340281</v>
      </c>
      <c r="K207" s="2">
        <f>('L-Values'!G207*'D(Ti_Cherniak) Times'!$F207*0.000001)^2/(4*'D(Ti_Cherniak) Times'!$C207)/(365.35*24*3600)</f>
        <v>2627.2876757000204</v>
      </c>
      <c r="L207" s="2">
        <f>('L-Values'!H207*'D(Ti_Cherniak) Times'!$F207*0.000001)^2/(4*'D(Ti_Cherniak) Times'!$C207)/(365.35*24*3600)</f>
        <v>1015.6135546504746</v>
      </c>
      <c r="M207" s="2">
        <f>('L-Values'!I207*'D(Ti_Cherniak) Times'!$F207*0.000001)^2/(4*'D(Ti_Cherniak) Times'!$C207)/(365.35*24*3600)</f>
        <v>1205.3351989746488</v>
      </c>
      <c r="N207" s="2">
        <f>('L-Values'!J207*'D(Ti_Cherniak) Times'!$F207*0.000001)^2/(4*'D(Ti_Cherniak) Times'!$C207)/(365.35*24*3600)</f>
        <v>1194.3178493736652</v>
      </c>
      <c r="O207" s="2">
        <f>('L-Values'!K207*'D(Ti_Cherniak) Times'!$F207*0.000001)^2/(4*'D(Ti_Cherniak) Times'!$C207)/(365.35*24*3600)</f>
        <v>980.31415283626939</v>
      </c>
      <c r="P207" s="2">
        <f>('L-Values'!L207*'D(Ti_Cherniak) Times'!$F207*0.000001)^2/(4*'D(Ti_Cherniak) Times'!$C207)/(365.35*24*3600)</f>
        <v>796.26386686042406</v>
      </c>
      <c r="Q207" s="2">
        <f>('L-Values'!M207*'D(Ti_Cherniak) Times'!$F207*0.000001)^2/(4*'D(Ti_Cherniak) Times'!$C207)/(365.35*24*3600)</f>
        <v>873.10971146561724</v>
      </c>
      <c r="R207" s="2">
        <f>('L-Values'!N207*'D(Ti_Cherniak) Times'!$F207*0.000001)^2/(4*'D(Ti_Cherniak) Times'!$C207)/(365.35*24*3600)</f>
        <v>969.88813063730515</v>
      </c>
      <c r="S207" s="2">
        <f>('L-Values'!O207*'D(Ti_Cherniak) Times'!$F207*0.000001)^2/(4*'D(Ti_Cherniak) Times'!$C207)/(365.35*24*3600)</f>
        <v>1277.2410769033072</v>
      </c>
      <c r="T207" s="2"/>
      <c r="U207" s="2">
        <f>('L-Values'!Q207*'D(Ti_Cherniak) Times'!$F207*0.000001)^2/(4*'D(Ti_Cherniak) Times'!$C207)/(365.35*24*3600)</f>
        <v>1253.296344252067</v>
      </c>
      <c r="V207" s="2">
        <f>('L-Values'!R207*'D(Ti_Cherniak) Times'!$F207*0.000001)^2/(4*'D(Ti_Cherniak) Times'!$C207)/(365.35*24*3600)</f>
        <v>1312.8597306097786</v>
      </c>
      <c r="W207" s="2">
        <f>('L-Values'!S207*'D(Ti_Cherniak) Times'!$F207*0.000001)^2/(4*'D(Ti_Cherniak) Times'!$C207)/(365.35*24*3600)</f>
        <v>1194.3178493736652</v>
      </c>
      <c r="X207" s="2"/>
      <c r="Y207" s="2">
        <f>('L-Values'!U207*'D(Ti_Cherniak) Times'!$F207*0.000001)^2/(4*'D(Ti_Cherniak) Times'!$C207)/(365.35*24*3600)</f>
        <v>1235.2422384768493</v>
      </c>
      <c r="Z207" s="2">
        <f>('L-Values'!V207*'D(Ti_Cherniak) Times'!$F207*0.000001)^2/(4*'D(Ti_Cherniak) Times'!$C207)/(365.35*24*3600)</f>
        <v>1255.3214267163735</v>
      </c>
      <c r="AA207" s="2">
        <f>('L-Values'!W207*'D(Ti_Cherniak) Times'!$F207*0.000001)^2/(4*'D(Ti_Cherniak) Times'!$C207)/(365.35*24*3600)</f>
        <v>747.47472260581742</v>
      </c>
      <c r="AB207" s="2">
        <f>('L-Values'!X207*'D(Ti_Cherniak) Times'!$F207*0.000001)^2/(4*'D(Ti_Cherniak) Times'!$C207)/(365.35*24*3600)</f>
        <v>2027.6410436897017</v>
      </c>
      <c r="AC207" s="2">
        <f t="shared" si="14"/>
        <v>507.84670411055606</v>
      </c>
      <c r="AD207" s="2">
        <f t="shared" si="15"/>
        <v>772.31961697332827</v>
      </c>
    </row>
    <row r="208" spans="1:30" x14ac:dyDescent="0.2">
      <c r="A208" t="str">
        <f>'L-Values'!A208</f>
        <v>CGI011-qtz03-CL-fit-2-offset</v>
      </c>
      <c r="B208">
        <v>750</v>
      </c>
      <c r="C208">
        <f t="shared" si="12"/>
        <v>8.0537892000481889E-22</v>
      </c>
      <c r="D208">
        <v>1550</v>
      </c>
      <c r="E208">
        <v>1024</v>
      </c>
      <c r="F208">
        <f t="shared" si="13"/>
        <v>1.513671875</v>
      </c>
      <c r="I208" s="2">
        <f>('L-Values'!E208*'D(Ti_Cherniak) Times'!$F208*0.000001)^2/(4*'D(Ti_Cherniak) Times'!$C208)/(365.35*24*3600)</f>
        <v>458.57891002279206</v>
      </c>
      <c r="J208" s="2">
        <f>('L-Values'!F208*'D(Ti_Cherniak) Times'!$F208*0.000001)^2/(4*'D(Ti_Cherniak) Times'!$C208)/(365.35*24*3600)</f>
        <v>958.6886806862808</v>
      </c>
      <c r="K208" s="2">
        <f>('L-Values'!G208*'D(Ti_Cherniak) Times'!$F208*0.000001)^2/(4*'D(Ti_Cherniak) Times'!$C208)/(365.35*24*3600)</f>
        <v>860.99092428901747</v>
      </c>
      <c r="L208" s="2">
        <f>('L-Values'!H208*'D(Ti_Cherniak) Times'!$F208*0.000001)^2/(4*'D(Ti_Cherniak) Times'!$C208)/(365.35*24*3600)</f>
        <v>583.30575711088306</v>
      </c>
      <c r="M208" s="2">
        <f>('L-Values'!I208*'D(Ti_Cherniak) Times'!$F208*0.000001)^2/(4*'D(Ti_Cherniak) Times'!$C208)/(365.35*24*3600)</f>
        <v>712.96476465592332</v>
      </c>
      <c r="N208" s="2">
        <f>('L-Values'!J208*'D(Ti_Cherniak) Times'!$F208*0.000001)^2/(4*'D(Ti_Cherniak) Times'!$C208)/(365.35*24*3600)</f>
        <v>1114.1688311402518</v>
      </c>
      <c r="O208" s="2">
        <f>('L-Values'!K208*'D(Ti_Cherniak) Times'!$F208*0.000001)^2/(4*'D(Ti_Cherniak) Times'!$C208)/(365.35*24*3600)</f>
        <v>746.48434790405975</v>
      </c>
      <c r="P208" s="2">
        <f>('L-Values'!L208*'D(Ti_Cherniak) Times'!$F208*0.000001)^2/(4*'D(Ti_Cherniak) Times'!$C208)/(365.35*24*3600)</f>
        <v>677.08315956597801</v>
      </c>
      <c r="Q208" s="2">
        <f>('L-Values'!M208*'D(Ti_Cherniak) Times'!$F208*0.000001)^2/(4*'D(Ti_Cherniak) Times'!$C208)/(365.35*24*3600)</f>
        <v>74.550162978739181</v>
      </c>
      <c r="R208" s="2">
        <f>('L-Values'!N208*'D(Ti_Cherniak) Times'!$F208*0.000001)^2/(4*'D(Ti_Cherniak) Times'!$C208)/(365.35*24*3600)</f>
        <v>1119.4844317542902</v>
      </c>
      <c r="S208" s="2">
        <f>('L-Values'!O208*'D(Ti_Cherniak) Times'!$F208*0.000001)^2/(4*'D(Ti_Cherniak) Times'!$C208)/(365.35*24*3600)</f>
        <v>715.88411146819726</v>
      </c>
      <c r="T208" s="2"/>
      <c r="U208" s="2">
        <f>('L-Values'!Q208*'D(Ti_Cherniak) Times'!$F208*0.000001)^2/(4*'D(Ti_Cherniak) Times'!$C208)/(365.35*24*3600)</f>
        <v>745.08032633327309</v>
      </c>
      <c r="V208" s="2">
        <f>('L-Values'!R208*'D(Ti_Cherniak) Times'!$F208*0.000001)^2/(4*'D(Ti_Cherniak) Times'!$C208)/(365.35*24*3600)</f>
        <v>686.17198225693141</v>
      </c>
      <c r="W208" s="2">
        <f>('L-Values'!S208*'D(Ti_Cherniak) Times'!$F208*0.000001)^2/(4*'D(Ti_Cherniak) Times'!$C208)/(365.35*24*3600)</f>
        <v>715.88411146819726</v>
      </c>
      <c r="X208" s="2"/>
      <c r="Y208" s="2">
        <f>('L-Values'!U208*'D(Ti_Cherniak) Times'!$F208*0.000001)^2/(4*'D(Ti_Cherniak) Times'!$C208)/(365.35*24*3600)</f>
        <v>701.76429089402541</v>
      </c>
      <c r="Z208" s="2">
        <f>('L-Values'!V208*'D(Ti_Cherniak) Times'!$F208*0.000001)^2/(4*'D(Ti_Cherniak) Times'!$C208)/(365.35*24*3600)</f>
        <v>719.49771062612308</v>
      </c>
      <c r="AA208" s="2">
        <f>('L-Values'!W208*'D(Ti_Cherniak) Times'!$F208*0.000001)^2/(4*'D(Ti_Cherniak) Times'!$C208)/(365.35*24*3600)</f>
        <v>403.1528522392091</v>
      </c>
      <c r="AB208" s="2">
        <f>('L-Values'!X208*'D(Ti_Cherniak) Times'!$F208*0.000001)^2/(4*'D(Ti_Cherniak) Times'!$C208)/(365.35*24*3600)</f>
        <v>1254.3667277035424</v>
      </c>
      <c r="AC208" s="2">
        <f t="shared" si="14"/>
        <v>316.34485838691398</v>
      </c>
      <c r="AD208" s="2">
        <f t="shared" si="15"/>
        <v>534.86901707741936</v>
      </c>
    </row>
    <row r="209" spans="1:30" x14ac:dyDescent="0.2">
      <c r="A209" t="str">
        <f>'L-Values'!A209</f>
        <v>CGI011-qtz03-CL-fit-3-offset</v>
      </c>
      <c r="B209">
        <v>750</v>
      </c>
      <c r="C209">
        <f t="shared" si="12"/>
        <v>8.0537892000481889E-22</v>
      </c>
      <c r="D209">
        <v>1550</v>
      </c>
      <c r="E209">
        <v>1024</v>
      </c>
      <c r="F209">
        <f t="shared" si="13"/>
        <v>1.513671875</v>
      </c>
      <c r="I209" s="2">
        <f>('L-Values'!E209*'D(Ti_Cherniak) Times'!$F209*0.000001)^2/(4*'D(Ti_Cherniak) Times'!$C209)/(365.35*24*3600)</f>
        <v>224.40756383724053</v>
      </c>
      <c r="J209" s="2">
        <f>('L-Values'!F209*'D(Ti_Cherniak) Times'!$F209*0.000001)^2/(4*'D(Ti_Cherniak) Times'!$C209)/(365.35*24*3600)</f>
        <v>135.35229646009356</v>
      </c>
      <c r="K209" s="2">
        <f>('L-Values'!G209*'D(Ti_Cherniak) Times'!$F209*0.000001)^2/(4*'D(Ti_Cherniak) Times'!$C209)/(365.35*24*3600)</f>
        <v>138.56982657488757</v>
      </c>
      <c r="L209" s="2">
        <f>('L-Values'!H209*'D(Ti_Cherniak) Times'!$F209*0.000001)^2/(4*'D(Ti_Cherniak) Times'!$C209)/(365.35*24*3600)</f>
        <v>152.16550637718296</v>
      </c>
      <c r="M209" s="2">
        <f>('L-Values'!I209*'D(Ti_Cherniak) Times'!$F209*0.000001)^2/(4*'D(Ti_Cherniak) Times'!$C209)/(365.35*24*3600)</f>
        <v>284.23347414002365</v>
      </c>
      <c r="N209" s="2">
        <f>('L-Values'!J209*'D(Ti_Cherniak) Times'!$F209*0.000001)^2/(4*'D(Ti_Cherniak) Times'!$C209)/(365.35*24*3600)</f>
        <v>286.90634012360061</v>
      </c>
      <c r="O209" s="2">
        <f>('L-Values'!K209*'D(Ti_Cherniak) Times'!$F209*0.000001)^2/(4*'D(Ti_Cherniak) Times'!$C209)/(365.35*24*3600)</f>
        <v>231.801180108522</v>
      </c>
      <c r="P209" s="2">
        <f>('L-Values'!L209*'D(Ti_Cherniak) Times'!$F209*0.000001)^2/(4*'D(Ti_Cherniak) Times'!$C209)/(365.35*24*3600)</f>
        <v>250.0135962862729</v>
      </c>
      <c r="Q209" s="2">
        <f>('L-Values'!M209*'D(Ti_Cherniak) Times'!$F209*0.000001)^2/(4*'D(Ti_Cherniak) Times'!$C209)/(365.35*24*3600)</f>
        <v>177.33308158260161</v>
      </c>
      <c r="R209" s="2">
        <f>('L-Values'!N209*'D(Ti_Cherniak) Times'!$F209*0.000001)^2/(4*'D(Ti_Cherniak) Times'!$C209)/(365.35*24*3600)</f>
        <v>245.96028799898662</v>
      </c>
      <c r="S209" s="2">
        <f>('L-Values'!O209*'D(Ti_Cherniak) Times'!$F209*0.000001)^2/(4*'D(Ti_Cherniak) Times'!$C209)/(365.35*24*3600)</f>
        <v>202.1269800710804</v>
      </c>
      <c r="T209" s="2"/>
      <c r="U209" s="2">
        <f>('L-Values'!Q209*'D(Ti_Cherniak) Times'!$F209*0.000001)^2/(4*'D(Ti_Cherniak) Times'!$C209)/(365.35*24*3600)</f>
        <v>208.24960336377848</v>
      </c>
      <c r="V209" s="2">
        <f>('L-Values'!R209*'D(Ti_Cherniak) Times'!$F209*0.000001)^2/(4*'D(Ti_Cherniak) Times'!$C209)/(365.35*24*3600)</f>
        <v>208.33700436622919</v>
      </c>
      <c r="W209" s="2">
        <f>('L-Values'!S209*'D(Ti_Cherniak) Times'!$F209*0.000001)^2/(4*'D(Ti_Cherniak) Times'!$C209)/(365.35*24*3600)</f>
        <v>224.40756383724053</v>
      </c>
      <c r="X209" s="2"/>
      <c r="Y209" s="2">
        <f>('L-Values'!U209*'D(Ti_Cherniak) Times'!$F209*0.000001)^2/(4*'D(Ti_Cherniak) Times'!$C209)/(365.35*24*3600)</f>
        <v>198.55574149524955</v>
      </c>
      <c r="Z209" s="2">
        <f>('L-Values'!V209*'D(Ti_Cherniak) Times'!$F209*0.000001)^2/(4*'D(Ti_Cherniak) Times'!$C209)/(365.35*24*3600)</f>
        <v>199.34841561469068</v>
      </c>
      <c r="AA209" s="2">
        <f>('L-Values'!W209*'D(Ti_Cherniak) Times'!$F209*0.000001)^2/(4*'D(Ti_Cherniak) Times'!$C209)/(365.35*24*3600)</f>
        <v>115.0674404974084</v>
      </c>
      <c r="AB209" s="2">
        <f>('L-Values'!X209*'D(Ti_Cherniak) Times'!$F209*0.000001)^2/(4*'D(Ti_Cherniak) Times'!$C209)/(365.35*24*3600)</f>
        <v>332.42406556068886</v>
      </c>
      <c r="AC209" s="2">
        <f t="shared" si="14"/>
        <v>84.280975117282281</v>
      </c>
      <c r="AD209" s="2">
        <f t="shared" si="15"/>
        <v>133.07564994599818</v>
      </c>
    </row>
    <row r="210" spans="1:30" x14ac:dyDescent="0.2">
      <c r="A210" t="str">
        <f>'L-Values'!A210</f>
        <v>CGI011-qtz04-CL-fit-1-offset</v>
      </c>
      <c r="B210">
        <v>750</v>
      </c>
      <c r="C210">
        <f t="shared" si="12"/>
        <v>8.0537892000481889E-22</v>
      </c>
      <c r="D210">
        <v>1800</v>
      </c>
      <c r="E210">
        <v>1024</v>
      </c>
      <c r="F210">
        <f t="shared" si="13"/>
        <v>1.7578125</v>
      </c>
      <c r="I210" s="2">
        <f>('L-Values'!E210*'D(Ti_Cherniak) Times'!$F210*0.000001)^2/(4*'D(Ti_Cherniak) Times'!$C210)/(365.35*24*3600)</f>
        <v>511.76912066182263</v>
      </c>
      <c r="J210" s="2">
        <f>('L-Values'!F210*'D(Ti_Cherniak) Times'!$F210*0.000001)^2/(4*'D(Ti_Cherniak) Times'!$C210)/(365.35*24*3600)</f>
        <v>119.39472095516986</v>
      </c>
      <c r="K210" s="2">
        <f>('L-Values'!G210*'D(Ti_Cherniak) Times'!$F210*0.000001)^2/(4*'D(Ti_Cherniak) Times'!$C210)/(365.35*24*3600)</f>
        <v>176.35422818799424</v>
      </c>
      <c r="L210" s="2">
        <f>('L-Values'!H210*'D(Ti_Cherniak) Times'!$F210*0.000001)^2/(4*'D(Ti_Cherniak) Times'!$C210)/(365.35*24*3600)</f>
        <v>415.75239976421483</v>
      </c>
      <c r="M210" s="2">
        <f>('L-Values'!I210*'D(Ti_Cherniak) Times'!$F210*0.000001)^2/(4*'D(Ti_Cherniak) Times'!$C210)/(365.35*24*3600)</f>
        <v>737.63371841382741</v>
      </c>
      <c r="N210" s="2">
        <f>('L-Values'!J210*'D(Ti_Cherniak) Times'!$F210*0.000001)^2/(4*'D(Ti_Cherniak) Times'!$C210)/(365.35*24*3600)</f>
        <v>255.36049981317876</v>
      </c>
      <c r="O210" s="2">
        <f>('L-Values'!K210*'D(Ti_Cherniak) Times'!$F210*0.000001)^2/(4*'D(Ti_Cherniak) Times'!$C210)/(365.35*24*3600)</f>
        <v>861.93526021615094</v>
      </c>
      <c r="P210" s="2">
        <f>('L-Values'!L210*'D(Ti_Cherniak) Times'!$F210*0.000001)^2/(4*'D(Ti_Cherniak) Times'!$C210)/(365.35*24*3600)</f>
        <v>256.05838746451855</v>
      </c>
      <c r="Q210" s="2">
        <f>('L-Values'!M210*'D(Ti_Cherniak) Times'!$F210*0.000001)^2/(4*'D(Ti_Cherniak) Times'!$C210)/(365.35*24*3600)</f>
        <v>265.11438634026138</v>
      </c>
      <c r="R210" s="2">
        <f>('L-Values'!N210*'D(Ti_Cherniak) Times'!$F210*0.000001)^2/(4*'D(Ti_Cherniak) Times'!$C210)/(365.35*24*3600)</f>
        <v>345.19912981777986</v>
      </c>
      <c r="S210" s="2">
        <f>('L-Values'!O210*'D(Ti_Cherniak) Times'!$F210*0.000001)^2/(4*'D(Ti_Cherniak) Times'!$C210)/(365.35*24*3600)</f>
        <v>737.44060606539392</v>
      </c>
      <c r="T210" s="2"/>
      <c r="U210" s="2">
        <f>('L-Values'!Q210*'D(Ti_Cherniak) Times'!$F210*0.000001)^2/(4*'D(Ti_Cherniak) Times'!$C210)/(365.35*24*3600)</f>
        <v>345.82056768196219</v>
      </c>
      <c r="V210" s="2">
        <f>('L-Values'!R210*'D(Ti_Cherniak) Times'!$F210*0.000001)^2/(4*'D(Ti_Cherniak) Times'!$C210)/(365.35*24*3600)</f>
        <v>391.81199199995825</v>
      </c>
      <c r="W210" s="2">
        <f>('L-Values'!S210*'D(Ti_Cherniak) Times'!$F210*0.000001)^2/(4*'D(Ti_Cherniak) Times'!$C210)/(365.35*24*3600)</f>
        <v>345.19912981777986</v>
      </c>
      <c r="X210" s="2"/>
      <c r="Y210" s="2">
        <f>('L-Values'!U210*'D(Ti_Cherniak) Times'!$F210*0.000001)^2/(4*'D(Ti_Cherniak) Times'!$C210)/(365.35*24*3600)</f>
        <v>315.79773471181863</v>
      </c>
      <c r="Z210" s="2">
        <f>('L-Values'!V210*'D(Ti_Cherniak) Times'!$F210*0.000001)^2/(4*'D(Ti_Cherniak) Times'!$C210)/(365.35*24*3600)</f>
        <v>353.69523842199186</v>
      </c>
      <c r="AA210" s="2">
        <f>('L-Values'!W210*'D(Ti_Cherniak) Times'!$F210*0.000001)^2/(4*'D(Ti_Cherniak) Times'!$C210)/(365.35*24*3600)</f>
        <v>116.03317241726431</v>
      </c>
      <c r="AB210" s="2">
        <f>('L-Values'!X210*'D(Ti_Cherniak) Times'!$F210*0.000001)^2/(4*'D(Ti_Cherniak) Times'!$C210)/(365.35*24*3600)</f>
        <v>1055.7598481097766</v>
      </c>
      <c r="AC210" s="2">
        <f t="shared" si="14"/>
        <v>237.66206600472754</v>
      </c>
      <c r="AD210" s="2">
        <f t="shared" si="15"/>
        <v>702.0646096877847</v>
      </c>
    </row>
    <row r="211" spans="1:30" x14ac:dyDescent="0.2">
      <c r="A211" t="str">
        <f>'L-Values'!A211</f>
        <v>CGI011-qtz04-CL-fit-2-offset</v>
      </c>
      <c r="B211">
        <v>750</v>
      </c>
      <c r="C211">
        <f t="shared" si="12"/>
        <v>8.0537892000481889E-22</v>
      </c>
      <c r="D211">
        <v>1800</v>
      </c>
      <c r="E211">
        <v>1024</v>
      </c>
      <c r="F211">
        <f t="shared" si="13"/>
        <v>1.7578125</v>
      </c>
      <c r="I211" s="2">
        <f>('L-Values'!E211*'D(Ti_Cherniak) Times'!$F211*0.000001)^2/(4*'D(Ti_Cherniak) Times'!$C211)/(365.35*24*3600)</f>
        <v>190.09992471049119</v>
      </c>
      <c r="J211" s="2">
        <f>('L-Values'!F211*'D(Ti_Cherniak) Times'!$F211*0.000001)^2/(4*'D(Ti_Cherniak) Times'!$C211)/(365.35*24*3600)</f>
        <v>268.80218192093901</v>
      </c>
      <c r="K211" s="2">
        <f>('L-Values'!G211*'D(Ti_Cherniak) Times'!$F211*0.000001)^2/(4*'D(Ti_Cherniak) Times'!$C211)/(365.35*24*3600)</f>
        <v>77.845105525764623</v>
      </c>
      <c r="L211" s="2">
        <f>('L-Values'!H211*'D(Ti_Cherniak) Times'!$F211*0.000001)^2/(4*'D(Ti_Cherniak) Times'!$C211)/(365.35*24*3600)</f>
        <v>309.71196032768461</v>
      </c>
      <c r="M211" s="2">
        <f>('L-Values'!I211*'D(Ti_Cherniak) Times'!$F211*0.000001)^2/(4*'D(Ti_Cherniak) Times'!$C211)/(365.35*24*3600)</f>
        <v>193.89348563250147</v>
      </c>
      <c r="N211" s="2">
        <f>('L-Values'!J211*'D(Ti_Cherniak) Times'!$F211*0.000001)^2/(4*'D(Ti_Cherniak) Times'!$C211)/(365.35*24*3600)</f>
        <v>60.744546500285225</v>
      </c>
      <c r="O211" s="2">
        <f>('L-Values'!K211*'D(Ti_Cherniak) Times'!$F211*0.000001)^2/(4*'D(Ti_Cherniak) Times'!$C211)/(365.35*24*3600)</f>
        <v>169.12139266469131</v>
      </c>
      <c r="P211" s="2">
        <f>('L-Values'!L211*'D(Ti_Cherniak) Times'!$F211*0.000001)^2/(4*'D(Ti_Cherniak) Times'!$C211)/(365.35*24*3600)</f>
        <v>293.74368096209059</v>
      </c>
      <c r="Q211" s="2">
        <f>('L-Values'!M211*'D(Ti_Cherniak) Times'!$F211*0.000001)^2/(4*'D(Ti_Cherniak) Times'!$C211)/(365.35*24*3600)</f>
        <v>630.06575941273013</v>
      </c>
      <c r="R211" s="2">
        <f>('L-Values'!N211*'D(Ti_Cherniak) Times'!$F211*0.000001)^2/(4*'D(Ti_Cherniak) Times'!$C211)/(365.35*24*3600)</f>
        <v>77.165575635735522</v>
      </c>
      <c r="S211" s="2">
        <f>('L-Values'!O211*'D(Ti_Cherniak) Times'!$F211*0.000001)^2/(4*'D(Ti_Cherniak) Times'!$C211)/(365.35*24*3600)</f>
        <v>209.44464001693541</v>
      </c>
      <c r="T211" s="2"/>
      <c r="U211" s="2">
        <f>('L-Values'!Q211*'D(Ti_Cherniak) Times'!$F211*0.000001)^2/(4*'D(Ti_Cherniak) Times'!$C211)/(365.35*24*3600)</f>
        <v>191.64152011113814</v>
      </c>
      <c r="V211" s="2">
        <f>('L-Values'!R211*'D(Ti_Cherniak) Times'!$F211*0.000001)^2/(4*'D(Ti_Cherniak) Times'!$C211)/(365.35*24*3600)</f>
        <v>203.25492906715726</v>
      </c>
      <c r="W211" s="2">
        <f>('L-Values'!S211*'D(Ti_Cherniak) Times'!$F211*0.000001)^2/(4*'D(Ti_Cherniak) Times'!$C211)/(365.35*24*3600)</f>
        <v>193.89348563250147</v>
      </c>
      <c r="X211" s="2"/>
      <c r="Y211" s="2">
        <f>('L-Values'!U211*'D(Ti_Cherniak) Times'!$F211*0.000001)^2/(4*'D(Ti_Cherniak) Times'!$C211)/(365.35*24*3600)</f>
        <v>181.60942339313624</v>
      </c>
      <c r="Z211" s="2">
        <f>('L-Values'!V211*'D(Ti_Cherniak) Times'!$F211*0.000001)^2/(4*'D(Ti_Cherniak) Times'!$C211)/(365.35*24*3600)</f>
        <v>178.40489277230984</v>
      </c>
      <c r="AA211" s="2">
        <f>('L-Values'!W211*'D(Ti_Cherniak) Times'!$F211*0.000001)^2/(4*'D(Ti_Cherniak) Times'!$C211)/(365.35*24*3600)</f>
        <v>4.5179735192380193</v>
      </c>
      <c r="AB211" s="2">
        <f>('L-Values'!X211*'D(Ti_Cherniak) Times'!$F211*0.000001)^2/(4*'D(Ti_Cherniak) Times'!$C211)/(365.35*24*3600)</f>
        <v>505.87400885530189</v>
      </c>
      <c r="AC211" s="2">
        <f t="shared" si="14"/>
        <v>173.88691925307182</v>
      </c>
      <c r="AD211" s="2">
        <f t="shared" si="15"/>
        <v>327.46911608299206</v>
      </c>
    </row>
    <row r="212" spans="1:30" x14ac:dyDescent="0.2">
      <c r="A212" t="str">
        <f>'L-Values'!A212</f>
        <v>CGI011-qtz04-CL-fit-3-offset</v>
      </c>
      <c r="B212">
        <v>750</v>
      </c>
      <c r="C212">
        <f t="shared" si="12"/>
        <v>8.0537892000481889E-22</v>
      </c>
      <c r="D212">
        <v>1800</v>
      </c>
      <c r="E212">
        <v>1024</v>
      </c>
      <c r="F212">
        <f t="shared" si="13"/>
        <v>1.7578125</v>
      </c>
      <c r="I212" s="2">
        <f>('L-Values'!E212*'D(Ti_Cherniak) Times'!$F212*0.000001)^2/(4*'D(Ti_Cherniak) Times'!$C212)/(365.35*24*3600)</f>
        <v>226.19235940230629</v>
      </c>
      <c r="J212" s="2">
        <f>('L-Values'!F212*'D(Ti_Cherniak) Times'!$F212*0.000001)^2/(4*'D(Ti_Cherniak) Times'!$C212)/(365.35*24*3600)</f>
        <v>406.30159618008668</v>
      </c>
      <c r="K212" s="2">
        <f>('L-Values'!G212*'D(Ti_Cherniak) Times'!$F212*0.000001)^2/(4*'D(Ti_Cherniak) Times'!$C212)/(365.35*24*3600)</f>
        <v>442.1326219678603</v>
      </c>
      <c r="L212" s="2">
        <f>('L-Values'!H212*'D(Ti_Cherniak) Times'!$F212*0.000001)^2/(4*'D(Ti_Cherniak) Times'!$C212)/(365.35*24*3600)</f>
        <v>367.54346176491856</v>
      </c>
      <c r="M212" s="2">
        <f>('L-Values'!I212*'D(Ti_Cherniak) Times'!$F212*0.000001)^2/(4*'D(Ti_Cherniak) Times'!$C212)/(365.35*24*3600)</f>
        <v>324.6559016657385</v>
      </c>
      <c r="N212" s="2">
        <f>('L-Values'!J212*'D(Ti_Cherniak) Times'!$F212*0.000001)^2/(4*'D(Ti_Cherniak) Times'!$C212)/(365.35*24*3600)</f>
        <v>509.51181156569226</v>
      </c>
      <c r="O212" s="2">
        <f>('L-Values'!K212*'D(Ti_Cherniak) Times'!$F212*0.000001)^2/(4*'D(Ti_Cherniak) Times'!$C212)/(365.35*24*3600)</f>
        <v>325.82870235104917</v>
      </c>
      <c r="P212" s="2">
        <f>('L-Values'!L212*'D(Ti_Cherniak) Times'!$F212*0.000001)^2/(4*'D(Ti_Cherniak) Times'!$C212)/(365.35*24*3600)</f>
        <v>388.88470475549337</v>
      </c>
      <c r="Q212" s="2">
        <f>('L-Values'!M212*'D(Ti_Cherniak) Times'!$F212*0.000001)^2/(4*'D(Ti_Cherniak) Times'!$C212)/(365.35*24*3600)</f>
        <v>230.91528202909657</v>
      </c>
      <c r="R212" s="2">
        <f>('L-Values'!N212*'D(Ti_Cherniak) Times'!$F212*0.000001)^2/(4*'D(Ti_Cherniak) Times'!$C212)/(365.35*24*3600)</f>
        <v>239.33073902910704</v>
      </c>
      <c r="S212" s="2">
        <f>('L-Values'!O212*'D(Ti_Cherniak) Times'!$F212*0.000001)^2/(4*'D(Ti_Cherniak) Times'!$C212)/(365.35*24*3600)</f>
        <v>333.12007952642455</v>
      </c>
      <c r="T212" s="2"/>
      <c r="U212" s="2">
        <f>('L-Values'!Q212*'D(Ti_Cherniak) Times'!$F212*0.000001)^2/(4*'D(Ti_Cherniak) Times'!$C212)/(365.35*24*3600)</f>
        <v>350.32180024993335</v>
      </c>
      <c r="V212" s="2">
        <f>('L-Values'!R212*'D(Ti_Cherniak) Times'!$F212*0.000001)^2/(4*'D(Ti_Cherniak) Times'!$C212)/(365.35*24*3600)</f>
        <v>339.47810117915782</v>
      </c>
      <c r="W212" s="2">
        <f>('L-Values'!S212*'D(Ti_Cherniak) Times'!$F212*0.000001)^2/(4*'D(Ti_Cherniak) Times'!$C212)/(365.35*24*3600)</f>
        <v>333.12007952642455</v>
      </c>
      <c r="X212" s="2"/>
      <c r="Y212" s="2">
        <f>('L-Values'!U212*'D(Ti_Cherniak) Times'!$F212*0.000001)^2/(4*'D(Ti_Cherniak) Times'!$C212)/(365.35*24*3600)</f>
        <v>349.05639608153461</v>
      </c>
      <c r="Z212" s="2">
        <f>('L-Values'!V212*'D(Ti_Cherniak) Times'!$F212*0.000001)^2/(4*'D(Ti_Cherniak) Times'!$C212)/(365.35*24*3600)</f>
        <v>349.27749445959722</v>
      </c>
      <c r="AA212" s="2">
        <f>('L-Values'!W212*'D(Ti_Cherniak) Times'!$F212*0.000001)^2/(4*'D(Ti_Cherniak) Times'!$C212)/(365.35*24*3600)</f>
        <v>187.97391815586218</v>
      </c>
      <c r="AB212" s="2">
        <f>('L-Values'!X212*'D(Ti_Cherniak) Times'!$F212*0.000001)^2/(4*'D(Ti_Cherniak) Times'!$C212)/(365.35*24*3600)</f>
        <v>596.57513770005448</v>
      </c>
      <c r="AC212" s="2">
        <f t="shared" si="14"/>
        <v>161.30357630373504</v>
      </c>
      <c r="AD212" s="2">
        <f t="shared" si="15"/>
        <v>247.29764324045726</v>
      </c>
    </row>
    <row r="213" spans="1:30" x14ac:dyDescent="0.2">
      <c r="A213" t="str">
        <f>'L-Values'!A213</f>
        <v>CGI011-qtz04-CL-fit-4-offset</v>
      </c>
      <c r="B213">
        <v>750</v>
      </c>
      <c r="C213">
        <f t="shared" si="12"/>
        <v>8.0537892000481889E-22</v>
      </c>
      <c r="D213">
        <v>1800</v>
      </c>
      <c r="E213">
        <v>1024</v>
      </c>
      <c r="F213">
        <f t="shared" si="13"/>
        <v>1.7578125</v>
      </c>
      <c r="I213" s="2">
        <f>('L-Values'!E213*'D(Ti_Cherniak) Times'!$F213*0.000001)^2/(4*'D(Ti_Cherniak) Times'!$C213)/(365.35*24*3600)</f>
        <v>135.33387702124094</v>
      </c>
      <c r="J213" s="2">
        <f>('L-Values'!F213*'D(Ti_Cherniak) Times'!$F213*0.000001)^2/(4*'D(Ti_Cherniak) Times'!$C213)/(365.35*24*3600)</f>
        <v>181.88095775844411</v>
      </c>
      <c r="K213" s="2">
        <f>('L-Values'!G213*'D(Ti_Cherniak) Times'!$F213*0.000001)^2/(4*'D(Ti_Cherniak) Times'!$C213)/(365.35*24*3600)</f>
        <v>151.13031376974749</v>
      </c>
      <c r="L213" s="2">
        <f>('L-Values'!H213*'D(Ti_Cherniak) Times'!$F213*0.000001)^2/(4*'D(Ti_Cherniak) Times'!$C213)/(365.35*24*3600)</f>
        <v>94.189466839281408</v>
      </c>
      <c r="M213" s="2">
        <f>('L-Values'!I213*'D(Ti_Cherniak) Times'!$F213*0.000001)^2/(4*'D(Ti_Cherniak) Times'!$C213)/(365.35*24*3600)</f>
        <v>143.91407708911188</v>
      </c>
      <c r="N213" s="2">
        <f>('L-Values'!J213*'D(Ti_Cherniak) Times'!$F213*0.000001)^2/(4*'D(Ti_Cherniak) Times'!$C213)/(365.35*24*3600)</f>
        <v>138.8220122743862</v>
      </c>
      <c r="O213" s="2">
        <f>('L-Values'!K213*'D(Ti_Cherniak) Times'!$F213*0.000001)^2/(4*'D(Ti_Cherniak) Times'!$C213)/(365.35*24*3600)</f>
        <v>218.93402846753543</v>
      </c>
      <c r="P213" s="2">
        <f>('L-Values'!L213*'D(Ti_Cherniak) Times'!$F213*0.000001)^2/(4*'D(Ti_Cherniak) Times'!$C213)/(365.35*24*3600)</f>
        <v>189.36593455303716</v>
      </c>
      <c r="Q213" s="2">
        <f>('L-Values'!M213*'D(Ti_Cherniak) Times'!$F213*0.000001)^2/(4*'D(Ti_Cherniak) Times'!$C213)/(365.35*24*3600)</f>
        <v>0</v>
      </c>
      <c r="R213" s="2">
        <f>('L-Values'!N213*'D(Ti_Cherniak) Times'!$F213*0.000001)^2/(4*'D(Ti_Cherniak) Times'!$C213)/(365.35*24*3600)</f>
        <v>487.59368577345316</v>
      </c>
      <c r="S213" s="2">
        <f>('L-Values'!O213*'D(Ti_Cherniak) Times'!$F213*0.000001)^2/(4*'D(Ti_Cherniak) Times'!$C213)/(365.35*24*3600)</f>
        <v>486.35897713929063</v>
      </c>
      <c r="T213" s="2"/>
      <c r="U213" s="2">
        <f>('L-Values'!Q213*'D(Ti_Cherniak) Times'!$F213*0.000001)^2/(4*'D(Ti_Cherniak) Times'!$C213)/(365.35*24*3600)</f>
        <v>222.06365420134094</v>
      </c>
      <c r="V213" s="2">
        <f>('L-Values'!R213*'D(Ti_Cherniak) Times'!$F213*0.000001)^2/(4*'D(Ti_Cherniak) Times'!$C213)/(365.35*24*3600)</f>
        <v>206.17939295108204</v>
      </c>
      <c r="W213" s="2">
        <f>('L-Values'!S213*'D(Ti_Cherniak) Times'!$F213*0.000001)^2/(4*'D(Ti_Cherniak) Times'!$C213)/(365.35*24*3600)</f>
        <v>166.1499321484321</v>
      </c>
      <c r="X213" s="2"/>
      <c r="Y213" s="2">
        <f>('L-Values'!U213*'D(Ti_Cherniak) Times'!$F213*0.000001)^2/(4*'D(Ti_Cherniak) Times'!$C213)/(365.35*24*3600)</f>
        <v>213.86138453251937</v>
      </c>
      <c r="Z213" s="2">
        <f>('L-Values'!V213*'D(Ti_Cherniak) Times'!$F213*0.000001)^2/(4*'D(Ti_Cherniak) Times'!$C213)/(365.35*24*3600)</f>
        <v>218.83627953979999</v>
      </c>
      <c r="AA213" s="2">
        <f>('L-Values'!W213*'D(Ti_Cherniak) Times'!$F213*0.000001)^2/(4*'D(Ti_Cherniak) Times'!$C213)/(365.35*24*3600)</f>
        <v>56.58887466903591</v>
      </c>
      <c r="AB213" s="2">
        <f>('L-Values'!X213*'D(Ti_Cherniak) Times'!$F213*0.000001)^2/(4*'D(Ti_Cherniak) Times'!$C213)/(365.35*24*3600)</f>
        <v>500.80563299429804</v>
      </c>
      <c r="AC213" s="2">
        <f t="shared" si="14"/>
        <v>162.24740487076409</v>
      </c>
      <c r="AD213" s="2">
        <f t="shared" si="15"/>
        <v>281.96935345449805</v>
      </c>
    </row>
    <row r="214" spans="1:30" x14ac:dyDescent="0.2">
      <c r="A214" t="str">
        <f>'L-Values'!A214</f>
        <v>CGI011-qtz04-CL-fit-5-offset</v>
      </c>
      <c r="B214">
        <v>750</v>
      </c>
      <c r="C214">
        <f t="shared" si="12"/>
        <v>8.0537892000481889E-22</v>
      </c>
      <c r="D214">
        <v>1800</v>
      </c>
      <c r="E214">
        <v>1024</v>
      </c>
      <c r="F214">
        <f t="shared" si="13"/>
        <v>1.7578125</v>
      </c>
      <c r="I214" s="2">
        <f>('L-Values'!E214*'D(Ti_Cherniak) Times'!$F214*0.000001)^2/(4*'D(Ti_Cherniak) Times'!$C214)/(365.35*24*3600)</f>
        <v>14.331378985923605</v>
      </c>
      <c r="J214" s="2">
        <f>('L-Values'!F214*'D(Ti_Cherniak) Times'!$F214*0.000001)^2/(4*'D(Ti_Cherniak) Times'!$C214)/(365.35*24*3600)</f>
        <v>54.587552178481715</v>
      </c>
      <c r="K214" s="2">
        <f>('L-Values'!G214*'D(Ti_Cherniak) Times'!$F214*0.000001)^2/(4*'D(Ti_Cherniak) Times'!$C214)/(365.35*24*3600)</f>
        <v>2.1310023988213502</v>
      </c>
      <c r="L214" s="2">
        <f>('L-Values'!H214*'D(Ti_Cherniak) Times'!$F214*0.000001)^2/(4*'D(Ti_Cherniak) Times'!$C214)/(365.35*24*3600)</f>
        <v>34.462021235681171</v>
      </c>
      <c r="M214" s="2">
        <f>('L-Values'!I214*'D(Ti_Cherniak) Times'!$F214*0.000001)^2/(4*'D(Ti_Cherniak) Times'!$C214)/(365.35*24*3600)</f>
        <v>13.017966252098224</v>
      </c>
      <c r="N214" s="2">
        <f>('L-Values'!J214*'D(Ti_Cherniak) Times'!$F214*0.000001)^2/(4*'D(Ti_Cherniak) Times'!$C214)/(365.35*24*3600)</f>
        <v>30.904686259207459</v>
      </c>
      <c r="O214" s="2">
        <f>('L-Values'!K214*'D(Ti_Cherniak) Times'!$F214*0.000001)^2/(4*'D(Ti_Cherniak) Times'!$C214)/(365.35*24*3600)</f>
        <v>72.104940205282745</v>
      </c>
      <c r="P214" s="2">
        <f>('L-Values'!L214*'D(Ti_Cherniak) Times'!$F214*0.000001)^2/(4*'D(Ti_Cherniak) Times'!$C214)/(365.35*24*3600)</f>
        <v>46.948490404688684</v>
      </c>
      <c r="Q214" s="2">
        <f>('L-Values'!M214*'D(Ti_Cherniak) Times'!$F214*0.000001)^2/(4*'D(Ti_Cherniak) Times'!$C214)/(365.35*24*3600)</f>
        <v>18.708853805027111</v>
      </c>
      <c r="R214" s="2">
        <f>('L-Values'!N214*'D(Ti_Cherniak) Times'!$F214*0.000001)^2/(4*'D(Ti_Cherniak) Times'!$C214)/(365.35*24*3600)</f>
        <v>46.182799973334319</v>
      </c>
      <c r="S214" s="2">
        <f>('L-Values'!O214*'D(Ti_Cherniak) Times'!$F214*0.000001)^2/(4*'D(Ti_Cherniak) Times'!$C214)/(365.35*24*3600)</f>
        <v>42.061751716012836</v>
      </c>
      <c r="T214" s="2"/>
      <c r="U214" s="2">
        <f>('L-Values'!Q214*'D(Ti_Cherniak) Times'!$F214*0.000001)^2/(4*'D(Ti_Cherniak) Times'!$C214)/(365.35*24*3600)</f>
        <v>30.683474530904626</v>
      </c>
      <c r="V214" s="2">
        <f>('L-Values'!R214*'D(Ti_Cherniak) Times'!$F214*0.000001)^2/(4*'D(Ti_Cherniak) Times'!$C214)/(365.35*24*3600)</f>
        <v>30.371642421165284</v>
      </c>
      <c r="W214" s="2">
        <f>('L-Values'!S214*'D(Ti_Cherniak) Times'!$F214*0.000001)^2/(4*'D(Ti_Cherniak) Times'!$C214)/(365.35*24*3600)</f>
        <v>34.462021235681171</v>
      </c>
      <c r="X214" s="2"/>
      <c r="Y214" s="2">
        <f>('L-Values'!U214*'D(Ti_Cherniak) Times'!$F214*0.000001)^2/(4*'D(Ti_Cherniak) Times'!$C214)/(365.35*24*3600)</f>
        <v>28.27775371219634</v>
      </c>
      <c r="Z214" s="2">
        <f>('L-Values'!V214*'D(Ti_Cherniak) Times'!$F214*0.000001)^2/(4*'D(Ti_Cherniak) Times'!$C214)/(365.35*24*3600)</f>
        <v>28.400773241359278</v>
      </c>
      <c r="AA214" s="2">
        <f>('L-Values'!W214*'D(Ti_Cherniak) Times'!$F214*0.000001)^2/(4*'D(Ti_Cherniak) Times'!$C214)/(365.35*24*3600)</f>
        <v>0.91151997539117313</v>
      </c>
      <c r="AB214" s="2">
        <f>('L-Values'!X214*'D(Ti_Cherniak) Times'!$F214*0.000001)^2/(4*'D(Ti_Cherniak) Times'!$C214)/(365.35*24*3600)</f>
        <v>107.48026611884089</v>
      </c>
      <c r="AC214" s="2">
        <f t="shared" si="14"/>
        <v>27.489253265968106</v>
      </c>
      <c r="AD214" s="2">
        <f t="shared" si="15"/>
        <v>79.079492877481613</v>
      </c>
    </row>
    <row r="215" spans="1:30" x14ac:dyDescent="0.2">
      <c r="A215" t="str">
        <f>'L-Values'!A215</f>
        <v>CGI011-qtz05-CL-fit-1-offset</v>
      </c>
      <c r="B215">
        <v>750</v>
      </c>
      <c r="C215">
        <f t="shared" si="12"/>
        <v>8.0537892000481889E-22</v>
      </c>
      <c r="D215">
        <v>2200</v>
      </c>
      <c r="E215">
        <v>1024</v>
      </c>
      <c r="F215">
        <f t="shared" si="13"/>
        <v>2.1484375</v>
      </c>
      <c r="I215" s="2">
        <f>('L-Values'!E215*'D(Ti_Cherniak) Times'!$F215*0.000001)^2/(4*'D(Ti_Cherniak) Times'!$C215)/(365.35*24*3600)</f>
        <v>809.94197771012364</v>
      </c>
      <c r="J215" s="2">
        <f>('L-Values'!F215*'D(Ti_Cherniak) Times'!$F215*0.000001)^2/(4*'D(Ti_Cherniak) Times'!$C215)/(365.35*24*3600)</f>
        <v>1305.398759505588</v>
      </c>
      <c r="K215" s="2">
        <f>('L-Values'!G215*'D(Ti_Cherniak) Times'!$F215*0.000001)^2/(4*'D(Ti_Cherniak) Times'!$C215)/(365.35*24*3600)</f>
        <v>616.51681278298577</v>
      </c>
      <c r="L215" s="2">
        <f>('L-Values'!H215*'D(Ti_Cherniak) Times'!$F215*0.000001)^2/(4*'D(Ti_Cherniak) Times'!$C215)/(365.35*24*3600)</f>
        <v>1380.6981112392723</v>
      </c>
      <c r="M215" s="2">
        <f>('L-Values'!I215*'D(Ti_Cherniak) Times'!$F215*0.000001)^2/(4*'D(Ti_Cherniak) Times'!$C215)/(365.35*24*3600)</f>
        <v>338.35324054482487</v>
      </c>
      <c r="N215" s="2">
        <f>('L-Values'!J215*'D(Ti_Cherniak) Times'!$F215*0.000001)^2/(4*'D(Ti_Cherniak) Times'!$C215)/(365.35*24*3600)</f>
        <v>1639.5236067045223</v>
      </c>
      <c r="O215" s="2">
        <f>('L-Values'!K215*'D(Ti_Cherniak) Times'!$F215*0.000001)^2/(4*'D(Ti_Cherniak) Times'!$C215)/(365.35*24*3600)</f>
        <v>1003.5605507358897</v>
      </c>
      <c r="P215" s="2">
        <f>('L-Values'!L215*'D(Ti_Cherniak) Times'!$F215*0.000001)^2/(4*'D(Ti_Cherniak) Times'!$C215)/(365.35*24*3600)</f>
        <v>1305.5804625192093</v>
      </c>
      <c r="Q215" s="2">
        <f>('L-Values'!M215*'D(Ti_Cherniak) Times'!$F215*0.000001)^2/(4*'D(Ti_Cherniak) Times'!$C215)/(365.35*24*3600)</f>
        <v>965.40543275184211</v>
      </c>
      <c r="R215" s="2">
        <f>('L-Values'!N215*'D(Ti_Cherniak) Times'!$F215*0.000001)^2/(4*'D(Ti_Cherniak) Times'!$C215)/(365.35*24*3600)</f>
        <v>1235.568997839144</v>
      </c>
      <c r="S215" s="2">
        <f>('L-Values'!O215*'D(Ti_Cherniak) Times'!$F215*0.000001)^2/(4*'D(Ti_Cherniak) Times'!$C215)/(365.35*24*3600)</f>
        <v>1233.4591271114048</v>
      </c>
      <c r="T215" s="2"/>
      <c r="U215" s="2">
        <f>('L-Values'!Q215*'D(Ti_Cherniak) Times'!$F215*0.000001)^2/(4*'D(Ti_Cherniak) Times'!$C215)/(365.35*24*3600)</f>
        <v>1012.4774420009308</v>
      </c>
      <c r="V215" s="2">
        <f>('L-Values'!R215*'D(Ti_Cherniak) Times'!$F215*0.000001)^2/(4*'D(Ti_Cherniak) Times'!$C215)/(365.35*24*3600)</f>
        <v>1039.2816687312991</v>
      </c>
      <c r="W215" s="2">
        <f>('L-Values'!S215*'D(Ti_Cherniak) Times'!$F215*0.000001)^2/(4*'D(Ti_Cherniak) Times'!$C215)/(365.35*24*3600)</f>
        <v>1233.4591271114048</v>
      </c>
      <c r="X215" s="2"/>
      <c r="Y215" s="2">
        <f>('L-Values'!U215*'D(Ti_Cherniak) Times'!$F215*0.000001)^2/(4*'D(Ti_Cherniak) Times'!$C215)/(365.35*24*3600)</f>
        <v>918.98072944669013</v>
      </c>
      <c r="Z215" s="2">
        <f>('L-Values'!V215*'D(Ti_Cherniak) Times'!$F215*0.000001)^2/(4*'D(Ti_Cherniak) Times'!$C215)/(365.35*24*3600)</f>
        <v>862.72317069422161</v>
      </c>
      <c r="AA215" s="2">
        <f>('L-Values'!W215*'D(Ti_Cherniak) Times'!$F215*0.000001)^2/(4*'D(Ti_Cherniak) Times'!$C215)/(365.35*24*3600)</f>
        <v>4.4195312695340574</v>
      </c>
      <c r="AB215" s="2">
        <f>('L-Values'!X215*'D(Ti_Cherniak) Times'!$F215*0.000001)^2/(4*'D(Ti_Cherniak) Times'!$C215)/(365.35*24*3600)</f>
        <v>1961.3323848533162</v>
      </c>
      <c r="AC215" s="2">
        <f t="shared" si="14"/>
        <v>858.3036394246875</v>
      </c>
      <c r="AD215" s="2">
        <f t="shared" si="15"/>
        <v>1098.6092141590946</v>
      </c>
    </row>
    <row r="216" spans="1:30" x14ac:dyDescent="0.2">
      <c r="A216" t="str">
        <f>'L-Values'!A216</f>
        <v>CGI011-qtz05-CL-fit-2-offset</v>
      </c>
      <c r="B216">
        <v>750</v>
      </c>
      <c r="C216">
        <f t="shared" si="12"/>
        <v>8.0537892000481889E-22</v>
      </c>
      <c r="D216">
        <v>2200</v>
      </c>
      <c r="E216">
        <v>1024</v>
      </c>
      <c r="F216">
        <f t="shared" si="13"/>
        <v>2.1484375</v>
      </c>
      <c r="I216" s="2">
        <f>('L-Values'!E216*'D(Ti_Cherniak) Times'!$F216*0.000001)^2/(4*'D(Ti_Cherniak) Times'!$C216)/(365.35*24*3600)</f>
        <v>2911.8960021292592</v>
      </c>
      <c r="J216" s="2">
        <f>('L-Values'!F216*'D(Ti_Cherniak) Times'!$F216*0.000001)^2/(4*'D(Ti_Cherniak) Times'!$C216)/(365.35*24*3600)</f>
        <v>1581.0797084700594</v>
      </c>
      <c r="K216" s="2">
        <f>('L-Values'!G216*'D(Ti_Cherniak) Times'!$F216*0.000001)^2/(4*'D(Ti_Cherniak) Times'!$C216)/(365.35*24*3600)</f>
        <v>1274.6495613251502</v>
      </c>
      <c r="L216" s="2">
        <f>('L-Values'!H216*'D(Ti_Cherniak) Times'!$F216*0.000001)^2/(4*'D(Ti_Cherniak) Times'!$C216)/(365.35*24*3600)</f>
        <v>1574.6865169063999</v>
      </c>
      <c r="M216" s="2">
        <f>('L-Values'!I216*'D(Ti_Cherniak) Times'!$F216*0.000001)^2/(4*'D(Ti_Cherniak) Times'!$C216)/(365.35*24*3600)</f>
        <v>2406.0710885700742</v>
      </c>
      <c r="N216" s="2">
        <f>('L-Values'!J216*'D(Ti_Cherniak) Times'!$F216*0.000001)^2/(4*'D(Ti_Cherniak) Times'!$C216)/(365.35*24*3600)</f>
        <v>1389.7388400209127</v>
      </c>
      <c r="O216" s="2">
        <f>('L-Values'!K216*'D(Ti_Cherniak) Times'!$F216*0.000001)^2/(4*'D(Ti_Cherniak) Times'!$C216)/(365.35*24*3600)</f>
        <v>1715.0612830702148</v>
      </c>
      <c r="P216" s="2">
        <f>('L-Values'!L216*'D(Ti_Cherniak) Times'!$F216*0.000001)^2/(4*'D(Ti_Cherniak) Times'!$C216)/(365.35*24*3600)</f>
        <v>1391.9836976672295</v>
      </c>
      <c r="Q216" s="2">
        <f>('L-Values'!M216*'D(Ti_Cherniak) Times'!$F216*0.000001)^2/(4*'D(Ti_Cherniak) Times'!$C216)/(365.35*24*3600)</f>
        <v>1537.0252846987214</v>
      </c>
      <c r="R216" s="2">
        <f>('L-Values'!N216*'D(Ti_Cherniak) Times'!$F216*0.000001)^2/(4*'D(Ti_Cherniak) Times'!$C216)/(365.35*24*3600)</f>
        <v>1321.907306271082</v>
      </c>
      <c r="S216" s="2">
        <f>('L-Values'!O216*'D(Ti_Cherniak) Times'!$F216*0.000001)^2/(4*'D(Ti_Cherniak) Times'!$C216)/(365.35*24*3600)</f>
        <v>1226.1796509327999</v>
      </c>
      <c r="T216" s="2"/>
      <c r="U216" s="2">
        <f>('L-Values'!Q216*'D(Ti_Cherniak) Times'!$F216*0.000001)^2/(4*'D(Ti_Cherniak) Times'!$C216)/(365.35*24*3600)</f>
        <v>1583.0766570599858</v>
      </c>
      <c r="V216" s="2">
        <f>('L-Values'!R216*'D(Ti_Cherniak) Times'!$F216*0.000001)^2/(4*'D(Ti_Cherniak) Times'!$C216)/(365.35*24*3600)</f>
        <v>1634.677930355642</v>
      </c>
      <c r="W216" s="2">
        <f>('L-Values'!S216*'D(Ti_Cherniak) Times'!$F216*0.000001)^2/(4*'D(Ti_Cherniak) Times'!$C216)/(365.35*24*3600)</f>
        <v>1537.0252846987214</v>
      </c>
      <c r="X216" s="2"/>
      <c r="Y216" s="2">
        <f>('L-Values'!U216*'D(Ti_Cherniak) Times'!$F216*0.000001)^2/(4*'D(Ti_Cherniak) Times'!$C216)/(365.35*24*3600)</f>
        <v>1591.4400957575356</v>
      </c>
      <c r="Z216" s="2">
        <f>('L-Values'!V216*'D(Ti_Cherniak) Times'!$F216*0.000001)^2/(4*'D(Ti_Cherniak) Times'!$C216)/(365.35*24*3600)</f>
        <v>1663.9470246008566</v>
      </c>
      <c r="AA216" s="2">
        <f>('L-Values'!W216*'D(Ti_Cherniak) Times'!$F216*0.000001)^2/(4*'D(Ti_Cherniak) Times'!$C216)/(365.35*24*3600)</f>
        <v>1118.1421252571961</v>
      </c>
      <c r="AB216" s="2">
        <f>('L-Values'!X216*'D(Ti_Cherniak) Times'!$F216*0.000001)^2/(4*'D(Ti_Cherniak) Times'!$C216)/(365.35*24*3600)</f>
        <v>3303.0227183846469</v>
      </c>
      <c r="AC216" s="2">
        <f t="shared" si="14"/>
        <v>545.80489934366051</v>
      </c>
      <c r="AD216" s="2">
        <f t="shared" si="15"/>
        <v>1639.0756937837903</v>
      </c>
    </row>
    <row r="217" spans="1:30" x14ac:dyDescent="0.2">
      <c r="A217" t="str">
        <f>'L-Values'!A217</f>
        <v>CGI011-qtz05-CL-fit-3-offset</v>
      </c>
      <c r="B217">
        <v>750</v>
      </c>
      <c r="C217">
        <f t="shared" si="12"/>
        <v>8.0537892000481889E-22</v>
      </c>
      <c r="D217">
        <v>2200</v>
      </c>
      <c r="E217">
        <v>1024</v>
      </c>
      <c r="F217">
        <f t="shared" si="13"/>
        <v>2.1484375</v>
      </c>
      <c r="I217" s="2">
        <f>('L-Values'!E217*'D(Ti_Cherniak) Times'!$F217*0.000001)^2/(4*'D(Ti_Cherniak) Times'!$C217)/(365.35*24*3600)</f>
        <v>1163.6404531905248</v>
      </c>
      <c r="J217" s="2">
        <f>('L-Values'!F217*'D(Ti_Cherniak) Times'!$F217*0.000001)^2/(4*'D(Ti_Cherniak) Times'!$C217)/(365.35*24*3600)</f>
        <v>686.25820423344169</v>
      </c>
      <c r="K217" s="2">
        <f>('L-Values'!G217*'D(Ti_Cherniak) Times'!$F217*0.000001)^2/(4*'D(Ti_Cherniak) Times'!$C217)/(365.35*24*3600)</f>
        <v>597.25731700004701</v>
      </c>
      <c r="L217" s="2">
        <f>('L-Values'!H217*'D(Ti_Cherniak) Times'!$F217*0.000001)^2/(4*'D(Ti_Cherniak) Times'!$C217)/(365.35*24*3600)</f>
        <v>660.88017793758183</v>
      </c>
      <c r="M217" s="2">
        <f>('L-Values'!I217*'D(Ti_Cherniak) Times'!$F217*0.000001)^2/(4*'D(Ti_Cherniak) Times'!$C217)/(365.35*24*3600)</f>
        <v>845.22231855330517</v>
      </c>
      <c r="N217" s="2">
        <f>('L-Values'!J217*'D(Ti_Cherniak) Times'!$F217*0.000001)^2/(4*'D(Ti_Cherniak) Times'!$C217)/(365.35*24*3600)</f>
        <v>307.66196698862149</v>
      </c>
      <c r="O217" s="2">
        <f>('L-Values'!K217*'D(Ti_Cherniak) Times'!$F217*0.000001)^2/(4*'D(Ti_Cherniak) Times'!$C217)/(365.35*24*3600)</f>
        <v>722.92545790778127</v>
      </c>
      <c r="P217" s="2">
        <f>('L-Values'!L217*'D(Ti_Cherniak) Times'!$F217*0.000001)^2/(4*'D(Ti_Cherniak) Times'!$C217)/(365.35*24*3600)</f>
        <v>1060.4487553180763</v>
      </c>
      <c r="Q217" s="2">
        <f>('L-Values'!M217*'D(Ti_Cherniak) Times'!$F217*0.000001)^2/(4*'D(Ti_Cherniak) Times'!$C217)/(365.35*24*3600)</f>
        <v>923.92987845358766</v>
      </c>
      <c r="R217" s="2">
        <f>('L-Values'!N217*'D(Ti_Cherniak) Times'!$F217*0.000001)^2/(4*'D(Ti_Cherniak) Times'!$C217)/(365.35*24*3600)</f>
        <v>940.10964081660529</v>
      </c>
      <c r="S217" s="2">
        <f>('L-Values'!O217*'D(Ti_Cherniak) Times'!$F217*0.000001)^2/(4*'D(Ti_Cherniak) Times'!$C217)/(365.35*24*3600)</f>
        <v>1411.2485489502244</v>
      </c>
      <c r="T217" s="2"/>
      <c r="U217" s="2">
        <f>('L-Values'!Q217*'D(Ti_Cherniak) Times'!$F217*0.000001)^2/(4*'D(Ti_Cherniak) Times'!$C217)/(365.35*24*3600)</f>
        <v>825.30383920212341</v>
      </c>
      <c r="V217" s="2">
        <f>('L-Values'!R217*'D(Ti_Cherniak) Times'!$F217*0.000001)^2/(4*'D(Ti_Cherniak) Times'!$C217)/(365.35*24*3600)</f>
        <v>820.7910485957002</v>
      </c>
      <c r="W217" s="2">
        <f>('L-Values'!S217*'D(Ti_Cherniak) Times'!$F217*0.000001)^2/(4*'D(Ti_Cherniak) Times'!$C217)/(365.35*24*3600)</f>
        <v>845.22231855330517</v>
      </c>
      <c r="X217" s="2"/>
      <c r="Y217" s="2">
        <f>('L-Values'!U217*'D(Ti_Cherniak) Times'!$F217*0.000001)^2/(4*'D(Ti_Cherniak) Times'!$C217)/(365.35*24*3600)</f>
        <v>808.03022622458684</v>
      </c>
      <c r="Z217" s="2">
        <f>('L-Values'!V217*'D(Ti_Cherniak) Times'!$F217*0.000001)^2/(4*'D(Ti_Cherniak) Times'!$C217)/(365.35*24*3600)</f>
        <v>811.13234610351276</v>
      </c>
      <c r="AA217" s="2">
        <f>('L-Values'!W217*'D(Ti_Cherniak) Times'!$F217*0.000001)^2/(4*'D(Ti_Cherniak) Times'!$C217)/(365.35*24*3600)</f>
        <v>332.73751495932839</v>
      </c>
      <c r="AB217" s="2">
        <f>('L-Values'!X217*'D(Ti_Cherniak) Times'!$F217*0.000001)^2/(4*'D(Ti_Cherniak) Times'!$C217)/(365.35*24*3600)</f>
        <v>1552.3252690941677</v>
      </c>
      <c r="AC217" s="2">
        <f t="shared" si="14"/>
        <v>478.39483114418437</v>
      </c>
      <c r="AD217" s="2">
        <f t="shared" si="15"/>
        <v>741.19292299065489</v>
      </c>
    </row>
    <row r="218" spans="1:30" x14ac:dyDescent="0.2">
      <c r="A218" t="str">
        <f>'L-Values'!A218</f>
        <v>CGI011-qtz05-CL-fit-4-offset</v>
      </c>
      <c r="B218">
        <v>750</v>
      </c>
      <c r="C218">
        <f t="shared" si="12"/>
        <v>8.0537892000481889E-22</v>
      </c>
      <c r="D218">
        <v>2200</v>
      </c>
      <c r="E218">
        <v>1024</v>
      </c>
      <c r="F218">
        <f t="shared" si="13"/>
        <v>2.1484375</v>
      </c>
      <c r="I218" s="2">
        <f>('L-Values'!E218*'D(Ti_Cherniak) Times'!$F218*0.000001)^2/(4*'D(Ti_Cherniak) Times'!$C218)/(365.35*24*3600)</f>
        <v>397.06822283531358</v>
      </c>
      <c r="J218" s="2">
        <f>('L-Values'!F218*'D(Ti_Cherniak) Times'!$F218*0.000001)^2/(4*'D(Ti_Cherniak) Times'!$C218)/(365.35*24*3600)</f>
        <v>386.8732284946384</v>
      </c>
      <c r="K218" s="2">
        <f>('L-Values'!G218*'D(Ti_Cherniak) Times'!$F218*0.000001)^2/(4*'D(Ti_Cherniak) Times'!$C218)/(365.35*24*3600)</f>
        <v>199.95791309453099</v>
      </c>
      <c r="L218" s="2">
        <f>('L-Values'!H218*'D(Ti_Cherniak) Times'!$F218*0.000001)^2/(4*'D(Ti_Cherniak) Times'!$C218)/(365.35*24*3600)</f>
        <v>73.79490023848561</v>
      </c>
      <c r="M218" s="2">
        <f>('L-Values'!I218*'D(Ti_Cherniak) Times'!$F218*0.000001)^2/(4*'D(Ti_Cherniak) Times'!$C218)/(365.35*24*3600)</f>
        <v>463.12614989724813</v>
      </c>
      <c r="N218" s="2">
        <f>('L-Values'!J218*'D(Ti_Cherniak) Times'!$F218*0.000001)^2/(4*'D(Ti_Cherniak) Times'!$C218)/(365.35*24*3600)</f>
        <v>217.09986379259664</v>
      </c>
      <c r="O218" s="2">
        <f>('L-Values'!K218*'D(Ti_Cherniak) Times'!$F218*0.000001)^2/(4*'D(Ti_Cherniak) Times'!$C218)/(365.35*24*3600)</f>
        <v>287.07307649349718</v>
      </c>
      <c r="P218" s="2">
        <f>('L-Values'!L218*'D(Ti_Cherniak) Times'!$F218*0.000001)^2/(4*'D(Ti_Cherniak) Times'!$C218)/(365.35*24*3600)</f>
        <v>212.3273135977042</v>
      </c>
      <c r="Q218" s="2">
        <f>('L-Values'!M218*'D(Ti_Cherniak) Times'!$F218*0.000001)^2/(4*'D(Ti_Cherniak) Times'!$C218)/(365.35*24*3600)</f>
        <v>98.811654614112783</v>
      </c>
      <c r="R218" s="2">
        <f>('L-Values'!N218*'D(Ti_Cherniak) Times'!$F218*0.000001)^2/(4*'D(Ti_Cherniak) Times'!$C218)/(365.35*24*3600)</f>
        <v>86.863486603171168</v>
      </c>
      <c r="S218" s="2">
        <f>('L-Values'!O218*'D(Ti_Cherniak) Times'!$F218*0.000001)^2/(4*'D(Ti_Cherniak) Times'!$C218)/(365.35*24*3600)</f>
        <v>319.62767996221277</v>
      </c>
      <c r="T218" s="2"/>
      <c r="U218" s="2">
        <f>('L-Values'!Q218*'D(Ti_Cherniak) Times'!$F218*0.000001)^2/(4*'D(Ti_Cherniak) Times'!$C218)/(365.35*24*3600)</f>
        <v>262.69150858161748</v>
      </c>
      <c r="V218" s="2">
        <f>('L-Values'!R218*'D(Ti_Cherniak) Times'!$F218*0.000001)^2/(4*'D(Ti_Cherniak) Times'!$C218)/(365.35*24*3600)</f>
        <v>231.13581520069422</v>
      </c>
      <c r="W218" s="2">
        <f>('L-Values'!S218*'D(Ti_Cherniak) Times'!$F218*0.000001)^2/(4*'D(Ti_Cherniak) Times'!$C218)/(365.35*24*3600)</f>
        <v>217.09986379259664</v>
      </c>
      <c r="X218" s="2"/>
      <c r="Y218" s="2">
        <f>('L-Values'!U218*'D(Ti_Cherniak) Times'!$F218*0.000001)^2/(4*'D(Ti_Cherniak) Times'!$C218)/(365.35*24*3600)</f>
        <v>248.39163919288447</v>
      </c>
      <c r="Z218" s="2">
        <f>('L-Values'!V218*'D(Ti_Cherniak) Times'!$F218*0.000001)^2/(4*'D(Ti_Cherniak) Times'!$C218)/(365.35*24*3600)</f>
        <v>251.66139991602589</v>
      </c>
      <c r="AA218" s="2">
        <f>('L-Values'!W218*'D(Ti_Cherniak) Times'!$F218*0.000001)^2/(4*'D(Ti_Cherniak) Times'!$C218)/(365.35*24*3600)</f>
        <v>44.612561950807702</v>
      </c>
      <c r="AB218" s="2">
        <f>('L-Values'!X218*'D(Ti_Cherniak) Times'!$F218*0.000001)^2/(4*'D(Ti_Cherniak) Times'!$C218)/(365.35*24*3600)</f>
        <v>663.78874973279767</v>
      </c>
      <c r="AC218" s="2">
        <f t="shared" si="14"/>
        <v>207.04883796521818</v>
      </c>
      <c r="AD218" s="2">
        <f t="shared" si="15"/>
        <v>412.12734981677181</v>
      </c>
    </row>
    <row r="219" spans="1:30" x14ac:dyDescent="0.2">
      <c r="A219" t="str">
        <f>'L-Values'!A219</f>
        <v>CGI011-qtz05-CL-fit-5-offset</v>
      </c>
      <c r="B219">
        <v>750</v>
      </c>
      <c r="C219">
        <f t="shared" si="12"/>
        <v>8.0537892000481889E-22</v>
      </c>
      <c r="D219">
        <v>2200</v>
      </c>
      <c r="E219">
        <v>1024</v>
      </c>
      <c r="F219">
        <f t="shared" si="13"/>
        <v>2.1484375</v>
      </c>
      <c r="I219" s="2">
        <f>('L-Values'!E219*'D(Ti_Cherniak) Times'!$F219*0.000001)^2/(4*'D(Ti_Cherniak) Times'!$C219)/(365.35*24*3600)</f>
        <v>235.59306241795255</v>
      </c>
      <c r="J219" s="2">
        <f>('L-Values'!F219*'D(Ti_Cherniak) Times'!$F219*0.000001)^2/(4*'D(Ti_Cherniak) Times'!$C219)/(365.35*24*3600)</f>
        <v>261.21684637409442</v>
      </c>
      <c r="K219" s="2">
        <f>('L-Values'!G219*'D(Ti_Cherniak) Times'!$F219*0.000001)^2/(4*'D(Ti_Cherniak) Times'!$C219)/(365.35*24*3600)</f>
        <v>182.72403719461096</v>
      </c>
      <c r="L219" s="2">
        <f>('L-Values'!H219*'D(Ti_Cherniak) Times'!$F219*0.000001)^2/(4*'D(Ti_Cherniak) Times'!$C219)/(365.35*24*3600)</f>
        <v>205.27381782978154</v>
      </c>
      <c r="M219" s="2">
        <f>('L-Values'!I219*'D(Ti_Cherniak) Times'!$F219*0.000001)^2/(4*'D(Ti_Cherniak) Times'!$C219)/(365.35*24*3600)</f>
        <v>351.01620093013833</v>
      </c>
      <c r="N219" s="2">
        <f>('L-Values'!J219*'D(Ti_Cherniak) Times'!$F219*0.000001)^2/(4*'D(Ti_Cherniak) Times'!$C219)/(365.35*24*3600)</f>
        <v>297.72243537002788</v>
      </c>
      <c r="O219" s="2">
        <f>('L-Values'!K219*'D(Ti_Cherniak) Times'!$F219*0.000001)^2/(4*'D(Ti_Cherniak) Times'!$C219)/(365.35*24*3600)</f>
        <v>182.91816004416594</v>
      </c>
      <c r="P219" s="2">
        <f>('L-Values'!L219*'D(Ti_Cherniak) Times'!$F219*0.000001)^2/(4*'D(Ti_Cherniak) Times'!$C219)/(365.35*24*3600)</f>
        <v>268.80719885293058</v>
      </c>
      <c r="Q219" s="2">
        <f>('L-Values'!M219*'D(Ti_Cherniak) Times'!$F219*0.000001)^2/(4*'D(Ti_Cherniak) Times'!$C219)/(365.35*24*3600)</f>
        <v>126.67378433677855</v>
      </c>
      <c r="R219" s="2">
        <f>('L-Values'!N219*'D(Ti_Cherniak) Times'!$F219*0.000001)^2/(4*'D(Ti_Cherniak) Times'!$C219)/(365.35*24*3600)</f>
        <v>287.99111886461094</v>
      </c>
      <c r="S219" s="2">
        <f>('L-Values'!O219*'D(Ti_Cherniak) Times'!$F219*0.000001)^2/(4*'D(Ti_Cherniak) Times'!$C219)/(365.35*24*3600)</f>
        <v>336.72955774118009</v>
      </c>
      <c r="T219" s="2"/>
      <c r="U219" s="2">
        <f>('L-Values'!Q219*'D(Ti_Cherniak) Times'!$F219*0.000001)^2/(4*'D(Ti_Cherniak) Times'!$C219)/(365.35*24*3600)</f>
        <v>250.6763166748286</v>
      </c>
      <c r="V219" s="2">
        <f>('L-Values'!R219*'D(Ti_Cherniak) Times'!$F219*0.000001)^2/(4*'D(Ti_Cherniak) Times'!$C219)/(365.35*24*3600)</f>
        <v>244.04613272319136</v>
      </c>
      <c r="W219" s="2">
        <f>('L-Values'!S219*'D(Ti_Cherniak) Times'!$F219*0.000001)^2/(4*'D(Ti_Cherniak) Times'!$C219)/(365.35*24*3600)</f>
        <v>261.21684637409442</v>
      </c>
      <c r="X219" s="2"/>
      <c r="Y219" s="2">
        <f>('L-Values'!U219*'D(Ti_Cherniak) Times'!$F219*0.000001)^2/(4*'D(Ti_Cherniak) Times'!$C219)/(365.35*24*3600)</f>
        <v>246.62514472059974</v>
      </c>
      <c r="Z219" s="2">
        <f>('L-Values'!V219*'D(Ti_Cherniak) Times'!$F219*0.000001)^2/(4*'D(Ti_Cherniak) Times'!$C219)/(365.35*24*3600)</f>
        <v>241.13414157035342</v>
      </c>
      <c r="AA219" s="2">
        <f>('L-Values'!W219*'D(Ti_Cherniak) Times'!$F219*0.000001)^2/(4*'D(Ti_Cherniak) Times'!$C219)/(365.35*24*3600)</f>
        <v>75.309701187927786</v>
      </c>
      <c r="AB219" s="2">
        <f>('L-Values'!X219*'D(Ti_Cherniak) Times'!$F219*0.000001)^2/(4*'D(Ti_Cherniak) Times'!$C219)/(365.35*24*3600)</f>
        <v>471.15200445716926</v>
      </c>
      <c r="AC219" s="2">
        <f t="shared" si="14"/>
        <v>165.82444038242562</v>
      </c>
      <c r="AD219" s="2">
        <f t="shared" si="15"/>
        <v>230.01786288681583</v>
      </c>
    </row>
    <row r="220" spans="1:30" x14ac:dyDescent="0.2">
      <c r="A220" t="str">
        <f>'L-Values'!A220</f>
        <v>CGI011-qtz06-CL-fit-1-offset</v>
      </c>
      <c r="B220">
        <v>750</v>
      </c>
      <c r="C220">
        <f t="shared" si="12"/>
        <v>8.0537892000481889E-22</v>
      </c>
      <c r="D220">
        <v>1650</v>
      </c>
      <c r="E220">
        <v>1024</v>
      </c>
      <c r="F220">
        <f t="shared" si="13"/>
        <v>1.611328125</v>
      </c>
      <c r="I220" s="2">
        <f>('L-Values'!E220*'D(Ti_Cherniak) Times'!$F220*0.000001)^2/(4*'D(Ti_Cherniak) Times'!$C220)/(365.35*24*3600)</f>
        <v>2891.1153320647813</v>
      </c>
      <c r="J220" s="2">
        <f>('L-Values'!F220*'D(Ti_Cherniak) Times'!$F220*0.000001)^2/(4*'D(Ti_Cherniak) Times'!$C220)/(365.35*24*3600)</f>
        <v>3347.7772877722609</v>
      </c>
      <c r="K220" s="2">
        <f>('L-Values'!G220*'D(Ti_Cherniak) Times'!$F220*0.000001)^2/(4*'D(Ti_Cherniak) Times'!$C220)/(365.35*24*3600)</f>
        <v>2549.0450650422645</v>
      </c>
      <c r="L220" s="2">
        <f>('L-Values'!H220*'D(Ti_Cherniak) Times'!$F220*0.000001)^2/(4*'D(Ti_Cherniak) Times'!$C220)/(365.35*24*3600)</f>
        <v>3805.7927139856952</v>
      </c>
      <c r="M220" s="2">
        <f>('L-Values'!I220*'D(Ti_Cherniak) Times'!$F220*0.000001)^2/(4*'D(Ti_Cherniak) Times'!$C220)/(365.35*24*3600)</f>
        <v>3932.9086971338152</v>
      </c>
      <c r="N220" s="2">
        <f>('L-Values'!J220*'D(Ti_Cherniak) Times'!$F220*0.000001)^2/(4*'D(Ti_Cherniak) Times'!$C220)/(365.35*24*3600)</f>
        <v>4147.860982253218</v>
      </c>
      <c r="O220" s="2">
        <f>('L-Values'!K220*'D(Ti_Cherniak) Times'!$F220*0.000001)^2/(4*'D(Ti_Cherniak) Times'!$C220)/(365.35*24*3600)</f>
        <v>3387.5758369292871</v>
      </c>
      <c r="P220" s="2">
        <f>('L-Values'!L220*'D(Ti_Cherniak) Times'!$F220*0.000001)^2/(4*'D(Ti_Cherniak) Times'!$C220)/(365.35*24*3600)</f>
        <v>2815.3451162103675</v>
      </c>
      <c r="Q220" s="2">
        <f>('L-Values'!M220*'D(Ti_Cherniak) Times'!$F220*0.000001)^2/(4*'D(Ti_Cherniak) Times'!$C220)/(365.35*24*3600)</f>
        <v>4041.3608294478149</v>
      </c>
      <c r="R220" s="2">
        <f>('L-Values'!N220*'D(Ti_Cherniak) Times'!$F220*0.000001)^2/(4*'D(Ti_Cherniak) Times'!$C220)/(365.35*24*3600)</f>
        <v>3503.9088039909579</v>
      </c>
      <c r="S220" s="2">
        <f>('L-Values'!O220*'D(Ti_Cherniak) Times'!$F220*0.000001)^2/(4*'D(Ti_Cherniak) Times'!$C220)/(365.35*24*3600)</f>
        <v>2887.9158315301215</v>
      </c>
      <c r="T220" s="2"/>
      <c r="U220" s="2">
        <f>('L-Values'!Q220*'D(Ti_Cherniak) Times'!$F220*0.000001)^2/(4*'D(Ti_Cherniak) Times'!$C220)/(365.35*24*3600)</f>
        <v>3391.6350864040255</v>
      </c>
      <c r="V220" s="2">
        <f>('L-Values'!R220*'D(Ti_Cherniak) Times'!$F220*0.000001)^2/(4*'D(Ti_Cherniak) Times'!$C220)/(365.35*24*3600)</f>
        <v>3371.3078576102744</v>
      </c>
      <c r="W220" s="2">
        <f>('L-Values'!S220*'D(Ti_Cherniak) Times'!$F220*0.000001)^2/(4*'D(Ti_Cherniak) Times'!$C220)/(365.35*24*3600)</f>
        <v>3387.5758369292871</v>
      </c>
      <c r="X220" s="2"/>
      <c r="Y220" s="2">
        <f>('L-Values'!U220*'D(Ti_Cherniak) Times'!$F220*0.000001)^2/(4*'D(Ti_Cherniak) Times'!$C220)/(365.35*24*3600)</f>
        <v>3373.8629898350091</v>
      </c>
      <c r="Z220" s="2">
        <f>('L-Values'!V220*'D(Ti_Cherniak) Times'!$F220*0.000001)^2/(4*'D(Ti_Cherniak) Times'!$C220)/(365.35*24*3600)</f>
        <v>3420.3912142350364</v>
      </c>
      <c r="AA220" s="2">
        <f>('L-Values'!W220*'D(Ti_Cherniak) Times'!$F220*0.000001)^2/(4*'D(Ti_Cherniak) Times'!$C220)/(365.35*24*3600)</f>
        <v>2210.0288972553203</v>
      </c>
      <c r="AB220" s="2">
        <f>('L-Values'!X220*'D(Ti_Cherniak) Times'!$F220*0.000001)^2/(4*'D(Ti_Cherniak) Times'!$C220)/(365.35*24*3600)</f>
        <v>5190.2063147775316</v>
      </c>
      <c r="AC220" s="2">
        <f t="shared" si="14"/>
        <v>1210.3623169797161</v>
      </c>
      <c r="AD220" s="2">
        <f t="shared" si="15"/>
        <v>1769.8151005424952</v>
      </c>
    </row>
    <row r="221" spans="1:30" x14ac:dyDescent="0.2">
      <c r="A221" t="str">
        <f>'L-Values'!A221</f>
        <v>CGI011-qtz06-CL-fit-2-offset</v>
      </c>
      <c r="B221">
        <v>750</v>
      </c>
      <c r="C221">
        <f t="shared" si="12"/>
        <v>8.0537892000481889E-22</v>
      </c>
      <c r="D221">
        <v>1650</v>
      </c>
      <c r="E221">
        <v>1024</v>
      </c>
      <c r="F221">
        <f t="shared" si="13"/>
        <v>1.611328125</v>
      </c>
      <c r="I221" s="2">
        <f>('L-Values'!E221*'D(Ti_Cherniak) Times'!$F221*0.000001)^2/(4*'D(Ti_Cherniak) Times'!$C221)/(365.35*24*3600)</f>
        <v>981.85434355032078</v>
      </c>
      <c r="J221" s="2">
        <f>('L-Values'!F221*'D(Ti_Cherniak) Times'!$F221*0.000001)^2/(4*'D(Ti_Cherniak) Times'!$C221)/(365.35*24*3600)</f>
        <v>984.50875538591686</v>
      </c>
      <c r="K221" s="2">
        <f>('L-Values'!G221*'D(Ti_Cherniak) Times'!$F221*0.000001)^2/(4*'D(Ti_Cherniak) Times'!$C221)/(365.35*24*3600)</f>
        <v>861.48758261294938</v>
      </c>
      <c r="L221" s="2">
        <f>('L-Values'!H221*'D(Ti_Cherniak) Times'!$F221*0.000001)^2/(4*'D(Ti_Cherniak) Times'!$C221)/(365.35*24*3600)</f>
        <v>1150.0783430262311</v>
      </c>
      <c r="M221" s="2">
        <f>('L-Values'!I221*'D(Ti_Cherniak) Times'!$F221*0.000001)^2/(4*'D(Ti_Cherniak) Times'!$C221)/(365.35*24*3600)</f>
        <v>1029.6420026669634</v>
      </c>
      <c r="N221" s="2">
        <f>('L-Values'!J221*'D(Ti_Cherniak) Times'!$F221*0.000001)^2/(4*'D(Ti_Cherniak) Times'!$C221)/(365.35*24*3600)</f>
        <v>1256.563416383877</v>
      </c>
      <c r="O221" s="2">
        <f>('L-Values'!K221*'D(Ti_Cherniak) Times'!$F221*0.000001)^2/(4*'D(Ti_Cherniak) Times'!$C221)/(365.35*24*3600)</f>
        <v>1127.4372524617206</v>
      </c>
      <c r="P221" s="2">
        <f>('L-Values'!L221*'D(Ti_Cherniak) Times'!$F221*0.000001)^2/(4*'D(Ti_Cherniak) Times'!$C221)/(365.35*24*3600)</f>
        <v>1329.8222950769132</v>
      </c>
      <c r="Q221" s="2">
        <f>('L-Values'!M221*'D(Ti_Cherniak) Times'!$F221*0.000001)^2/(4*'D(Ti_Cherniak) Times'!$C221)/(365.35*24*3600)</f>
        <v>944.78751848445404</v>
      </c>
      <c r="R221" s="2">
        <f>('L-Values'!N221*'D(Ti_Cherniak) Times'!$F221*0.000001)^2/(4*'D(Ti_Cherniak) Times'!$C221)/(365.35*24*3600)</f>
        <v>1090.0427367574414</v>
      </c>
      <c r="S221" s="2">
        <f>('L-Values'!O221*'D(Ti_Cherniak) Times'!$F221*0.000001)^2/(4*'D(Ti_Cherniak) Times'!$C221)/(365.35*24*3600)</f>
        <v>1020.1290183758709</v>
      </c>
      <c r="T221" s="2"/>
      <c r="U221" s="2">
        <f>('L-Values'!Q221*'D(Ti_Cherniak) Times'!$F221*0.000001)^2/(4*'D(Ti_Cherniak) Times'!$C221)/(365.35*24*3600)</f>
        <v>1080.2529146080174</v>
      </c>
      <c r="V221" s="2">
        <f>('L-Values'!R221*'D(Ti_Cherniak) Times'!$F221*0.000001)^2/(4*'D(Ti_Cherniak) Times'!$C221)/(365.35*24*3600)</f>
        <v>1066.6051493227314</v>
      </c>
      <c r="W221" s="2">
        <f>('L-Values'!S221*'D(Ti_Cherniak) Times'!$F221*0.000001)^2/(4*'D(Ti_Cherniak) Times'!$C221)/(365.35*24*3600)</f>
        <v>1029.6420026669634</v>
      </c>
      <c r="X221" s="2"/>
      <c r="Y221" s="2">
        <f>('L-Values'!U221*'D(Ti_Cherniak) Times'!$F221*0.000001)^2/(4*'D(Ti_Cherniak) Times'!$C221)/(365.35*24*3600)</f>
        <v>1059.1375313809631</v>
      </c>
      <c r="Z221" s="2">
        <f>('L-Values'!V221*'D(Ti_Cherniak) Times'!$F221*0.000001)^2/(4*'D(Ti_Cherniak) Times'!$C221)/(365.35*24*3600)</f>
        <v>1078.8322349321186</v>
      </c>
      <c r="AA221" s="2">
        <f>('L-Values'!W221*'D(Ti_Cherniak) Times'!$F221*0.000001)^2/(4*'D(Ti_Cherniak) Times'!$C221)/(365.35*24*3600)</f>
        <v>685.62008331676327</v>
      </c>
      <c r="AB221" s="2">
        <f>('L-Values'!X221*'D(Ti_Cherniak) Times'!$F221*0.000001)^2/(4*'D(Ti_Cherniak) Times'!$C221)/(365.35*24*3600)</f>
        <v>1651.4444889429992</v>
      </c>
      <c r="AC221" s="2">
        <f t="shared" si="14"/>
        <v>393.21215161535531</v>
      </c>
      <c r="AD221" s="2">
        <f t="shared" si="15"/>
        <v>572.61225401088063</v>
      </c>
    </row>
    <row r="222" spans="1:30" x14ac:dyDescent="0.2">
      <c r="A222" t="str">
        <f>'L-Values'!A222</f>
        <v>CGI011-qtz06-CL-fit-3-offset</v>
      </c>
      <c r="B222">
        <v>750</v>
      </c>
      <c r="C222">
        <f t="shared" si="12"/>
        <v>8.0537892000481889E-22</v>
      </c>
      <c r="D222">
        <v>1650</v>
      </c>
      <c r="E222">
        <v>1024</v>
      </c>
      <c r="F222">
        <f t="shared" si="13"/>
        <v>1.611328125</v>
      </c>
      <c r="I222" s="2">
        <f>('L-Values'!E222*'D(Ti_Cherniak) Times'!$F222*0.000001)^2/(4*'D(Ti_Cherniak) Times'!$C222)/(365.35*24*3600)</f>
        <v>324.33429405607342</v>
      </c>
      <c r="J222" s="2">
        <f>('L-Values'!F222*'D(Ti_Cherniak) Times'!$F222*0.000001)^2/(4*'D(Ti_Cherniak) Times'!$C222)/(365.35*24*3600)</f>
        <v>253.39806453438774</v>
      </c>
      <c r="K222" s="2">
        <f>('L-Values'!G222*'D(Ti_Cherniak) Times'!$F222*0.000001)^2/(4*'D(Ti_Cherniak) Times'!$C222)/(365.35*24*3600)</f>
        <v>176.07268870828906</v>
      </c>
      <c r="L222" s="2">
        <f>('L-Values'!H222*'D(Ti_Cherniak) Times'!$F222*0.000001)^2/(4*'D(Ti_Cherniak) Times'!$C222)/(365.35*24*3600)</f>
        <v>289.84501272038722</v>
      </c>
      <c r="M222" s="2">
        <f>('L-Values'!I222*'D(Ti_Cherniak) Times'!$F222*0.000001)^2/(4*'D(Ti_Cherniak) Times'!$C222)/(365.35*24*3600)</f>
        <v>486.688612028168</v>
      </c>
      <c r="N222" s="2">
        <f>('L-Values'!J222*'D(Ti_Cherniak) Times'!$F222*0.000001)^2/(4*'D(Ti_Cherniak) Times'!$C222)/(365.35*24*3600)</f>
        <v>275.61810824153605</v>
      </c>
      <c r="O222" s="2">
        <f>('L-Values'!K222*'D(Ti_Cherniak) Times'!$F222*0.000001)^2/(4*'D(Ti_Cherniak) Times'!$C222)/(365.35*24*3600)</f>
        <v>491.43594787396432</v>
      </c>
      <c r="P222" s="2">
        <f>('L-Values'!L222*'D(Ti_Cherniak) Times'!$F222*0.000001)^2/(4*'D(Ti_Cherniak) Times'!$C222)/(365.35*24*3600)</f>
        <v>325.17003058318181</v>
      </c>
      <c r="Q222" s="2">
        <f>('L-Values'!M222*'D(Ti_Cherniak) Times'!$F222*0.000001)^2/(4*'D(Ti_Cherniak) Times'!$C222)/(365.35*24*3600)</f>
        <v>343.98932103634905</v>
      </c>
      <c r="R222" s="2">
        <f>('L-Values'!N222*'D(Ti_Cherniak) Times'!$F222*0.000001)^2/(4*'D(Ti_Cherniak) Times'!$C222)/(365.35*24*3600)</f>
        <v>294.05027837492429</v>
      </c>
      <c r="S222" s="2">
        <f>('L-Values'!O222*'D(Ti_Cherniak) Times'!$F222*0.000001)^2/(4*'D(Ti_Cherniak) Times'!$C222)/(365.35*24*3600)</f>
        <v>477.3152186918889</v>
      </c>
      <c r="T222" s="2"/>
      <c r="U222" s="2">
        <f>('L-Values'!Q222*'D(Ti_Cherniak) Times'!$F222*0.000001)^2/(4*'D(Ti_Cherniak) Times'!$C222)/(365.35*24*3600)</f>
        <v>329.55857390106434</v>
      </c>
      <c r="V222" s="2">
        <f>('L-Values'!R222*'D(Ti_Cherniak) Times'!$F222*0.000001)^2/(4*'D(Ti_Cherniak) Times'!$C222)/(365.35*24*3600)</f>
        <v>332.65722077756567</v>
      </c>
      <c r="W222" s="2">
        <f>('L-Values'!S222*'D(Ti_Cherniak) Times'!$F222*0.000001)^2/(4*'D(Ti_Cherniak) Times'!$C222)/(365.35*24*3600)</f>
        <v>324.33429405607342</v>
      </c>
      <c r="X222" s="2"/>
      <c r="Y222" s="2">
        <f>('L-Values'!U222*'D(Ti_Cherniak) Times'!$F222*0.000001)^2/(4*'D(Ti_Cherniak) Times'!$C222)/(365.35*24*3600)</f>
        <v>320.57035100669918</v>
      </c>
      <c r="Z222" s="2">
        <f>('L-Values'!V222*'D(Ti_Cherniak) Times'!$F222*0.000001)^2/(4*'D(Ti_Cherniak) Times'!$C222)/(365.35*24*3600)</f>
        <v>321.33938094051837</v>
      </c>
      <c r="AA222" s="2">
        <f>('L-Values'!W222*'D(Ti_Cherniak) Times'!$F222*0.000001)^2/(4*'D(Ti_Cherniak) Times'!$C222)/(365.35*24*3600)</f>
        <v>155.86851310913485</v>
      </c>
      <c r="AB222" s="2">
        <f>('L-Values'!X222*'D(Ti_Cherniak) Times'!$F222*0.000001)^2/(4*'D(Ti_Cherniak) Times'!$C222)/(365.35*24*3600)</f>
        <v>530.23145777884031</v>
      </c>
      <c r="AC222" s="2">
        <f t="shared" si="14"/>
        <v>165.47086783138352</v>
      </c>
      <c r="AD222" s="2">
        <f t="shared" si="15"/>
        <v>208.89207683832194</v>
      </c>
    </row>
    <row r="223" spans="1:30" x14ac:dyDescent="0.2">
      <c r="A223" t="str">
        <f>'L-Values'!A223</f>
        <v>CGI011-qtz06-CL-fit-4-offset</v>
      </c>
      <c r="B223">
        <v>750</v>
      </c>
      <c r="C223">
        <f t="shared" si="12"/>
        <v>8.0537892000481889E-22</v>
      </c>
      <c r="D223">
        <v>1650</v>
      </c>
      <c r="E223">
        <v>1024</v>
      </c>
      <c r="F223">
        <f t="shared" si="13"/>
        <v>1.611328125</v>
      </c>
      <c r="I223" s="2">
        <f>('L-Values'!E223*'D(Ti_Cherniak) Times'!$F223*0.000001)^2/(4*'D(Ti_Cherniak) Times'!$C223)/(365.35*24*3600)</f>
        <v>188.93036690810064</v>
      </c>
      <c r="J223" s="2">
        <f>('L-Values'!F223*'D(Ti_Cherniak) Times'!$F223*0.000001)^2/(4*'D(Ti_Cherniak) Times'!$C223)/(365.35*24*3600)</f>
        <v>128.42792517807769</v>
      </c>
      <c r="K223" s="2">
        <f>('L-Values'!G223*'D(Ti_Cherniak) Times'!$F223*0.000001)^2/(4*'D(Ti_Cherniak) Times'!$C223)/(365.35*24*3600)</f>
        <v>225.28619123870351</v>
      </c>
      <c r="L223" s="2">
        <f>('L-Values'!H223*'D(Ti_Cherniak) Times'!$F223*0.000001)^2/(4*'D(Ti_Cherniak) Times'!$C223)/(365.35*24*3600)</f>
        <v>259.20299065438962</v>
      </c>
      <c r="M223" s="2">
        <f>('L-Values'!I223*'D(Ti_Cherniak) Times'!$F223*0.000001)^2/(4*'D(Ti_Cherniak) Times'!$C223)/(365.35*24*3600)</f>
        <v>379.49676528681903</v>
      </c>
      <c r="N223" s="2">
        <f>('L-Values'!J223*'D(Ti_Cherniak) Times'!$F223*0.000001)^2/(4*'D(Ti_Cherniak) Times'!$C223)/(365.35*24*3600)</f>
        <v>87.759590895418</v>
      </c>
      <c r="O223" s="2">
        <f>('L-Values'!K223*'D(Ti_Cherniak) Times'!$F223*0.000001)^2/(4*'D(Ti_Cherniak) Times'!$C223)/(365.35*24*3600)</f>
        <v>283.65400915542926</v>
      </c>
      <c r="P223" s="2">
        <f>('L-Values'!L223*'D(Ti_Cherniak) Times'!$F223*0.000001)^2/(4*'D(Ti_Cherniak) Times'!$C223)/(365.35*24*3600)</f>
        <v>165.76064308816433</v>
      </c>
      <c r="Q223" s="2">
        <f>('L-Values'!M223*'D(Ti_Cherniak) Times'!$F223*0.000001)^2/(4*'D(Ti_Cherniak) Times'!$C223)/(365.35*24*3600)</f>
        <v>281.34031174930254</v>
      </c>
      <c r="R223" s="2">
        <f>('L-Values'!N223*'D(Ti_Cherniak) Times'!$F223*0.000001)^2/(4*'D(Ti_Cherniak) Times'!$C223)/(365.35*24*3600)</f>
        <v>162.51303036670009</v>
      </c>
      <c r="S223" s="2">
        <f>('L-Values'!O223*'D(Ti_Cherniak) Times'!$F223*0.000001)^2/(4*'D(Ti_Cherniak) Times'!$C223)/(365.35*24*3600)</f>
        <v>382.86031022853768</v>
      </c>
      <c r="T223" s="2"/>
      <c r="U223" s="2">
        <f>('L-Values'!Q223*'D(Ti_Cherniak) Times'!$F223*0.000001)^2/(4*'D(Ti_Cherniak) Times'!$C223)/(365.35*24*3600)</f>
        <v>234.61198392454742</v>
      </c>
      <c r="V223" s="2">
        <f>('L-Values'!R223*'D(Ti_Cherniak) Times'!$F223*0.000001)^2/(4*'D(Ti_Cherniak) Times'!$C223)/(365.35*24*3600)</f>
        <v>221.84943312168383</v>
      </c>
      <c r="W223" s="2">
        <f>('L-Values'!S223*'D(Ti_Cherniak) Times'!$F223*0.000001)^2/(4*'D(Ti_Cherniak) Times'!$C223)/(365.35*24*3600)</f>
        <v>225.28619123870351</v>
      </c>
      <c r="X223" s="2"/>
      <c r="Y223" s="2">
        <f>('L-Values'!U223*'D(Ti_Cherniak) Times'!$F223*0.000001)^2/(4*'D(Ti_Cherniak) Times'!$C223)/(365.35*24*3600)</f>
        <v>220.35358906031999</v>
      </c>
      <c r="Z223" s="2">
        <f>('L-Values'!V223*'D(Ti_Cherniak) Times'!$F223*0.000001)^2/(4*'D(Ti_Cherniak) Times'!$C223)/(365.35*24*3600)</f>
        <v>221.36848733246944</v>
      </c>
      <c r="AA223" s="2">
        <f>('L-Values'!W223*'D(Ti_Cherniak) Times'!$F223*0.000001)^2/(4*'D(Ti_Cherniak) Times'!$C223)/(365.35*24*3600)</f>
        <v>77.395244496387861</v>
      </c>
      <c r="AB223" s="2">
        <f>('L-Values'!X223*'D(Ti_Cherniak) Times'!$F223*0.000001)^2/(4*'D(Ti_Cherniak) Times'!$C223)/(365.35*24*3600)</f>
        <v>471.03730116046682</v>
      </c>
      <c r="AC223" s="2">
        <f t="shared" si="14"/>
        <v>143.97324283608157</v>
      </c>
      <c r="AD223" s="2">
        <f t="shared" si="15"/>
        <v>249.66881382799738</v>
      </c>
    </row>
    <row r="224" spans="1:30" x14ac:dyDescent="0.2">
      <c r="A224" t="str">
        <f>'L-Values'!A224</f>
        <v>CGI011-qtz07-CL-fit-1-offset</v>
      </c>
      <c r="B224">
        <v>750</v>
      </c>
      <c r="C224">
        <f t="shared" si="12"/>
        <v>8.0537892000481889E-22</v>
      </c>
      <c r="D224">
        <v>1250</v>
      </c>
      <c r="E224">
        <v>1024</v>
      </c>
      <c r="F224">
        <f t="shared" si="13"/>
        <v>1.220703125</v>
      </c>
      <c r="I224" s="2">
        <f>('L-Values'!E224*'D(Ti_Cherniak) Times'!$F224*0.000001)^2/(4*'D(Ti_Cherniak) Times'!$C224)/(365.35*24*3600)</f>
        <v>456.831904818113</v>
      </c>
      <c r="J224" s="2">
        <f>('L-Values'!F224*'D(Ti_Cherniak) Times'!$F224*0.000001)^2/(4*'D(Ti_Cherniak) Times'!$C224)/(365.35*24*3600)</f>
        <v>418.73057788708024</v>
      </c>
      <c r="K224" s="2">
        <f>('L-Values'!G224*'D(Ti_Cherniak) Times'!$F224*0.000001)^2/(4*'D(Ti_Cherniak) Times'!$C224)/(365.35*24*3600)</f>
        <v>567.48297142730769</v>
      </c>
      <c r="L224" s="2">
        <f>('L-Values'!H224*'D(Ti_Cherniak) Times'!$F224*0.000001)^2/(4*'D(Ti_Cherniak) Times'!$C224)/(365.35*24*3600)</f>
        <v>396.05932363069348</v>
      </c>
      <c r="M224" s="2">
        <f>('L-Values'!I224*'D(Ti_Cherniak) Times'!$F224*0.000001)^2/(4*'D(Ti_Cherniak) Times'!$C224)/(365.35*24*3600)</f>
        <v>555.23071823682938</v>
      </c>
      <c r="N224" s="2">
        <f>('L-Values'!J224*'D(Ti_Cherniak) Times'!$F224*0.000001)^2/(4*'D(Ti_Cherniak) Times'!$C224)/(365.35*24*3600)</f>
        <v>257.65466550660443</v>
      </c>
      <c r="O224" s="2">
        <f>('L-Values'!K224*'D(Ti_Cherniak) Times'!$F224*0.000001)^2/(4*'D(Ti_Cherniak) Times'!$C224)/(365.35*24*3600)</f>
        <v>367.84492101574057</v>
      </c>
      <c r="P224" s="2">
        <f>('L-Values'!L224*'D(Ti_Cherniak) Times'!$F224*0.000001)^2/(4*'D(Ti_Cherniak) Times'!$C224)/(365.35*24*3600)</f>
        <v>460.0383803342466</v>
      </c>
      <c r="Q224" s="2">
        <f>('L-Values'!M224*'D(Ti_Cherniak) Times'!$F224*0.000001)^2/(4*'D(Ti_Cherniak) Times'!$C224)/(365.35*24*3600)</f>
        <v>328.29892350120315</v>
      </c>
      <c r="R224" s="2">
        <f>('L-Values'!N224*'D(Ti_Cherniak) Times'!$F224*0.000001)^2/(4*'D(Ti_Cherniak) Times'!$C224)/(365.35*24*3600)</f>
        <v>359.40291586511961</v>
      </c>
      <c r="S224" s="2">
        <f>('L-Values'!O224*'D(Ti_Cherniak) Times'!$F224*0.000001)^2/(4*'D(Ti_Cherniak) Times'!$C224)/(365.35*24*3600)</f>
        <v>303.88242590769676</v>
      </c>
      <c r="T224" s="2"/>
      <c r="U224" s="2">
        <f>('L-Values'!Q224*'D(Ti_Cherniak) Times'!$F224*0.000001)^2/(4*'D(Ti_Cherniak) Times'!$C224)/(365.35*24*3600)</f>
        <v>391.71369256364358</v>
      </c>
      <c r="V224" s="2">
        <f>('L-Values'!R224*'D(Ti_Cherniak) Times'!$F224*0.000001)^2/(4*'D(Ti_Cherniak) Times'!$C224)/(365.35*24*3600)</f>
        <v>401.13386404119518</v>
      </c>
      <c r="W224" s="2">
        <f>('L-Values'!S224*'D(Ti_Cherniak) Times'!$F224*0.000001)^2/(4*'D(Ti_Cherniak) Times'!$C224)/(365.35*24*3600)</f>
        <v>396.05932363069348</v>
      </c>
      <c r="X224" s="2"/>
      <c r="Y224" s="2">
        <f>('L-Values'!U224*'D(Ti_Cherniak) Times'!$F224*0.000001)^2/(4*'D(Ti_Cherniak) Times'!$C224)/(365.35*24*3600)</f>
        <v>382.40034151868372</v>
      </c>
      <c r="Z224" s="2">
        <f>('L-Values'!V224*'D(Ti_Cherniak) Times'!$F224*0.000001)^2/(4*'D(Ti_Cherniak) Times'!$C224)/(365.35*24*3600)</f>
        <v>390.09822846106289</v>
      </c>
      <c r="AA224" s="2">
        <f>('L-Values'!W224*'D(Ti_Cherniak) Times'!$F224*0.000001)^2/(4*'D(Ti_Cherniak) Times'!$C224)/(365.35*24*3600)</f>
        <v>231.66736504797618</v>
      </c>
      <c r="AB224" s="2">
        <f>('L-Values'!X224*'D(Ti_Cherniak) Times'!$F224*0.000001)^2/(4*'D(Ti_Cherniak) Times'!$C224)/(365.35*24*3600)</f>
        <v>668.72633601853511</v>
      </c>
      <c r="AC224" s="2">
        <f t="shared" si="14"/>
        <v>158.43086341308671</v>
      </c>
      <c r="AD224" s="2">
        <f t="shared" si="15"/>
        <v>278.62810755747222</v>
      </c>
    </row>
    <row r="225" spans="1:30" x14ac:dyDescent="0.2">
      <c r="A225" t="str">
        <f>'L-Values'!A225</f>
        <v>CGI011-qtz07-CL-fit-2-offset</v>
      </c>
      <c r="B225">
        <v>750</v>
      </c>
      <c r="C225">
        <f t="shared" si="12"/>
        <v>8.0537892000481889E-22</v>
      </c>
      <c r="D225">
        <v>1250</v>
      </c>
      <c r="E225">
        <v>1024</v>
      </c>
      <c r="F225">
        <f t="shared" si="13"/>
        <v>1.220703125</v>
      </c>
      <c r="I225" s="2">
        <f>('L-Values'!E225*'D(Ti_Cherniak) Times'!$F225*0.000001)^2/(4*'D(Ti_Cherniak) Times'!$C225)/(365.35*24*3600)</f>
        <v>162.49246280228908</v>
      </c>
      <c r="J225" s="2">
        <f>('L-Values'!F225*'D(Ti_Cherniak) Times'!$F225*0.000001)^2/(4*'D(Ti_Cherniak) Times'!$C225)/(365.35*24*3600)</f>
        <v>278.38848854617504</v>
      </c>
      <c r="K225" s="2">
        <f>('L-Values'!G225*'D(Ti_Cherniak) Times'!$F225*0.000001)^2/(4*'D(Ti_Cherniak) Times'!$C225)/(365.35*24*3600)</f>
        <v>183.3815157798679</v>
      </c>
      <c r="L225" s="2">
        <f>('L-Values'!H225*'D(Ti_Cherniak) Times'!$F225*0.000001)^2/(4*'D(Ti_Cherniak) Times'!$C225)/(365.35*24*3600)</f>
        <v>171.36953164709126</v>
      </c>
      <c r="M225" s="2">
        <f>('L-Values'!I225*'D(Ti_Cherniak) Times'!$F225*0.000001)^2/(4*'D(Ti_Cherniak) Times'!$C225)/(365.35*24*3600)</f>
        <v>296.23913053465793</v>
      </c>
      <c r="N225" s="2">
        <f>('L-Values'!J225*'D(Ti_Cherniak) Times'!$F225*0.000001)^2/(4*'D(Ti_Cherniak) Times'!$C225)/(365.35*24*3600)</f>
        <v>236.04825859471916</v>
      </c>
      <c r="O225" s="2">
        <f>('L-Values'!K225*'D(Ti_Cherniak) Times'!$F225*0.000001)^2/(4*'D(Ti_Cherniak) Times'!$C225)/(365.35*24*3600)</f>
        <v>204.55742499315383</v>
      </c>
      <c r="P225" s="2">
        <f>('L-Values'!L225*'D(Ti_Cherniak) Times'!$F225*0.000001)^2/(4*'D(Ti_Cherniak) Times'!$C225)/(365.35*24*3600)</f>
        <v>119.63626270021452</v>
      </c>
      <c r="Q225" s="2">
        <f>('L-Values'!M225*'D(Ti_Cherniak) Times'!$F225*0.000001)^2/(4*'D(Ti_Cherniak) Times'!$C225)/(365.35*24*3600)</f>
        <v>103.41469936855975</v>
      </c>
      <c r="R225" s="2">
        <f>('L-Values'!N225*'D(Ti_Cherniak) Times'!$F225*0.000001)^2/(4*'D(Ti_Cherniak) Times'!$C225)/(365.35*24*3600)</f>
        <v>174.24173990879609</v>
      </c>
      <c r="S225" s="2">
        <f>('L-Values'!O225*'D(Ti_Cherniak) Times'!$F225*0.000001)^2/(4*'D(Ti_Cherniak) Times'!$C225)/(365.35*24*3600)</f>
        <v>166.67536755667132</v>
      </c>
      <c r="T225" s="2"/>
      <c r="U225" s="2">
        <f>('L-Values'!Q225*'D(Ti_Cherniak) Times'!$F225*0.000001)^2/(4*'D(Ti_Cherniak) Times'!$C225)/(365.35*24*3600)</f>
        <v>182.93697720437461</v>
      </c>
      <c r="V225" s="2">
        <f>('L-Values'!R225*'D(Ti_Cherniak) Times'!$F225*0.000001)^2/(4*'D(Ti_Cherniak) Times'!$C225)/(365.35*24*3600)</f>
        <v>186.34780657682936</v>
      </c>
      <c r="W225" s="2">
        <f>('L-Values'!S225*'D(Ti_Cherniak) Times'!$F225*0.000001)^2/(4*'D(Ti_Cherniak) Times'!$C225)/(365.35*24*3600)</f>
        <v>174.24173990879609</v>
      </c>
      <c r="X225" s="2"/>
      <c r="Y225" s="2">
        <f>('L-Values'!U225*'D(Ti_Cherniak) Times'!$F225*0.000001)^2/(4*'D(Ti_Cherniak) Times'!$C225)/(365.35*24*3600)</f>
        <v>180.07439069488831</v>
      </c>
      <c r="Z225" s="2">
        <f>('L-Values'!V225*'D(Ti_Cherniak) Times'!$F225*0.000001)^2/(4*'D(Ti_Cherniak) Times'!$C225)/(365.35*24*3600)</f>
        <v>180.3776805942893</v>
      </c>
      <c r="AA225" s="2">
        <f>('L-Values'!W225*'D(Ti_Cherniak) Times'!$F225*0.000001)^2/(4*'D(Ti_Cherniak) Times'!$C225)/(365.35*24*3600)</f>
        <v>91.269274626493285</v>
      </c>
      <c r="AB225" s="2">
        <f>('L-Values'!X225*'D(Ti_Cherniak) Times'!$F225*0.000001)^2/(4*'D(Ti_Cherniak) Times'!$C225)/(365.35*24*3600)</f>
        <v>326.21364865610724</v>
      </c>
      <c r="AC225" s="2">
        <f t="shared" si="14"/>
        <v>89.108405967796017</v>
      </c>
      <c r="AD225" s="2">
        <f t="shared" si="15"/>
        <v>145.83596806181794</v>
      </c>
    </row>
    <row r="226" spans="1:30" x14ac:dyDescent="0.2">
      <c r="A226" t="str">
        <f>'L-Values'!A226</f>
        <v>CGI011-qtz07-CL-fit-3-offset</v>
      </c>
      <c r="B226">
        <v>750</v>
      </c>
      <c r="C226">
        <f t="shared" si="12"/>
        <v>8.0537892000481889E-22</v>
      </c>
      <c r="D226">
        <v>1250</v>
      </c>
      <c r="E226">
        <v>1024</v>
      </c>
      <c r="F226">
        <f t="shared" si="13"/>
        <v>1.220703125</v>
      </c>
      <c r="I226" s="2">
        <f>('L-Values'!E226*'D(Ti_Cherniak) Times'!$F226*0.000001)^2/(4*'D(Ti_Cherniak) Times'!$C226)/(365.35*24*3600)</f>
        <v>259.35173139110941</v>
      </c>
      <c r="J226" s="2">
        <f>('L-Values'!F226*'D(Ti_Cherniak) Times'!$F226*0.000001)^2/(4*'D(Ti_Cherniak) Times'!$C226)/(365.35*24*3600)</f>
        <v>198.07835238569996</v>
      </c>
      <c r="K226" s="2">
        <f>('L-Values'!G226*'D(Ti_Cherniak) Times'!$F226*0.000001)^2/(4*'D(Ti_Cherniak) Times'!$C226)/(365.35*24*3600)</f>
        <v>149.946452956429</v>
      </c>
      <c r="L226" s="2">
        <f>('L-Values'!H226*'D(Ti_Cherniak) Times'!$F226*0.000001)^2/(4*'D(Ti_Cherniak) Times'!$C226)/(365.35*24*3600)</f>
        <v>155.40299313132763</v>
      </c>
      <c r="M226" s="2">
        <f>('L-Values'!I226*'D(Ti_Cherniak) Times'!$F226*0.000001)^2/(4*'D(Ti_Cherniak) Times'!$C226)/(365.35*24*3600)</f>
        <v>70.141700161910251</v>
      </c>
      <c r="N226" s="2">
        <f>('L-Values'!J226*'D(Ti_Cherniak) Times'!$F226*0.000001)^2/(4*'D(Ti_Cherniak) Times'!$C226)/(365.35*24*3600)</f>
        <v>249.27031697705507</v>
      </c>
      <c r="O226" s="2">
        <f>('L-Values'!K226*'D(Ti_Cherniak) Times'!$F226*0.000001)^2/(4*'D(Ti_Cherniak) Times'!$C226)/(365.35*24*3600)</f>
        <v>165.08869690727474</v>
      </c>
      <c r="P226" s="2">
        <f>('L-Values'!L226*'D(Ti_Cherniak) Times'!$F226*0.000001)^2/(4*'D(Ti_Cherniak) Times'!$C226)/(365.35*24*3600)</f>
        <v>109.40405188707564</v>
      </c>
      <c r="Q226" s="2">
        <f>('L-Values'!M226*'D(Ti_Cherniak) Times'!$F226*0.000001)^2/(4*'D(Ti_Cherniak) Times'!$C226)/(365.35*24*3600)</f>
        <v>182.69506168715105</v>
      </c>
      <c r="R226" s="2">
        <f>('L-Values'!N226*'D(Ti_Cherniak) Times'!$F226*0.000001)^2/(4*'D(Ti_Cherniak) Times'!$C226)/(365.35*24*3600)</f>
        <v>151.33992073339414</v>
      </c>
      <c r="S226" s="2">
        <f>('L-Values'!O226*'D(Ti_Cherniak) Times'!$F226*0.000001)^2/(4*'D(Ti_Cherniak) Times'!$C226)/(365.35*24*3600)</f>
        <v>171.8948318286715</v>
      </c>
      <c r="T226" s="2"/>
      <c r="U226" s="2">
        <f>('L-Values'!Q226*'D(Ti_Cherniak) Times'!$F226*0.000001)^2/(4*'D(Ti_Cherniak) Times'!$C226)/(365.35*24*3600)</f>
        <v>161.65287966226057</v>
      </c>
      <c r="V226" s="2">
        <f>('L-Values'!R226*'D(Ti_Cherniak) Times'!$F226*0.000001)^2/(4*'D(Ti_Cherniak) Times'!$C226)/(365.35*24*3600)</f>
        <v>164.98426974953753</v>
      </c>
      <c r="W226" s="2">
        <f>('L-Values'!S226*'D(Ti_Cherniak) Times'!$F226*0.000001)^2/(4*'D(Ti_Cherniak) Times'!$C226)/(365.35*24*3600)</f>
        <v>165.08869690727474</v>
      </c>
      <c r="X226" s="2"/>
      <c r="Y226" s="2">
        <f>('L-Values'!U226*'D(Ti_Cherniak) Times'!$F226*0.000001)^2/(4*'D(Ti_Cherniak) Times'!$C226)/(365.35*24*3600)</f>
        <v>158.4393070557835</v>
      </c>
      <c r="Z226" s="2">
        <f>('L-Values'!V226*'D(Ti_Cherniak) Times'!$F226*0.000001)^2/(4*'D(Ti_Cherniak) Times'!$C226)/(365.35*24*3600)</f>
        <v>158.00996056614912</v>
      </c>
      <c r="AA226" s="2">
        <f>('L-Values'!W226*'D(Ti_Cherniak) Times'!$F226*0.000001)^2/(4*'D(Ti_Cherniak) Times'!$C226)/(365.35*24*3600)</f>
        <v>72.06669109393296</v>
      </c>
      <c r="AB226" s="2">
        <f>('L-Values'!X226*'D(Ti_Cherniak) Times'!$F226*0.000001)^2/(4*'D(Ti_Cherniak) Times'!$C226)/(365.35*24*3600)</f>
        <v>257.90123063350541</v>
      </c>
      <c r="AC226" s="2">
        <f t="shared" si="14"/>
        <v>85.943269472216159</v>
      </c>
      <c r="AD226" s="2">
        <f t="shared" si="15"/>
        <v>99.891270067356288</v>
      </c>
    </row>
    <row r="227" spans="1:30" x14ac:dyDescent="0.2">
      <c r="A227" t="str">
        <f>'L-Values'!A227</f>
        <v>CGI011-qtz08-CL-fit-1-offset</v>
      </c>
      <c r="B227">
        <v>750</v>
      </c>
      <c r="C227">
        <f t="shared" si="12"/>
        <v>8.0537892000481889E-22</v>
      </c>
      <c r="D227">
        <v>1300</v>
      </c>
      <c r="E227">
        <v>1024</v>
      </c>
      <c r="F227">
        <f t="shared" si="13"/>
        <v>1.26953125</v>
      </c>
      <c r="I227" s="2">
        <f>('L-Values'!E227*'D(Ti_Cherniak) Times'!$F227*0.000001)^2/(4*'D(Ti_Cherniak) Times'!$C227)/(365.35*24*3600)</f>
        <v>0</v>
      </c>
      <c r="J227" s="2">
        <f>('L-Values'!F227*'D(Ti_Cherniak) Times'!$F227*0.000001)^2/(4*'D(Ti_Cherniak) Times'!$C227)/(365.35*24*3600)</f>
        <v>397.63397588134359</v>
      </c>
      <c r="K227" s="2">
        <f>('L-Values'!G227*'D(Ti_Cherniak) Times'!$F227*0.000001)^2/(4*'D(Ti_Cherniak) Times'!$C227)/(365.35*24*3600)</f>
        <v>749.36574636705245</v>
      </c>
      <c r="L227" s="2">
        <f>('L-Values'!H227*'D(Ti_Cherniak) Times'!$F227*0.000001)^2/(4*'D(Ti_Cherniak) Times'!$C227)/(365.35*24*3600)</f>
        <v>701.57656644851602</v>
      </c>
      <c r="M227" s="2">
        <f>('L-Values'!I227*'D(Ti_Cherniak) Times'!$F227*0.000001)^2/(4*'D(Ti_Cherniak) Times'!$C227)/(365.35*24*3600)</f>
        <v>713.35518508678194</v>
      </c>
      <c r="N227" s="2">
        <f>('L-Values'!J227*'D(Ti_Cherniak) Times'!$F227*0.000001)^2/(4*'D(Ti_Cherniak) Times'!$C227)/(365.35*24*3600)</f>
        <v>247.60149617757969</v>
      </c>
      <c r="O227" s="2">
        <f>('L-Values'!K227*'D(Ti_Cherniak) Times'!$F227*0.000001)^2/(4*'D(Ti_Cherniak) Times'!$C227)/(365.35*24*3600)</f>
        <v>559.73170623933356</v>
      </c>
      <c r="P227" s="2">
        <f>('L-Values'!L227*'D(Ti_Cherniak) Times'!$F227*0.000001)^2/(4*'D(Ti_Cherniak) Times'!$C227)/(365.35*24*3600)</f>
        <v>180.27913398950426</v>
      </c>
      <c r="Q227" s="2">
        <f>('L-Values'!M227*'D(Ti_Cherniak) Times'!$F227*0.000001)^2/(4*'D(Ti_Cherniak) Times'!$C227)/(365.35*24*3600)</f>
        <v>287.96549864595841</v>
      </c>
      <c r="R227" s="2">
        <f>('L-Values'!N227*'D(Ti_Cherniak) Times'!$F227*0.000001)^2/(4*'D(Ti_Cherniak) Times'!$C227)/(365.35*24*3600)</f>
        <v>290.4686249826662</v>
      </c>
      <c r="S227" s="2">
        <f>('L-Values'!O227*'D(Ti_Cherniak) Times'!$F227*0.000001)^2/(4*'D(Ti_Cherniak) Times'!$C227)/(365.35*24*3600)</f>
        <v>0</v>
      </c>
      <c r="T227" s="2"/>
      <c r="U227" s="2">
        <f>('L-Values'!Q227*'D(Ti_Cherniak) Times'!$F227*0.000001)^2/(4*'D(Ti_Cherniak) Times'!$C227)/(365.35*24*3600)</f>
        <v>399.08702086260234</v>
      </c>
      <c r="V227" s="2">
        <f>('L-Values'!R227*'D(Ti_Cherniak) Times'!$F227*0.000001)^2/(4*'D(Ti_Cherniak) Times'!$C227)/(365.35*24*3600)</f>
        <v>433.30959625490146</v>
      </c>
      <c r="W227" s="2">
        <f>('L-Values'!S227*'D(Ti_Cherniak) Times'!$F227*0.000001)^2/(4*'D(Ti_Cherniak) Times'!$C227)/(365.35*24*3600)</f>
        <v>397.63397588134359</v>
      </c>
      <c r="X227" s="2"/>
      <c r="Y227" s="2">
        <f>('L-Values'!U227*'D(Ti_Cherniak) Times'!$F227*0.000001)^2/(4*'D(Ti_Cherniak) Times'!$C227)/(365.35*24*3600)</f>
        <v>390.82382335254181</v>
      </c>
      <c r="Z227" s="2">
        <f>('L-Values'!V227*'D(Ti_Cherniak) Times'!$F227*0.000001)^2/(4*'D(Ti_Cherniak) Times'!$C227)/(365.35*24*3600)</f>
        <v>574.9185742959005</v>
      </c>
      <c r="AA227" s="2">
        <f>('L-Values'!W227*'D(Ti_Cherniak) Times'!$F227*0.000001)^2/(4*'D(Ti_Cherniak) Times'!$C227)/(365.35*24*3600)</f>
        <v>75.111627125968127</v>
      </c>
      <c r="AB227" s="2">
        <f>('L-Values'!X227*'D(Ti_Cherniak) Times'!$F227*0.000001)^2/(4*'D(Ti_Cherniak) Times'!$C227)/(365.35*24*3600)</f>
        <v>3739.6059677144003</v>
      </c>
      <c r="AC227" s="2">
        <f t="shared" si="14"/>
        <v>499.80694716993236</v>
      </c>
      <c r="AD227" s="2">
        <f t="shared" si="15"/>
        <v>3164.6873934184996</v>
      </c>
    </row>
    <row r="228" spans="1:30" x14ac:dyDescent="0.2">
      <c r="A228" t="str">
        <f>'L-Values'!A228</f>
        <v>CGI011-qtz08-CL-fit-2-offset</v>
      </c>
      <c r="B228">
        <v>750</v>
      </c>
      <c r="C228">
        <f t="shared" si="12"/>
        <v>8.0537892000481889E-22</v>
      </c>
      <c r="D228">
        <v>1300</v>
      </c>
      <c r="E228">
        <v>1024</v>
      </c>
      <c r="F228">
        <f t="shared" si="13"/>
        <v>1.26953125</v>
      </c>
      <c r="I228" s="2">
        <f>('L-Values'!E228*'D(Ti_Cherniak) Times'!$F228*0.000001)^2/(4*'D(Ti_Cherniak) Times'!$C228)/(365.35*24*3600)</f>
        <v>3163.6494911287482</v>
      </c>
      <c r="J228" s="2">
        <f>('L-Values'!F228*'D(Ti_Cherniak) Times'!$F228*0.000001)^2/(4*'D(Ti_Cherniak) Times'!$C228)/(365.35*24*3600)</f>
        <v>2874.1599976555772</v>
      </c>
      <c r="K228" s="2">
        <f>('L-Values'!G228*'D(Ti_Cherniak) Times'!$F228*0.000001)^2/(4*'D(Ti_Cherniak) Times'!$C228)/(365.35*24*3600)</f>
        <v>3553.9974686887372</v>
      </c>
      <c r="L228" s="2">
        <f>('L-Values'!H228*'D(Ti_Cherniak) Times'!$F228*0.000001)^2/(4*'D(Ti_Cherniak) Times'!$C228)/(365.35*24*3600)</f>
        <v>4522.3714056853742</v>
      </c>
      <c r="M228" s="2">
        <f>('L-Values'!I228*'D(Ti_Cherniak) Times'!$F228*0.000001)^2/(4*'D(Ti_Cherniak) Times'!$C228)/(365.35*24*3600)</f>
        <v>3194.2096074875944</v>
      </c>
      <c r="N228" s="2">
        <f>('L-Values'!J228*'D(Ti_Cherniak) Times'!$F228*0.000001)^2/(4*'D(Ti_Cherniak) Times'!$C228)/(365.35*24*3600)</f>
        <v>2645.8238674003533</v>
      </c>
      <c r="O228" s="2">
        <f>('L-Values'!K228*'D(Ti_Cherniak) Times'!$F228*0.000001)^2/(4*'D(Ti_Cherniak) Times'!$C228)/(365.35*24*3600)</f>
        <v>4355.9449000457898</v>
      </c>
      <c r="P228" s="2">
        <f>('L-Values'!L228*'D(Ti_Cherniak) Times'!$F228*0.000001)^2/(4*'D(Ti_Cherniak) Times'!$C228)/(365.35*24*3600)</f>
        <v>2835.4855997703339</v>
      </c>
      <c r="Q228" s="2">
        <f>('L-Values'!M228*'D(Ti_Cherniak) Times'!$F228*0.000001)^2/(4*'D(Ti_Cherniak) Times'!$C228)/(365.35*24*3600)</f>
        <v>2244.91030428145</v>
      </c>
      <c r="R228" s="2">
        <f>('L-Values'!N228*'D(Ti_Cherniak) Times'!$F228*0.000001)^2/(4*'D(Ti_Cherniak) Times'!$C228)/(365.35*24*3600)</f>
        <v>2926.2135624964585</v>
      </c>
      <c r="S228" s="2">
        <f>('L-Values'!O228*'D(Ti_Cherniak) Times'!$F228*0.000001)^2/(4*'D(Ti_Cherniak) Times'!$C228)/(365.35*24*3600)</f>
        <v>2097.7309291558959</v>
      </c>
      <c r="T228" s="2"/>
      <c r="U228" s="2">
        <f>('L-Values'!Q228*'D(Ti_Cherniak) Times'!$F228*0.000001)^2/(4*'D(Ti_Cherniak) Times'!$C228)/(365.35*24*3600)</f>
        <v>3053.638996831126</v>
      </c>
      <c r="V228" s="2">
        <f>('L-Values'!R228*'D(Ti_Cherniak) Times'!$F228*0.000001)^2/(4*'D(Ti_Cherniak) Times'!$C228)/(365.35*24*3600)</f>
        <v>3087.3303163498113</v>
      </c>
      <c r="W228" s="2">
        <f>('L-Values'!S228*'D(Ti_Cherniak) Times'!$F228*0.000001)^2/(4*'D(Ti_Cherniak) Times'!$C228)/(365.35*24*3600)</f>
        <v>2926.2135624964585</v>
      </c>
      <c r="X228" s="2"/>
      <c r="Y228" s="2">
        <f>('L-Values'!U228*'D(Ti_Cherniak) Times'!$F228*0.000001)^2/(4*'D(Ti_Cherniak) Times'!$C228)/(365.35*24*3600)</f>
        <v>3010.7940834919814</v>
      </c>
      <c r="Z228" s="2">
        <f>('L-Values'!V228*'D(Ti_Cherniak) Times'!$F228*0.000001)^2/(4*'D(Ti_Cherniak) Times'!$C228)/(365.35*24*3600)</f>
        <v>3074.5752828250565</v>
      </c>
      <c r="AA228" s="2">
        <f>('L-Values'!W228*'D(Ti_Cherniak) Times'!$F228*0.000001)^2/(4*'D(Ti_Cherniak) Times'!$C228)/(365.35*24*3600)</f>
        <v>2068.7708040759107</v>
      </c>
      <c r="AB228" s="2">
        <f>('L-Values'!X228*'D(Ti_Cherniak) Times'!$F228*0.000001)^2/(4*'D(Ti_Cherniak) Times'!$C228)/(365.35*24*3600)</f>
        <v>4437.9173028604828</v>
      </c>
      <c r="AC228" s="2">
        <f t="shared" si="14"/>
        <v>1005.8044787491458</v>
      </c>
      <c r="AD228" s="2">
        <f t="shared" si="15"/>
        <v>1363.3420200354262</v>
      </c>
    </row>
    <row r="229" spans="1:30" x14ac:dyDescent="0.2">
      <c r="A229" t="str">
        <f>'L-Values'!A229</f>
        <v>CGI011-qtz08-CL-fit-3-offset</v>
      </c>
      <c r="B229">
        <v>750</v>
      </c>
      <c r="C229">
        <f t="shared" si="12"/>
        <v>8.0537892000481889E-22</v>
      </c>
      <c r="D229">
        <v>1300</v>
      </c>
      <c r="E229">
        <v>1024</v>
      </c>
      <c r="F229">
        <f t="shared" si="13"/>
        <v>1.26953125</v>
      </c>
      <c r="I229" s="2">
        <f>('L-Values'!E229*'D(Ti_Cherniak) Times'!$F229*0.000001)^2/(4*'D(Ti_Cherniak) Times'!$C229)/(365.35*24*3600)</f>
        <v>318.37888705237236</v>
      </c>
      <c r="J229" s="2">
        <f>('L-Values'!F229*'D(Ti_Cherniak) Times'!$F229*0.000001)^2/(4*'D(Ti_Cherniak) Times'!$C229)/(365.35*24*3600)</f>
        <v>329.18510959531</v>
      </c>
      <c r="K229" s="2">
        <f>('L-Values'!G229*'D(Ti_Cherniak) Times'!$F229*0.000001)^2/(4*'D(Ti_Cherniak) Times'!$C229)/(365.35*24*3600)</f>
        <v>244.94590720225773</v>
      </c>
      <c r="L229" s="2">
        <f>('L-Values'!H229*'D(Ti_Cherniak) Times'!$F229*0.000001)^2/(4*'D(Ti_Cherniak) Times'!$C229)/(365.35*24*3600)</f>
        <v>501.25357396989483</v>
      </c>
      <c r="M229" s="2">
        <f>('L-Values'!I229*'D(Ti_Cherniak) Times'!$F229*0.000001)^2/(4*'D(Ti_Cherniak) Times'!$C229)/(365.35*24*3600)</f>
        <v>506.00339912514704</v>
      </c>
      <c r="N229" s="2">
        <f>('L-Values'!J229*'D(Ti_Cherniak) Times'!$F229*0.000001)^2/(4*'D(Ti_Cherniak) Times'!$C229)/(365.35*24*3600)</f>
        <v>345.078053198178</v>
      </c>
      <c r="O229" s="2">
        <f>('L-Values'!K229*'D(Ti_Cherniak) Times'!$F229*0.000001)^2/(4*'D(Ti_Cherniak) Times'!$C229)/(365.35*24*3600)</f>
        <v>614.04904833493595</v>
      </c>
      <c r="P229" s="2">
        <f>('L-Values'!L229*'D(Ti_Cherniak) Times'!$F229*0.000001)^2/(4*'D(Ti_Cherniak) Times'!$C229)/(365.35*24*3600)</f>
        <v>451.60442568793752</v>
      </c>
      <c r="Q229" s="2">
        <f>('L-Values'!M229*'D(Ti_Cherniak) Times'!$F229*0.000001)^2/(4*'D(Ti_Cherniak) Times'!$C229)/(365.35*24*3600)</f>
        <v>598.67850727222242</v>
      </c>
      <c r="R229" s="2">
        <f>('L-Values'!N229*'D(Ti_Cherniak) Times'!$F229*0.000001)^2/(4*'D(Ti_Cherniak) Times'!$C229)/(365.35*24*3600)</f>
        <v>673.58477816619165</v>
      </c>
      <c r="S229" s="2">
        <f>('L-Values'!O229*'D(Ti_Cherniak) Times'!$F229*0.000001)^2/(4*'D(Ti_Cherniak) Times'!$C229)/(365.35*24*3600)</f>
        <v>457.06574272141808</v>
      </c>
      <c r="T229" s="2"/>
      <c r="U229" s="2">
        <f>('L-Values'!Q229*'D(Ti_Cherniak) Times'!$F229*0.000001)^2/(4*'D(Ti_Cherniak) Times'!$C229)/(365.35*24*3600)</f>
        <v>451.50719309705613</v>
      </c>
      <c r="V229" s="2">
        <f>('L-Values'!R229*'D(Ti_Cherniak) Times'!$F229*0.000001)^2/(4*'D(Ti_Cherniak) Times'!$C229)/(365.35*24*3600)</f>
        <v>448.39366016134119</v>
      </c>
      <c r="W229" s="2">
        <f>('L-Values'!S229*'D(Ti_Cherniak) Times'!$F229*0.000001)^2/(4*'D(Ti_Cherniak) Times'!$C229)/(365.35*24*3600)</f>
        <v>457.06574272141808</v>
      </c>
      <c r="X229" s="2"/>
      <c r="Y229" s="2">
        <f>('L-Values'!U229*'D(Ti_Cherniak) Times'!$F229*0.000001)^2/(4*'D(Ti_Cherniak) Times'!$C229)/(365.35*24*3600)</f>
        <v>461.78565403136486</v>
      </c>
      <c r="Z229" s="2">
        <f>('L-Values'!V229*'D(Ti_Cherniak) Times'!$F229*0.000001)^2/(4*'D(Ti_Cherniak) Times'!$C229)/(365.35*24*3600)</f>
        <v>450.87228693435645</v>
      </c>
      <c r="AA229" s="2">
        <f>('L-Values'!W229*'D(Ti_Cherniak) Times'!$F229*0.000001)^2/(4*'D(Ti_Cherniak) Times'!$C229)/(365.35*24*3600)</f>
        <v>270.53665671263531</v>
      </c>
      <c r="AB229" s="2">
        <f>('L-Values'!X229*'D(Ti_Cherniak) Times'!$F229*0.000001)^2/(4*'D(Ti_Cherniak) Times'!$C229)/(365.35*24*3600)</f>
        <v>678.84118452362554</v>
      </c>
      <c r="AC229" s="2">
        <f t="shared" si="14"/>
        <v>180.33563022172115</v>
      </c>
      <c r="AD229" s="2">
        <f t="shared" si="15"/>
        <v>227.96889758926909</v>
      </c>
    </row>
    <row r="230" spans="1:30" x14ac:dyDescent="0.2">
      <c r="A230" t="str">
        <f>'L-Values'!A230</f>
        <v>CGI011-qtz08-CL-fit-4-offset</v>
      </c>
      <c r="B230">
        <v>750</v>
      </c>
      <c r="C230">
        <f t="shared" si="12"/>
        <v>8.0537892000481889E-22</v>
      </c>
      <c r="D230">
        <v>1300</v>
      </c>
      <c r="E230">
        <v>1024</v>
      </c>
      <c r="F230">
        <f t="shared" si="13"/>
        <v>1.26953125</v>
      </c>
      <c r="I230" s="2">
        <f>('L-Values'!E230*'D(Ti_Cherniak) Times'!$F230*0.000001)^2/(4*'D(Ti_Cherniak) Times'!$C230)/(365.35*24*3600)</f>
        <v>104.00256839848284</v>
      </c>
      <c r="J230" s="2">
        <f>('L-Values'!F230*'D(Ti_Cherniak) Times'!$F230*0.000001)^2/(4*'D(Ti_Cherniak) Times'!$C230)/(365.35*24*3600)</f>
        <v>89.924121612179775</v>
      </c>
      <c r="K230" s="2">
        <f>('L-Values'!G230*'D(Ti_Cherniak) Times'!$F230*0.000001)^2/(4*'D(Ti_Cherniak) Times'!$C230)/(365.35*24*3600)</f>
        <v>75.831438409503207</v>
      </c>
      <c r="L230" s="2">
        <f>('L-Values'!H230*'D(Ti_Cherniak) Times'!$F230*0.000001)^2/(4*'D(Ti_Cherniak) Times'!$C230)/(365.35*24*3600)</f>
        <v>113.15582790216979</v>
      </c>
      <c r="M230" s="2">
        <f>('L-Values'!I230*'D(Ti_Cherniak) Times'!$F230*0.000001)^2/(4*'D(Ti_Cherniak) Times'!$C230)/(365.35*24*3600)</f>
        <v>80.093986423878306</v>
      </c>
      <c r="N230" s="2">
        <f>('L-Values'!J230*'D(Ti_Cherniak) Times'!$F230*0.000001)^2/(4*'D(Ti_Cherniak) Times'!$C230)/(365.35*24*3600)</f>
        <v>46.022912081663975</v>
      </c>
      <c r="O230" s="2">
        <f>('L-Values'!K230*'D(Ti_Cherniak) Times'!$F230*0.000001)^2/(4*'D(Ti_Cherniak) Times'!$C230)/(365.35*24*3600)</f>
        <v>48.440090078810329</v>
      </c>
      <c r="P230" s="2">
        <f>('L-Values'!L230*'D(Ti_Cherniak) Times'!$F230*0.000001)^2/(4*'D(Ti_Cherniak) Times'!$C230)/(365.35*24*3600)</f>
        <v>70.164297742027202</v>
      </c>
      <c r="Q230" s="2">
        <f>('L-Values'!M230*'D(Ti_Cherniak) Times'!$F230*0.000001)^2/(4*'D(Ti_Cherniak) Times'!$C230)/(365.35*24*3600)</f>
        <v>34.618957098750521</v>
      </c>
      <c r="R230" s="2">
        <f>('L-Values'!N230*'D(Ti_Cherniak) Times'!$F230*0.000001)^2/(4*'D(Ti_Cherniak) Times'!$C230)/(365.35*24*3600)</f>
        <v>47.684738578019356</v>
      </c>
      <c r="S230" s="2">
        <f>('L-Values'!O230*'D(Ti_Cherniak) Times'!$F230*0.000001)^2/(4*'D(Ti_Cherniak) Times'!$C230)/(365.35*24*3600)</f>
        <v>68.444616074378615</v>
      </c>
      <c r="T230" s="2"/>
      <c r="U230" s="2">
        <f>('L-Values'!Q230*'D(Ti_Cherniak) Times'!$F230*0.000001)^2/(4*'D(Ti_Cherniak) Times'!$C230)/(365.35*24*3600)</f>
        <v>69.593462316241968</v>
      </c>
      <c r="V230" s="2">
        <f>('L-Values'!R230*'D(Ti_Cherniak) Times'!$F230*0.000001)^2/(4*'D(Ti_Cherniak) Times'!$C230)/(365.35*24*3600)</f>
        <v>68.677037535700549</v>
      </c>
      <c r="W230" s="2">
        <f>('L-Values'!S230*'D(Ti_Cherniak) Times'!$F230*0.000001)^2/(4*'D(Ti_Cherniak) Times'!$C230)/(365.35*24*3600)</f>
        <v>70.164297742027202</v>
      </c>
      <c r="X230" s="2"/>
      <c r="Y230" s="2">
        <f>('L-Values'!U230*'D(Ti_Cherniak) Times'!$F230*0.000001)^2/(4*'D(Ti_Cherniak) Times'!$C230)/(365.35*24*3600)</f>
        <v>65.693332211136067</v>
      </c>
      <c r="Z230" s="2">
        <f>('L-Values'!V230*'D(Ti_Cherniak) Times'!$F230*0.000001)^2/(4*'D(Ti_Cherniak) Times'!$C230)/(365.35*24*3600)</f>
        <v>65.632278977593145</v>
      </c>
      <c r="AA230" s="2">
        <f>('L-Values'!W230*'D(Ti_Cherniak) Times'!$F230*0.000001)^2/(4*'D(Ti_Cherniak) Times'!$C230)/(365.35*24*3600)</f>
        <v>12.376031522827013</v>
      </c>
      <c r="AB230" s="2">
        <f>('L-Values'!X230*'D(Ti_Cherniak) Times'!$F230*0.000001)^2/(4*'D(Ti_Cherniak) Times'!$C230)/(365.35*24*3600)</f>
        <v>146.90741842411114</v>
      </c>
      <c r="AC230" s="2">
        <f t="shared" si="14"/>
        <v>53.256247454766132</v>
      </c>
      <c r="AD230" s="2">
        <f t="shared" si="15"/>
        <v>81.275139446517997</v>
      </c>
    </row>
    <row r="231" spans="1:30" x14ac:dyDescent="0.2">
      <c r="A231" t="str">
        <f>'L-Values'!A231</f>
        <v>CGI011-qtz08-CL-fit-5-offset</v>
      </c>
      <c r="B231">
        <v>750</v>
      </c>
      <c r="C231">
        <f t="shared" si="12"/>
        <v>8.0537892000481889E-22</v>
      </c>
      <c r="D231">
        <v>1300</v>
      </c>
      <c r="E231">
        <v>1024</v>
      </c>
      <c r="F231">
        <f t="shared" si="13"/>
        <v>1.26953125</v>
      </c>
      <c r="I231" s="2">
        <f>('L-Values'!E231*'D(Ti_Cherniak) Times'!$F231*0.000001)^2/(4*'D(Ti_Cherniak) Times'!$C231)/(365.35*24*3600)</f>
        <v>208.85436954386466</v>
      </c>
      <c r="J231" s="2">
        <f>('L-Values'!F231*'D(Ti_Cherniak) Times'!$F231*0.000001)^2/(4*'D(Ti_Cherniak) Times'!$C231)/(365.35*24*3600)</f>
        <v>248.3714181464041</v>
      </c>
      <c r="K231" s="2">
        <f>('L-Values'!G231*'D(Ti_Cherniak) Times'!$F231*0.000001)^2/(4*'D(Ti_Cherniak) Times'!$C231)/(365.35*24*3600)</f>
        <v>336.12062295572304</v>
      </c>
      <c r="L231" s="2">
        <f>('L-Values'!H231*'D(Ti_Cherniak) Times'!$F231*0.000001)^2/(4*'D(Ti_Cherniak) Times'!$C231)/(365.35*24*3600)</f>
        <v>395.4481667497119</v>
      </c>
      <c r="M231" s="2">
        <f>('L-Values'!I231*'D(Ti_Cherniak) Times'!$F231*0.000001)^2/(4*'D(Ti_Cherniak) Times'!$C231)/(365.35*24*3600)</f>
        <v>456.91165623223742</v>
      </c>
      <c r="N231" s="2">
        <f>('L-Values'!J231*'D(Ti_Cherniak) Times'!$F231*0.000001)^2/(4*'D(Ti_Cherniak) Times'!$C231)/(365.35*24*3600)</f>
        <v>402.84420984155605</v>
      </c>
      <c r="O231" s="2">
        <f>('L-Values'!K231*'D(Ti_Cherniak) Times'!$F231*0.000001)^2/(4*'D(Ti_Cherniak) Times'!$C231)/(365.35*24*3600)</f>
        <v>239.17293763226871</v>
      </c>
      <c r="P231" s="2">
        <f>('L-Values'!L231*'D(Ti_Cherniak) Times'!$F231*0.000001)^2/(4*'D(Ti_Cherniak) Times'!$C231)/(365.35*24*3600)</f>
        <v>349.65286764069231</v>
      </c>
      <c r="Q231" s="2">
        <f>('L-Values'!M231*'D(Ti_Cherniak) Times'!$F231*0.000001)^2/(4*'D(Ti_Cherniak) Times'!$C231)/(365.35*24*3600)</f>
        <v>360.02569459955868</v>
      </c>
      <c r="R231" s="2">
        <f>('L-Values'!N231*'D(Ti_Cherniak) Times'!$F231*0.000001)^2/(4*'D(Ti_Cherniak) Times'!$C231)/(365.35*24*3600)</f>
        <v>229.43300247522865</v>
      </c>
      <c r="S231" s="2">
        <f>('L-Values'!O231*'D(Ti_Cherniak) Times'!$F231*0.000001)^2/(4*'D(Ti_Cherniak) Times'!$C231)/(365.35*24*3600)</f>
        <v>335.85581324546234</v>
      </c>
      <c r="T231" s="2"/>
      <c r="U231" s="2">
        <f>('L-Values'!Q231*'D(Ti_Cherniak) Times'!$F231*0.000001)^2/(4*'D(Ti_Cherniak) Times'!$C231)/(365.35*24*3600)</f>
        <v>307.83072201380526</v>
      </c>
      <c r="V231" s="2">
        <f>('L-Values'!R231*'D(Ti_Cherniak) Times'!$F231*0.000001)^2/(4*'D(Ti_Cherniak) Times'!$C231)/(365.35*24*3600)</f>
        <v>319.07547864961401</v>
      </c>
      <c r="W231" s="2">
        <f>('L-Values'!S231*'D(Ti_Cherniak) Times'!$F231*0.000001)^2/(4*'D(Ti_Cherniak) Times'!$C231)/(365.35*24*3600)</f>
        <v>336.12062295572304</v>
      </c>
      <c r="X231" s="2"/>
      <c r="Y231" s="2">
        <f>('L-Values'!U231*'D(Ti_Cherniak) Times'!$F231*0.000001)^2/(4*'D(Ti_Cherniak) Times'!$C231)/(365.35*24*3600)</f>
        <v>295.19797578598462</v>
      </c>
      <c r="Z231" s="2">
        <f>('L-Values'!V231*'D(Ti_Cherniak) Times'!$F231*0.000001)^2/(4*'D(Ti_Cherniak) Times'!$C231)/(365.35*24*3600)</f>
        <v>304.89271245156323</v>
      </c>
      <c r="AA231" s="2">
        <f>('L-Values'!W231*'D(Ti_Cherniak) Times'!$F231*0.000001)^2/(4*'D(Ti_Cherniak) Times'!$C231)/(365.35*24*3600)</f>
        <v>164.23237688523847</v>
      </c>
      <c r="AB231" s="2">
        <f>('L-Values'!X231*'D(Ti_Cherniak) Times'!$F231*0.000001)^2/(4*'D(Ti_Cherniak) Times'!$C231)/(365.35*24*3600)</f>
        <v>525.02473513897417</v>
      </c>
      <c r="AC231" s="2">
        <f t="shared" si="14"/>
        <v>140.66033556632476</v>
      </c>
      <c r="AD231" s="2">
        <f t="shared" si="15"/>
        <v>220.13202268741094</v>
      </c>
    </row>
    <row r="232" spans="1:30" x14ac:dyDescent="0.2">
      <c r="A232" t="str">
        <f>'L-Values'!A232</f>
        <v>CGI011-qtz09-CL-fit-1-offset</v>
      </c>
      <c r="B232">
        <v>750</v>
      </c>
      <c r="C232">
        <f t="shared" si="12"/>
        <v>8.0537892000481889E-22</v>
      </c>
      <c r="D232">
        <v>1100</v>
      </c>
      <c r="E232">
        <v>1024</v>
      </c>
      <c r="F232">
        <f t="shared" si="13"/>
        <v>1.07421875</v>
      </c>
      <c r="I232" s="2">
        <f>('L-Values'!E232*'D(Ti_Cherniak) Times'!$F232*0.000001)^2/(4*'D(Ti_Cherniak) Times'!$C232)/(365.35*24*3600)</f>
        <v>145.53493921780844</v>
      </c>
      <c r="J232" s="2">
        <f>('L-Values'!F232*'D(Ti_Cherniak) Times'!$F232*0.000001)^2/(4*'D(Ti_Cherniak) Times'!$C232)/(365.35*24*3600)</f>
        <v>167.63139171647808</v>
      </c>
      <c r="K232" s="2">
        <f>('L-Values'!G232*'D(Ti_Cherniak) Times'!$F232*0.000001)^2/(4*'D(Ti_Cherniak) Times'!$C232)/(365.35*24*3600)</f>
        <v>124.50748067496443</v>
      </c>
      <c r="L232" s="2">
        <f>('L-Values'!H232*'D(Ti_Cherniak) Times'!$F232*0.000001)^2/(4*'D(Ti_Cherniak) Times'!$C232)/(365.35*24*3600)</f>
        <v>0</v>
      </c>
      <c r="M232" s="2">
        <f>('L-Values'!I232*'D(Ti_Cherniak) Times'!$F232*0.000001)^2/(4*'D(Ti_Cherniak) Times'!$C232)/(365.35*24*3600)</f>
        <v>324.00533194767053</v>
      </c>
      <c r="N232" s="2">
        <f>('L-Values'!J232*'D(Ti_Cherniak) Times'!$F232*0.000001)^2/(4*'D(Ti_Cherniak) Times'!$C232)/(365.35*24*3600)</f>
        <v>314.074735555735</v>
      </c>
      <c r="O232" s="2">
        <f>('L-Values'!K232*'D(Ti_Cherniak) Times'!$F232*0.000001)^2/(4*'D(Ti_Cherniak) Times'!$C232)/(365.35*24*3600)</f>
        <v>8.0259349695952373</v>
      </c>
      <c r="P232" s="2">
        <f>('L-Values'!L232*'D(Ti_Cherniak) Times'!$F232*0.000001)^2/(4*'D(Ti_Cherniak) Times'!$C232)/(365.35*24*3600)</f>
        <v>31.621184735841105</v>
      </c>
      <c r="Q232" s="2">
        <f>('L-Values'!M232*'D(Ti_Cherniak) Times'!$F232*0.000001)^2/(4*'D(Ti_Cherniak) Times'!$C232)/(365.35*24*3600)</f>
        <v>467.58866940089678</v>
      </c>
      <c r="R232" s="2">
        <f>('L-Values'!N232*'D(Ti_Cherniak) Times'!$F232*0.000001)^2/(4*'D(Ti_Cherniak) Times'!$C232)/(365.35*24*3600)</f>
        <v>409.61950807112561</v>
      </c>
      <c r="S232" s="2">
        <f>('L-Values'!O232*'D(Ti_Cherniak) Times'!$F232*0.000001)^2/(4*'D(Ti_Cherniak) Times'!$C232)/(365.35*24*3600)</f>
        <v>242.01201181435997</v>
      </c>
      <c r="T232" s="2"/>
      <c r="U232" s="2">
        <f>('L-Values'!Q232*'D(Ti_Cherniak) Times'!$F232*0.000001)^2/(4*'D(Ti_Cherniak) Times'!$C232)/(365.35*24*3600)</f>
        <v>192.87366785932636</v>
      </c>
      <c r="V232" s="2">
        <f>('L-Values'!R232*'D(Ti_Cherniak) Times'!$F232*0.000001)^2/(4*'D(Ti_Cherniak) Times'!$C232)/(365.35*24*3600)</f>
        <v>189.79886026475245</v>
      </c>
      <c r="W232" s="2">
        <f>('L-Values'!S232*'D(Ti_Cherniak) Times'!$F232*0.000001)^2/(4*'D(Ti_Cherniak) Times'!$C232)/(365.35*24*3600)</f>
        <v>203.11935394047757</v>
      </c>
      <c r="X232" s="2"/>
      <c r="Y232" s="2">
        <f>('L-Values'!U232*'D(Ti_Cherniak) Times'!$F232*0.000001)^2/(4*'D(Ti_Cherniak) Times'!$C232)/(365.35*24*3600)</f>
        <v>178.10488409294155</v>
      </c>
      <c r="Z232" s="2">
        <f>('L-Values'!V232*'D(Ti_Cherniak) Times'!$F232*0.000001)^2/(4*'D(Ti_Cherniak) Times'!$C232)/(365.35*24*3600)</f>
        <v>199.01839981287117</v>
      </c>
      <c r="AA232" s="2">
        <f>('L-Values'!W232*'D(Ti_Cherniak) Times'!$F232*0.000001)^2/(4*'D(Ti_Cherniak) Times'!$C232)/(365.35*24*3600)</f>
        <v>1.3839299723776863</v>
      </c>
      <c r="AB232" s="2">
        <f>('L-Values'!X232*'D(Ti_Cherniak) Times'!$F232*0.000001)^2/(4*'D(Ti_Cherniak) Times'!$C232)/(365.35*24*3600)</f>
        <v>944.86447826114113</v>
      </c>
      <c r="AC232" s="2">
        <f t="shared" si="14"/>
        <v>197.63446984049347</v>
      </c>
      <c r="AD232" s="2">
        <f t="shared" si="15"/>
        <v>745.84607844826996</v>
      </c>
    </row>
    <row r="233" spans="1:30" x14ac:dyDescent="0.2">
      <c r="A233" t="str">
        <f>'L-Values'!A233</f>
        <v>CGI011-qtz09-CL-fit-2-offset</v>
      </c>
      <c r="B233">
        <v>750</v>
      </c>
      <c r="C233">
        <f t="shared" si="12"/>
        <v>8.0537892000481889E-22</v>
      </c>
      <c r="D233">
        <v>1100</v>
      </c>
      <c r="E233">
        <v>1024</v>
      </c>
      <c r="F233">
        <f t="shared" si="13"/>
        <v>1.07421875</v>
      </c>
      <c r="I233" s="2">
        <f>('L-Values'!E233*'D(Ti_Cherniak) Times'!$F233*0.000001)^2/(4*'D(Ti_Cherniak) Times'!$C233)/(365.35*24*3600)</f>
        <v>830.33620332299313</v>
      </c>
      <c r="J233" s="2">
        <f>('L-Values'!F233*'D(Ti_Cherniak) Times'!$F233*0.000001)^2/(4*'D(Ti_Cherniak) Times'!$C233)/(365.35*24*3600)</f>
        <v>503.51498472259169</v>
      </c>
      <c r="K233" s="2">
        <f>('L-Values'!G233*'D(Ti_Cherniak) Times'!$F233*0.000001)^2/(4*'D(Ti_Cherniak) Times'!$C233)/(365.35*24*3600)</f>
        <v>763.47598429336188</v>
      </c>
      <c r="L233" s="2">
        <f>('L-Values'!H233*'D(Ti_Cherniak) Times'!$F233*0.000001)^2/(4*'D(Ti_Cherniak) Times'!$C233)/(365.35*24*3600)</f>
        <v>275.58353819004901</v>
      </c>
      <c r="M233" s="2">
        <f>('L-Values'!I233*'D(Ti_Cherniak) Times'!$F233*0.000001)^2/(4*'D(Ti_Cherniak) Times'!$C233)/(365.35*24*3600)</f>
        <v>522.80148783389757</v>
      </c>
      <c r="N233" s="2">
        <f>('L-Values'!J233*'D(Ti_Cherniak) Times'!$F233*0.000001)^2/(4*'D(Ti_Cherniak) Times'!$C233)/(365.35*24*3600)</f>
        <v>249.6053962615222</v>
      </c>
      <c r="O233" s="2">
        <f>('L-Values'!K233*'D(Ti_Cherniak) Times'!$F233*0.000001)^2/(4*'D(Ti_Cherniak) Times'!$C233)/(365.35*24*3600)</f>
        <v>356.56260735131298</v>
      </c>
      <c r="P233" s="2">
        <f>('L-Values'!L233*'D(Ti_Cherniak) Times'!$F233*0.000001)^2/(4*'D(Ti_Cherniak) Times'!$C233)/(365.35*24*3600)</f>
        <v>486.16177492511332</v>
      </c>
      <c r="Q233" s="2">
        <f>('L-Values'!M233*'D(Ti_Cherniak) Times'!$F233*0.000001)^2/(4*'D(Ti_Cherniak) Times'!$C233)/(365.35*24*3600)</f>
        <v>433.87166643825321</v>
      </c>
      <c r="R233" s="2">
        <f>('L-Values'!N233*'D(Ti_Cherniak) Times'!$F233*0.000001)^2/(4*'D(Ti_Cherniak) Times'!$C233)/(365.35*24*3600)</f>
        <v>146.3142945852268</v>
      </c>
      <c r="S233" s="2">
        <f>('L-Values'!O233*'D(Ti_Cherniak) Times'!$F233*0.000001)^2/(4*'D(Ti_Cherniak) Times'!$C233)/(365.35*24*3600)</f>
        <v>0</v>
      </c>
      <c r="T233" s="2"/>
      <c r="U233" s="2">
        <f>('L-Values'!Q233*'D(Ti_Cherniak) Times'!$F233*0.000001)^2/(4*'D(Ti_Cherniak) Times'!$C233)/(365.35*24*3600)</f>
        <v>421.80805011032629</v>
      </c>
      <c r="V233" s="2">
        <f>('L-Values'!R233*'D(Ti_Cherniak) Times'!$F233*0.000001)^2/(4*'D(Ti_Cherniak) Times'!$C233)/(365.35*24*3600)</f>
        <v>432.67246130124568</v>
      </c>
      <c r="W233" s="2">
        <f>('L-Values'!S233*'D(Ti_Cherniak) Times'!$F233*0.000001)^2/(4*'D(Ti_Cherniak) Times'!$C233)/(365.35*24*3600)</f>
        <v>459.64493160364043</v>
      </c>
      <c r="X233" s="2"/>
      <c r="Y233" s="2">
        <f>('L-Values'!U233*'D(Ti_Cherniak) Times'!$F233*0.000001)^2/(4*'D(Ti_Cherniak) Times'!$C233)/(365.35*24*3600)</f>
        <v>391.76101504614871</v>
      </c>
      <c r="Z233" s="2">
        <f>('L-Values'!V233*'D(Ti_Cherniak) Times'!$F233*0.000001)^2/(4*'D(Ti_Cherniak) Times'!$C233)/(365.35*24*3600)</f>
        <v>438.92693766106675</v>
      </c>
      <c r="AA233" s="2">
        <f>('L-Values'!W233*'D(Ti_Cherniak) Times'!$F233*0.000001)^2/(4*'D(Ti_Cherniak) Times'!$C233)/(365.35*24*3600)</f>
        <v>150.75944311580622</v>
      </c>
      <c r="AB233" s="2">
        <f>('L-Values'!X233*'D(Ti_Cherniak) Times'!$F233*0.000001)^2/(4*'D(Ti_Cherniak) Times'!$C233)/(365.35*24*3600)</f>
        <v>1197.4405703366385</v>
      </c>
      <c r="AC233" s="2">
        <f t="shared" si="14"/>
        <v>288.16749454526052</v>
      </c>
      <c r="AD233" s="2">
        <f t="shared" si="15"/>
        <v>758.51363267557178</v>
      </c>
    </row>
    <row r="234" spans="1:30" x14ac:dyDescent="0.2">
      <c r="A234" t="str">
        <f>'L-Values'!A234</f>
        <v>CGI011-qtz09-CL-fit-3-offset</v>
      </c>
      <c r="B234">
        <v>750</v>
      </c>
      <c r="C234">
        <f t="shared" si="12"/>
        <v>8.0537892000481889E-22</v>
      </c>
      <c r="D234">
        <v>1100</v>
      </c>
      <c r="E234">
        <v>1024</v>
      </c>
      <c r="F234">
        <f t="shared" si="13"/>
        <v>1.07421875</v>
      </c>
      <c r="I234" s="2">
        <f>('L-Values'!E234*'D(Ti_Cherniak) Times'!$F234*0.000001)^2/(4*'D(Ti_Cherniak) Times'!$C234)/(365.35*24*3600)</f>
        <v>299.66714276629779</v>
      </c>
      <c r="J234" s="2">
        <f>('L-Values'!F234*'D(Ti_Cherniak) Times'!$F234*0.000001)^2/(4*'D(Ti_Cherniak) Times'!$C234)/(365.35*24*3600)</f>
        <v>501.92361171713264</v>
      </c>
      <c r="K234" s="2">
        <f>('L-Values'!G234*'D(Ti_Cherniak) Times'!$F234*0.000001)^2/(4*'D(Ti_Cherniak) Times'!$C234)/(365.35*24*3600)</f>
        <v>147.89455868600544</v>
      </c>
      <c r="L234" s="2">
        <f>('L-Values'!H234*'D(Ti_Cherniak) Times'!$F234*0.000001)^2/(4*'D(Ti_Cherniak) Times'!$C234)/(365.35*24*3600)</f>
        <v>216.78232017014477</v>
      </c>
      <c r="M234" s="2">
        <f>('L-Values'!I234*'D(Ti_Cherniak) Times'!$F234*0.000001)^2/(4*'D(Ti_Cherniak) Times'!$C234)/(365.35*24*3600)</f>
        <v>189.92167656331284</v>
      </c>
      <c r="N234" s="2">
        <f>('L-Values'!J234*'D(Ti_Cherniak) Times'!$F234*0.000001)^2/(4*'D(Ti_Cherniak) Times'!$C234)/(365.35*24*3600)</f>
        <v>132.1042316220836</v>
      </c>
      <c r="O234" s="2">
        <f>('L-Values'!K234*'D(Ti_Cherniak) Times'!$F234*0.000001)^2/(4*'D(Ti_Cherniak) Times'!$C234)/(365.35*24*3600)</f>
        <v>332.77691667124628</v>
      </c>
      <c r="P234" s="2">
        <f>('L-Values'!L234*'D(Ti_Cherniak) Times'!$F234*0.000001)^2/(4*'D(Ti_Cherniak) Times'!$C234)/(365.35*24*3600)</f>
        <v>186.7125092989173</v>
      </c>
      <c r="Q234" s="2">
        <f>('L-Values'!M234*'D(Ti_Cherniak) Times'!$F234*0.000001)^2/(4*'D(Ti_Cherniak) Times'!$C234)/(365.35*24*3600)</f>
        <v>157.01517621213821</v>
      </c>
      <c r="R234" s="2">
        <f>('L-Values'!N234*'D(Ti_Cherniak) Times'!$F234*0.000001)^2/(4*'D(Ti_Cherniak) Times'!$C234)/(365.35*24*3600)</f>
        <v>160.51320568302899</v>
      </c>
      <c r="S234" s="2">
        <f>('L-Values'!O234*'D(Ti_Cherniak) Times'!$F234*0.000001)^2/(4*'D(Ti_Cherniak) Times'!$C234)/(365.35*24*3600)</f>
        <v>189.57648669404551</v>
      </c>
      <c r="T234" s="2"/>
      <c r="U234" s="2">
        <f>('L-Values'!Q234*'D(Ti_Cherniak) Times'!$F234*0.000001)^2/(4*'D(Ti_Cherniak) Times'!$C234)/(365.35*24*3600)</f>
        <v>214.80586359796487</v>
      </c>
      <c r="V234" s="2">
        <f>('L-Values'!R234*'D(Ti_Cherniak) Times'!$F234*0.000001)^2/(4*'D(Ti_Cherniak) Times'!$C234)/(365.35*24*3600)</f>
        <v>218.90336932581721</v>
      </c>
      <c r="W234" s="2">
        <f>('L-Values'!S234*'D(Ti_Cherniak) Times'!$F234*0.000001)^2/(4*'D(Ti_Cherniak) Times'!$C234)/(365.35*24*3600)</f>
        <v>189.57648669404551</v>
      </c>
      <c r="X234" s="2"/>
      <c r="Y234" s="2">
        <f>('L-Values'!U234*'D(Ti_Cherniak) Times'!$F234*0.000001)^2/(4*'D(Ti_Cherniak) Times'!$C234)/(365.35*24*3600)</f>
        <v>211.03464054826867</v>
      </c>
      <c r="Z234" s="2">
        <f>('L-Values'!V234*'D(Ti_Cherniak) Times'!$F234*0.000001)^2/(4*'D(Ti_Cherniak) Times'!$C234)/(365.35*24*3600)</f>
        <v>215.71726190694997</v>
      </c>
      <c r="AA234" s="2">
        <f>('L-Values'!W234*'D(Ti_Cherniak) Times'!$F234*0.000001)^2/(4*'D(Ti_Cherniak) Times'!$C234)/(365.35*24*3600)</f>
        <v>100.51243228276951</v>
      </c>
      <c r="AB234" s="2">
        <f>('L-Values'!X234*'D(Ti_Cherniak) Times'!$F234*0.000001)^2/(4*'D(Ti_Cherniak) Times'!$C234)/(365.35*24*3600)</f>
        <v>446.86756828487302</v>
      </c>
      <c r="AC234" s="2">
        <f t="shared" si="14"/>
        <v>115.20482962418046</v>
      </c>
      <c r="AD234" s="2">
        <f t="shared" si="15"/>
        <v>231.15030637792304</v>
      </c>
    </row>
    <row r="235" spans="1:30" x14ac:dyDescent="0.2">
      <c r="A235" t="str">
        <f>'L-Values'!A235</f>
        <v>CGI011-qtz09-CL-fit-4-offset</v>
      </c>
      <c r="B235">
        <v>750</v>
      </c>
      <c r="C235">
        <f t="shared" si="12"/>
        <v>8.0537892000481889E-22</v>
      </c>
      <c r="D235">
        <v>1100</v>
      </c>
      <c r="E235">
        <v>1024</v>
      </c>
      <c r="F235">
        <f t="shared" si="13"/>
        <v>1.07421875</v>
      </c>
      <c r="I235" s="2">
        <f>('L-Values'!E235*'D(Ti_Cherniak) Times'!$F235*0.000001)^2/(4*'D(Ti_Cherniak) Times'!$C235)/(365.35*24*3600)</f>
        <v>225.31257650394562</v>
      </c>
      <c r="J235" s="2">
        <f>('L-Values'!F235*'D(Ti_Cherniak) Times'!$F235*0.000001)^2/(4*'D(Ti_Cherniak) Times'!$C235)/(365.35*24*3600)</f>
        <v>85.449314492730736</v>
      </c>
      <c r="K235" s="2">
        <f>('L-Values'!G235*'D(Ti_Cherniak) Times'!$F235*0.000001)^2/(4*'D(Ti_Cherniak) Times'!$C235)/(365.35*24*3600)</f>
        <v>31.472633023110241</v>
      </c>
      <c r="L235" s="2">
        <f>('L-Values'!H235*'D(Ti_Cherniak) Times'!$F235*0.000001)^2/(4*'D(Ti_Cherniak) Times'!$C235)/(365.35*24*3600)</f>
        <v>101.78398165951228</v>
      </c>
      <c r="M235" s="2">
        <f>('L-Values'!I235*'D(Ti_Cherniak) Times'!$F235*0.000001)^2/(4*'D(Ti_Cherniak) Times'!$C235)/(365.35*24*3600)</f>
        <v>36.8259023615148</v>
      </c>
      <c r="N235" s="2">
        <f>('L-Values'!J235*'D(Ti_Cherniak) Times'!$F235*0.000001)^2/(4*'D(Ti_Cherniak) Times'!$C235)/(365.35*24*3600)</f>
        <v>145.44231769091195</v>
      </c>
      <c r="O235" s="2">
        <f>('L-Values'!K235*'D(Ti_Cherniak) Times'!$F235*0.000001)^2/(4*'D(Ti_Cherniak) Times'!$C235)/(365.35*24*3600)</f>
        <v>95.00376884809836</v>
      </c>
      <c r="P235" s="2">
        <f>('L-Values'!L235*'D(Ti_Cherniak) Times'!$F235*0.000001)^2/(4*'D(Ti_Cherniak) Times'!$C235)/(365.35*24*3600)</f>
        <v>222.85715886156106</v>
      </c>
      <c r="Q235" s="2">
        <f>('L-Values'!M235*'D(Ti_Cherniak) Times'!$F235*0.000001)^2/(4*'D(Ti_Cherniak) Times'!$C235)/(365.35*24*3600)</f>
        <v>340.0785195293812</v>
      </c>
      <c r="R235" s="2">
        <f>('L-Values'!N235*'D(Ti_Cherniak) Times'!$F235*0.000001)^2/(4*'D(Ti_Cherniak) Times'!$C235)/(365.35*24*3600)</f>
        <v>73.028823433749693</v>
      </c>
      <c r="S235" s="2">
        <f>('L-Values'!O235*'D(Ti_Cherniak) Times'!$F235*0.000001)^2/(4*'D(Ti_Cherniak) Times'!$C235)/(365.35*24*3600)</f>
        <v>79.834763114370887</v>
      </c>
      <c r="T235" s="2"/>
      <c r="U235" s="2">
        <f>('L-Values'!Q235*'D(Ti_Cherniak) Times'!$F235*0.000001)^2/(4*'D(Ti_Cherniak) Times'!$C235)/(365.35*24*3600)</f>
        <v>114.88641794294671</v>
      </c>
      <c r="V235" s="2">
        <f>('L-Values'!R235*'D(Ti_Cherniak) Times'!$F235*0.000001)^2/(4*'D(Ti_Cherniak) Times'!$C235)/(365.35*24*3600)</f>
        <v>116.402239779037</v>
      </c>
      <c r="W235" s="2">
        <f>('L-Values'!S235*'D(Ti_Cherniak) Times'!$F235*0.000001)^2/(4*'D(Ti_Cherniak) Times'!$C235)/(365.35*24*3600)</f>
        <v>95.00376884809836</v>
      </c>
      <c r="X235" s="2"/>
      <c r="Y235" s="2">
        <f>('L-Values'!U235*'D(Ti_Cherniak) Times'!$F235*0.000001)^2/(4*'D(Ti_Cherniak) Times'!$C235)/(365.35*24*3600)</f>
        <v>113.67854009216592</v>
      </c>
      <c r="Z235" s="2">
        <f>('L-Values'!V235*'D(Ti_Cherniak) Times'!$F235*0.000001)^2/(4*'D(Ti_Cherniak) Times'!$C235)/(365.35*24*3600)</f>
        <v>111.1801418270265</v>
      </c>
      <c r="AA235" s="2">
        <f>('L-Values'!W235*'D(Ti_Cherniak) Times'!$F235*0.000001)^2/(4*'D(Ti_Cherniak) Times'!$C235)/(365.35*24*3600)</f>
        <v>16.136380659349506</v>
      </c>
      <c r="AB235" s="2">
        <f>('L-Values'!X235*'D(Ti_Cherniak) Times'!$F235*0.000001)^2/(4*'D(Ti_Cherniak) Times'!$C235)/(365.35*24*3600)</f>
        <v>258.6038269962034</v>
      </c>
      <c r="AC235" s="2">
        <f t="shared" si="14"/>
        <v>95.04376116767699</v>
      </c>
      <c r="AD235" s="2">
        <f t="shared" si="15"/>
        <v>147.42368516917691</v>
      </c>
    </row>
    <row r="236" spans="1:30" x14ac:dyDescent="0.2">
      <c r="A236" t="str">
        <f>'L-Values'!A236</f>
        <v>CGI011-qtz11-CL-fit-1-offset</v>
      </c>
      <c r="B236">
        <v>750</v>
      </c>
      <c r="C236">
        <f t="shared" si="12"/>
        <v>8.0537892000481889E-22</v>
      </c>
      <c r="D236">
        <v>1600</v>
      </c>
      <c r="E236">
        <v>1024</v>
      </c>
      <c r="F236">
        <f t="shared" si="13"/>
        <v>1.5625</v>
      </c>
      <c r="I236" s="2">
        <f>('L-Values'!E236*'D(Ti_Cherniak) Times'!$F236*0.000001)^2/(4*'D(Ti_Cherniak) Times'!$C236)/(365.35*24*3600)</f>
        <v>606.02232099101525</v>
      </c>
      <c r="J236" s="2">
        <f>('L-Values'!F236*'D(Ti_Cherniak) Times'!$F236*0.000001)^2/(4*'D(Ti_Cherniak) Times'!$C236)/(365.35*24*3600)</f>
        <v>781.75101012319487</v>
      </c>
      <c r="K236" s="2">
        <f>('L-Values'!G236*'D(Ti_Cherniak) Times'!$F236*0.000001)^2/(4*'D(Ti_Cherniak) Times'!$C236)/(365.35*24*3600)</f>
        <v>875.37778558985212</v>
      </c>
      <c r="L236" s="2">
        <f>('L-Values'!H236*'D(Ti_Cherniak) Times'!$F236*0.000001)^2/(4*'D(Ti_Cherniak) Times'!$C236)/(365.35*24*3600)</f>
        <v>1379.9440818098631</v>
      </c>
      <c r="M236" s="2">
        <f>('L-Values'!I236*'D(Ti_Cherniak) Times'!$F236*0.000001)^2/(4*'D(Ti_Cherniak) Times'!$C236)/(365.35*24*3600)</f>
        <v>1492.7212609795049</v>
      </c>
      <c r="N236" s="2">
        <f>('L-Values'!J236*'D(Ti_Cherniak) Times'!$F236*0.000001)^2/(4*'D(Ti_Cherniak) Times'!$C236)/(365.35*24*3600)</f>
        <v>1395.0093418805816</v>
      </c>
      <c r="O236" s="2">
        <f>('L-Values'!K236*'D(Ti_Cherniak) Times'!$F236*0.000001)^2/(4*'D(Ti_Cherniak) Times'!$C236)/(365.35*24*3600)</f>
        <v>1927.6753521045139</v>
      </c>
      <c r="P236" s="2">
        <f>('L-Values'!L236*'D(Ti_Cherniak) Times'!$F236*0.000001)^2/(4*'D(Ti_Cherniak) Times'!$C236)/(365.35*24*3600)</f>
        <v>1865.0748283815176</v>
      </c>
      <c r="Q236" s="2">
        <f>('L-Values'!M236*'D(Ti_Cherniak) Times'!$F236*0.000001)^2/(4*'D(Ti_Cherniak) Times'!$C236)/(365.35*24*3600)</f>
        <v>1920.2332432801534</v>
      </c>
      <c r="R236" s="2">
        <f>('L-Values'!N236*'D(Ti_Cherniak) Times'!$F236*0.000001)^2/(4*'D(Ti_Cherniak) Times'!$C236)/(365.35*24*3600)</f>
        <v>2198.5037486609822</v>
      </c>
      <c r="S236" s="2">
        <f>('L-Values'!O236*'D(Ti_Cherniak) Times'!$F236*0.000001)^2/(4*'D(Ti_Cherniak) Times'!$C236)/(365.35*24*3600)</f>
        <v>1476.6112996377103</v>
      </c>
      <c r="T236" s="2"/>
      <c r="U236" s="2">
        <f>('L-Values'!Q236*'D(Ti_Cherniak) Times'!$F236*0.000001)^2/(4*'D(Ti_Cherniak) Times'!$C236)/(365.35*24*3600)</f>
        <v>1334.4568167029622</v>
      </c>
      <c r="V236" s="2">
        <f>('L-Values'!R236*'D(Ti_Cherniak) Times'!$F236*0.000001)^2/(4*'D(Ti_Cherniak) Times'!$C236)/(365.35*24*3600)</f>
        <v>1399.606536501952</v>
      </c>
      <c r="W236" s="2">
        <f>('L-Values'!S236*'D(Ti_Cherniak) Times'!$F236*0.000001)^2/(4*'D(Ti_Cherniak) Times'!$C236)/(365.35*24*3600)</f>
        <v>1476.6112996377103</v>
      </c>
      <c r="X236" s="2"/>
      <c r="Y236" s="2">
        <f>('L-Values'!U236*'D(Ti_Cherniak) Times'!$F236*0.000001)^2/(4*'D(Ti_Cherniak) Times'!$C236)/(365.35*24*3600)</f>
        <v>1318.8952988536698</v>
      </c>
      <c r="Z236" s="2">
        <f>('L-Values'!V236*'D(Ti_Cherniak) Times'!$F236*0.000001)^2/(4*'D(Ti_Cherniak) Times'!$C236)/(365.35*24*3600)</f>
        <v>1327.6239732074926</v>
      </c>
      <c r="AA236" s="2">
        <f>('L-Values'!W236*'D(Ti_Cherniak) Times'!$F236*0.000001)^2/(4*'D(Ti_Cherniak) Times'!$C236)/(365.35*24*3600)</f>
        <v>836.81523585813363</v>
      </c>
      <c r="AB236" s="2">
        <f>('L-Values'!X236*'D(Ti_Cherniak) Times'!$F236*0.000001)^2/(4*'D(Ti_Cherniak) Times'!$C236)/(365.35*24*3600)</f>
        <v>1940.3541939678244</v>
      </c>
      <c r="AC236" s="2">
        <f t="shared" si="14"/>
        <v>490.80873734935892</v>
      </c>
      <c r="AD236" s="2">
        <f t="shared" si="15"/>
        <v>612.7302207603318</v>
      </c>
    </row>
    <row r="237" spans="1:30" x14ac:dyDescent="0.2">
      <c r="A237" t="str">
        <f>'L-Values'!A237</f>
        <v>CGI011-qtz11-CL-fit-2-offset</v>
      </c>
      <c r="B237">
        <v>750</v>
      </c>
      <c r="C237">
        <f t="shared" si="12"/>
        <v>8.0537892000481889E-22</v>
      </c>
      <c r="D237">
        <v>1600</v>
      </c>
      <c r="E237">
        <v>1024</v>
      </c>
      <c r="F237">
        <f t="shared" si="13"/>
        <v>1.5625</v>
      </c>
      <c r="I237" s="2">
        <f>('L-Values'!E237*'D(Ti_Cherniak) Times'!$F237*0.000001)^2/(4*'D(Ti_Cherniak) Times'!$C237)/(365.35*24*3600)</f>
        <v>1083.4255454373581</v>
      </c>
      <c r="J237" s="2">
        <f>('L-Values'!F237*'D(Ti_Cherniak) Times'!$F237*0.000001)^2/(4*'D(Ti_Cherniak) Times'!$C237)/(365.35*24*3600)</f>
        <v>595.8437848709541</v>
      </c>
      <c r="K237" s="2">
        <f>('L-Values'!G237*'D(Ti_Cherniak) Times'!$F237*0.000001)^2/(4*'D(Ti_Cherniak) Times'!$C237)/(365.35*24*3600)</f>
        <v>691.49703208024278</v>
      </c>
      <c r="L237" s="2">
        <f>('L-Values'!H237*'D(Ti_Cherniak) Times'!$F237*0.000001)^2/(4*'D(Ti_Cherniak) Times'!$C237)/(365.35*24*3600)</f>
        <v>806.20089957083951</v>
      </c>
      <c r="M237" s="2">
        <f>('L-Values'!I237*'D(Ti_Cherniak) Times'!$F237*0.000001)^2/(4*'D(Ti_Cherniak) Times'!$C237)/(365.35*24*3600)</f>
        <v>801.70505215138189</v>
      </c>
      <c r="N237" s="2">
        <f>('L-Values'!J237*'D(Ti_Cherniak) Times'!$F237*0.000001)^2/(4*'D(Ti_Cherniak) Times'!$C237)/(365.35*24*3600)</f>
        <v>679.33576663474435</v>
      </c>
      <c r="O237" s="2">
        <f>('L-Values'!K237*'D(Ti_Cherniak) Times'!$F237*0.000001)^2/(4*'D(Ti_Cherniak) Times'!$C237)/(365.35*24*3600)</f>
        <v>695.03851757458517</v>
      </c>
      <c r="P237" s="2">
        <f>('L-Values'!L237*'D(Ti_Cherniak) Times'!$F237*0.000001)^2/(4*'D(Ti_Cherniak) Times'!$C237)/(365.35*24*3600)</f>
        <v>522.00255544764252</v>
      </c>
      <c r="Q237" s="2">
        <f>('L-Values'!M237*'D(Ti_Cherniak) Times'!$F237*0.000001)^2/(4*'D(Ti_Cherniak) Times'!$C237)/(365.35*24*3600)</f>
        <v>720.89280715861014</v>
      </c>
      <c r="R237" s="2">
        <f>('L-Values'!N237*'D(Ti_Cherniak) Times'!$F237*0.000001)^2/(4*'D(Ti_Cherniak) Times'!$C237)/(365.35*24*3600)</f>
        <v>648.09725852407473</v>
      </c>
      <c r="S237" s="2">
        <f>('L-Values'!O237*'D(Ti_Cherniak) Times'!$F237*0.000001)^2/(4*'D(Ti_Cherniak) Times'!$C237)/(365.35*24*3600)</f>
        <v>761.37178706637155</v>
      </c>
      <c r="T237" s="2"/>
      <c r="U237" s="2">
        <f>('L-Values'!Q237*'D(Ti_Cherniak) Times'!$F237*0.000001)^2/(4*'D(Ti_Cherniak) Times'!$C237)/(365.35*24*3600)</f>
        <v>721.412480089057</v>
      </c>
      <c r="V237" s="2">
        <f>('L-Values'!R237*'D(Ti_Cherniak) Times'!$F237*0.000001)^2/(4*'D(Ti_Cherniak) Times'!$C237)/(365.35*24*3600)</f>
        <v>721.67910273126483</v>
      </c>
      <c r="W237" s="2">
        <f>('L-Values'!S237*'D(Ti_Cherniak) Times'!$F237*0.000001)^2/(4*'D(Ti_Cherniak) Times'!$C237)/(365.35*24*3600)</f>
        <v>695.03851757458517</v>
      </c>
      <c r="X237" s="2"/>
      <c r="Y237" s="2">
        <f>('L-Values'!U237*'D(Ti_Cherniak) Times'!$F237*0.000001)^2/(4*'D(Ti_Cherniak) Times'!$C237)/(365.35*24*3600)</f>
        <v>734.8387752388187</v>
      </c>
      <c r="Z237" s="2">
        <f>('L-Values'!V237*'D(Ti_Cherniak) Times'!$F237*0.000001)^2/(4*'D(Ti_Cherniak) Times'!$C237)/(365.35*24*3600)</f>
        <v>730.56117725617003</v>
      </c>
      <c r="AA237" s="2">
        <f>('L-Values'!W237*'D(Ti_Cherniak) Times'!$F237*0.000001)^2/(4*'D(Ti_Cherniak) Times'!$C237)/(365.35*24*3600)</f>
        <v>516.15436018805997</v>
      </c>
      <c r="AB237" s="2">
        <f>('L-Values'!X237*'D(Ti_Cherniak) Times'!$F237*0.000001)^2/(4*'D(Ti_Cherniak) Times'!$C237)/(365.35*24*3600)</f>
        <v>990.98900830554794</v>
      </c>
      <c r="AC237" s="2">
        <f t="shared" si="14"/>
        <v>214.40681706811006</v>
      </c>
      <c r="AD237" s="2">
        <f t="shared" si="15"/>
        <v>260.42783104937791</v>
      </c>
    </row>
    <row r="238" spans="1:30" x14ac:dyDescent="0.2">
      <c r="A238" t="str">
        <f>'L-Values'!A238</f>
        <v>CGI011-qtz11-CL-fit-3-offset</v>
      </c>
      <c r="B238">
        <v>750</v>
      </c>
      <c r="C238">
        <f t="shared" si="12"/>
        <v>8.0537892000481889E-22</v>
      </c>
      <c r="D238">
        <v>1600</v>
      </c>
      <c r="E238">
        <v>1024</v>
      </c>
      <c r="F238">
        <f t="shared" si="13"/>
        <v>1.5625</v>
      </c>
      <c r="I238" s="2">
        <f>('L-Values'!E238*'D(Ti_Cherniak) Times'!$F238*0.000001)^2/(4*'D(Ti_Cherniak) Times'!$C238)/(365.35*24*3600)</f>
        <v>587.1172515586029</v>
      </c>
      <c r="J238" s="2">
        <f>('L-Values'!F238*'D(Ti_Cherniak) Times'!$F238*0.000001)^2/(4*'D(Ti_Cherniak) Times'!$C238)/(365.35*24*3600)</f>
        <v>386.54508872569346</v>
      </c>
      <c r="K238" s="2">
        <f>('L-Values'!G238*'D(Ti_Cherniak) Times'!$F238*0.000001)^2/(4*'D(Ti_Cherniak) Times'!$C238)/(365.35*24*3600)</f>
        <v>475.38874156942586</v>
      </c>
      <c r="L238" s="2">
        <f>('L-Values'!H238*'D(Ti_Cherniak) Times'!$F238*0.000001)^2/(4*'D(Ti_Cherniak) Times'!$C238)/(365.35*24*3600)</f>
        <v>360.14408067899001</v>
      </c>
      <c r="M238" s="2">
        <f>('L-Values'!I238*'D(Ti_Cherniak) Times'!$F238*0.000001)^2/(4*'D(Ti_Cherniak) Times'!$C238)/(365.35*24*3600)</f>
        <v>422.52306854858017</v>
      </c>
      <c r="N238" s="2">
        <f>('L-Values'!J238*'D(Ti_Cherniak) Times'!$F238*0.000001)^2/(4*'D(Ti_Cherniak) Times'!$C238)/(365.35*24*3600)</f>
        <v>454.7683807688698</v>
      </c>
      <c r="O238" s="2">
        <f>('L-Values'!K238*'D(Ti_Cherniak) Times'!$F238*0.000001)^2/(4*'D(Ti_Cherniak) Times'!$C238)/(365.35*24*3600)</f>
        <v>500.45824022123861</v>
      </c>
      <c r="P238" s="2">
        <f>('L-Values'!L238*'D(Ti_Cherniak) Times'!$F238*0.000001)^2/(4*'D(Ti_Cherniak) Times'!$C238)/(365.35*24*3600)</f>
        <v>484.24446989393959</v>
      </c>
      <c r="Q238" s="2">
        <f>('L-Values'!M238*'D(Ti_Cherniak) Times'!$F238*0.000001)^2/(4*'D(Ti_Cherniak) Times'!$C238)/(365.35*24*3600)</f>
        <v>255.07119045122141</v>
      </c>
      <c r="R238" s="2">
        <f>('L-Values'!N238*'D(Ti_Cherniak) Times'!$F238*0.000001)^2/(4*'D(Ti_Cherniak) Times'!$C238)/(365.35*24*3600)</f>
        <v>387.72321126464425</v>
      </c>
      <c r="S238" s="2">
        <f>('L-Values'!O238*'D(Ti_Cherniak) Times'!$F238*0.000001)^2/(4*'D(Ti_Cherniak) Times'!$C238)/(365.35*24*3600)</f>
        <v>333.34682683770757</v>
      </c>
      <c r="T238" s="2"/>
      <c r="U238" s="2">
        <f>('L-Values'!Q238*'D(Ti_Cherniak) Times'!$F238*0.000001)^2/(4*'D(Ti_Cherniak) Times'!$C238)/(365.35*24*3600)</f>
        <v>432.68793310057197</v>
      </c>
      <c r="V238" s="2">
        <f>('L-Values'!R238*'D(Ti_Cherniak) Times'!$F238*0.000001)^2/(4*'D(Ti_Cherniak) Times'!$C238)/(365.35*24*3600)</f>
        <v>417.82591607300844</v>
      </c>
      <c r="W238" s="2">
        <f>('L-Values'!S238*'D(Ti_Cherniak) Times'!$F238*0.000001)^2/(4*'D(Ti_Cherniak) Times'!$C238)/(365.35*24*3600)</f>
        <v>422.52306854858017</v>
      </c>
      <c r="X238" s="2"/>
      <c r="Y238" s="2">
        <f>('L-Values'!U238*'D(Ti_Cherniak) Times'!$F238*0.000001)^2/(4*'D(Ti_Cherniak) Times'!$C238)/(365.35*24*3600)</f>
        <v>438.53277679983313</v>
      </c>
      <c r="Z238" s="2">
        <f>('L-Values'!V238*'D(Ti_Cherniak) Times'!$F238*0.000001)^2/(4*'D(Ti_Cherniak) Times'!$C238)/(365.35*24*3600)</f>
        <v>434.28217021080451</v>
      </c>
      <c r="AA238" s="2">
        <f>('L-Values'!W238*'D(Ti_Cherniak) Times'!$F238*0.000001)^2/(4*'D(Ti_Cherniak) Times'!$C238)/(365.35*24*3600)</f>
        <v>231.52415121845661</v>
      </c>
      <c r="AB238" s="2">
        <f>('L-Values'!X238*'D(Ti_Cherniak) Times'!$F238*0.000001)^2/(4*'D(Ti_Cherniak) Times'!$C238)/(365.35*24*3600)</f>
        <v>708.007571278976</v>
      </c>
      <c r="AC238" s="2">
        <f t="shared" si="14"/>
        <v>202.7580189923479</v>
      </c>
      <c r="AD238" s="2">
        <f t="shared" si="15"/>
        <v>273.72540106817149</v>
      </c>
    </row>
    <row r="239" spans="1:30" x14ac:dyDescent="0.2">
      <c r="A239" t="str">
        <f>'L-Values'!A239</f>
        <v>CGI011-qtz11-CL-fit-4-offset</v>
      </c>
      <c r="B239">
        <v>750</v>
      </c>
      <c r="C239">
        <f t="shared" si="12"/>
        <v>8.0537892000481889E-22</v>
      </c>
      <c r="D239">
        <v>1600</v>
      </c>
      <c r="E239">
        <v>1024</v>
      </c>
      <c r="F239">
        <f t="shared" si="13"/>
        <v>1.5625</v>
      </c>
      <c r="I239" s="2">
        <f>('L-Values'!E239*'D(Ti_Cherniak) Times'!$F239*0.000001)^2/(4*'D(Ti_Cherniak) Times'!$C239)/(365.35*24*3600)</f>
        <v>207.3303942023054</v>
      </c>
      <c r="J239" s="2">
        <f>('L-Values'!F239*'D(Ti_Cherniak) Times'!$F239*0.000001)^2/(4*'D(Ti_Cherniak) Times'!$C239)/(365.35*24*3600)</f>
        <v>171.83553027526119</v>
      </c>
      <c r="K239" s="2">
        <f>('L-Values'!G239*'D(Ti_Cherniak) Times'!$F239*0.000001)^2/(4*'D(Ti_Cherniak) Times'!$C239)/(365.35*24*3600)</f>
        <v>152.96171491798984</v>
      </c>
      <c r="L239" s="2">
        <f>('L-Values'!H239*'D(Ti_Cherniak) Times'!$F239*0.000001)^2/(4*'D(Ti_Cherniak) Times'!$C239)/(365.35*24*3600)</f>
        <v>165.91757478476251</v>
      </c>
      <c r="M239" s="2">
        <f>('L-Values'!I239*'D(Ti_Cherniak) Times'!$F239*0.000001)^2/(4*'D(Ti_Cherniak) Times'!$C239)/(365.35*24*3600)</f>
        <v>22.703053479239358</v>
      </c>
      <c r="N239" s="2">
        <f>('L-Values'!J239*'D(Ti_Cherniak) Times'!$F239*0.000001)^2/(4*'D(Ti_Cherniak) Times'!$C239)/(365.35*24*3600)</f>
        <v>9.0669402130937318</v>
      </c>
      <c r="O239" s="2">
        <f>('L-Values'!K239*'D(Ti_Cherniak) Times'!$F239*0.000001)^2/(4*'D(Ti_Cherniak) Times'!$C239)/(365.35*24*3600)</f>
        <v>40.939347748441428</v>
      </c>
      <c r="P239" s="2">
        <f>('L-Values'!L239*'D(Ti_Cherniak) Times'!$F239*0.000001)^2/(4*'D(Ti_Cherniak) Times'!$C239)/(365.35*24*3600)</f>
        <v>82.466515163452868</v>
      </c>
      <c r="Q239" s="2">
        <f>('L-Values'!M239*'D(Ti_Cherniak) Times'!$F239*0.000001)^2/(4*'D(Ti_Cherniak) Times'!$C239)/(365.35*24*3600)</f>
        <v>138.81122949391948</v>
      </c>
      <c r="R239" s="2">
        <f>('L-Values'!N239*'D(Ti_Cherniak) Times'!$F239*0.000001)^2/(4*'D(Ti_Cherniak) Times'!$C239)/(365.35*24*3600)</f>
        <v>117.6167514460447</v>
      </c>
      <c r="S239" s="2">
        <f>('L-Values'!O239*'D(Ti_Cherniak) Times'!$F239*0.000001)^2/(4*'D(Ti_Cherniak) Times'!$C239)/(365.35*24*3600)</f>
        <v>116.53228497385125</v>
      </c>
      <c r="T239" s="2"/>
      <c r="U239" s="2">
        <f>('L-Values'!Q239*'D(Ti_Cherniak) Times'!$F239*0.000001)^2/(4*'D(Ti_Cherniak) Times'!$C239)/(365.35*24*3600)</f>
        <v>103.93154682136209</v>
      </c>
      <c r="V239" s="2">
        <f>('L-Values'!R239*'D(Ti_Cherniak) Times'!$F239*0.000001)^2/(4*'D(Ti_Cherniak) Times'!$C239)/(365.35*24*3600)</f>
        <v>98.97283961609557</v>
      </c>
      <c r="W239" s="2">
        <f>('L-Values'!S239*'D(Ti_Cherniak) Times'!$F239*0.000001)^2/(4*'D(Ti_Cherniak) Times'!$C239)/(365.35*24*3600)</f>
        <v>117.6167514460447</v>
      </c>
      <c r="X239" s="2"/>
      <c r="Y239" s="2">
        <f>('L-Values'!U239*'D(Ti_Cherniak) Times'!$F239*0.000001)^2/(4*'D(Ti_Cherniak) Times'!$C239)/(365.35*24*3600)</f>
        <v>88.978057762095602</v>
      </c>
      <c r="Z239" s="2">
        <f>('L-Values'!V239*'D(Ti_Cherniak) Times'!$F239*0.000001)^2/(4*'D(Ti_Cherniak) Times'!$C239)/(365.35*24*3600)</f>
        <v>83.436132711881513</v>
      </c>
      <c r="AA239" s="2">
        <f>('L-Values'!W239*'D(Ti_Cherniak) Times'!$F239*0.000001)^2/(4*'D(Ti_Cherniak) Times'!$C239)/(365.35*24*3600)</f>
        <v>9.4281706148117195</v>
      </c>
      <c r="AB239" s="2">
        <f>('L-Values'!X239*'D(Ti_Cherniak) Times'!$F239*0.000001)^2/(4*'D(Ti_Cherniak) Times'!$C239)/(365.35*24*3600)</f>
        <v>208.05319952465052</v>
      </c>
      <c r="AC239" s="2">
        <f t="shared" si="14"/>
        <v>74.007962097069793</v>
      </c>
      <c r="AD239" s="2">
        <f t="shared" si="15"/>
        <v>124.61706681276901</v>
      </c>
    </row>
    <row r="240" spans="1:30" x14ac:dyDescent="0.2">
      <c r="A240" t="str">
        <f>'L-Values'!A240</f>
        <v>CGI011-qtz12-CL-fit-1-offset</v>
      </c>
      <c r="B240">
        <v>750</v>
      </c>
      <c r="C240">
        <f t="shared" si="12"/>
        <v>8.0537892000481889E-22</v>
      </c>
      <c r="D240">
        <v>1550</v>
      </c>
      <c r="E240">
        <v>1024</v>
      </c>
      <c r="F240">
        <f t="shared" si="13"/>
        <v>1.513671875</v>
      </c>
      <c r="I240" s="2">
        <f>('L-Values'!E240*'D(Ti_Cherniak) Times'!$F240*0.000001)^2/(4*'D(Ti_Cherniak) Times'!$C240)/(365.35*24*3600)</f>
        <v>782.04827624480777</v>
      </c>
      <c r="J240" s="2">
        <f>('L-Values'!F240*'D(Ti_Cherniak) Times'!$F240*0.000001)^2/(4*'D(Ti_Cherniak) Times'!$C240)/(365.35*24*3600)</f>
        <v>398.35889529804814</v>
      </c>
      <c r="K240" s="2">
        <f>('L-Values'!G240*'D(Ti_Cherniak) Times'!$F240*0.000001)^2/(4*'D(Ti_Cherniak) Times'!$C240)/(365.35*24*3600)</f>
        <v>444.93528155439355</v>
      </c>
      <c r="L240" s="2">
        <f>('L-Values'!H240*'D(Ti_Cherniak) Times'!$F240*0.000001)^2/(4*'D(Ti_Cherniak) Times'!$C240)/(365.35*24*3600)</f>
        <v>379.635618045179</v>
      </c>
      <c r="M240" s="2">
        <f>('L-Values'!I240*'D(Ti_Cherniak) Times'!$F240*0.000001)^2/(4*'D(Ti_Cherniak) Times'!$C240)/(365.35*24*3600)</f>
        <v>453.49823256728831</v>
      </c>
      <c r="N240" s="2">
        <f>('L-Values'!J240*'D(Ti_Cherniak) Times'!$F240*0.000001)^2/(4*'D(Ti_Cherniak) Times'!$C240)/(365.35*24*3600)</f>
        <v>359.52348412063321</v>
      </c>
      <c r="O240" s="2">
        <f>('L-Values'!K240*'D(Ti_Cherniak) Times'!$F240*0.000001)^2/(4*'D(Ti_Cherniak) Times'!$C240)/(365.35*24*3600)</f>
        <v>525.42271243803589</v>
      </c>
      <c r="P240" s="2">
        <f>('L-Values'!L240*'D(Ti_Cherniak) Times'!$F240*0.000001)^2/(4*'D(Ti_Cherniak) Times'!$C240)/(365.35*24*3600)</f>
        <v>388.68554013740334</v>
      </c>
      <c r="Q240" s="2">
        <f>('L-Values'!M240*'D(Ti_Cherniak) Times'!$F240*0.000001)^2/(4*'D(Ti_Cherniak) Times'!$C240)/(365.35*24*3600)</f>
        <v>1410.1392210676927</v>
      </c>
      <c r="R240" s="2">
        <f>('L-Values'!N240*'D(Ti_Cherniak) Times'!$F240*0.000001)^2/(4*'D(Ti_Cherniak) Times'!$C240)/(365.35*24*3600)</f>
        <v>918.72816348449453</v>
      </c>
      <c r="S240" s="2">
        <f>('L-Values'!O240*'D(Ti_Cherniak) Times'!$F240*0.000001)^2/(4*'D(Ti_Cherniak) Times'!$C240)/(365.35*24*3600)</f>
        <v>772.51201083571834</v>
      </c>
      <c r="T240" s="2"/>
      <c r="U240" s="2">
        <f>('L-Values'!Q240*'D(Ti_Cherniak) Times'!$F240*0.000001)^2/(4*'D(Ti_Cherniak) Times'!$C240)/(365.35*24*3600)</f>
        <v>562.33232957171037</v>
      </c>
      <c r="V240" s="2">
        <f>('L-Values'!R240*'D(Ti_Cherniak) Times'!$F240*0.000001)^2/(4*'D(Ti_Cherniak) Times'!$C240)/(365.35*24*3600)</f>
        <v>589.39501172788869</v>
      </c>
      <c r="W240" s="2">
        <f>('L-Values'!S240*'D(Ti_Cherniak) Times'!$F240*0.000001)^2/(4*'D(Ti_Cherniak) Times'!$C240)/(365.35*24*3600)</f>
        <v>453.49823256728831</v>
      </c>
      <c r="X240" s="2"/>
      <c r="Y240" s="2">
        <f>('L-Values'!U240*'D(Ti_Cherniak) Times'!$F240*0.000001)^2/(4*'D(Ti_Cherniak) Times'!$C240)/(365.35*24*3600)</f>
        <v>541.67658272340987</v>
      </c>
      <c r="Z240" s="2">
        <f>('L-Values'!V240*'D(Ti_Cherniak) Times'!$F240*0.000001)^2/(4*'D(Ti_Cherniak) Times'!$C240)/(365.35*24*3600)</f>
        <v>576.13989240011006</v>
      </c>
      <c r="AA240" s="2">
        <f>('L-Values'!W240*'D(Ti_Cherniak) Times'!$F240*0.000001)^2/(4*'D(Ti_Cherniak) Times'!$C240)/(365.35*24*3600)</f>
        <v>210.17355628234969</v>
      </c>
      <c r="AB240" s="2">
        <f>('L-Values'!X240*'D(Ti_Cherniak) Times'!$F240*0.000001)^2/(4*'D(Ti_Cherniak) Times'!$C240)/(365.35*24*3600)</f>
        <v>1093.2814582906631</v>
      </c>
      <c r="AC240" s="2">
        <f t="shared" si="14"/>
        <v>365.96633611776036</v>
      </c>
      <c r="AD240" s="2">
        <f t="shared" si="15"/>
        <v>517.14156589055301</v>
      </c>
    </row>
    <row r="241" spans="1:30" x14ac:dyDescent="0.2">
      <c r="A241" t="str">
        <f>'L-Values'!A241</f>
        <v>CGI011-qtz12-CL-fit-2-offset</v>
      </c>
      <c r="B241">
        <v>750</v>
      </c>
      <c r="C241">
        <f t="shared" si="12"/>
        <v>8.0537892000481889E-22</v>
      </c>
      <c r="D241">
        <v>1550</v>
      </c>
      <c r="E241">
        <v>1024</v>
      </c>
      <c r="F241">
        <f t="shared" si="13"/>
        <v>1.513671875</v>
      </c>
      <c r="I241" s="2">
        <f>('L-Values'!E241*'D(Ti_Cherniak) Times'!$F241*0.000001)^2/(4*'D(Ti_Cherniak) Times'!$C241)/(365.35*24*3600)</f>
        <v>790.10559826875419</v>
      </c>
      <c r="J241" s="2">
        <f>('L-Values'!F241*'D(Ti_Cherniak) Times'!$F241*0.000001)^2/(4*'D(Ti_Cherniak) Times'!$C241)/(365.35*24*3600)</f>
        <v>587.80012611657708</v>
      </c>
      <c r="K241" s="2">
        <f>('L-Values'!G241*'D(Ti_Cherniak) Times'!$F241*0.000001)^2/(4*'D(Ti_Cherniak) Times'!$C241)/(365.35*24*3600)</f>
        <v>989.43758603701167</v>
      </c>
      <c r="L241" s="2">
        <f>('L-Values'!H241*'D(Ti_Cherniak) Times'!$F241*0.000001)^2/(4*'D(Ti_Cherniak) Times'!$C241)/(365.35*24*3600)</f>
        <v>531.47438431037506</v>
      </c>
      <c r="M241" s="2">
        <f>('L-Values'!I241*'D(Ti_Cherniak) Times'!$F241*0.000001)^2/(4*'D(Ti_Cherniak) Times'!$C241)/(365.35*24*3600)</f>
        <v>862.95752080682632</v>
      </c>
      <c r="N241" s="2">
        <f>('L-Values'!J241*'D(Ti_Cherniak) Times'!$F241*0.000001)^2/(4*'D(Ti_Cherniak) Times'!$C241)/(365.35*24*3600)</f>
        <v>771.93060268752618</v>
      </c>
      <c r="O241" s="2">
        <f>('L-Values'!K241*'D(Ti_Cherniak) Times'!$F241*0.000001)^2/(4*'D(Ti_Cherniak) Times'!$C241)/(365.35*24*3600)</f>
        <v>802.51344122535545</v>
      </c>
      <c r="P241" s="2">
        <f>('L-Values'!L241*'D(Ti_Cherniak) Times'!$F241*0.000001)^2/(4*'D(Ti_Cherniak) Times'!$C241)/(365.35*24*3600)</f>
        <v>1050.0768729337797</v>
      </c>
      <c r="Q241" s="2">
        <f>('L-Values'!M241*'D(Ti_Cherniak) Times'!$F241*0.000001)^2/(4*'D(Ti_Cherniak) Times'!$C241)/(365.35*24*3600)</f>
        <v>500.77394642865539</v>
      </c>
      <c r="R241" s="2">
        <f>('L-Values'!N241*'D(Ti_Cherniak) Times'!$F241*0.000001)^2/(4*'D(Ti_Cherniak) Times'!$C241)/(365.35*24*3600)</f>
        <v>806.16258428795709</v>
      </c>
      <c r="S241" s="2">
        <f>('L-Values'!O241*'D(Ti_Cherniak) Times'!$F241*0.000001)^2/(4*'D(Ti_Cherniak) Times'!$C241)/(365.35*24*3600)</f>
        <v>469.12857099617554</v>
      </c>
      <c r="T241" s="2"/>
      <c r="U241" s="2">
        <f>('L-Values'!Q241*'D(Ti_Cherniak) Times'!$F241*0.000001)^2/(4*'D(Ti_Cherniak) Times'!$C241)/(365.35*24*3600)</f>
        <v>713.6802179093113</v>
      </c>
      <c r="V241" s="2">
        <f>('L-Values'!R241*'D(Ti_Cherniak) Times'!$F241*0.000001)^2/(4*'D(Ti_Cherniak) Times'!$C241)/(365.35*24*3600)</f>
        <v>729.91413734674848</v>
      </c>
      <c r="W241" s="2">
        <f>('L-Values'!S241*'D(Ti_Cherniak) Times'!$F241*0.000001)^2/(4*'D(Ti_Cherniak) Times'!$C241)/(365.35*24*3600)</f>
        <v>790.10559826875419</v>
      </c>
      <c r="X241" s="2"/>
      <c r="Y241" s="2">
        <f>('L-Values'!U241*'D(Ti_Cherniak) Times'!$F241*0.000001)^2/(4*'D(Ti_Cherniak) Times'!$C241)/(365.35*24*3600)</f>
        <v>700.46040956587331</v>
      </c>
      <c r="Z241" s="2">
        <f>('L-Values'!V241*'D(Ti_Cherniak) Times'!$F241*0.000001)^2/(4*'D(Ti_Cherniak) Times'!$C241)/(365.35*24*3600)</f>
        <v>705.15059127326651</v>
      </c>
      <c r="AA241" s="2">
        <f>('L-Values'!W241*'D(Ti_Cherniak) Times'!$F241*0.000001)^2/(4*'D(Ti_Cherniak) Times'!$C241)/(365.35*24*3600)</f>
        <v>445.64634994683155</v>
      </c>
      <c r="AB241" s="2">
        <f>('L-Values'!X241*'D(Ti_Cherniak) Times'!$F241*0.000001)^2/(4*'D(Ti_Cherniak) Times'!$C241)/(365.35*24*3600)</f>
        <v>1183.4446329697339</v>
      </c>
      <c r="AC241" s="2">
        <f t="shared" si="14"/>
        <v>259.50424132643496</v>
      </c>
      <c r="AD241" s="2">
        <f t="shared" si="15"/>
        <v>478.29404169646739</v>
      </c>
    </row>
    <row r="242" spans="1:30" x14ac:dyDescent="0.2">
      <c r="A242" t="str">
        <f>'L-Values'!A242</f>
        <v>CGI011-qtz12-CL-fit-3-offset</v>
      </c>
      <c r="B242">
        <v>750</v>
      </c>
      <c r="C242">
        <f t="shared" si="12"/>
        <v>8.0537892000481889E-22</v>
      </c>
      <c r="D242">
        <v>1550</v>
      </c>
      <c r="E242">
        <v>1024</v>
      </c>
      <c r="F242">
        <f t="shared" si="13"/>
        <v>1.513671875</v>
      </c>
      <c r="I242" s="2">
        <f>('L-Values'!E242*'D(Ti_Cherniak) Times'!$F242*0.000001)^2/(4*'D(Ti_Cherniak) Times'!$C242)/(365.35*24*3600)</f>
        <v>0</v>
      </c>
      <c r="J242" s="2">
        <f>('L-Values'!F242*'D(Ti_Cherniak) Times'!$F242*0.000001)^2/(4*'D(Ti_Cherniak) Times'!$C242)/(365.35*24*3600)</f>
        <v>629.94719188104136</v>
      </c>
      <c r="K242" s="2">
        <f>('L-Values'!G242*'D(Ti_Cherniak) Times'!$F242*0.000001)^2/(4*'D(Ti_Cherniak) Times'!$C242)/(365.35*24*3600)</f>
        <v>788.70166426658045</v>
      </c>
      <c r="L242" s="2">
        <f>('L-Values'!H242*'D(Ti_Cherniak) Times'!$F242*0.000001)^2/(4*'D(Ti_Cherniak) Times'!$C242)/(365.35*24*3600)</f>
        <v>294.10710507174969</v>
      </c>
      <c r="M242" s="2">
        <f>('L-Values'!I242*'D(Ti_Cherniak) Times'!$F242*0.000001)^2/(4*'D(Ti_Cherniak) Times'!$C242)/(365.35*24*3600)</f>
        <v>433.21651811902848</v>
      </c>
      <c r="N242" s="2">
        <f>('L-Values'!J242*'D(Ti_Cherniak) Times'!$F242*0.000001)^2/(4*'D(Ti_Cherniak) Times'!$C242)/(365.35*24*3600)</f>
        <v>470.16695388780181</v>
      </c>
      <c r="O242" s="2">
        <f>('L-Values'!K242*'D(Ti_Cherniak) Times'!$F242*0.000001)^2/(4*'D(Ti_Cherniak) Times'!$C242)/(365.35*24*3600)</f>
        <v>361.27739370679677</v>
      </c>
      <c r="P242" s="2">
        <f>('L-Values'!L242*'D(Ti_Cherniak) Times'!$F242*0.000001)^2/(4*'D(Ti_Cherniak) Times'!$C242)/(365.35*24*3600)</f>
        <v>564.69990888903328</v>
      </c>
      <c r="Q242" s="2">
        <f>('L-Values'!M242*'D(Ti_Cherniak) Times'!$F242*0.000001)^2/(4*'D(Ti_Cherniak) Times'!$C242)/(365.35*24*3600)</f>
        <v>434.69474172510689</v>
      </c>
      <c r="R242" s="2">
        <f>('L-Values'!N242*'D(Ti_Cherniak) Times'!$F242*0.000001)^2/(4*'D(Ti_Cherniak) Times'!$C242)/(365.35*24*3600)</f>
        <v>780.35870784665008</v>
      </c>
      <c r="S242" s="2">
        <f>('L-Values'!O242*'D(Ti_Cherniak) Times'!$F242*0.000001)^2/(4*'D(Ti_Cherniak) Times'!$C242)/(365.35*24*3600)</f>
        <v>475.90914561758228</v>
      </c>
      <c r="T242" s="2"/>
      <c r="U242" s="2">
        <f>('L-Values'!Q242*'D(Ti_Cherniak) Times'!$F242*0.000001)^2/(4*'D(Ti_Cherniak) Times'!$C242)/(365.35*24*3600)</f>
        <v>543.98712768202734</v>
      </c>
      <c r="V242" s="2">
        <f>('L-Values'!R242*'D(Ti_Cherniak) Times'!$F242*0.000001)^2/(4*'D(Ti_Cherniak) Times'!$C242)/(365.35*24*3600)</f>
        <v>511.66264306346284</v>
      </c>
      <c r="W242" s="2">
        <f>('L-Values'!S242*'D(Ti_Cherniak) Times'!$F242*0.000001)^2/(4*'D(Ti_Cherniak) Times'!$C242)/(365.35*24*3600)</f>
        <v>473.03369319649732</v>
      </c>
      <c r="X242" s="2"/>
      <c r="Y242" s="2">
        <f>('L-Values'!U242*'D(Ti_Cherniak) Times'!$F242*0.000001)^2/(4*'D(Ti_Cherniak) Times'!$C242)/(365.35*24*3600)</f>
        <v>519.51925106013664</v>
      </c>
      <c r="Z242" s="2">
        <f>('L-Values'!V242*'D(Ti_Cherniak) Times'!$F242*0.000001)^2/(4*'D(Ti_Cherniak) Times'!$C242)/(365.35*24*3600)</f>
        <v>512.17711318168688</v>
      </c>
      <c r="AA242" s="2">
        <f>('L-Values'!W242*'D(Ti_Cherniak) Times'!$F242*0.000001)^2/(4*'D(Ti_Cherniak) Times'!$C242)/(365.35*24*3600)</f>
        <v>231.69133076180515</v>
      </c>
      <c r="AB242" s="2">
        <f>('L-Values'!X242*'D(Ti_Cherniak) Times'!$F242*0.000001)^2/(4*'D(Ti_Cherniak) Times'!$C242)/(365.35*24*3600)</f>
        <v>958.65479207628232</v>
      </c>
      <c r="AC242" s="2">
        <f t="shared" si="14"/>
        <v>280.48578241988173</v>
      </c>
      <c r="AD242" s="2">
        <f t="shared" si="15"/>
        <v>446.47767889459544</v>
      </c>
    </row>
    <row r="243" spans="1:30" x14ac:dyDescent="0.2">
      <c r="A243" t="str">
        <f>'L-Values'!A243</f>
        <v>CGI011-qtz12-CL-fit-4-offset</v>
      </c>
      <c r="B243">
        <v>750</v>
      </c>
      <c r="C243">
        <f t="shared" si="12"/>
        <v>8.0537892000481889E-22</v>
      </c>
      <c r="D243">
        <v>1550</v>
      </c>
      <c r="E243">
        <v>1024</v>
      </c>
      <c r="F243">
        <f t="shared" si="13"/>
        <v>1.513671875</v>
      </c>
      <c r="I243" s="2">
        <f>('L-Values'!E243*'D(Ti_Cherniak) Times'!$F243*0.000001)^2/(4*'D(Ti_Cherniak) Times'!$C243)/(365.35*24*3600)</f>
        <v>197.86312458797426</v>
      </c>
      <c r="J243" s="2">
        <f>('L-Values'!F243*'D(Ti_Cherniak) Times'!$F243*0.000001)^2/(4*'D(Ti_Cherniak) Times'!$C243)/(365.35*24*3600)</f>
        <v>227.93410741829862</v>
      </c>
      <c r="K243" s="2">
        <f>('L-Values'!G243*'D(Ti_Cherniak) Times'!$F243*0.000001)^2/(4*'D(Ti_Cherniak) Times'!$C243)/(365.35*24*3600)</f>
        <v>445.36727307237982</v>
      </c>
      <c r="L243" s="2">
        <f>('L-Values'!H243*'D(Ti_Cherniak) Times'!$F243*0.000001)^2/(4*'D(Ti_Cherniak) Times'!$C243)/(365.35*24*3600)</f>
        <v>336.36600783377469</v>
      </c>
      <c r="M243" s="2">
        <f>('L-Values'!I243*'D(Ti_Cherniak) Times'!$F243*0.000001)^2/(4*'D(Ti_Cherniak) Times'!$C243)/(365.35*24*3600)</f>
        <v>293.49677559556073</v>
      </c>
      <c r="N243" s="2">
        <f>('L-Values'!J243*'D(Ti_Cherniak) Times'!$F243*0.000001)^2/(4*'D(Ti_Cherniak) Times'!$C243)/(365.35*24*3600)</f>
        <v>263.08906051119192</v>
      </c>
      <c r="O243" s="2">
        <f>('L-Values'!K243*'D(Ti_Cherniak) Times'!$F243*0.000001)^2/(4*'D(Ti_Cherniak) Times'!$C243)/(365.35*24*3600)</f>
        <v>218.83844906297563</v>
      </c>
      <c r="P243" s="2">
        <f>('L-Values'!L243*'D(Ti_Cherniak) Times'!$F243*0.000001)^2/(4*'D(Ti_Cherniak) Times'!$C243)/(365.35*24*3600)</f>
        <v>308.13718004369878</v>
      </c>
      <c r="Q243" s="2">
        <f>('L-Values'!M243*'D(Ti_Cherniak) Times'!$F243*0.000001)^2/(4*'D(Ti_Cherniak) Times'!$C243)/(365.35*24*3600)</f>
        <v>476.30676891116116</v>
      </c>
      <c r="R243" s="2">
        <f>('L-Values'!N243*'D(Ti_Cherniak) Times'!$F243*0.000001)^2/(4*'D(Ti_Cherniak) Times'!$C243)/(365.35*24*3600)</f>
        <v>373.75155335288173</v>
      </c>
      <c r="S243" s="2">
        <f>('L-Values'!O243*'D(Ti_Cherniak) Times'!$F243*0.000001)^2/(4*'D(Ti_Cherniak) Times'!$C243)/(365.35*24*3600)</f>
        <v>272.13734479321562</v>
      </c>
      <c r="T243" s="2"/>
      <c r="U243" s="2">
        <f>('L-Values'!Q243*'D(Ti_Cherniak) Times'!$F243*0.000001)^2/(4*'D(Ti_Cherniak) Times'!$C243)/(365.35*24*3600)</f>
        <v>294.29717612324373</v>
      </c>
      <c r="V243" s="2">
        <f>('L-Values'!R243*'D(Ti_Cherniak) Times'!$F243*0.000001)^2/(4*'D(Ti_Cherniak) Times'!$C243)/(365.35*24*3600)</f>
        <v>304.53539607543092</v>
      </c>
      <c r="W243" s="2">
        <f>('L-Values'!S243*'D(Ti_Cherniak) Times'!$F243*0.000001)^2/(4*'D(Ti_Cherniak) Times'!$C243)/(365.35*24*3600)</f>
        <v>293.49677559556073</v>
      </c>
      <c r="X243" s="2"/>
      <c r="Y243" s="2">
        <f>('L-Values'!U243*'D(Ti_Cherniak) Times'!$F243*0.000001)^2/(4*'D(Ti_Cherniak) Times'!$C243)/(365.35*24*3600)</f>
        <v>296.43183134491022</v>
      </c>
      <c r="Z243" s="2">
        <f>('L-Values'!V243*'D(Ti_Cherniak) Times'!$F243*0.000001)^2/(4*'D(Ti_Cherniak) Times'!$C243)/(365.35*24*3600)</f>
        <v>307.11788031197125</v>
      </c>
      <c r="AA243" s="2">
        <f>('L-Values'!W243*'D(Ti_Cherniak) Times'!$F243*0.000001)^2/(4*'D(Ti_Cherniak) Times'!$C243)/(365.35*24*3600)</f>
        <v>163.80766267693252</v>
      </c>
      <c r="AB243" s="2">
        <f>('L-Values'!X243*'D(Ti_Cherniak) Times'!$F243*0.000001)^2/(4*'D(Ti_Cherniak) Times'!$C243)/(365.35*24*3600)</f>
        <v>528.10707398394209</v>
      </c>
      <c r="AC243" s="2">
        <f t="shared" si="14"/>
        <v>143.31021763503873</v>
      </c>
      <c r="AD243" s="2">
        <f t="shared" si="15"/>
        <v>220.98919367197084</v>
      </c>
    </row>
    <row r="244" spans="1:30" x14ac:dyDescent="0.2">
      <c r="A244" t="str">
        <f>'L-Values'!A244</f>
        <v>CGI014-qtz01-CL-fit-1-offset</v>
      </c>
      <c r="B244">
        <v>750</v>
      </c>
      <c r="C244">
        <f t="shared" si="12"/>
        <v>8.0537892000481889E-22</v>
      </c>
      <c r="D244">
        <v>1600</v>
      </c>
      <c r="E244">
        <v>1024</v>
      </c>
      <c r="F244">
        <f t="shared" si="13"/>
        <v>1.5625</v>
      </c>
      <c r="I244" s="2">
        <f>('L-Values'!E244*'D(Ti_Cherniak) Times'!$F244*0.000001)^2/(4*'D(Ti_Cherniak) Times'!$C244)/(365.35*24*3600)</f>
        <v>9.1982243225896015E-2</v>
      </c>
      <c r="J244" s="2">
        <f>('L-Values'!F244*'D(Ti_Cherniak) Times'!$F244*0.000001)^2/(4*'D(Ti_Cherniak) Times'!$C244)/(365.35*24*3600)</f>
        <v>666.79212082454865</v>
      </c>
      <c r="K244" s="2">
        <f>('L-Values'!G244*'D(Ti_Cherniak) Times'!$F244*0.000001)^2/(4*'D(Ti_Cherniak) Times'!$C244)/(365.35*24*3600)</f>
        <v>853.24599781828863</v>
      </c>
      <c r="L244" s="2">
        <f>('L-Values'!H244*'D(Ti_Cherniak) Times'!$F244*0.000001)^2/(4*'D(Ti_Cherniak) Times'!$C244)/(365.35*24*3600)</f>
        <v>43.938190140567713</v>
      </c>
      <c r="M244" s="2">
        <f>('L-Values'!I244*'D(Ti_Cherniak) Times'!$F244*0.000001)^2/(4*'D(Ti_Cherniak) Times'!$C244)/(365.35*24*3600)</f>
        <v>167.36716362894424</v>
      </c>
      <c r="N244" s="2">
        <f>('L-Values'!J244*'D(Ti_Cherniak) Times'!$F244*0.000001)^2/(4*'D(Ti_Cherniak) Times'!$C244)/(365.35*24*3600)</f>
        <v>42.170972504913244</v>
      </c>
      <c r="O244" s="2">
        <f>('L-Values'!K244*'D(Ti_Cherniak) Times'!$F244*0.000001)^2/(4*'D(Ti_Cherniak) Times'!$C244)/(365.35*24*3600)</f>
        <v>319.81503741773088</v>
      </c>
      <c r="P244" s="2">
        <f>('L-Values'!L244*'D(Ti_Cherniak) Times'!$F244*0.000001)^2/(4*'D(Ti_Cherniak) Times'!$C244)/(365.35*24*3600)</f>
        <v>2.4472776098301979E-4</v>
      </c>
      <c r="Q244" s="2">
        <f>('L-Values'!M244*'D(Ti_Cherniak) Times'!$F244*0.000001)^2/(4*'D(Ti_Cherniak) Times'!$C244)/(365.35*24*3600)</f>
        <v>178.27592879274809</v>
      </c>
      <c r="R244" s="2">
        <f>('L-Values'!N244*'D(Ti_Cherniak) Times'!$F244*0.000001)^2/(4*'D(Ti_Cherniak) Times'!$C244)/(365.35*24*3600)</f>
        <v>0.13894109593459872</v>
      </c>
      <c r="S244" s="2">
        <f>('L-Values'!O244*'D(Ti_Cherniak) Times'!$F244*0.000001)^2/(4*'D(Ti_Cherniak) Times'!$C244)/(365.35*24*3600)</f>
        <v>250.33144324131567</v>
      </c>
      <c r="T244" s="2"/>
      <c r="U244" s="2">
        <f>('L-Values'!Q244*'D(Ti_Cherniak) Times'!$F244*0.000001)^2/(4*'D(Ti_Cherniak) Times'!$C244)/(365.35*24*3600)</f>
        <v>151.04912650881113</v>
      </c>
      <c r="V244" s="2">
        <f>('L-Values'!R244*'D(Ti_Cherniak) Times'!$F244*0.000001)^2/(4*'D(Ti_Cherniak) Times'!$C244)/(365.35*24*3600)</f>
        <v>137.19045884225554</v>
      </c>
      <c r="W244" s="2">
        <f>('L-Values'!S244*'D(Ti_Cherniak) Times'!$F244*0.000001)^2/(4*'D(Ti_Cherniak) Times'!$C244)/(365.35*24*3600)</f>
        <v>167.36716362894424</v>
      </c>
      <c r="X244" s="2"/>
      <c r="Y244" s="2">
        <f>('L-Values'!U244*'D(Ti_Cherniak) Times'!$F244*0.000001)^2/(4*'D(Ti_Cherniak) Times'!$C244)/(365.35*24*3600)</f>
        <v>125.2037972569988</v>
      </c>
      <c r="Z244" s="2">
        <f>('L-Values'!V244*'D(Ti_Cherniak) Times'!$F244*0.000001)^2/(4*'D(Ti_Cherniak) Times'!$C244)/(365.35*24*3600)</f>
        <v>206.59665961485643</v>
      </c>
      <c r="AA244" s="2">
        <f>('L-Values'!W244*'D(Ti_Cherniak) Times'!$F244*0.000001)^2/(4*'D(Ti_Cherniak) Times'!$C244)/(365.35*24*3600)</f>
        <v>3.0604645089990865E-3</v>
      </c>
      <c r="AB244" s="2">
        <f>('L-Values'!X244*'D(Ti_Cherniak) Times'!$F244*0.000001)^2/(4*'D(Ti_Cherniak) Times'!$C244)/(365.35*24*3600)</f>
        <v>3204.511769728842</v>
      </c>
      <c r="AC244" s="2">
        <f t="shared" si="14"/>
        <v>206.59359915034744</v>
      </c>
      <c r="AD244" s="2">
        <f t="shared" si="15"/>
        <v>2997.9151101139855</v>
      </c>
    </row>
    <row r="245" spans="1:30" x14ac:dyDescent="0.2">
      <c r="A245" t="str">
        <f>'L-Values'!A245</f>
        <v>CGI014-qtz01-CL-fit-2-offset</v>
      </c>
      <c r="B245">
        <v>750</v>
      </c>
      <c r="C245">
        <f t="shared" si="12"/>
        <v>8.0537892000481889E-22</v>
      </c>
      <c r="D245">
        <v>1600</v>
      </c>
      <c r="E245">
        <v>1024</v>
      </c>
      <c r="F245">
        <f t="shared" si="13"/>
        <v>1.5625</v>
      </c>
      <c r="I245" s="2">
        <f>('L-Values'!E245*'D(Ti_Cherniak) Times'!$F245*0.000001)^2/(4*'D(Ti_Cherniak) Times'!$C245)/(365.35*24*3600)</f>
        <v>1.2821695045259249</v>
      </c>
      <c r="J245" s="2">
        <f>('L-Values'!F245*'D(Ti_Cherniak) Times'!$F245*0.000001)^2/(4*'D(Ti_Cherniak) Times'!$C245)/(365.35*24*3600)</f>
        <v>1.4006454422677053</v>
      </c>
      <c r="K245" s="2">
        <f>('L-Values'!G245*'D(Ti_Cherniak) Times'!$F245*0.000001)^2/(4*'D(Ti_Cherniak) Times'!$C245)/(365.35*24*3600)</f>
        <v>41.500852827339536</v>
      </c>
      <c r="L245" s="2">
        <f>('L-Values'!H245*'D(Ti_Cherniak) Times'!$F245*0.000001)^2/(4*'D(Ti_Cherniak) Times'!$C245)/(365.35*24*3600)</f>
        <v>0.27946518167788609</v>
      </c>
      <c r="M245" s="2">
        <f>('L-Values'!I245*'D(Ti_Cherniak) Times'!$F245*0.000001)^2/(4*'D(Ti_Cherniak) Times'!$C245)/(365.35*24*3600)</f>
        <v>1.3959031434750706</v>
      </c>
      <c r="N245" s="2">
        <f>('L-Values'!J245*'D(Ti_Cherniak) Times'!$F245*0.000001)^2/(4*'D(Ti_Cherniak) Times'!$C245)/(365.35*24*3600)</f>
        <v>37.397416027363768</v>
      </c>
      <c r="O245" s="2">
        <f>('L-Values'!K245*'D(Ti_Cherniak) Times'!$F245*0.000001)^2/(4*'D(Ti_Cherniak) Times'!$C245)/(365.35*24*3600)</f>
        <v>27.882234415419717</v>
      </c>
      <c r="P245" s="2">
        <f>('L-Values'!L245*'D(Ti_Cherniak) Times'!$F245*0.000001)^2/(4*'D(Ti_Cherniak) Times'!$C245)/(365.35*24*3600)</f>
        <v>1.2238735008699315</v>
      </c>
      <c r="Q245" s="2">
        <f>('L-Values'!M245*'D(Ti_Cherniak) Times'!$F245*0.000001)^2/(4*'D(Ti_Cherniak) Times'!$C245)/(365.35*24*3600)</f>
        <v>36.452745641004846</v>
      </c>
      <c r="R245" s="2">
        <f>('L-Values'!N245*'D(Ti_Cherniak) Times'!$F245*0.000001)^2/(4*'D(Ti_Cherniak) Times'!$C245)/(365.35*24*3600)</f>
        <v>1.0185680380855346</v>
      </c>
      <c r="S245" s="2">
        <f>('L-Values'!O245*'D(Ti_Cherniak) Times'!$F245*0.000001)^2/(4*'D(Ti_Cherniak) Times'!$C245)/(365.35*24*3600)</f>
        <v>160.4935019948089</v>
      </c>
      <c r="T245" s="2"/>
      <c r="U245" s="2">
        <f>('L-Values'!Q245*'D(Ti_Cherniak) Times'!$F245*0.000001)^2/(4*'D(Ti_Cherniak) Times'!$C245)/(365.35*24*3600)</f>
        <v>1.5945183651781865</v>
      </c>
      <c r="V245" s="2">
        <f>('L-Values'!R245*'D(Ti_Cherniak) Times'!$F245*0.000001)^2/(4*'D(Ti_Cherniak) Times'!$C245)/(365.35*24*3600)</f>
        <v>15.058287839670585</v>
      </c>
      <c r="W245" s="2">
        <f>('L-Values'!S245*'D(Ti_Cherniak) Times'!$F245*0.000001)^2/(4*'D(Ti_Cherniak) Times'!$C245)/(365.35*24*3600)</f>
        <v>1.4006454422677053</v>
      </c>
      <c r="X245" s="2"/>
      <c r="Y245" s="2">
        <f>('L-Values'!U245*'D(Ti_Cherniak) Times'!$F245*0.000001)^2/(4*'D(Ti_Cherniak) Times'!$C245)/(365.35*24*3600)</f>
        <v>6.7489338454310692</v>
      </c>
      <c r="Z245" s="2">
        <f>('L-Values'!V245*'D(Ti_Cherniak) Times'!$F245*0.000001)^2/(4*'D(Ti_Cherniak) Times'!$C245)/(365.35*24*3600)</f>
        <v>20.556500893353537</v>
      </c>
      <c r="AA245" s="2">
        <f>('L-Values'!W245*'D(Ti_Cherniak) Times'!$F245*0.000001)^2/(4*'D(Ti_Cherniak) Times'!$C245)/(365.35*24*3600)</f>
        <v>1.0144818425542802E-11</v>
      </c>
      <c r="AB245" s="2">
        <f>('L-Values'!X245*'D(Ti_Cherniak) Times'!$F245*0.000001)^2/(4*'D(Ti_Cherniak) Times'!$C245)/(365.35*24*3600)</f>
        <v>379.1410260601906</v>
      </c>
      <c r="AC245" s="2">
        <f t="shared" si="14"/>
        <v>20.55650089334339</v>
      </c>
      <c r="AD245" s="2">
        <f t="shared" si="15"/>
        <v>358.58452516683707</v>
      </c>
    </row>
    <row r="246" spans="1:30" x14ac:dyDescent="0.2">
      <c r="A246" t="str">
        <f>'L-Values'!A246</f>
        <v>CGI014-qtz02-CL-fit-1-offset</v>
      </c>
      <c r="B246">
        <v>750</v>
      </c>
      <c r="C246">
        <f t="shared" si="12"/>
        <v>8.0537892000481889E-22</v>
      </c>
      <c r="D246">
        <v>2000</v>
      </c>
      <c r="E246">
        <v>1024</v>
      </c>
      <c r="F246">
        <f t="shared" si="13"/>
        <v>1.953125</v>
      </c>
      <c r="I246" s="2">
        <f>('L-Values'!E246*'D(Ti_Cherniak) Times'!$F246*0.000001)^2/(4*'D(Ti_Cherniak) Times'!$C246)/(365.35*24*3600)</f>
        <v>529.05382786647726</v>
      </c>
      <c r="J246" s="2">
        <f>('L-Values'!F246*'D(Ti_Cherniak) Times'!$F246*0.000001)^2/(4*'D(Ti_Cherniak) Times'!$C246)/(365.35*24*3600)</f>
        <v>709.81042892339872</v>
      </c>
      <c r="K246" s="2">
        <f>('L-Values'!G246*'D(Ti_Cherniak) Times'!$F246*0.000001)^2/(4*'D(Ti_Cherniak) Times'!$C246)/(365.35*24*3600)</f>
        <v>671.30456551219743</v>
      </c>
      <c r="L246" s="2">
        <f>('L-Values'!H246*'D(Ti_Cherniak) Times'!$F246*0.000001)^2/(4*'D(Ti_Cherniak) Times'!$C246)/(365.35*24*3600)</f>
        <v>413.85837699719383</v>
      </c>
      <c r="M246" s="2">
        <f>('L-Values'!I246*'D(Ti_Cherniak) Times'!$F246*0.000001)^2/(4*'D(Ti_Cherniak) Times'!$C246)/(365.35*24*3600)</f>
        <v>802.61229558786613</v>
      </c>
      <c r="N246" s="2">
        <f>('L-Values'!J246*'D(Ti_Cherniak) Times'!$F246*0.000001)^2/(4*'D(Ti_Cherniak) Times'!$C246)/(365.35*24*3600)</f>
        <v>731.37345702801247</v>
      </c>
      <c r="O246" s="2">
        <f>('L-Values'!K246*'D(Ti_Cherniak) Times'!$F246*0.000001)^2/(4*'D(Ti_Cherniak) Times'!$C246)/(365.35*24*3600)</f>
        <v>655.04747669329583</v>
      </c>
      <c r="P246" s="2">
        <f>('L-Values'!L246*'D(Ti_Cherniak) Times'!$F246*0.000001)^2/(4*'D(Ti_Cherniak) Times'!$C246)/(365.35*24*3600)</f>
        <v>804.66869645127304</v>
      </c>
      <c r="Q246" s="2">
        <f>('L-Values'!M246*'D(Ti_Cherniak) Times'!$F246*0.000001)^2/(4*'D(Ti_Cherniak) Times'!$C246)/(365.35*24*3600)</f>
        <v>595.78345304476909</v>
      </c>
      <c r="R246" s="2">
        <f>('L-Values'!N246*'D(Ti_Cherniak) Times'!$F246*0.000001)^2/(4*'D(Ti_Cherniak) Times'!$C246)/(365.35*24*3600)</f>
        <v>292.90554416240798</v>
      </c>
      <c r="S246" s="2">
        <f>('L-Values'!O246*'D(Ti_Cherniak) Times'!$F246*0.000001)^2/(4*'D(Ti_Cherniak) Times'!$C246)/(365.35*24*3600)</f>
        <v>526.57738750534429</v>
      </c>
      <c r="T246" s="2"/>
      <c r="U246" s="2">
        <f>('L-Values'!Q246*'D(Ti_Cherniak) Times'!$F246*0.000001)^2/(4*'D(Ti_Cherniak) Times'!$C246)/(365.35*24*3600)</f>
        <v>583.93100904884272</v>
      </c>
      <c r="V246" s="2">
        <f>('L-Values'!R246*'D(Ti_Cherniak) Times'!$F246*0.000001)^2/(4*'D(Ti_Cherniak) Times'!$C246)/(365.35*24*3600)</f>
        <v>601.14941860985584</v>
      </c>
      <c r="W246" s="2">
        <f>('L-Values'!S246*'D(Ti_Cherniak) Times'!$F246*0.000001)^2/(4*'D(Ti_Cherniak) Times'!$C246)/(365.35*24*3600)</f>
        <v>655.04747669329583</v>
      </c>
      <c r="X246" s="2"/>
      <c r="Y246" s="2">
        <f>('L-Values'!U246*'D(Ti_Cherniak) Times'!$F246*0.000001)^2/(4*'D(Ti_Cherniak) Times'!$C246)/(365.35*24*3600)</f>
        <v>585.05638387753481</v>
      </c>
      <c r="Z246" s="2">
        <f>('L-Values'!V246*'D(Ti_Cherniak) Times'!$F246*0.000001)^2/(4*'D(Ti_Cherniak) Times'!$C246)/(365.35*24*3600)</f>
        <v>598.81374628857259</v>
      </c>
      <c r="AA246" s="2">
        <f>('L-Values'!W246*'D(Ti_Cherniak) Times'!$F246*0.000001)^2/(4*'D(Ti_Cherniak) Times'!$C246)/(365.35*24*3600)</f>
        <v>321.82777465852945</v>
      </c>
      <c r="AB246" s="2">
        <f>('L-Values'!X246*'D(Ti_Cherniak) Times'!$F246*0.000001)^2/(4*'D(Ti_Cherniak) Times'!$C246)/(365.35*24*3600)</f>
        <v>969.79097904244577</v>
      </c>
      <c r="AC246" s="2">
        <f t="shared" si="14"/>
        <v>276.98597163004314</v>
      </c>
      <c r="AD246" s="2">
        <f t="shared" si="15"/>
        <v>370.97723275387318</v>
      </c>
    </row>
    <row r="247" spans="1:30" x14ac:dyDescent="0.2">
      <c r="A247" t="str">
        <f>'L-Values'!A247</f>
        <v>CGI014-qtz02-CL-fit-2-offset</v>
      </c>
      <c r="B247">
        <v>750</v>
      </c>
      <c r="C247">
        <f t="shared" si="12"/>
        <v>8.0537892000481889E-22</v>
      </c>
      <c r="D247">
        <v>2000</v>
      </c>
      <c r="E247">
        <v>1024</v>
      </c>
      <c r="F247">
        <f t="shared" si="13"/>
        <v>1.953125</v>
      </c>
      <c r="I247" s="2">
        <f>('L-Values'!E247*'D(Ti_Cherniak) Times'!$F247*0.000001)^2/(4*'D(Ti_Cherniak) Times'!$C247)/(365.35*24*3600)</f>
        <v>343.00252902810541</v>
      </c>
      <c r="J247" s="2">
        <f>('L-Values'!F247*'D(Ti_Cherniak) Times'!$F247*0.000001)^2/(4*'D(Ti_Cherniak) Times'!$C247)/(365.35*24*3600)</f>
        <v>67.350096858989673</v>
      </c>
      <c r="K247" s="2">
        <f>('L-Values'!G247*'D(Ti_Cherniak) Times'!$F247*0.000001)^2/(4*'D(Ti_Cherniak) Times'!$C247)/(365.35*24*3600)</f>
        <v>189.60588854152607</v>
      </c>
      <c r="L247" s="2">
        <f>('L-Values'!H247*'D(Ti_Cherniak) Times'!$F247*0.000001)^2/(4*'D(Ti_Cherniak) Times'!$C247)/(365.35*24*3600)</f>
        <v>429.68794184005742</v>
      </c>
      <c r="M247" s="2">
        <f>('L-Values'!I247*'D(Ti_Cherniak) Times'!$F247*0.000001)^2/(4*'D(Ti_Cherniak) Times'!$C247)/(365.35*24*3600)</f>
        <v>67.112049556395306</v>
      </c>
      <c r="N247" s="2">
        <f>('L-Values'!J247*'D(Ti_Cherniak) Times'!$F247*0.000001)^2/(4*'D(Ti_Cherniak) Times'!$C247)/(365.35*24*3600)</f>
        <v>147.17188717996515</v>
      </c>
      <c r="O247" s="2">
        <f>('L-Values'!K247*'D(Ti_Cherniak) Times'!$F247*0.000001)^2/(4*'D(Ti_Cherniak) Times'!$C247)/(365.35*24*3600)</f>
        <v>27.22440501613416</v>
      </c>
      <c r="P247" s="2">
        <f>('L-Values'!L247*'D(Ti_Cherniak) Times'!$F247*0.000001)^2/(4*'D(Ti_Cherniak) Times'!$C247)/(365.35*24*3600)</f>
        <v>102.31839149225344</v>
      </c>
      <c r="Q247" s="2">
        <f>('L-Values'!M247*'D(Ti_Cherniak) Times'!$F247*0.000001)^2/(4*'D(Ti_Cherniak) Times'!$C247)/(365.35*24*3600)</f>
        <v>230.63035138073525</v>
      </c>
      <c r="R247" s="2">
        <f>('L-Values'!N247*'D(Ti_Cherniak) Times'!$F247*0.000001)^2/(4*'D(Ti_Cherniak) Times'!$C247)/(365.35*24*3600)</f>
        <v>114.88812964678641</v>
      </c>
      <c r="S247" s="2">
        <f>('L-Values'!O247*'D(Ti_Cherniak) Times'!$F247*0.000001)^2/(4*'D(Ti_Cherniak) Times'!$C247)/(365.35*24*3600)</f>
        <v>60.70257146581428</v>
      </c>
      <c r="T247" s="2"/>
      <c r="U247" s="2">
        <f>('L-Values'!Q247*'D(Ti_Cherniak) Times'!$F247*0.000001)^2/(4*'D(Ti_Cherniak) Times'!$C247)/(365.35*24*3600)</f>
        <v>114.22950556017365</v>
      </c>
      <c r="V247" s="2">
        <f>('L-Values'!R247*'D(Ti_Cherniak) Times'!$F247*0.000001)^2/(4*'D(Ti_Cherniak) Times'!$C247)/(365.35*24*3600)</f>
        <v>140.91542696277955</v>
      </c>
      <c r="W247" s="2">
        <f>('L-Values'!S247*'D(Ti_Cherniak) Times'!$F247*0.000001)^2/(4*'D(Ti_Cherniak) Times'!$C247)/(365.35*24*3600)</f>
        <v>114.88812964678641</v>
      </c>
      <c r="X247" s="2"/>
      <c r="Y247" s="2">
        <f>('L-Values'!U247*'D(Ti_Cherniak) Times'!$F247*0.000001)^2/(4*'D(Ti_Cherniak) Times'!$C247)/(365.35*24*3600)</f>
        <v>118.62368175012168</v>
      </c>
      <c r="Z247" s="2">
        <f>('L-Values'!V247*'D(Ti_Cherniak) Times'!$F247*0.000001)^2/(4*'D(Ti_Cherniak) Times'!$C247)/(365.35*24*3600)</f>
        <v>132.73845132303202</v>
      </c>
      <c r="AA247" s="2">
        <f>('L-Values'!W247*'D(Ti_Cherniak) Times'!$F247*0.000001)^2/(4*'D(Ti_Cherniak) Times'!$C247)/(365.35*24*3600)</f>
        <v>16.202582211324451</v>
      </c>
      <c r="AB247" s="2">
        <f>('L-Values'!X247*'D(Ti_Cherniak) Times'!$F247*0.000001)^2/(4*'D(Ti_Cherniak) Times'!$C247)/(365.35*24*3600)</f>
        <v>588.46683026981532</v>
      </c>
      <c r="AC247" s="2">
        <f t="shared" si="14"/>
        <v>116.53586911170757</v>
      </c>
      <c r="AD247" s="2">
        <f t="shared" si="15"/>
        <v>455.72837894678332</v>
      </c>
    </row>
    <row r="248" spans="1:30" x14ac:dyDescent="0.2">
      <c r="A248" t="str">
        <f>'L-Values'!A248</f>
        <v>CGI014-qtz02-CL-fit-3-offset</v>
      </c>
      <c r="B248">
        <v>750</v>
      </c>
      <c r="C248">
        <f t="shared" si="12"/>
        <v>8.0537892000481889E-22</v>
      </c>
      <c r="D248">
        <v>2000</v>
      </c>
      <c r="E248">
        <v>1024</v>
      </c>
      <c r="F248">
        <f t="shared" si="13"/>
        <v>1.953125</v>
      </c>
      <c r="I248" s="2">
        <f>('L-Values'!E248*'D(Ti_Cherniak) Times'!$F248*0.000001)^2/(4*'D(Ti_Cherniak) Times'!$C248)/(365.35*24*3600)</f>
        <v>151.36274661167533</v>
      </c>
      <c r="J248" s="2">
        <f>('L-Values'!F248*'D(Ti_Cherniak) Times'!$F248*0.000001)^2/(4*'D(Ti_Cherniak) Times'!$C248)/(365.35*24*3600)</f>
        <v>68.28663885308805</v>
      </c>
      <c r="K248" s="2">
        <f>('L-Values'!G248*'D(Ti_Cherniak) Times'!$F248*0.000001)^2/(4*'D(Ti_Cherniak) Times'!$C248)/(365.35*24*3600)</f>
        <v>128.58472470250581</v>
      </c>
      <c r="L248" s="2">
        <f>('L-Values'!H248*'D(Ti_Cherniak) Times'!$F248*0.000001)^2/(4*'D(Ti_Cherniak) Times'!$C248)/(365.35*24*3600)</f>
        <v>19.647849954188381</v>
      </c>
      <c r="M248" s="2">
        <f>('L-Values'!I248*'D(Ti_Cherniak) Times'!$F248*0.000001)^2/(4*'D(Ti_Cherniak) Times'!$C248)/(365.35*24*3600)</f>
        <v>200.19338921818542</v>
      </c>
      <c r="N248" s="2">
        <f>('L-Values'!J248*'D(Ti_Cherniak) Times'!$F248*0.000001)^2/(4*'D(Ti_Cherniak) Times'!$C248)/(365.35*24*3600)</f>
        <v>14.357192030289797</v>
      </c>
      <c r="O248" s="2">
        <f>('L-Values'!K248*'D(Ti_Cherniak) Times'!$F248*0.000001)^2/(4*'D(Ti_Cherniak) Times'!$C248)/(365.35*24*3600)</f>
        <v>30.62543684992626</v>
      </c>
      <c r="P248" s="2">
        <f>('L-Values'!L248*'D(Ti_Cherniak) Times'!$F248*0.000001)^2/(4*'D(Ti_Cherniak) Times'!$C248)/(365.35*24*3600)</f>
        <v>0.14234559030635463</v>
      </c>
      <c r="Q248" s="2">
        <f>('L-Values'!M248*'D(Ti_Cherniak) Times'!$F248*0.000001)^2/(4*'D(Ti_Cherniak) Times'!$C248)/(365.35*24*3600)</f>
        <v>0.7920894383209689</v>
      </c>
      <c r="R248" s="2">
        <f>('L-Values'!N248*'D(Ti_Cherniak) Times'!$F248*0.000001)^2/(4*'D(Ti_Cherniak) Times'!$C248)/(365.35*24*3600)</f>
        <v>29.418234763821655</v>
      </c>
      <c r="S248" s="2">
        <f>('L-Values'!O248*'D(Ti_Cherniak) Times'!$F248*0.000001)^2/(4*'D(Ti_Cherniak) Times'!$C248)/(365.35*24*3600)</f>
        <v>21.097687154082422</v>
      </c>
      <c r="T248" s="2"/>
      <c r="U248" s="2">
        <f>('L-Values'!Q248*'D(Ti_Cherniak) Times'!$F248*0.000001)^2/(4*'D(Ti_Cherniak) Times'!$C248)/(365.35*24*3600)</f>
        <v>32.771910646542224</v>
      </c>
      <c r="V248" s="2">
        <f>('L-Values'!R248*'D(Ti_Cherniak) Times'!$F248*0.000001)^2/(4*'D(Ti_Cherniak) Times'!$C248)/(365.35*24*3600)</f>
        <v>41.772820375008273</v>
      </c>
      <c r="W248" s="2">
        <f>('L-Values'!S248*'D(Ti_Cherniak) Times'!$F248*0.000001)^2/(4*'D(Ti_Cherniak) Times'!$C248)/(365.35*24*3600)</f>
        <v>29.418234763821655</v>
      </c>
      <c r="X248" s="2"/>
      <c r="Y248" s="2">
        <f>('L-Values'!U248*'D(Ti_Cherniak) Times'!$F248*0.000001)^2/(4*'D(Ti_Cherniak) Times'!$C248)/(365.35*24*3600)</f>
        <v>29.687551183558259</v>
      </c>
      <c r="Z248" s="2">
        <f>('L-Values'!V248*'D(Ti_Cherniak) Times'!$F248*0.000001)^2/(4*'D(Ti_Cherniak) Times'!$C248)/(365.35*24*3600)</f>
        <v>49.860069946494157</v>
      </c>
      <c r="AA248" s="2">
        <f>('L-Values'!W248*'D(Ti_Cherniak) Times'!$F248*0.000001)^2/(4*'D(Ti_Cherniak) Times'!$C248)/(365.35*24*3600)</f>
        <v>1.3429039733603303</v>
      </c>
      <c r="AB248" s="2">
        <f>('L-Values'!X248*'D(Ti_Cherniak) Times'!$F248*0.000001)^2/(4*'D(Ti_Cherniak) Times'!$C248)/(365.35*24*3600)</f>
        <v>444.88194995469883</v>
      </c>
      <c r="AC248" s="2">
        <f t="shared" si="14"/>
        <v>48.517165973133828</v>
      </c>
      <c r="AD248" s="2">
        <f t="shared" si="15"/>
        <v>395.02188000820468</v>
      </c>
    </row>
    <row r="249" spans="1:30" x14ac:dyDescent="0.2">
      <c r="A249" t="str">
        <f>'L-Values'!A249</f>
        <v>CGI014-qtz02-CL-fit-4-offset</v>
      </c>
      <c r="B249">
        <v>750</v>
      </c>
      <c r="C249">
        <f t="shared" si="12"/>
        <v>8.0537892000481889E-22</v>
      </c>
      <c r="D249">
        <v>2000</v>
      </c>
      <c r="E249">
        <v>1024</v>
      </c>
      <c r="F249">
        <f t="shared" si="13"/>
        <v>1.953125</v>
      </c>
      <c r="I249" s="2">
        <f>('L-Values'!E249*'D(Ti_Cherniak) Times'!$F249*0.000001)^2/(4*'D(Ti_Cherniak) Times'!$C249)/(365.35*24*3600)</f>
        <v>0.89490012589751511</v>
      </c>
      <c r="J249" s="2">
        <f>('L-Values'!F249*'D(Ti_Cherniak) Times'!$F249*0.000001)^2/(4*'D(Ti_Cherniak) Times'!$C249)/(365.35*24*3600)</f>
        <v>33.115877608586388</v>
      </c>
      <c r="K249" s="2">
        <f>('L-Values'!G249*'D(Ti_Cherniak) Times'!$F249*0.000001)^2/(4*'D(Ti_Cherniak) Times'!$C249)/(365.35*24*3600)</f>
        <v>0.23526014499983539</v>
      </c>
      <c r="L249" s="2">
        <f>('L-Values'!H249*'D(Ti_Cherniak) Times'!$F249*0.000001)^2/(4*'D(Ti_Cherniak) Times'!$C249)/(365.35*24*3600)</f>
        <v>0.78716679641032172</v>
      </c>
      <c r="M249" s="2">
        <f>('L-Values'!I249*'D(Ti_Cherniak) Times'!$F249*0.000001)^2/(4*'D(Ti_Cherniak) Times'!$C249)/(365.35*24*3600)</f>
        <v>0.11080672389575674</v>
      </c>
      <c r="N249" s="2">
        <f>('L-Values'!J249*'D(Ti_Cherniak) Times'!$F249*0.000001)^2/(4*'D(Ti_Cherniak) Times'!$C249)/(365.35*24*3600)</f>
        <v>0.93440260837833911</v>
      </c>
      <c r="O249" s="2">
        <f>('L-Values'!K249*'D(Ti_Cherniak) Times'!$F249*0.000001)^2/(4*'D(Ti_Cherniak) Times'!$C249)/(365.35*24*3600)</f>
        <v>2.2594764280623352</v>
      </c>
      <c r="P249" s="2">
        <f>('L-Values'!L249*'D(Ti_Cherniak) Times'!$F249*0.000001)^2/(4*'D(Ti_Cherniak) Times'!$C249)/(365.35*24*3600)</f>
        <v>29.81193659746889</v>
      </c>
      <c r="Q249" s="2">
        <f>('L-Values'!M249*'D(Ti_Cherniak) Times'!$F249*0.000001)^2/(4*'D(Ti_Cherniak) Times'!$C249)/(365.35*24*3600)</f>
        <v>9.5590871865490925</v>
      </c>
      <c r="R249" s="2">
        <f>('L-Values'!N249*'D(Ti_Cherniak) Times'!$F249*0.000001)^2/(4*'D(Ti_Cherniak) Times'!$C249)/(365.35*24*3600)</f>
        <v>5.9629661165708701</v>
      </c>
      <c r="S249" s="2">
        <f>('L-Values'!O249*'D(Ti_Cherniak) Times'!$F249*0.000001)^2/(4*'D(Ti_Cherniak) Times'!$C249)/(365.35*24*3600)</f>
        <v>12.273649487255835</v>
      </c>
      <c r="T249" s="2"/>
      <c r="U249" s="2">
        <f>('L-Values'!Q249*'D(Ti_Cherniak) Times'!$F249*0.000001)^2/(4*'D(Ti_Cherniak) Times'!$C249)/(365.35*24*3600)</f>
        <v>10.794290306364266</v>
      </c>
      <c r="V249" s="2">
        <f>('L-Values'!R249*'D(Ti_Cherniak) Times'!$F249*0.000001)^2/(4*'D(Ti_Cherniak) Times'!$C249)/(365.35*24*3600)</f>
        <v>5.3204338565466571</v>
      </c>
      <c r="W249" s="2">
        <f>('L-Values'!S249*'D(Ti_Cherniak) Times'!$F249*0.000001)^2/(4*'D(Ti_Cherniak) Times'!$C249)/(365.35*24*3600)</f>
        <v>2.2594764280623352</v>
      </c>
      <c r="X249" s="2"/>
      <c r="Y249" s="2">
        <f>('L-Values'!U249*'D(Ti_Cherniak) Times'!$F249*0.000001)^2/(4*'D(Ti_Cherniak) Times'!$C249)/(365.35*24*3600)</f>
        <v>2.5945031091162289</v>
      </c>
      <c r="Z249" s="2">
        <f>('L-Values'!V249*'D(Ti_Cherniak) Times'!$F249*0.000001)^2/(4*'D(Ti_Cherniak) Times'!$C249)/(365.35*24*3600)</f>
        <v>6.1824682233695016</v>
      </c>
      <c r="AA249" s="2">
        <f>('L-Values'!W249*'D(Ti_Cherniak) Times'!$F249*0.000001)^2/(4*'D(Ti_Cherniak) Times'!$C249)/(365.35*24*3600)</f>
        <v>7.343536060664217E-3</v>
      </c>
      <c r="AB249" s="2">
        <f>('L-Values'!X249*'D(Ti_Cherniak) Times'!$F249*0.000001)^2/(4*'D(Ti_Cherniak) Times'!$C249)/(365.35*24*3600)</f>
        <v>42.615373700865533</v>
      </c>
      <c r="AC249" s="2">
        <f t="shared" si="14"/>
        <v>6.1751246873088377</v>
      </c>
      <c r="AD249" s="2">
        <f t="shared" si="15"/>
        <v>36.432905477496028</v>
      </c>
    </row>
    <row r="250" spans="1:30" x14ac:dyDescent="0.2">
      <c r="A250" t="str">
        <f>'L-Values'!A250</f>
        <v>CGI014-qtz03-CL-fit-1-offset</v>
      </c>
      <c r="B250">
        <v>750</v>
      </c>
      <c r="C250">
        <f t="shared" si="12"/>
        <v>8.0537892000481889E-22</v>
      </c>
      <c r="D250">
        <v>1800</v>
      </c>
      <c r="E250">
        <v>1024</v>
      </c>
      <c r="F250">
        <f t="shared" si="13"/>
        <v>1.7578125</v>
      </c>
      <c r="I250" s="2">
        <f>('L-Values'!E250*'D(Ti_Cherniak) Times'!$F250*0.000001)^2/(4*'D(Ti_Cherniak) Times'!$C250)/(365.35*24*3600)</f>
        <v>2379.0495459760605</v>
      </c>
      <c r="J250" s="2">
        <f>('L-Values'!F250*'D(Ti_Cherniak) Times'!$F250*0.000001)^2/(4*'D(Ti_Cherniak) Times'!$C250)/(365.35*24*3600)</f>
        <v>688.05631972088463</v>
      </c>
      <c r="K250" s="2">
        <f>('L-Values'!G250*'D(Ti_Cherniak) Times'!$F250*0.000001)^2/(4*'D(Ti_Cherniak) Times'!$C250)/(365.35*24*3600)</f>
        <v>2281.3242068852983</v>
      </c>
      <c r="L250" s="2">
        <f>('L-Values'!H250*'D(Ti_Cherniak) Times'!$F250*0.000001)^2/(4*'D(Ti_Cherniak) Times'!$C250)/(365.35*24*3600)</f>
        <v>1619.1177170533313</v>
      </c>
      <c r="M250" s="2">
        <f>('L-Values'!I250*'D(Ti_Cherniak) Times'!$F250*0.000001)^2/(4*'D(Ti_Cherniak) Times'!$C250)/(365.35*24*3600)</f>
        <v>3504.8184083472024</v>
      </c>
      <c r="N250" s="2">
        <f>('L-Values'!J250*'D(Ti_Cherniak) Times'!$F250*0.000001)^2/(4*'D(Ti_Cherniak) Times'!$C250)/(365.35*24*3600)</f>
        <v>2571.5393765692888</v>
      </c>
      <c r="O250" s="2">
        <f>('L-Values'!K250*'D(Ti_Cherniak) Times'!$F250*0.000001)^2/(4*'D(Ti_Cherniak) Times'!$C250)/(365.35*24*3600)</f>
        <v>1563.4928290295059</v>
      </c>
      <c r="P250" s="2">
        <f>('L-Values'!L250*'D(Ti_Cherniak) Times'!$F250*0.000001)^2/(4*'D(Ti_Cherniak) Times'!$C250)/(365.35*24*3600)</f>
        <v>1414.2236969053724</v>
      </c>
      <c r="Q250" s="2">
        <f>('L-Values'!M250*'D(Ti_Cherniak) Times'!$F250*0.000001)^2/(4*'D(Ti_Cherniak) Times'!$C250)/(365.35*24*3600)</f>
        <v>1694.9416503140467</v>
      </c>
      <c r="R250" s="2">
        <f>('L-Values'!N250*'D(Ti_Cherniak) Times'!$F250*0.000001)^2/(4*'D(Ti_Cherniak) Times'!$C250)/(365.35*24*3600)</f>
        <v>3123.2062658683826</v>
      </c>
      <c r="S250" s="2">
        <f>('L-Values'!O250*'D(Ti_Cherniak) Times'!$F250*0.000001)^2/(4*'D(Ti_Cherniak) Times'!$C250)/(365.35*24*3600)</f>
        <v>5002.3859507404359</v>
      </c>
      <c r="T250" s="2"/>
      <c r="U250" s="2">
        <f>('L-Values'!Q250*'D(Ti_Cherniak) Times'!$F250*0.000001)^2/(4*'D(Ti_Cherniak) Times'!$C250)/(365.35*24*3600)</f>
        <v>2040.275749340472</v>
      </c>
      <c r="V250" s="2">
        <f>('L-Values'!R250*'D(Ti_Cherniak) Times'!$F250*0.000001)^2/(4*'D(Ti_Cherniak) Times'!$C250)/(365.35*24*3600)</f>
        <v>2216.2671946491237</v>
      </c>
      <c r="W250" s="2">
        <f>('L-Values'!S250*'D(Ti_Cherniak) Times'!$F250*0.000001)^2/(4*'D(Ti_Cherniak) Times'!$C250)/(365.35*24*3600)</f>
        <v>2281.3242068852983</v>
      </c>
      <c r="X250" s="2"/>
      <c r="Y250" s="2">
        <f>('L-Values'!U250*'D(Ti_Cherniak) Times'!$F250*0.000001)^2/(4*'D(Ti_Cherniak) Times'!$C250)/(365.35*24*3600)</f>
        <v>1995.2244413270132</v>
      </c>
      <c r="Z250" s="2">
        <f>('L-Values'!V250*'D(Ti_Cherniak) Times'!$F250*0.000001)^2/(4*'D(Ti_Cherniak) Times'!$C250)/(365.35*24*3600)</f>
        <v>1977.2992972560255</v>
      </c>
      <c r="AA250" s="2">
        <f>('L-Values'!W250*'D(Ti_Cherniak) Times'!$F250*0.000001)^2/(4*'D(Ti_Cherniak) Times'!$C250)/(365.35*24*3600)</f>
        <v>722.30664443681314</v>
      </c>
      <c r="AB250" s="2">
        <f>('L-Values'!X250*'D(Ti_Cherniak) Times'!$F250*0.000001)^2/(4*'D(Ti_Cherniak) Times'!$C250)/(365.35*24*3600)</f>
        <v>4031.619017460237</v>
      </c>
      <c r="AC250" s="2">
        <f t="shared" si="14"/>
        <v>1254.9926528192123</v>
      </c>
      <c r="AD250" s="2">
        <f t="shared" si="15"/>
        <v>2054.3197202042115</v>
      </c>
    </row>
    <row r="251" spans="1:30" x14ac:dyDescent="0.2">
      <c r="A251" t="str">
        <f>'L-Values'!A251</f>
        <v>CGI014-qtz03-CL-fit-2-offset</v>
      </c>
      <c r="B251">
        <v>750</v>
      </c>
      <c r="C251">
        <f t="shared" si="12"/>
        <v>8.0537892000481889E-22</v>
      </c>
      <c r="D251">
        <v>1800</v>
      </c>
      <c r="E251">
        <v>1024</v>
      </c>
      <c r="F251">
        <f t="shared" si="13"/>
        <v>1.7578125</v>
      </c>
      <c r="I251" s="2">
        <f>('L-Values'!E251*'D(Ti_Cherniak) Times'!$F251*0.000001)^2/(4*'D(Ti_Cherniak) Times'!$C251)/(365.35*24*3600)</f>
        <v>1346.0535653314892</v>
      </c>
      <c r="J251" s="2">
        <f>('L-Values'!F251*'D(Ti_Cherniak) Times'!$F251*0.000001)^2/(4*'D(Ti_Cherniak) Times'!$C251)/(365.35*24*3600)</f>
        <v>1085.3609770482274</v>
      </c>
      <c r="K251" s="2">
        <f>('L-Values'!G251*'D(Ti_Cherniak) Times'!$F251*0.000001)^2/(4*'D(Ti_Cherniak) Times'!$C251)/(365.35*24*3600)</f>
        <v>627.77273226996533</v>
      </c>
      <c r="L251" s="2">
        <f>('L-Values'!H251*'D(Ti_Cherniak) Times'!$F251*0.000001)^2/(4*'D(Ti_Cherniak) Times'!$C251)/(365.35*24*3600)</f>
        <v>898.93119559129525</v>
      </c>
      <c r="M251" s="2">
        <f>('L-Values'!I251*'D(Ti_Cherniak) Times'!$F251*0.000001)^2/(4*'D(Ti_Cherniak) Times'!$C251)/(365.35*24*3600)</f>
        <v>1150.6436409848616</v>
      </c>
      <c r="N251" s="2">
        <f>('L-Values'!J251*'D(Ti_Cherniak) Times'!$F251*0.000001)^2/(4*'D(Ti_Cherniak) Times'!$C251)/(365.35*24*3600)</f>
        <v>89.637244354132719</v>
      </c>
      <c r="O251" s="2">
        <f>('L-Values'!K251*'D(Ti_Cherniak) Times'!$F251*0.000001)^2/(4*'D(Ti_Cherniak) Times'!$C251)/(365.35*24*3600)</f>
        <v>733.45025109620224</v>
      </c>
      <c r="P251" s="2">
        <f>('L-Values'!L251*'D(Ti_Cherniak) Times'!$F251*0.000001)^2/(4*'D(Ti_Cherniak) Times'!$C251)/(365.35*24*3600)</f>
        <v>589.60777192941612</v>
      </c>
      <c r="Q251" s="2">
        <f>('L-Values'!M251*'D(Ti_Cherniak) Times'!$F251*0.000001)^2/(4*'D(Ti_Cherniak) Times'!$C251)/(365.35*24*3600)</f>
        <v>532.70677144829563</v>
      </c>
      <c r="R251" s="2">
        <f>('L-Values'!N251*'D(Ti_Cherniak) Times'!$F251*0.000001)^2/(4*'D(Ti_Cherniak) Times'!$C251)/(365.35*24*3600)</f>
        <v>353.45360913049728</v>
      </c>
      <c r="S251" s="2">
        <f>('L-Values'!O251*'D(Ti_Cherniak) Times'!$F251*0.000001)^2/(4*'D(Ti_Cherniak) Times'!$C251)/(365.35*24*3600)</f>
        <v>320.57416685236905</v>
      </c>
      <c r="T251" s="2"/>
      <c r="U251" s="2">
        <f>('L-Values'!Q251*'D(Ti_Cherniak) Times'!$F251*0.000001)^2/(4*'D(Ti_Cherniak) Times'!$C251)/(365.35*24*3600)</f>
        <v>669.75190597053188</v>
      </c>
      <c r="V251" s="2">
        <f>('L-Values'!R251*'D(Ti_Cherniak) Times'!$F251*0.000001)^2/(4*'D(Ti_Cherniak) Times'!$C251)/(365.35*24*3600)</f>
        <v>644.27981219394064</v>
      </c>
      <c r="W251" s="2">
        <f>('L-Values'!S251*'D(Ti_Cherniak) Times'!$F251*0.000001)^2/(4*'D(Ti_Cherniak) Times'!$C251)/(365.35*24*3600)</f>
        <v>627.77273226996533</v>
      </c>
      <c r="X251" s="2"/>
      <c r="Y251" s="2">
        <f>('L-Values'!U251*'D(Ti_Cherniak) Times'!$F251*0.000001)^2/(4*'D(Ti_Cherniak) Times'!$C251)/(365.35*24*3600)</f>
        <v>575.72197979930354</v>
      </c>
      <c r="Z251" s="2">
        <f>('L-Values'!V251*'D(Ti_Cherniak) Times'!$F251*0.000001)^2/(4*'D(Ti_Cherniak) Times'!$C251)/(365.35*24*3600)</f>
        <v>589.46066846942722</v>
      </c>
      <c r="AA251" s="2">
        <f>('L-Values'!W251*'D(Ti_Cherniak) Times'!$F251*0.000001)^2/(4*'D(Ti_Cherniak) Times'!$C251)/(365.35*24*3600)</f>
        <v>44.0392761959016</v>
      </c>
      <c r="AB251" s="2">
        <f>('L-Values'!X251*'D(Ti_Cherniak) Times'!$F251*0.000001)^2/(4*'D(Ti_Cherniak) Times'!$C251)/(365.35*24*3600)</f>
        <v>2016.6297553018064</v>
      </c>
      <c r="AC251" s="2">
        <f t="shared" si="14"/>
        <v>545.42139227352561</v>
      </c>
      <c r="AD251" s="2">
        <f t="shared" si="15"/>
        <v>1427.1690868323792</v>
      </c>
    </row>
    <row r="252" spans="1:30" x14ac:dyDescent="0.2">
      <c r="A252" t="str">
        <f>'L-Values'!A252</f>
        <v>CGI014-qtz03-CL-fit-3-offset</v>
      </c>
      <c r="B252">
        <v>750</v>
      </c>
      <c r="C252">
        <f t="shared" si="12"/>
        <v>8.0537892000481889E-22</v>
      </c>
      <c r="D252">
        <v>1800</v>
      </c>
      <c r="E252">
        <v>1024</v>
      </c>
      <c r="F252">
        <f t="shared" si="13"/>
        <v>1.7578125</v>
      </c>
      <c r="I252" s="2">
        <f>('L-Values'!E252*'D(Ti_Cherniak) Times'!$F252*0.000001)^2/(4*'D(Ti_Cherniak) Times'!$C252)/(365.35*24*3600)</f>
        <v>44.93308007310906</v>
      </c>
      <c r="J252" s="2">
        <f>('L-Values'!F252*'D(Ti_Cherniak) Times'!$F252*0.000001)^2/(4*'D(Ti_Cherniak) Times'!$C252)/(365.35*24*3600)</f>
        <v>70.545088976841768</v>
      </c>
      <c r="K252" s="2">
        <f>('L-Values'!G252*'D(Ti_Cherniak) Times'!$F252*0.000001)^2/(4*'D(Ti_Cherniak) Times'!$C252)/(365.35*24*3600)</f>
        <v>169.61237463920327</v>
      </c>
      <c r="L252" s="2">
        <f>('L-Values'!H252*'D(Ti_Cherniak) Times'!$F252*0.000001)^2/(4*'D(Ti_Cherniak) Times'!$C252)/(365.35*24*3600)</f>
        <v>15.664721063772012</v>
      </c>
      <c r="M252" s="2">
        <f>('L-Values'!I252*'D(Ti_Cherniak) Times'!$F252*0.000001)^2/(4*'D(Ti_Cherniak) Times'!$C252)/(365.35*24*3600)</f>
        <v>1.6761723214147231</v>
      </c>
      <c r="N252" s="2">
        <f>('L-Values'!J252*'D(Ti_Cherniak) Times'!$F252*0.000001)^2/(4*'D(Ti_Cherniak) Times'!$C252)/(365.35*24*3600)</f>
        <v>250.31042860409016</v>
      </c>
      <c r="O252" s="2">
        <f>('L-Values'!K252*'D(Ti_Cherniak) Times'!$F252*0.000001)^2/(4*'D(Ti_Cherniak) Times'!$C252)/(365.35*24*3600)</f>
        <v>153.6524102146507</v>
      </c>
      <c r="P252" s="2">
        <f>('L-Values'!L252*'D(Ti_Cherniak) Times'!$F252*0.000001)^2/(4*'D(Ti_Cherniak) Times'!$C252)/(365.35*24*3600)</f>
        <v>9.0853123360021044</v>
      </c>
      <c r="Q252" s="2">
        <f>('L-Values'!M252*'D(Ti_Cherniak) Times'!$F252*0.000001)^2/(4*'D(Ti_Cherniak) Times'!$C252)/(365.35*24*3600)</f>
        <v>67.25982524085029</v>
      </c>
      <c r="R252" s="2">
        <f>('L-Values'!N252*'D(Ti_Cherniak) Times'!$F252*0.000001)^2/(4*'D(Ti_Cherniak) Times'!$C252)/(365.35*24*3600)</f>
        <v>20.223776402092973</v>
      </c>
      <c r="S252" s="2">
        <f>('L-Values'!O252*'D(Ti_Cherniak) Times'!$F252*0.000001)^2/(4*'D(Ti_Cherniak) Times'!$C252)/(365.35*24*3600)</f>
        <v>204.78517903100112</v>
      </c>
      <c r="T252" s="2"/>
      <c r="U252" s="2">
        <f>('L-Values'!Q252*'D(Ti_Cherniak) Times'!$F252*0.000001)^2/(4*'D(Ti_Cherniak) Times'!$C252)/(365.35*24*3600)</f>
        <v>48.502154132904849</v>
      </c>
      <c r="V252" s="2">
        <f>('L-Values'!R252*'D(Ti_Cherniak) Times'!$F252*0.000001)^2/(4*'D(Ti_Cherniak) Times'!$C252)/(365.35*24*3600)</f>
        <v>69.370812089458781</v>
      </c>
      <c r="W252" s="2">
        <f>('L-Values'!S252*'D(Ti_Cherniak) Times'!$F252*0.000001)^2/(4*'D(Ti_Cherniak) Times'!$C252)/(365.35*24*3600)</f>
        <v>67.25982524085029</v>
      </c>
      <c r="X252" s="2"/>
      <c r="Y252" s="2">
        <f>('L-Values'!U252*'D(Ti_Cherniak) Times'!$F252*0.000001)^2/(4*'D(Ti_Cherniak) Times'!$C252)/(365.35*24*3600)</f>
        <v>38.541923767026837</v>
      </c>
      <c r="Z252" s="2">
        <f>('L-Values'!V252*'D(Ti_Cherniak) Times'!$F252*0.000001)^2/(4*'D(Ti_Cherniak) Times'!$C252)/(365.35*24*3600)</f>
        <v>45.604176346747153</v>
      </c>
      <c r="AA252" s="2">
        <f>('L-Values'!W252*'D(Ti_Cherniak) Times'!$F252*0.000001)^2/(4*'D(Ti_Cherniak) Times'!$C252)/(365.35*24*3600)</f>
        <v>1.576003579115111E-11</v>
      </c>
      <c r="AB252" s="2">
        <f>('L-Values'!X252*'D(Ti_Cherniak) Times'!$F252*0.000001)^2/(4*'D(Ti_Cherniak) Times'!$C252)/(365.35*24*3600)</f>
        <v>293.7864792798988</v>
      </c>
      <c r="AC252" s="2">
        <f t="shared" si="14"/>
        <v>45.604176346731393</v>
      </c>
      <c r="AD252" s="2">
        <f t="shared" si="15"/>
        <v>248.18230293315165</v>
      </c>
    </row>
    <row r="253" spans="1:30" x14ac:dyDescent="0.2">
      <c r="A253" t="str">
        <f>'L-Values'!A253</f>
        <v>CGI014-qtz03-CL-fit-4-offset</v>
      </c>
      <c r="B253">
        <v>750</v>
      </c>
      <c r="C253">
        <f t="shared" si="12"/>
        <v>8.0537892000481889E-22</v>
      </c>
      <c r="D253">
        <v>1800</v>
      </c>
      <c r="E253">
        <v>1024</v>
      </c>
      <c r="F253">
        <f t="shared" si="13"/>
        <v>1.7578125</v>
      </c>
      <c r="I253" s="2">
        <f>('L-Values'!E253*'D(Ti_Cherniak) Times'!$F253*0.000001)^2/(4*'D(Ti_Cherniak) Times'!$C253)/(365.35*24*3600)</f>
        <v>314.34116073046346</v>
      </c>
      <c r="J253" s="2">
        <f>('L-Values'!F253*'D(Ti_Cherniak) Times'!$F253*0.000001)^2/(4*'D(Ti_Cherniak) Times'!$C253)/(365.35*24*3600)</f>
        <v>12.300318991095693</v>
      </c>
      <c r="K253" s="2">
        <f>('L-Values'!G253*'D(Ti_Cherniak) Times'!$F253*0.000001)^2/(4*'D(Ti_Cherniak) Times'!$C253)/(365.35*24*3600)</f>
        <v>5.1112470696037332E-2</v>
      </c>
      <c r="L253" s="2">
        <f>('L-Values'!H253*'D(Ti_Cherniak) Times'!$F253*0.000001)^2/(4*'D(Ti_Cherniak) Times'!$C253)/(365.35*24*3600)</f>
        <v>11.374285276679309</v>
      </c>
      <c r="M253" s="2">
        <f>('L-Values'!I253*'D(Ti_Cherniak) Times'!$F253*0.000001)^2/(4*'D(Ti_Cherniak) Times'!$C253)/(365.35*24*3600)</f>
        <v>9.0715699263937952E-2</v>
      </c>
      <c r="N253" s="2">
        <f>('L-Values'!J253*'D(Ti_Cherniak) Times'!$F253*0.000001)^2/(4*'D(Ti_Cherniak) Times'!$C253)/(365.35*24*3600)</f>
        <v>358.73650636545608</v>
      </c>
      <c r="O253" s="2">
        <f>('L-Values'!K253*'D(Ti_Cherniak) Times'!$F253*0.000001)^2/(4*'D(Ti_Cherniak) Times'!$C253)/(365.35*24*3600)</f>
        <v>33.398239483885163</v>
      </c>
      <c r="P253" s="2">
        <f>('L-Values'!L253*'D(Ti_Cherniak) Times'!$F253*0.000001)^2/(4*'D(Ti_Cherniak) Times'!$C253)/(365.35*24*3600)</f>
        <v>58.882168517662805</v>
      </c>
      <c r="Q253" s="2">
        <f>('L-Values'!M253*'D(Ti_Cherniak) Times'!$F253*0.000001)^2/(4*'D(Ti_Cherniak) Times'!$C253)/(365.35*24*3600)</f>
        <v>81.25058195756678</v>
      </c>
      <c r="R253" s="2">
        <f>('L-Values'!N253*'D(Ti_Cherniak) Times'!$F253*0.000001)^2/(4*'D(Ti_Cherniak) Times'!$C253)/(365.35*24*3600)</f>
        <v>1.8587693824802387</v>
      </c>
      <c r="S253" s="2">
        <f>('L-Values'!O253*'D(Ti_Cherniak) Times'!$F253*0.000001)^2/(4*'D(Ti_Cherniak) Times'!$C253)/(365.35*24*3600)</f>
        <v>140.15246093860404</v>
      </c>
      <c r="T253" s="2"/>
      <c r="U253" s="2">
        <f>('L-Values'!Q253*'D(Ti_Cherniak) Times'!$F253*0.000001)^2/(4*'D(Ti_Cherniak) Times'!$C253)/(365.35*24*3600)</f>
        <v>23.265286845786736</v>
      </c>
      <c r="V253" s="2">
        <f>('L-Values'!R253*'D(Ti_Cherniak) Times'!$F253*0.000001)^2/(4*'D(Ti_Cherniak) Times'!$C253)/(365.35*24*3600)</f>
        <v>52.556582697646988</v>
      </c>
      <c r="W253" s="2">
        <f>('L-Values'!S253*'D(Ti_Cherniak) Times'!$F253*0.000001)^2/(4*'D(Ti_Cherniak) Times'!$C253)/(365.35*24*3600)</f>
        <v>33.398239483885163</v>
      </c>
      <c r="X253" s="2"/>
      <c r="Y253" s="2">
        <f>('L-Values'!U253*'D(Ti_Cherniak) Times'!$F253*0.000001)^2/(4*'D(Ti_Cherniak) Times'!$C253)/(365.35*24*3600)</f>
        <v>4.8967583844457732</v>
      </c>
      <c r="Z253" s="2">
        <f>('L-Values'!V253*'D(Ti_Cherniak) Times'!$F253*0.000001)^2/(4*'D(Ti_Cherniak) Times'!$C253)/(365.35*24*3600)</f>
        <v>29.738358331196846</v>
      </c>
      <c r="AA253" s="2">
        <f>('L-Values'!W253*'D(Ti_Cherniak) Times'!$F253*0.000001)^2/(4*'D(Ti_Cherniak) Times'!$C253)/(365.35*24*3600)</f>
        <v>1.5456818950194019E-13</v>
      </c>
      <c r="AB253" s="2">
        <f>('L-Values'!X253*'D(Ti_Cherniak) Times'!$F253*0.000001)^2/(4*'D(Ti_Cherniak) Times'!$C253)/(365.35*24*3600)</f>
        <v>486.17806586206319</v>
      </c>
      <c r="AC253" s="2">
        <f t="shared" si="14"/>
        <v>29.738358331196689</v>
      </c>
      <c r="AD253" s="2">
        <f t="shared" si="15"/>
        <v>456.43970753086637</v>
      </c>
    </row>
    <row r="254" spans="1:30" x14ac:dyDescent="0.2">
      <c r="A254" t="str">
        <f>'L-Values'!A254</f>
        <v>CGI014-qtz03-CL-fit-5-offset</v>
      </c>
      <c r="B254">
        <v>750</v>
      </c>
      <c r="C254">
        <f t="shared" si="12"/>
        <v>8.0537892000481889E-22</v>
      </c>
      <c r="D254">
        <v>1800</v>
      </c>
      <c r="E254">
        <v>1024</v>
      </c>
      <c r="F254">
        <f t="shared" si="13"/>
        <v>1.7578125</v>
      </c>
      <c r="I254" s="2">
        <f>('L-Values'!E254*'D(Ti_Cherniak) Times'!$F254*0.000001)^2/(4*'D(Ti_Cherniak) Times'!$C254)/(365.35*24*3600)</f>
        <v>169.80564617285935</v>
      </c>
      <c r="J254" s="2">
        <f>('L-Values'!F254*'D(Ti_Cherniak) Times'!$F254*0.000001)^2/(4*'D(Ti_Cherniak) Times'!$C254)/(365.35*24*3600)</f>
        <v>243.91904096416721</v>
      </c>
      <c r="K254" s="2">
        <f>('L-Values'!G254*'D(Ti_Cherniak) Times'!$F254*0.000001)^2/(4*'D(Ti_Cherniak) Times'!$C254)/(365.35*24*3600)</f>
        <v>3.706180832546988</v>
      </c>
      <c r="L254" s="2">
        <f>('L-Values'!H254*'D(Ti_Cherniak) Times'!$F254*0.000001)^2/(4*'D(Ti_Cherniak) Times'!$C254)/(365.35*24*3600)</f>
        <v>157.65274209991946</v>
      </c>
      <c r="M254" s="2">
        <f>('L-Values'!I254*'D(Ti_Cherniak) Times'!$F254*0.000001)^2/(4*'D(Ti_Cherniak) Times'!$C254)/(365.35*24*3600)</f>
        <v>1.0488383494708069</v>
      </c>
      <c r="N254" s="2">
        <f>('L-Values'!J254*'D(Ti_Cherniak) Times'!$F254*0.000001)^2/(4*'D(Ti_Cherniak) Times'!$C254)/(365.35*24*3600)</f>
        <v>1.70116094169252</v>
      </c>
      <c r="O254" s="2">
        <f>('L-Values'!K254*'D(Ti_Cherniak) Times'!$F254*0.000001)^2/(4*'D(Ti_Cherniak) Times'!$C254)/(365.35*24*3600)</f>
        <v>35.298559286590326</v>
      </c>
      <c r="P254" s="2">
        <f>('L-Values'!L254*'D(Ti_Cherniak) Times'!$F254*0.000001)^2/(4*'D(Ti_Cherniak) Times'!$C254)/(365.35*24*3600)</f>
        <v>1.2752879202695704</v>
      </c>
      <c r="Q254" s="2">
        <f>('L-Values'!M254*'D(Ti_Cherniak) Times'!$F254*0.000001)^2/(4*'D(Ti_Cherniak) Times'!$C254)/(365.35*24*3600)</f>
        <v>4.3600054757903575</v>
      </c>
      <c r="R254" s="2">
        <f>('L-Values'!N254*'D(Ti_Cherniak) Times'!$F254*0.000001)^2/(4*'D(Ti_Cherniak) Times'!$C254)/(365.35*24*3600)</f>
        <v>17.84313509221024</v>
      </c>
      <c r="S254" s="2">
        <f>('L-Values'!O254*'D(Ti_Cherniak) Times'!$F254*0.000001)^2/(4*'D(Ti_Cherniak) Times'!$C254)/(365.35*24*3600)</f>
        <v>0.84238950019475867</v>
      </c>
      <c r="T254" s="2"/>
      <c r="U254" s="2">
        <f>('L-Values'!Q254*'D(Ti_Cherniak) Times'!$F254*0.000001)^2/(4*'D(Ti_Cherniak) Times'!$C254)/(365.35*24*3600)</f>
        <v>41.268511555940286</v>
      </c>
      <c r="V254" s="2">
        <f>('L-Values'!R254*'D(Ti_Cherniak) Times'!$F254*0.000001)^2/(4*'D(Ti_Cherniak) Times'!$C254)/(365.35*24*3600)</f>
        <v>29.513477699529542</v>
      </c>
      <c r="W254" s="2">
        <f>('L-Values'!S254*'D(Ti_Cherniak) Times'!$F254*0.000001)^2/(4*'D(Ti_Cherniak) Times'!$C254)/(365.35*24*3600)</f>
        <v>4.3600054757903575</v>
      </c>
      <c r="X254" s="2"/>
      <c r="Y254" s="2">
        <f>('L-Values'!U254*'D(Ti_Cherniak) Times'!$F254*0.000001)^2/(4*'D(Ti_Cherniak) Times'!$C254)/(365.35*24*3600)</f>
        <v>3.8197624187880632</v>
      </c>
      <c r="Z254" s="2">
        <f>('L-Values'!V254*'D(Ti_Cherniak) Times'!$F254*0.000001)^2/(4*'D(Ti_Cherniak) Times'!$C254)/(365.35*24*3600)</f>
        <v>25.363679223021347</v>
      </c>
      <c r="AA254" s="2">
        <f>('L-Values'!W254*'D(Ti_Cherniak) Times'!$F254*0.000001)^2/(4*'D(Ti_Cherniak) Times'!$C254)/(365.35*24*3600)</f>
        <v>9.3761285723004909E-3</v>
      </c>
      <c r="AB254" s="2">
        <f>('L-Values'!X254*'D(Ti_Cherniak) Times'!$F254*0.000001)^2/(4*'D(Ti_Cherniak) Times'!$C254)/(365.35*24*3600)</f>
        <v>668.49941822842788</v>
      </c>
      <c r="AC254" s="2">
        <f t="shared" si="14"/>
        <v>25.354303094449048</v>
      </c>
      <c r="AD254" s="2">
        <f t="shared" si="15"/>
        <v>643.13573900540655</v>
      </c>
    </row>
    <row r="255" spans="1:30" x14ac:dyDescent="0.2">
      <c r="A255" t="str">
        <f>'L-Values'!A255</f>
        <v>CGI014-qtz04-CL-fit-1-offset</v>
      </c>
      <c r="B255">
        <v>750</v>
      </c>
      <c r="C255">
        <f t="shared" si="12"/>
        <v>8.0537892000481889E-22</v>
      </c>
      <c r="D255">
        <v>1600</v>
      </c>
      <c r="E255">
        <v>1024</v>
      </c>
      <c r="F255">
        <f t="shared" si="13"/>
        <v>1.5625</v>
      </c>
      <c r="I255" s="2">
        <f>('L-Values'!E255*'D(Ti_Cherniak) Times'!$F255*0.000001)^2/(4*'D(Ti_Cherniak) Times'!$C255)/(365.35*24*3600)</f>
        <v>0</v>
      </c>
      <c r="J255" s="2">
        <f>('L-Values'!F255*'D(Ti_Cherniak) Times'!$F255*0.000001)^2/(4*'D(Ti_Cherniak) Times'!$C255)/(365.35*24*3600)</f>
        <v>0</v>
      </c>
      <c r="K255" s="2">
        <f>('L-Values'!G255*'D(Ti_Cherniak) Times'!$F255*0.000001)^2/(4*'D(Ti_Cherniak) Times'!$C255)/(365.35*24*3600)</f>
        <v>2102.8400832847192</v>
      </c>
      <c r="L255" s="2">
        <f>('L-Values'!H255*'D(Ti_Cherniak) Times'!$F255*0.000001)^2/(4*'D(Ti_Cherniak) Times'!$C255)/(365.35*24*3600)</f>
        <v>1736.6983294387478</v>
      </c>
      <c r="M255" s="2">
        <f>('L-Values'!I255*'D(Ti_Cherniak) Times'!$F255*0.000001)^2/(4*'D(Ti_Cherniak) Times'!$C255)/(365.35*24*3600)</f>
        <v>920.16230561501618</v>
      </c>
      <c r="N255" s="2">
        <f>('L-Values'!J255*'D(Ti_Cherniak) Times'!$F255*0.000001)^2/(4*'D(Ti_Cherniak) Times'!$C255)/(365.35*24*3600)</f>
        <v>750.90617790476142</v>
      </c>
      <c r="O255" s="2">
        <f>('L-Values'!K255*'D(Ti_Cherniak) Times'!$F255*0.000001)^2/(4*'D(Ti_Cherniak) Times'!$C255)/(365.35*24*3600)</f>
        <v>1544.5265624595368</v>
      </c>
      <c r="P255" s="2">
        <f>('L-Values'!L255*'D(Ti_Cherniak) Times'!$F255*0.000001)^2/(4*'D(Ti_Cherniak) Times'!$C255)/(365.35*24*3600)</f>
        <v>997.00601453104719</v>
      </c>
      <c r="Q255" s="2">
        <f>('L-Values'!M255*'D(Ti_Cherniak) Times'!$F255*0.000001)^2/(4*'D(Ti_Cherniak) Times'!$C255)/(365.35*24*3600)</f>
        <v>1459.8901833598532</v>
      </c>
      <c r="R255" s="2">
        <f>('L-Values'!N255*'D(Ti_Cherniak) Times'!$F255*0.000001)^2/(4*'D(Ti_Cherniak) Times'!$C255)/(365.35*24*3600)</f>
        <v>1126.1392237112962</v>
      </c>
      <c r="S255" s="2">
        <f>('L-Values'!O255*'D(Ti_Cherniak) Times'!$F255*0.000001)^2/(4*'D(Ti_Cherniak) Times'!$C255)/(365.35*24*3600)</f>
        <v>1241.9048070655065</v>
      </c>
      <c r="T255" s="2"/>
      <c r="U255" s="2">
        <f>('L-Values'!Q255*'D(Ti_Cherniak) Times'!$F255*0.000001)^2/(4*'D(Ti_Cherniak) Times'!$C255)/(365.35*24*3600)</f>
        <v>1334.4671619345584</v>
      </c>
      <c r="V255" s="2">
        <f>('L-Values'!R255*'D(Ti_Cherniak) Times'!$F255*0.000001)^2/(4*'D(Ti_Cherniak) Times'!$C255)/(365.35*24*3600)</f>
        <v>1289.2115989200411</v>
      </c>
      <c r="W255" s="2">
        <f>('L-Values'!S255*'D(Ti_Cherniak) Times'!$F255*0.000001)^2/(4*'D(Ti_Cherniak) Times'!$C255)/(365.35*24*3600)</f>
        <v>1241.9048070655065</v>
      </c>
      <c r="X255" s="2"/>
      <c r="Y255" s="2">
        <f>('L-Values'!U255*'D(Ti_Cherniak) Times'!$F255*0.000001)^2/(4*'D(Ti_Cherniak) Times'!$C255)/(365.35*24*3600)</f>
        <v>1366.1257992811459</v>
      </c>
      <c r="Z255" s="2">
        <f>('L-Values'!V255*'D(Ti_Cherniak) Times'!$F255*0.000001)^2/(4*'D(Ti_Cherniak) Times'!$C255)/(365.35*24*3600)</f>
        <v>1343.7430262510779</v>
      </c>
      <c r="AA255" s="2">
        <f>('L-Values'!W255*'D(Ti_Cherniak) Times'!$F255*0.000001)^2/(4*'D(Ti_Cherniak) Times'!$C255)/(365.35*24*3600)</f>
        <v>543.15582704502754</v>
      </c>
      <c r="AB255" s="2">
        <f>('L-Values'!X255*'D(Ti_Cherniak) Times'!$F255*0.000001)^2/(4*'D(Ti_Cherniak) Times'!$C255)/(365.35*24*3600)</f>
        <v>2438.3595570567036</v>
      </c>
      <c r="AC255" s="2">
        <f t="shared" si="14"/>
        <v>800.5871992060504</v>
      </c>
      <c r="AD255" s="2">
        <f t="shared" si="15"/>
        <v>1094.6165308056256</v>
      </c>
    </row>
    <row r="256" spans="1:30" x14ac:dyDescent="0.2">
      <c r="A256" t="str">
        <f>'L-Values'!A256</f>
        <v>CGI014-qtz04-CL-fit-2-offset</v>
      </c>
      <c r="B256">
        <v>750</v>
      </c>
      <c r="C256">
        <f t="shared" si="12"/>
        <v>8.0537892000481889E-22</v>
      </c>
      <c r="D256">
        <v>1600</v>
      </c>
      <c r="E256">
        <v>1024</v>
      </c>
      <c r="F256">
        <f t="shared" si="13"/>
        <v>1.5625</v>
      </c>
      <c r="I256" s="2">
        <f>('L-Values'!E256*'D(Ti_Cherniak) Times'!$F256*0.000001)^2/(4*'D(Ti_Cherniak) Times'!$C256)/(365.35*24*3600)</f>
        <v>372.44590231103672</v>
      </c>
      <c r="J256" s="2">
        <f>('L-Values'!F256*'D(Ti_Cherniak) Times'!$F256*0.000001)^2/(4*'D(Ti_Cherniak) Times'!$C256)/(365.35*24*3600)</f>
        <v>521.88855699253293</v>
      </c>
      <c r="K256" s="2">
        <f>('L-Values'!G256*'D(Ti_Cherniak) Times'!$F256*0.000001)^2/(4*'D(Ti_Cherniak) Times'!$C256)/(365.35*24*3600)</f>
        <v>1.0680208453442832</v>
      </c>
      <c r="L256" s="2">
        <f>('L-Values'!H256*'D(Ti_Cherniak) Times'!$F256*0.000001)^2/(4*'D(Ti_Cherniak) Times'!$C256)/(365.35*24*3600)</f>
        <v>557.95114592073583</v>
      </c>
      <c r="M256" s="2">
        <f>('L-Values'!I256*'D(Ti_Cherniak) Times'!$F256*0.000001)^2/(4*'D(Ti_Cherniak) Times'!$C256)/(365.35*24*3600)</f>
        <v>583.22057253508115</v>
      </c>
      <c r="N256" s="2">
        <f>('L-Values'!J256*'D(Ti_Cherniak) Times'!$F256*0.000001)^2/(4*'D(Ti_Cherniak) Times'!$C256)/(365.35*24*3600)</f>
        <v>215.20755943042326</v>
      </c>
      <c r="O256" s="2">
        <f>('L-Values'!K256*'D(Ti_Cherniak) Times'!$F256*0.000001)^2/(4*'D(Ti_Cherniak) Times'!$C256)/(365.35*24*3600)</f>
        <v>36.454280300463935</v>
      </c>
      <c r="P256" s="2">
        <f>('L-Values'!L256*'D(Ti_Cherniak) Times'!$F256*0.000001)^2/(4*'D(Ti_Cherniak) Times'!$C256)/(365.35*24*3600)</f>
        <v>104.07510676690873</v>
      </c>
      <c r="Q256" s="2">
        <f>('L-Values'!M256*'D(Ti_Cherniak) Times'!$F256*0.000001)^2/(4*'D(Ti_Cherniak) Times'!$C256)/(365.35*24*3600)</f>
        <v>145.16421664894798</v>
      </c>
      <c r="R256" s="2">
        <f>('L-Values'!N256*'D(Ti_Cherniak) Times'!$F256*0.000001)^2/(4*'D(Ti_Cherniak) Times'!$C256)/(365.35*24*3600)</f>
        <v>312.08118741203305</v>
      </c>
      <c r="S256" s="2">
        <f>('L-Values'!O256*'D(Ti_Cherniak) Times'!$F256*0.000001)^2/(4*'D(Ti_Cherniak) Times'!$C256)/(365.35*24*3600)</f>
        <v>182.14253865057069</v>
      </c>
      <c r="T256" s="2"/>
      <c r="U256" s="2">
        <f>('L-Values'!Q256*'D(Ti_Cherniak) Times'!$F256*0.000001)^2/(4*'D(Ti_Cherniak) Times'!$C256)/(365.35*24*3600)</f>
        <v>241.75362513024072</v>
      </c>
      <c r="V256" s="2">
        <f>('L-Values'!R256*'D(Ti_Cherniak) Times'!$F256*0.000001)^2/(4*'D(Ti_Cherniak) Times'!$C256)/(365.35*24*3600)</f>
        <v>225.18495253620139</v>
      </c>
      <c r="W256" s="2">
        <f>('L-Values'!S256*'D(Ti_Cherniak) Times'!$F256*0.000001)^2/(4*'D(Ti_Cherniak) Times'!$C256)/(365.35*24*3600)</f>
        <v>215.20755943042326</v>
      </c>
      <c r="X256" s="2"/>
      <c r="Y256" s="2">
        <f>('L-Values'!U256*'D(Ti_Cherniak) Times'!$F256*0.000001)^2/(4*'D(Ti_Cherniak) Times'!$C256)/(365.35*24*3600)</f>
        <v>174.87652592040533</v>
      </c>
      <c r="Z256" s="2">
        <f>('L-Values'!V256*'D(Ti_Cherniak) Times'!$F256*0.000001)^2/(4*'D(Ti_Cherniak) Times'!$C256)/(365.35*24*3600)</f>
        <v>469.88269825184852</v>
      </c>
      <c r="AA256" s="2">
        <f>('L-Values'!W256*'D(Ti_Cherniak) Times'!$F256*0.000001)^2/(4*'D(Ti_Cherniak) Times'!$C256)/(365.35*24*3600)</f>
        <v>0.2276029405973124</v>
      </c>
      <c r="AB256" s="2">
        <f>('L-Values'!X256*'D(Ti_Cherniak) Times'!$F256*0.000001)^2/(4*'D(Ti_Cherniak) Times'!$C256)/(365.35*24*3600)</f>
        <v>35858.035990342345</v>
      </c>
      <c r="AC256" s="2">
        <f t="shared" si="14"/>
        <v>469.65509531125122</v>
      </c>
      <c r="AD256" s="2">
        <f t="shared" si="15"/>
        <v>35388.153292090494</v>
      </c>
    </row>
    <row r="257" spans="1:30" x14ac:dyDescent="0.2">
      <c r="A257" t="str">
        <f>'L-Values'!A257</f>
        <v>CGI014-qtz04-CL-fit-3-offset</v>
      </c>
      <c r="B257">
        <v>750</v>
      </c>
      <c r="C257">
        <f t="shared" si="12"/>
        <v>8.0537892000481889E-22</v>
      </c>
      <c r="D257">
        <v>1600</v>
      </c>
      <c r="E257">
        <v>1024</v>
      </c>
      <c r="F257">
        <f t="shared" si="13"/>
        <v>1.5625</v>
      </c>
      <c r="I257" s="2">
        <f>('L-Values'!E257*'D(Ti_Cherniak) Times'!$F257*0.000001)^2/(4*'D(Ti_Cherniak) Times'!$C257)/(365.35*24*3600)</f>
        <v>25.315332759768651</v>
      </c>
      <c r="J257" s="2">
        <f>('L-Values'!F257*'D(Ti_Cherniak) Times'!$F257*0.000001)^2/(4*'D(Ti_Cherniak) Times'!$C257)/(365.35*24*3600)</f>
        <v>3.6357159529527165</v>
      </c>
      <c r="K257" s="2">
        <f>('L-Values'!G257*'D(Ti_Cherniak) Times'!$F257*0.000001)^2/(4*'D(Ti_Cherniak) Times'!$C257)/(365.35*24*3600)</f>
        <v>2.1653039376032456E-16</v>
      </c>
      <c r="L257" s="2">
        <f>('L-Values'!H257*'D(Ti_Cherniak) Times'!$F257*0.000001)^2/(4*'D(Ti_Cherniak) Times'!$C257)/(365.35*24*3600)</f>
        <v>25.324131120332972</v>
      </c>
      <c r="M257" s="2">
        <f>('L-Values'!I257*'D(Ti_Cherniak) Times'!$F257*0.000001)^2/(4*'D(Ti_Cherniak) Times'!$C257)/(365.35*24*3600)</f>
        <v>0.27013650668751638</v>
      </c>
      <c r="N257" s="2">
        <f>('L-Values'!J257*'D(Ti_Cherniak) Times'!$F257*0.000001)^2/(4*'D(Ti_Cherniak) Times'!$C257)/(365.35*24*3600)</f>
        <v>43.621709731463447</v>
      </c>
      <c r="O257" s="2">
        <f>('L-Values'!K257*'D(Ti_Cherniak) Times'!$F257*0.000001)^2/(4*'D(Ti_Cherniak) Times'!$C257)/(365.35*24*3600)</f>
        <v>257.12677078750556</v>
      </c>
      <c r="P257" s="2">
        <f>('L-Values'!L257*'D(Ti_Cherniak) Times'!$F257*0.000001)^2/(4*'D(Ti_Cherniak) Times'!$C257)/(365.35*24*3600)</f>
        <v>20.358075089951974</v>
      </c>
      <c r="Q257" s="2">
        <f>('L-Values'!M257*'D(Ti_Cherniak) Times'!$F257*0.000001)^2/(4*'D(Ti_Cherniak) Times'!$C257)/(365.35*24*3600)</f>
        <v>10.287914113041777</v>
      </c>
      <c r="R257" s="2">
        <f>('L-Values'!N257*'D(Ti_Cherniak) Times'!$F257*0.000001)^2/(4*'D(Ti_Cherniak) Times'!$C257)/(365.35*24*3600)</f>
        <v>2.5371289330374176</v>
      </c>
      <c r="S257" s="2">
        <f>('L-Values'!O257*'D(Ti_Cherniak) Times'!$F257*0.000001)^2/(4*'D(Ti_Cherniak) Times'!$C257)/(365.35*24*3600)</f>
        <v>2.8151283160631224</v>
      </c>
      <c r="T257" s="2"/>
      <c r="U257" s="2">
        <f>('L-Values'!Q257*'D(Ti_Cherniak) Times'!$F257*0.000001)^2/(4*'D(Ti_Cherniak) Times'!$C257)/(365.35*24*3600)</f>
        <v>25.303581668675228</v>
      </c>
      <c r="V257" s="2">
        <f>('L-Values'!R257*'D(Ti_Cherniak) Times'!$F257*0.000001)^2/(4*'D(Ti_Cherniak) Times'!$C257)/(365.35*24*3600)</f>
        <v>17.579139419022543</v>
      </c>
      <c r="W257" s="2">
        <f>('L-Values'!S257*'D(Ti_Cherniak) Times'!$F257*0.000001)^2/(4*'D(Ti_Cherniak) Times'!$C257)/(365.35*24*3600)</f>
        <v>10.287914113041777</v>
      </c>
      <c r="X257" s="2"/>
      <c r="Y257" s="2">
        <f>('L-Values'!U257*'D(Ti_Cherniak) Times'!$F257*0.000001)^2/(4*'D(Ti_Cherniak) Times'!$C257)/(365.35*24*3600)</f>
        <v>4.5803493520661531</v>
      </c>
      <c r="Z257" s="2">
        <f>('L-Values'!V257*'D(Ti_Cherniak) Times'!$F257*0.000001)^2/(4*'D(Ti_Cherniak) Times'!$C257)/(365.35*24*3600)</f>
        <v>15.114616788079243</v>
      </c>
      <c r="AA257" s="2">
        <f>('L-Values'!W257*'D(Ti_Cherniak) Times'!$F257*0.000001)^2/(4*'D(Ti_Cherniak) Times'!$C257)/(365.35*24*3600)</f>
        <v>0.25402925432351647</v>
      </c>
      <c r="AB257" s="2">
        <f>('L-Values'!X257*'D(Ti_Cherniak) Times'!$F257*0.000001)^2/(4*'D(Ti_Cherniak) Times'!$C257)/(365.35*24*3600)</f>
        <v>132.94072588366859</v>
      </c>
      <c r="AC257" s="2">
        <f t="shared" si="14"/>
        <v>14.860587533755726</v>
      </c>
      <c r="AD257" s="2">
        <f t="shared" si="15"/>
        <v>117.82610909558935</v>
      </c>
    </row>
    <row r="258" spans="1:30" x14ac:dyDescent="0.2">
      <c r="A258" t="str">
        <f>'L-Values'!A258</f>
        <v>CGI014-qtz05-CL-fit-1-offset</v>
      </c>
      <c r="B258">
        <v>750</v>
      </c>
      <c r="C258">
        <f t="shared" si="12"/>
        <v>8.0537892000481889E-22</v>
      </c>
      <c r="D258">
        <v>1900</v>
      </c>
      <c r="E258">
        <v>1024</v>
      </c>
      <c r="F258">
        <f t="shared" si="13"/>
        <v>1.85546875</v>
      </c>
      <c r="I258" s="2">
        <f>('L-Values'!E258*'D(Ti_Cherniak) Times'!$F258*0.000001)^2/(4*'D(Ti_Cherniak) Times'!$C258)/(365.35*24*3600)</f>
        <v>5351.2209648303251</v>
      </c>
      <c r="J258" s="2">
        <f>('L-Values'!F258*'D(Ti_Cherniak) Times'!$F258*0.000001)^2/(4*'D(Ti_Cherniak) Times'!$C258)/(365.35*24*3600)</f>
        <v>7459.5233770579116</v>
      </c>
      <c r="K258" s="2">
        <f>('L-Values'!G258*'D(Ti_Cherniak) Times'!$F258*0.000001)^2/(4*'D(Ti_Cherniak) Times'!$C258)/(365.35*24*3600)</f>
        <v>4371.7236039403724</v>
      </c>
      <c r="L258" s="2">
        <f>('L-Values'!H258*'D(Ti_Cherniak) Times'!$F258*0.000001)^2/(4*'D(Ti_Cherniak) Times'!$C258)/(365.35*24*3600)</f>
        <v>4884.8928696892044</v>
      </c>
      <c r="M258" s="2">
        <f>('L-Values'!I258*'D(Ti_Cherniak) Times'!$F258*0.000001)^2/(4*'D(Ti_Cherniak) Times'!$C258)/(365.35*24*3600)</f>
        <v>3529.195375909715</v>
      </c>
      <c r="N258" s="2">
        <f>('L-Values'!J258*'D(Ti_Cherniak) Times'!$F258*0.000001)^2/(4*'D(Ti_Cherniak) Times'!$C258)/(365.35*24*3600)</f>
        <v>4678.5443329767422</v>
      </c>
      <c r="O258" s="2">
        <f>('L-Values'!K258*'D(Ti_Cherniak) Times'!$F258*0.000001)^2/(4*'D(Ti_Cherniak) Times'!$C258)/(365.35*24*3600)</f>
        <v>4443.0383263727899</v>
      </c>
      <c r="P258" s="2">
        <f>('L-Values'!L258*'D(Ti_Cherniak) Times'!$F258*0.000001)^2/(4*'D(Ti_Cherniak) Times'!$C258)/(365.35*24*3600)</f>
        <v>2356.2283608025409</v>
      </c>
      <c r="Q258" s="2">
        <f>('L-Values'!M258*'D(Ti_Cherniak) Times'!$F258*0.000001)^2/(4*'D(Ti_Cherniak) Times'!$C258)/(365.35*24*3600)</f>
        <v>3355.2555841417739</v>
      </c>
      <c r="R258" s="2">
        <f>('L-Values'!N258*'D(Ti_Cherniak) Times'!$F258*0.000001)^2/(4*'D(Ti_Cherniak) Times'!$C258)/(365.35*24*3600)</f>
        <v>4889.0502195982208</v>
      </c>
      <c r="S258" s="2">
        <f>('L-Values'!O258*'D(Ti_Cherniak) Times'!$F258*0.000001)^2/(4*'D(Ti_Cherniak) Times'!$C258)/(365.35*24*3600)</f>
        <v>3723.281899231808</v>
      </c>
      <c r="T258" s="2"/>
      <c r="U258" s="2">
        <f>('L-Values'!Q258*'D(Ti_Cherniak) Times'!$F258*0.000001)^2/(4*'D(Ti_Cherniak) Times'!$C258)/(365.35*24*3600)</f>
        <v>4361.3035959742074</v>
      </c>
      <c r="V258" s="2">
        <f>('L-Values'!R258*'D(Ti_Cherniak) Times'!$F258*0.000001)^2/(4*'D(Ti_Cherniak) Times'!$C258)/(365.35*24*3600)</f>
        <v>4372.823871959853</v>
      </c>
      <c r="W258" s="2">
        <f>('L-Values'!S258*'D(Ti_Cherniak) Times'!$F258*0.000001)^2/(4*'D(Ti_Cherniak) Times'!$C258)/(365.35*24*3600)</f>
        <v>4443.0383263727899</v>
      </c>
      <c r="X258" s="2"/>
      <c r="Y258" s="2">
        <f>('L-Values'!U258*'D(Ti_Cherniak) Times'!$F258*0.000001)^2/(4*'D(Ti_Cherniak) Times'!$C258)/(365.35*24*3600)</f>
        <v>4286.1732008129466</v>
      </c>
      <c r="Z258" s="2">
        <f>('L-Values'!V258*'D(Ti_Cherniak) Times'!$F258*0.000001)^2/(4*'D(Ti_Cherniak) Times'!$C258)/(365.35*24*3600)</f>
        <v>4272.0906433073887</v>
      </c>
      <c r="AA258" s="2">
        <f>('L-Values'!W258*'D(Ti_Cherniak) Times'!$F258*0.000001)^2/(4*'D(Ti_Cherniak) Times'!$C258)/(365.35*24*3600)</f>
        <v>2671.3223741670645</v>
      </c>
      <c r="AB258" s="2">
        <f>('L-Values'!X258*'D(Ti_Cherniak) Times'!$F258*0.000001)^2/(4*'D(Ti_Cherniak) Times'!$C258)/(365.35*24*3600)</f>
        <v>6139.2964603141118</v>
      </c>
      <c r="AC258" s="2">
        <f t="shared" si="14"/>
        <v>1600.7682691403243</v>
      </c>
      <c r="AD258" s="2">
        <f t="shared" si="15"/>
        <v>1867.205817006723</v>
      </c>
    </row>
    <row r="259" spans="1:30" x14ac:dyDescent="0.2">
      <c r="A259" t="str">
        <f>'L-Values'!A259</f>
        <v>CGI014-qtz05-CL-fit-2-offset</v>
      </c>
      <c r="B259">
        <v>750</v>
      </c>
      <c r="C259">
        <f t="shared" ref="C259:C322" si="16">0.00000007*EXP(-273/(0.00831451*(B259+273)))</f>
        <v>8.0537892000481889E-22</v>
      </c>
      <c r="D259">
        <v>1900</v>
      </c>
      <c r="E259">
        <v>1024</v>
      </c>
      <c r="F259">
        <f t="shared" ref="F259:F322" si="17">D259/E259</f>
        <v>1.85546875</v>
      </c>
      <c r="I259" s="2">
        <f>('L-Values'!E259*'D(Ti_Cherniak) Times'!$F259*0.000001)^2/(4*'D(Ti_Cherniak) Times'!$C259)/(365.35*24*3600)</f>
        <v>1357.7943609804499</v>
      </c>
      <c r="J259" s="2">
        <f>('L-Values'!F259*'D(Ti_Cherniak) Times'!$F259*0.000001)^2/(4*'D(Ti_Cherniak) Times'!$C259)/(365.35*24*3600)</f>
        <v>1055.3653835185696</v>
      </c>
      <c r="K259" s="2">
        <f>('L-Values'!G259*'D(Ti_Cherniak) Times'!$F259*0.000001)^2/(4*'D(Ti_Cherniak) Times'!$C259)/(365.35*24*3600)</f>
        <v>1138.4064159079371</v>
      </c>
      <c r="L259" s="2">
        <f>('L-Values'!H259*'D(Ti_Cherniak) Times'!$F259*0.000001)^2/(4*'D(Ti_Cherniak) Times'!$C259)/(365.35*24*3600)</f>
        <v>846.02039242915043</v>
      </c>
      <c r="M259" s="2">
        <f>('L-Values'!I259*'D(Ti_Cherniak) Times'!$F259*0.000001)^2/(4*'D(Ti_Cherniak) Times'!$C259)/(365.35*24*3600)</f>
        <v>774.62234952001336</v>
      </c>
      <c r="N259" s="2">
        <f>('L-Values'!J259*'D(Ti_Cherniak) Times'!$F259*0.000001)^2/(4*'D(Ti_Cherniak) Times'!$C259)/(365.35*24*3600)</f>
        <v>753.19343606519726</v>
      </c>
      <c r="O259" s="2">
        <f>('L-Values'!K259*'D(Ti_Cherniak) Times'!$F259*0.000001)^2/(4*'D(Ti_Cherniak) Times'!$C259)/(365.35*24*3600)</f>
        <v>647.59296744466167</v>
      </c>
      <c r="P259" s="2">
        <f>('L-Values'!L259*'D(Ti_Cherniak) Times'!$F259*0.000001)^2/(4*'D(Ti_Cherniak) Times'!$C259)/(365.35*24*3600)</f>
        <v>509.9271637620642</v>
      </c>
      <c r="Q259" s="2">
        <f>('L-Values'!M259*'D(Ti_Cherniak) Times'!$F259*0.000001)^2/(4*'D(Ti_Cherniak) Times'!$C259)/(365.35*24*3600)</f>
        <v>499.99266215738885</v>
      </c>
      <c r="R259" s="2">
        <f>('L-Values'!N259*'D(Ti_Cherniak) Times'!$F259*0.000001)^2/(4*'D(Ti_Cherniak) Times'!$C259)/(365.35*24*3600)</f>
        <v>752.00420961184466</v>
      </c>
      <c r="S259" s="2">
        <f>('L-Values'!O259*'D(Ti_Cherniak) Times'!$F259*0.000001)^2/(4*'D(Ti_Cherniak) Times'!$C259)/(365.35*24*3600)</f>
        <v>692.80473651527905</v>
      </c>
      <c r="T259" s="2"/>
      <c r="U259" s="2">
        <f>('L-Values'!Q259*'D(Ti_Cherniak) Times'!$F259*0.000001)^2/(4*'D(Ti_Cherniak) Times'!$C259)/(365.35*24*3600)</f>
        <v>805.59808256629458</v>
      </c>
      <c r="V259" s="2">
        <f>('L-Values'!R259*'D(Ti_Cherniak) Times'!$F259*0.000001)^2/(4*'D(Ti_Cherniak) Times'!$C259)/(365.35*24*3600)</f>
        <v>802.28798865984027</v>
      </c>
      <c r="W259" s="2">
        <f>('L-Values'!S259*'D(Ti_Cherniak) Times'!$F259*0.000001)^2/(4*'D(Ti_Cherniak) Times'!$C259)/(365.35*24*3600)</f>
        <v>753.19343606519726</v>
      </c>
      <c r="X259" s="2"/>
      <c r="Y259" s="2">
        <f>('L-Values'!U259*'D(Ti_Cherniak) Times'!$F259*0.000001)^2/(4*'D(Ti_Cherniak) Times'!$C259)/(365.35*24*3600)</f>
        <v>797.24873488701098</v>
      </c>
      <c r="Z259" s="2">
        <f>('L-Values'!V259*'D(Ti_Cherniak) Times'!$F259*0.000001)^2/(4*'D(Ti_Cherniak) Times'!$C259)/(365.35*24*3600)</f>
        <v>799.89295683036801</v>
      </c>
      <c r="AA259" s="2">
        <f>('L-Values'!W259*'D(Ti_Cherniak) Times'!$F259*0.000001)^2/(4*'D(Ti_Cherniak) Times'!$C259)/(365.35*24*3600)</f>
        <v>497.58910975693624</v>
      </c>
      <c r="AB259" s="2">
        <f>('L-Values'!X259*'D(Ti_Cherniak) Times'!$F259*0.000001)^2/(4*'D(Ti_Cherniak) Times'!$C259)/(365.35*24*3600)</f>
        <v>1162.8865231944371</v>
      </c>
      <c r="AC259" s="2">
        <f t="shared" ref="AC259:AC322" si="18">Z259-AA259</f>
        <v>302.30384707343177</v>
      </c>
      <c r="AD259" s="2">
        <f t="shared" ref="AD259:AD322" si="19">AB259-Z259</f>
        <v>362.99356636406912</v>
      </c>
    </row>
    <row r="260" spans="1:30" x14ac:dyDescent="0.2">
      <c r="A260" t="str">
        <f>'L-Values'!A260</f>
        <v>CGI014-qtz05-CL-fit-3-offset</v>
      </c>
      <c r="B260">
        <v>750</v>
      </c>
      <c r="C260">
        <f t="shared" si="16"/>
        <v>8.0537892000481889E-22</v>
      </c>
      <c r="D260">
        <v>1900</v>
      </c>
      <c r="E260">
        <v>1024</v>
      </c>
      <c r="F260">
        <f t="shared" si="17"/>
        <v>1.85546875</v>
      </c>
      <c r="I260" s="2">
        <f>('L-Values'!E260*'D(Ti_Cherniak) Times'!$F260*0.000001)^2/(4*'D(Ti_Cherniak) Times'!$C260)/(365.35*24*3600)</f>
        <v>368.78126073556729</v>
      </c>
      <c r="J260" s="2">
        <f>('L-Values'!F260*'D(Ti_Cherniak) Times'!$F260*0.000001)^2/(4*'D(Ti_Cherniak) Times'!$C260)/(365.35*24*3600)</f>
        <v>288.82452353191962</v>
      </c>
      <c r="K260" s="2">
        <f>('L-Values'!G260*'D(Ti_Cherniak) Times'!$F260*0.000001)^2/(4*'D(Ti_Cherniak) Times'!$C260)/(365.35*24*3600)</f>
        <v>362.78996899355047</v>
      </c>
      <c r="L260" s="2">
        <f>('L-Values'!H260*'D(Ti_Cherniak) Times'!$F260*0.000001)^2/(4*'D(Ti_Cherniak) Times'!$C260)/(365.35*24*3600)</f>
        <v>617.80696397404017</v>
      </c>
      <c r="M260" s="2">
        <f>('L-Values'!I260*'D(Ti_Cherniak) Times'!$F260*0.000001)^2/(4*'D(Ti_Cherniak) Times'!$C260)/(365.35*24*3600)</f>
        <v>546.93839955034844</v>
      </c>
      <c r="N260" s="2">
        <f>('L-Values'!J260*'D(Ti_Cherniak) Times'!$F260*0.000001)^2/(4*'D(Ti_Cherniak) Times'!$C260)/(365.35*24*3600)</f>
        <v>379.08694468060304</v>
      </c>
      <c r="O260" s="2">
        <f>('L-Values'!K260*'D(Ti_Cherniak) Times'!$F260*0.000001)^2/(4*'D(Ti_Cherniak) Times'!$C260)/(365.35*24*3600)</f>
        <v>811.86558084771377</v>
      </c>
      <c r="P260" s="2">
        <f>('L-Values'!L260*'D(Ti_Cherniak) Times'!$F260*0.000001)^2/(4*'D(Ti_Cherniak) Times'!$C260)/(365.35*24*3600)</f>
        <v>504.38952053008052</v>
      </c>
      <c r="Q260" s="2">
        <f>('L-Values'!M260*'D(Ti_Cherniak) Times'!$F260*0.000001)^2/(4*'D(Ti_Cherniak) Times'!$C260)/(365.35*24*3600)</f>
        <v>564.96802988867421</v>
      </c>
      <c r="R260" s="2">
        <f>('L-Values'!N260*'D(Ti_Cherniak) Times'!$F260*0.000001)^2/(4*'D(Ti_Cherniak) Times'!$C260)/(365.35*24*3600)</f>
        <v>808.23903637231274</v>
      </c>
      <c r="S260" s="2">
        <f>('L-Values'!O260*'D(Ti_Cherniak) Times'!$F260*0.000001)^2/(4*'D(Ti_Cherniak) Times'!$C260)/(365.35*24*3600)</f>
        <v>508.49835250132588</v>
      </c>
      <c r="T260" s="2"/>
      <c r="U260" s="2">
        <f>('L-Values'!Q260*'D(Ti_Cherniak) Times'!$F260*0.000001)^2/(4*'D(Ti_Cherniak) Times'!$C260)/(365.35*24*3600)</f>
        <v>482.93435798197231</v>
      </c>
      <c r="V260" s="2">
        <f>('L-Values'!R260*'D(Ti_Cherniak) Times'!$F260*0.000001)^2/(4*'D(Ti_Cherniak) Times'!$C260)/(365.35*24*3600)</f>
        <v>511.00056337072203</v>
      </c>
      <c r="W260" s="2">
        <f>('L-Values'!S260*'D(Ti_Cherniak) Times'!$F260*0.000001)^2/(4*'D(Ti_Cherniak) Times'!$C260)/(365.35*24*3600)</f>
        <v>508.49835250132588</v>
      </c>
      <c r="X260" s="2"/>
      <c r="Y260" s="2">
        <f>('L-Values'!U260*'D(Ti_Cherniak) Times'!$F260*0.000001)^2/(4*'D(Ti_Cherniak) Times'!$C260)/(365.35*24*3600)</f>
        <v>463.33627682385401</v>
      </c>
      <c r="Z260" s="2">
        <f>('L-Values'!V260*'D(Ti_Cherniak) Times'!$F260*0.000001)^2/(4*'D(Ti_Cherniak) Times'!$C260)/(365.35*24*3600)</f>
        <v>465.30572657226276</v>
      </c>
      <c r="AA260" s="2">
        <f>('L-Values'!W260*'D(Ti_Cherniak) Times'!$F260*0.000001)^2/(4*'D(Ti_Cherniak) Times'!$C260)/(365.35*24*3600)</f>
        <v>231.49563800268396</v>
      </c>
      <c r="AB260" s="2">
        <f>('L-Values'!X260*'D(Ti_Cherniak) Times'!$F260*0.000001)^2/(4*'D(Ti_Cherniak) Times'!$C260)/(365.35*24*3600)</f>
        <v>841.38797940190852</v>
      </c>
      <c r="AC260" s="2">
        <f t="shared" si="18"/>
        <v>233.8100885695788</v>
      </c>
      <c r="AD260" s="2">
        <f t="shared" si="19"/>
        <v>376.08225282964577</v>
      </c>
    </row>
    <row r="261" spans="1:30" x14ac:dyDescent="0.2">
      <c r="A261" t="str">
        <f>'L-Values'!A261</f>
        <v>CGI014-qtz05-CL-fit-4-offset</v>
      </c>
      <c r="B261">
        <v>750</v>
      </c>
      <c r="C261">
        <f t="shared" si="16"/>
        <v>8.0537892000481889E-22</v>
      </c>
      <c r="D261">
        <v>1900</v>
      </c>
      <c r="E261">
        <v>1024</v>
      </c>
      <c r="F261">
        <f t="shared" si="17"/>
        <v>1.85546875</v>
      </c>
      <c r="I261" s="2">
        <f>('L-Values'!E261*'D(Ti_Cherniak) Times'!$F261*0.000001)^2/(4*'D(Ti_Cherniak) Times'!$C261)/(365.35*24*3600)</f>
        <v>8084.0137921745627</v>
      </c>
      <c r="J261" s="2">
        <f>('L-Values'!F261*'D(Ti_Cherniak) Times'!$F261*0.000001)^2/(4*'D(Ti_Cherniak) Times'!$C261)/(365.35*24*3600)</f>
        <v>8213.7982416489922</v>
      </c>
      <c r="K261" s="2">
        <f>('L-Values'!G261*'D(Ti_Cherniak) Times'!$F261*0.000001)^2/(4*'D(Ti_Cherniak) Times'!$C261)/(365.35*24*3600)</f>
        <v>4629.1072287914403</v>
      </c>
      <c r="L261" s="2">
        <f>('L-Values'!H261*'D(Ti_Cherniak) Times'!$F261*0.000001)^2/(4*'D(Ti_Cherniak) Times'!$C261)/(365.35*24*3600)</f>
        <v>6145.5810806303789</v>
      </c>
      <c r="M261" s="2">
        <f>('L-Values'!I261*'D(Ti_Cherniak) Times'!$F261*0.000001)^2/(4*'D(Ti_Cherniak) Times'!$C261)/(365.35*24*3600)</f>
        <v>5221.9541946175532</v>
      </c>
      <c r="N261" s="2">
        <f>('L-Values'!J261*'D(Ti_Cherniak) Times'!$F261*0.000001)^2/(4*'D(Ti_Cherniak) Times'!$C261)/(365.35*24*3600)</f>
        <v>3242.337257263634</v>
      </c>
      <c r="O261" s="2">
        <f>('L-Values'!K261*'D(Ti_Cherniak) Times'!$F261*0.000001)^2/(4*'D(Ti_Cherniak) Times'!$C261)/(365.35*24*3600)</f>
        <v>5735.9295522207631</v>
      </c>
      <c r="P261" s="2">
        <f>('L-Values'!L261*'D(Ti_Cherniak) Times'!$F261*0.000001)^2/(4*'D(Ti_Cherniak) Times'!$C261)/(365.35*24*3600)</f>
        <v>4771.591816896449</v>
      </c>
      <c r="Q261" s="2">
        <f>('L-Values'!M261*'D(Ti_Cherniak) Times'!$F261*0.000001)^2/(4*'D(Ti_Cherniak) Times'!$C261)/(365.35*24*3600)</f>
        <v>5375.1888191348689</v>
      </c>
      <c r="R261" s="2">
        <f>('L-Values'!N261*'D(Ti_Cherniak) Times'!$F261*0.000001)^2/(4*'D(Ti_Cherniak) Times'!$C261)/(365.35*24*3600)</f>
        <v>11780.975518400586</v>
      </c>
      <c r="S261" s="2">
        <f>('L-Values'!O261*'D(Ti_Cherniak) Times'!$F261*0.000001)^2/(4*'D(Ti_Cherniak) Times'!$C261)/(365.35*24*3600)</f>
        <v>4633.9735366165478</v>
      </c>
      <c r="T261" s="2"/>
      <c r="U261" s="2">
        <f>('L-Values'!Q261*'D(Ti_Cherniak) Times'!$F261*0.000001)^2/(4*'D(Ti_Cherniak) Times'!$C261)/(365.35*24*3600)</f>
        <v>5948.87688585867</v>
      </c>
      <c r="V261" s="2">
        <f>('L-Values'!R261*'D(Ti_Cherniak) Times'!$F261*0.000001)^2/(4*'D(Ti_Cherniak) Times'!$C261)/(365.35*24*3600)</f>
        <v>5983.9911309217377</v>
      </c>
      <c r="W261" s="2">
        <f>('L-Values'!S261*'D(Ti_Cherniak) Times'!$F261*0.000001)^2/(4*'D(Ti_Cherniak) Times'!$C261)/(365.35*24*3600)</f>
        <v>5375.1888191348689</v>
      </c>
      <c r="X261" s="2"/>
      <c r="Y261" s="2">
        <f>('L-Values'!U261*'D(Ti_Cherniak) Times'!$F261*0.000001)^2/(4*'D(Ti_Cherniak) Times'!$C261)/(365.35*24*3600)</f>
        <v>5978.7485971947635</v>
      </c>
      <c r="Z261" s="2">
        <f>('L-Values'!V261*'D(Ti_Cherniak) Times'!$F261*0.000001)^2/(4*'D(Ti_Cherniak) Times'!$C261)/(365.35*24*3600)</f>
        <v>5915.9472235899711</v>
      </c>
      <c r="AA261" s="2">
        <f>('L-Values'!W261*'D(Ti_Cherniak) Times'!$F261*0.000001)^2/(4*'D(Ti_Cherniak) Times'!$C261)/(365.35*24*3600)</f>
        <v>3541.0133246002201</v>
      </c>
      <c r="AB261" s="2">
        <f>('L-Values'!X261*'D(Ti_Cherniak) Times'!$F261*0.000001)^2/(4*'D(Ti_Cherniak) Times'!$C261)/(365.35*24*3600)</f>
        <v>10173.116639752112</v>
      </c>
      <c r="AC261" s="2">
        <f t="shared" si="18"/>
        <v>2374.933898989751</v>
      </c>
      <c r="AD261" s="2">
        <f t="shared" si="19"/>
        <v>4257.1694161621408</v>
      </c>
    </row>
    <row r="262" spans="1:30" x14ac:dyDescent="0.2">
      <c r="A262" t="str">
        <f>'L-Values'!A262</f>
        <v>CGI014-qtz05-CL-fit-5-offset</v>
      </c>
      <c r="B262">
        <v>750</v>
      </c>
      <c r="C262">
        <f t="shared" si="16"/>
        <v>8.0537892000481889E-22</v>
      </c>
      <c r="D262">
        <v>1900</v>
      </c>
      <c r="E262">
        <v>1024</v>
      </c>
      <c r="F262">
        <f t="shared" si="17"/>
        <v>1.85546875</v>
      </c>
      <c r="I262" s="2">
        <f>('L-Values'!E262*'D(Ti_Cherniak) Times'!$F262*0.000001)^2/(4*'D(Ti_Cherniak) Times'!$C262)/(365.35*24*3600)</f>
        <v>173.824346486308</v>
      </c>
      <c r="J262" s="2">
        <f>('L-Values'!F262*'D(Ti_Cherniak) Times'!$F262*0.000001)^2/(4*'D(Ti_Cherniak) Times'!$C262)/(365.35*24*3600)</f>
        <v>134.07145282920075</v>
      </c>
      <c r="K262" s="2">
        <f>('L-Values'!G262*'D(Ti_Cherniak) Times'!$F262*0.000001)^2/(4*'D(Ti_Cherniak) Times'!$C262)/(365.35*24*3600)</f>
        <v>135.06896884104148</v>
      </c>
      <c r="L262" s="2">
        <f>('L-Values'!H262*'D(Ti_Cherniak) Times'!$F262*0.000001)^2/(4*'D(Ti_Cherniak) Times'!$C262)/(365.35*24*3600)</f>
        <v>351.13142509678516</v>
      </c>
      <c r="M262" s="2">
        <f>('L-Values'!I262*'D(Ti_Cherniak) Times'!$F262*0.000001)^2/(4*'D(Ti_Cherniak) Times'!$C262)/(365.35*24*3600)</f>
        <v>227.55836737619885</v>
      </c>
      <c r="N262" s="2">
        <f>('L-Values'!J262*'D(Ti_Cherniak) Times'!$F262*0.000001)^2/(4*'D(Ti_Cherniak) Times'!$C262)/(365.35*24*3600)</f>
        <v>135.10396639390561</v>
      </c>
      <c r="O262" s="2">
        <f>('L-Values'!K262*'D(Ti_Cherniak) Times'!$F262*0.000001)^2/(4*'D(Ti_Cherniak) Times'!$C262)/(365.35*24*3600)</f>
        <v>154.39546025733407</v>
      </c>
      <c r="P262" s="2">
        <f>('L-Values'!L262*'D(Ti_Cherniak) Times'!$F262*0.000001)^2/(4*'D(Ti_Cherniak) Times'!$C262)/(365.35*24*3600)</f>
        <v>174.47111579074826</v>
      </c>
      <c r="Q262" s="2">
        <f>('L-Values'!M262*'D(Ti_Cherniak) Times'!$F262*0.000001)^2/(4*'D(Ti_Cherniak) Times'!$C262)/(365.35*24*3600)</f>
        <v>129.56307101434743</v>
      </c>
      <c r="R262" s="2">
        <f>('L-Values'!N262*'D(Ti_Cherniak) Times'!$F262*0.000001)^2/(4*'D(Ti_Cherniak) Times'!$C262)/(365.35*24*3600)</f>
        <v>73.130766447938214</v>
      </c>
      <c r="S262" s="2">
        <f>('L-Values'!O262*'D(Ti_Cherniak) Times'!$F262*0.000001)^2/(4*'D(Ti_Cherniak) Times'!$C262)/(365.35*24*3600)</f>
        <v>164.73365249092669</v>
      </c>
      <c r="T262" s="2"/>
      <c r="U262" s="2">
        <f>('L-Values'!Q262*'D(Ti_Cherniak) Times'!$F262*0.000001)^2/(4*'D(Ti_Cherniak) Times'!$C262)/(365.35*24*3600)</f>
        <v>168.46876413821735</v>
      </c>
      <c r="V262" s="2">
        <f>('L-Values'!R262*'D(Ti_Cherniak) Times'!$F262*0.000001)^2/(4*'D(Ti_Cherniak) Times'!$C262)/(365.35*24*3600)</f>
        <v>162.52886117886405</v>
      </c>
      <c r="W262" s="2">
        <f>('L-Values'!S262*'D(Ti_Cherniak) Times'!$F262*0.000001)^2/(4*'D(Ti_Cherniak) Times'!$C262)/(365.35*24*3600)</f>
        <v>154.39546025733407</v>
      </c>
      <c r="X262" s="2"/>
      <c r="Y262" s="2">
        <f>('L-Values'!U262*'D(Ti_Cherniak) Times'!$F262*0.000001)^2/(4*'D(Ti_Cherniak) Times'!$C262)/(365.35*24*3600)</f>
        <v>170.93618973961205</v>
      </c>
      <c r="Z262" s="2">
        <f>('L-Values'!V262*'D(Ti_Cherniak) Times'!$F262*0.000001)^2/(4*'D(Ti_Cherniak) Times'!$C262)/(365.35*24*3600)</f>
        <v>166.30040351012778</v>
      </c>
      <c r="AA262" s="2">
        <f>('L-Values'!W262*'D(Ti_Cherniak) Times'!$F262*0.000001)^2/(4*'D(Ti_Cherniak) Times'!$C262)/(365.35*24*3600)</f>
        <v>54.635545802403996</v>
      </c>
      <c r="AB262" s="2">
        <f>('L-Values'!X262*'D(Ti_Cherniak) Times'!$F262*0.000001)^2/(4*'D(Ti_Cherniak) Times'!$C262)/(365.35*24*3600)</f>
        <v>330.47143039820219</v>
      </c>
      <c r="AC262" s="2">
        <f t="shared" si="18"/>
        <v>111.66485770772378</v>
      </c>
      <c r="AD262" s="2">
        <f t="shared" si="19"/>
        <v>164.17102688807441</v>
      </c>
    </row>
    <row r="263" spans="1:30" x14ac:dyDescent="0.2">
      <c r="A263" t="str">
        <f>'L-Values'!A263</f>
        <v>CGI014-qtz05-CL-fit-6-offset</v>
      </c>
      <c r="B263">
        <v>750</v>
      </c>
      <c r="C263">
        <f t="shared" si="16"/>
        <v>8.0537892000481889E-22</v>
      </c>
      <c r="D263">
        <v>1900</v>
      </c>
      <c r="E263">
        <v>1024</v>
      </c>
      <c r="F263">
        <f t="shared" si="17"/>
        <v>1.85546875</v>
      </c>
      <c r="I263" s="2">
        <f>('L-Values'!E263*'D(Ti_Cherniak) Times'!$F263*0.000001)^2/(4*'D(Ti_Cherniak) Times'!$C263)/(365.35*24*3600)</f>
        <v>2.1816096186241118</v>
      </c>
      <c r="J263" s="2">
        <f>('L-Values'!F263*'D(Ti_Cherniak) Times'!$F263*0.000001)^2/(4*'D(Ti_Cherniak) Times'!$C263)/(365.35*24*3600)</f>
        <v>35.638709014307381</v>
      </c>
      <c r="K263" s="2">
        <f>('L-Values'!G263*'D(Ti_Cherniak) Times'!$F263*0.000001)^2/(4*'D(Ti_Cherniak) Times'!$C263)/(365.35*24*3600)</f>
        <v>10.017672114444951</v>
      </c>
      <c r="L263" s="2">
        <f>('L-Values'!H263*'D(Ti_Cherniak) Times'!$F263*0.000001)^2/(4*'D(Ti_Cherniak) Times'!$C263)/(365.35*24*3600)</f>
        <v>38.640109090349029</v>
      </c>
      <c r="M263" s="2">
        <f>('L-Values'!I263*'D(Ti_Cherniak) Times'!$F263*0.000001)^2/(4*'D(Ti_Cherniak) Times'!$C263)/(365.35*24*3600)</f>
        <v>54.824851302433153</v>
      </c>
      <c r="N263" s="2">
        <f>('L-Values'!J263*'D(Ti_Cherniak) Times'!$F263*0.000001)^2/(4*'D(Ti_Cherniak) Times'!$C263)/(365.35*24*3600)</f>
        <v>8.7940952120237323</v>
      </c>
      <c r="O263" s="2">
        <f>('L-Values'!K263*'D(Ti_Cherniak) Times'!$F263*0.000001)^2/(4*'D(Ti_Cherniak) Times'!$C263)/(365.35*24*3600)</f>
        <v>39.073768528820963</v>
      </c>
      <c r="P263" s="2">
        <f>('L-Values'!L263*'D(Ti_Cherniak) Times'!$F263*0.000001)^2/(4*'D(Ti_Cherniak) Times'!$C263)/(365.35*24*3600)</f>
        <v>1.6555342177484511</v>
      </c>
      <c r="Q263" s="2">
        <f>('L-Values'!M263*'D(Ti_Cherniak) Times'!$F263*0.000001)^2/(4*'D(Ti_Cherniak) Times'!$C263)/(365.35*24*3600)</f>
        <v>12.445939479011438</v>
      </c>
      <c r="R263" s="2">
        <f>('L-Values'!N263*'D(Ti_Cherniak) Times'!$F263*0.000001)^2/(4*'D(Ti_Cherniak) Times'!$C263)/(365.35*24*3600)</f>
        <v>40.728395654035623</v>
      </c>
      <c r="S263" s="2">
        <f>('L-Values'!O263*'D(Ti_Cherniak) Times'!$F263*0.000001)^2/(4*'D(Ti_Cherniak) Times'!$C263)/(365.35*24*3600)</f>
        <v>33.744996865206417</v>
      </c>
      <c r="T263" s="2"/>
      <c r="U263" s="2">
        <f>('L-Values'!Q263*'D(Ti_Cherniak) Times'!$F263*0.000001)^2/(4*'D(Ti_Cherniak) Times'!$C263)/(365.35*24*3600)</f>
        <v>38.397611738826633</v>
      </c>
      <c r="V263" s="2">
        <f>('L-Values'!R263*'D(Ti_Cherniak) Times'!$F263*0.000001)^2/(4*'D(Ti_Cherniak) Times'!$C263)/(365.35*24*3600)</f>
        <v>21.038298799141405</v>
      </c>
      <c r="W263" s="2">
        <f>('L-Values'!S263*'D(Ti_Cherniak) Times'!$F263*0.000001)^2/(4*'D(Ti_Cherniak) Times'!$C263)/(365.35*24*3600)</f>
        <v>33.744996865206417</v>
      </c>
      <c r="X263" s="2"/>
      <c r="Y263" s="2">
        <f>('L-Values'!U263*'D(Ti_Cherniak) Times'!$F263*0.000001)^2/(4*'D(Ti_Cherniak) Times'!$C263)/(365.35*24*3600)</f>
        <v>22.208003572052515</v>
      </c>
      <c r="Z263" s="2">
        <f>('L-Values'!V263*'D(Ti_Cherniak) Times'!$F263*0.000001)^2/(4*'D(Ti_Cherniak) Times'!$C263)/(365.35*24*3600)</f>
        <v>21.320811113790125</v>
      </c>
      <c r="AA263" s="2">
        <f>('L-Values'!W263*'D(Ti_Cherniak) Times'!$F263*0.000001)^2/(4*'D(Ti_Cherniak) Times'!$C263)/(365.35*24*3600)</f>
        <v>1.4987759936008203</v>
      </c>
      <c r="AB263" s="2">
        <f>('L-Values'!X263*'D(Ti_Cherniak) Times'!$F263*0.000001)^2/(4*'D(Ti_Cherniak) Times'!$C263)/(365.35*24*3600)</f>
        <v>103.71005786290978</v>
      </c>
      <c r="AC263" s="2">
        <f t="shared" si="18"/>
        <v>19.822035120189305</v>
      </c>
      <c r="AD263" s="2">
        <f t="shared" si="19"/>
        <v>82.38924674911965</v>
      </c>
    </row>
    <row r="264" spans="1:30" x14ac:dyDescent="0.2">
      <c r="A264" t="str">
        <f>'L-Values'!A264</f>
        <v>CGI014-qtz07-CL-fit-1-offset</v>
      </c>
      <c r="B264">
        <v>750</v>
      </c>
      <c r="C264">
        <f t="shared" si="16"/>
        <v>8.0537892000481889E-22</v>
      </c>
      <c r="D264">
        <v>1500</v>
      </c>
      <c r="E264">
        <v>1024</v>
      </c>
      <c r="F264">
        <f t="shared" si="17"/>
        <v>1.46484375</v>
      </c>
      <c r="I264" s="2">
        <f>('L-Values'!E264*'D(Ti_Cherniak) Times'!$F264*0.000001)^2/(4*'D(Ti_Cherniak) Times'!$C264)/(365.35*24*3600)</f>
        <v>186.59445508038414</v>
      </c>
      <c r="J264" s="2">
        <f>('L-Values'!F264*'D(Ti_Cherniak) Times'!$F264*0.000001)^2/(4*'D(Ti_Cherniak) Times'!$C264)/(365.35*24*3600)</f>
        <v>161.36150268447702</v>
      </c>
      <c r="K264" s="2">
        <f>('L-Values'!G264*'D(Ti_Cherniak) Times'!$F264*0.000001)^2/(4*'D(Ti_Cherniak) Times'!$C264)/(365.35*24*3600)</f>
        <v>178.98702554669461</v>
      </c>
      <c r="L264" s="2">
        <f>('L-Values'!H264*'D(Ti_Cherniak) Times'!$F264*0.000001)^2/(4*'D(Ti_Cherniak) Times'!$C264)/(365.35*24*3600)</f>
        <v>147.79974466499817</v>
      </c>
      <c r="M264" s="2">
        <f>('L-Values'!I264*'D(Ti_Cherniak) Times'!$F264*0.000001)^2/(4*'D(Ti_Cherniak) Times'!$C264)/(365.35*24*3600)</f>
        <v>109.50180695386847</v>
      </c>
      <c r="N264" s="2">
        <f>('L-Values'!J264*'D(Ti_Cherniak) Times'!$F264*0.000001)^2/(4*'D(Ti_Cherniak) Times'!$C264)/(365.35*24*3600)</f>
        <v>148.43120431679486</v>
      </c>
      <c r="O264" s="2">
        <f>('L-Values'!K264*'D(Ti_Cherniak) Times'!$F264*0.000001)^2/(4*'D(Ti_Cherniak) Times'!$C264)/(365.35*24*3600)</f>
        <v>268.70660281691829</v>
      </c>
      <c r="P264" s="2">
        <f>('L-Values'!L264*'D(Ti_Cherniak) Times'!$F264*0.000001)^2/(4*'D(Ti_Cherniak) Times'!$C264)/(365.35*24*3600)</f>
        <v>125.93688891599874</v>
      </c>
      <c r="Q264" s="2">
        <f>('L-Values'!M264*'D(Ti_Cherniak) Times'!$F264*0.000001)^2/(4*'D(Ti_Cherniak) Times'!$C264)/(365.35*24*3600)</f>
        <v>183.68337717996636</v>
      </c>
      <c r="R264" s="2">
        <f>('L-Values'!N264*'D(Ti_Cherniak) Times'!$F264*0.000001)^2/(4*'D(Ti_Cherniak) Times'!$C264)/(365.35*24*3600)</f>
        <v>160.76490950445069</v>
      </c>
      <c r="S264" s="2">
        <f>('L-Values'!O264*'D(Ti_Cherniak) Times'!$F264*0.000001)^2/(4*'D(Ti_Cherniak) Times'!$C264)/(365.35*24*3600)</f>
        <v>236.84549398374892</v>
      </c>
      <c r="T264" s="2"/>
      <c r="U264" s="2">
        <f>('L-Values'!Q264*'D(Ti_Cherniak) Times'!$F264*0.000001)^2/(4*'D(Ti_Cherniak) Times'!$C264)/(365.35*24*3600)</f>
        <v>175.90799776207868</v>
      </c>
      <c r="V264" s="2">
        <f>('L-Values'!R264*'D(Ti_Cherniak) Times'!$F264*0.000001)^2/(4*'D(Ti_Cherniak) Times'!$C264)/(365.35*24*3600)</f>
        <v>170.8551444400953</v>
      </c>
      <c r="W264" s="2">
        <f>('L-Values'!S264*'D(Ti_Cherniak) Times'!$F264*0.000001)^2/(4*'D(Ti_Cherniak) Times'!$C264)/(365.35*24*3600)</f>
        <v>161.36150268447702</v>
      </c>
      <c r="X264" s="2"/>
      <c r="Y264" s="2">
        <f>('L-Values'!U264*'D(Ti_Cherniak) Times'!$F264*0.000001)^2/(4*'D(Ti_Cherniak) Times'!$C264)/(365.35*24*3600)</f>
        <v>173.38836476810869</v>
      </c>
      <c r="Z264" s="2">
        <f>('L-Values'!V264*'D(Ti_Cherniak) Times'!$F264*0.000001)^2/(4*'D(Ti_Cherniak) Times'!$C264)/(365.35*24*3600)</f>
        <v>175.17126087787307</v>
      </c>
      <c r="AA264" s="2">
        <f>('L-Values'!W264*'D(Ti_Cherniak) Times'!$F264*0.000001)^2/(4*'D(Ti_Cherniak) Times'!$C264)/(365.35*24*3600)</f>
        <v>80.962347371425835</v>
      </c>
      <c r="AB264" s="2">
        <f>('L-Values'!X264*'D(Ti_Cherniak) Times'!$F264*0.000001)^2/(4*'D(Ti_Cherniak) Times'!$C264)/(365.35*24*3600)</f>
        <v>294.31103644285105</v>
      </c>
      <c r="AC264" s="2">
        <f t="shared" si="18"/>
        <v>94.208913506447232</v>
      </c>
      <c r="AD264" s="2">
        <f t="shared" si="19"/>
        <v>119.13977556497798</v>
      </c>
    </row>
    <row r="265" spans="1:30" x14ac:dyDescent="0.2">
      <c r="A265" t="str">
        <f>'L-Values'!A265</f>
        <v>CGI014-qtz07-CL-fit-2-offset</v>
      </c>
      <c r="B265">
        <v>750</v>
      </c>
      <c r="C265">
        <f t="shared" si="16"/>
        <v>8.0537892000481889E-22</v>
      </c>
      <c r="D265">
        <v>1500</v>
      </c>
      <c r="E265">
        <v>1024</v>
      </c>
      <c r="F265">
        <f t="shared" si="17"/>
        <v>1.46484375</v>
      </c>
      <c r="I265" s="2">
        <f>('L-Values'!E265*'D(Ti_Cherniak) Times'!$F265*0.000001)^2/(4*'D(Ti_Cherniak) Times'!$C265)/(365.35*24*3600)</f>
        <v>61.918814804110035</v>
      </c>
      <c r="J265" s="2">
        <f>('L-Values'!F265*'D(Ti_Cherniak) Times'!$F265*0.000001)^2/(4*'D(Ti_Cherniak) Times'!$C265)/(365.35*24*3600)</f>
        <v>73.847894323963061</v>
      </c>
      <c r="K265" s="2">
        <f>('L-Values'!G265*'D(Ti_Cherniak) Times'!$F265*0.000001)^2/(4*'D(Ti_Cherniak) Times'!$C265)/(365.35*24*3600)</f>
        <v>110.2107986038443</v>
      </c>
      <c r="L265" s="2">
        <f>('L-Values'!H265*'D(Ti_Cherniak) Times'!$F265*0.000001)^2/(4*'D(Ti_Cherniak) Times'!$C265)/(365.35*24*3600)</f>
        <v>114.87100734277658</v>
      </c>
      <c r="M265" s="2">
        <f>('L-Values'!I265*'D(Ti_Cherniak) Times'!$F265*0.000001)^2/(4*'D(Ti_Cherniak) Times'!$C265)/(365.35*24*3600)</f>
        <v>104.40504243678706</v>
      </c>
      <c r="N265" s="2">
        <f>('L-Values'!J265*'D(Ti_Cherniak) Times'!$F265*0.000001)^2/(4*'D(Ti_Cherniak) Times'!$C265)/(365.35*24*3600)</f>
        <v>21.336392678572999</v>
      </c>
      <c r="O265" s="2">
        <f>('L-Values'!K265*'D(Ti_Cherniak) Times'!$F265*0.000001)^2/(4*'D(Ti_Cherniak) Times'!$C265)/(365.35*24*3600)</f>
        <v>60.024043190906006</v>
      </c>
      <c r="P265" s="2">
        <f>('L-Values'!L265*'D(Ti_Cherniak) Times'!$F265*0.000001)^2/(4*'D(Ti_Cherniak) Times'!$C265)/(365.35*24*3600)</f>
        <v>1.3384072166923335</v>
      </c>
      <c r="Q265" s="2">
        <f>('L-Values'!M265*'D(Ti_Cherniak) Times'!$F265*0.000001)^2/(4*'D(Ti_Cherniak) Times'!$C265)/(365.35*24*3600)</f>
        <v>1.275858422509107</v>
      </c>
      <c r="R265" s="2">
        <f>('L-Values'!N265*'D(Ti_Cherniak) Times'!$F265*0.000001)^2/(4*'D(Ti_Cherniak) Times'!$C265)/(365.35*24*3600)</f>
        <v>25.952363001424608</v>
      </c>
      <c r="S265" s="2">
        <f>('L-Values'!O265*'D(Ti_Cherniak) Times'!$F265*0.000001)^2/(4*'D(Ti_Cherniak) Times'!$C265)/(365.35*24*3600)</f>
        <v>50.059718464826354</v>
      </c>
      <c r="T265" s="2"/>
      <c r="U265" s="2">
        <f>('L-Values'!Q265*'D(Ti_Cherniak) Times'!$F265*0.000001)^2/(4*'D(Ti_Cherniak) Times'!$C265)/(365.35*24*3600)</f>
        <v>45.719641446088822</v>
      </c>
      <c r="V265" s="2">
        <f>('L-Values'!R265*'D(Ti_Cherniak) Times'!$F265*0.000001)^2/(4*'D(Ti_Cherniak) Times'!$C265)/(365.35*24*3600)</f>
        <v>46.139727821757148</v>
      </c>
      <c r="W265" s="2">
        <f>('L-Values'!S265*'D(Ti_Cherniak) Times'!$F265*0.000001)^2/(4*'D(Ti_Cherniak) Times'!$C265)/(365.35*24*3600)</f>
        <v>60.024043190906006</v>
      </c>
      <c r="X265" s="2"/>
      <c r="Y265" s="2">
        <f>('L-Values'!U265*'D(Ti_Cherniak) Times'!$F265*0.000001)^2/(4*'D(Ti_Cherniak) Times'!$C265)/(365.35*24*3600)</f>
        <v>45.895015640166953</v>
      </c>
      <c r="Z265" s="2">
        <f>('L-Values'!V265*'D(Ti_Cherniak) Times'!$F265*0.000001)^2/(4*'D(Ti_Cherniak) Times'!$C265)/(365.35*24*3600)</f>
        <v>92.435051081083898</v>
      </c>
      <c r="AA265" s="2">
        <f>('L-Values'!W265*'D(Ti_Cherniak) Times'!$F265*0.000001)^2/(4*'D(Ti_Cherniak) Times'!$C265)/(365.35*24*3600)</f>
        <v>1.200269278874728</v>
      </c>
      <c r="AB265" s="2">
        <f>('L-Values'!X265*'D(Ti_Cherniak) Times'!$F265*0.000001)^2/(4*'D(Ti_Cherniak) Times'!$C265)/(365.35*24*3600)</f>
        <v>2184.3341390037785</v>
      </c>
      <c r="AC265" s="2">
        <f t="shared" si="18"/>
        <v>91.23478180220917</v>
      </c>
      <c r="AD265" s="2">
        <f t="shared" si="19"/>
        <v>2091.8990879226944</v>
      </c>
    </row>
    <row r="266" spans="1:30" x14ac:dyDescent="0.2">
      <c r="A266" t="str">
        <f>'L-Values'!A266</f>
        <v>CGI014-qtz07-CL-fit-3-offset</v>
      </c>
      <c r="B266">
        <v>750</v>
      </c>
      <c r="C266">
        <f t="shared" si="16"/>
        <v>8.0537892000481889E-22</v>
      </c>
      <c r="D266">
        <v>1500</v>
      </c>
      <c r="E266">
        <v>1024</v>
      </c>
      <c r="F266">
        <f t="shared" si="17"/>
        <v>1.46484375</v>
      </c>
      <c r="I266" s="2">
        <f>('L-Values'!E266*'D(Ti_Cherniak) Times'!$F266*0.000001)^2/(4*'D(Ti_Cherniak) Times'!$C266)/(365.35*24*3600)</f>
        <v>138.11594314392948</v>
      </c>
      <c r="J266" s="2">
        <f>('L-Values'!F266*'D(Ti_Cherniak) Times'!$F266*0.000001)^2/(4*'D(Ti_Cherniak) Times'!$C266)/(365.35*24*3600)</f>
        <v>178.44490198981248</v>
      </c>
      <c r="K266" s="2">
        <f>('L-Values'!G266*'D(Ti_Cherniak) Times'!$F266*0.000001)^2/(4*'D(Ti_Cherniak) Times'!$C266)/(365.35*24*3600)</f>
        <v>186.16796747364737</v>
      </c>
      <c r="L266" s="2">
        <f>('L-Values'!H266*'D(Ti_Cherniak) Times'!$F266*0.000001)^2/(4*'D(Ti_Cherniak) Times'!$C266)/(365.35*24*3600)</f>
        <v>172.44179772659189</v>
      </c>
      <c r="M266" s="2">
        <f>('L-Values'!I266*'D(Ti_Cherniak) Times'!$F266*0.000001)^2/(4*'D(Ti_Cherniak) Times'!$C266)/(365.35*24*3600)</f>
        <v>205.69217335989265</v>
      </c>
      <c r="N266" s="2">
        <f>('L-Values'!J266*'D(Ti_Cherniak) Times'!$F266*0.000001)^2/(4*'D(Ti_Cherniak) Times'!$C266)/(365.35*24*3600)</f>
        <v>68.248666640415351</v>
      </c>
      <c r="O266" s="2">
        <f>('L-Values'!K266*'D(Ti_Cherniak) Times'!$F266*0.000001)^2/(4*'D(Ti_Cherniak) Times'!$C266)/(365.35*24*3600)</f>
        <v>162.92553305406406</v>
      </c>
      <c r="P266" s="2">
        <f>('L-Values'!L266*'D(Ti_Cherniak) Times'!$F266*0.000001)^2/(4*'D(Ti_Cherniak) Times'!$C266)/(365.35*24*3600)</f>
        <v>103.98028199026025</v>
      </c>
      <c r="Q266" s="2">
        <f>('L-Values'!M266*'D(Ti_Cherniak) Times'!$F266*0.000001)^2/(4*'D(Ti_Cherniak) Times'!$C266)/(365.35*24*3600)</f>
        <v>219.66929185857532</v>
      </c>
      <c r="R266" s="2">
        <f>('L-Values'!N266*'D(Ti_Cherniak) Times'!$F266*0.000001)^2/(4*'D(Ti_Cherniak) Times'!$C266)/(365.35*24*3600)</f>
        <v>187.03588271675312</v>
      </c>
      <c r="S266" s="2">
        <f>('L-Values'!O266*'D(Ti_Cherniak) Times'!$F266*0.000001)^2/(4*'D(Ti_Cherniak) Times'!$C266)/(365.35*24*3600)</f>
        <v>111.44740353570181</v>
      </c>
      <c r="T266" s="2"/>
      <c r="U266" s="2">
        <f>('L-Values'!Q266*'D(Ti_Cherniak) Times'!$F266*0.000001)^2/(4*'D(Ti_Cherniak) Times'!$C266)/(365.35*24*3600)</f>
        <v>157.90299654414957</v>
      </c>
      <c r="V266" s="2">
        <f>('L-Values'!R266*'D(Ti_Cherniak) Times'!$F266*0.000001)^2/(4*'D(Ti_Cherniak) Times'!$C266)/(365.35*24*3600)</f>
        <v>153.99775134635735</v>
      </c>
      <c r="W266" s="2">
        <f>('L-Values'!S266*'D(Ti_Cherniak) Times'!$F266*0.000001)^2/(4*'D(Ti_Cherniak) Times'!$C266)/(365.35*24*3600)</f>
        <v>172.44179772659189</v>
      </c>
      <c r="X266" s="2"/>
      <c r="Y266" s="2">
        <f>('L-Values'!U266*'D(Ti_Cherniak) Times'!$F266*0.000001)^2/(4*'D(Ti_Cherniak) Times'!$C266)/(365.35*24*3600)</f>
        <v>161.59976466565996</v>
      </c>
      <c r="Z266" s="2">
        <f>('L-Values'!V266*'D(Ti_Cherniak) Times'!$F266*0.000001)^2/(4*'D(Ti_Cherniak) Times'!$C266)/(365.35*24*3600)</f>
        <v>158.96945548267433</v>
      </c>
      <c r="AA266" s="2">
        <f>('L-Values'!W266*'D(Ti_Cherniak) Times'!$F266*0.000001)^2/(4*'D(Ti_Cherniak) Times'!$C266)/(365.35*24*3600)</f>
        <v>33.083240381105661</v>
      </c>
      <c r="AB266" s="2">
        <f>('L-Values'!X266*'D(Ti_Cherniak) Times'!$F266*0.000001)^2/(4*'D(Ti_Cherniak) Times'!$C266)/(365.35*24*3600)</f>
        <v>353.87035712844465</v>
      </c>
      <c r="AC266" s="2">
        <f t="shared" si="18"/>
        <v>125.88621510156867</v>
      </c>
      <c r="AD266" s="2">
        <f t="shared" si="19"/>
        <v>194.90090164577032</v>
      </c>
    </row>
    <row r="267" spans="1:30" x14ac:dyDescent="0.2">
      <c r="A267" t="str">
        <f>'L-Values'!A267</f>
        <v>CGI014-qtz07-CL-fit-4-offset</v>
      </c>
      <c r="B267">
        <v>750</v>
      </c>
      <c r="C267">
        <f t="shared" si="16"/>
        <v>8.0537892000481889E-22</v>
      </c>
      <c r="D267">
        <v>1500</v>
      </c>
      <c r="E267">
        <v>1024</v>
      </c>
      <c r="F267">
        <f t="shared" si="17"/>
        <v>1.46484375</v>
      </c>
      <c r="I267" s="2">
        <f>('L-Values'!E267*'D(Ti_Cherniak) Times'!$F267*0.000001)^2/(4*'D(Ti_Cherniak) Times'!$C267)/(365.35*24*3600)</f>
        <v>36.506229525459382</v>
      </c>
      <c r="J267" s="2">
        <f>('L-Values'!F267*'D(Ti_Cherniak) Times'!$F267*0.000001)^2/(4*'D(Ti_Cherniak) Times'!$C267)/(365.35*24*3600)</f>
        <v>139.82560299123048</v>
      </c>
      <c r="K267" s="2">
        <f>('L-Values'!G267*'D(Ti_Cherniak) Times'!$F267*0.000001)^2/(4*'D(Ti_Cherniak) Times'!$C267)/(365.35*24*3600)</f>
        <v>85.311353307917727</v>
      </c>
      <c r="L267" s="2">
        <f>('L-Values'!H267*'D(Ti_Cherniak) Times'!$F267*0.000001)^2/(4*'D(Ti_Cherniak) Times'!$C267)/(365.35*24*3600)</f>
        <v>159.63345720180317</v>
      </c>
      <c r="M267" s="2">
        <f>('L-Values'!I267*'D(Ti_Cherniak) Times'!$F267*0.000001)^2/(4*'D(Ti_Cherniak) Times'!$C267)/(365.35*24*3600)</f>
        <v>54.578222828004471</v>
      </c>
      <c r="N267" s="2">
        <f>('L-Values'!J267*'D(Ti_Cherniak) Times'!$F267*0.000001)^2/(4*'D(Ti_Cherniak) Times'!$C267)/(365.35*24*3600)</f>
        <v>28.351332924277973</v>
      </c>
      <c r="O267" s="2">
        <f>('L-Values'!K267*'D(Ti_Cherniak) Times'!$F267*0.000001)^2/(4*'D(Ti_Cherniak) Times'!$C267)/(365.35*24*3600)</f>
        <v>11.244375897774173</v>
      </c>
      <c r="P267" s="2">
        <f>('L-Values'!L267*'D(Ti_Cherniak) Times'!$F267*0.000001)^2/(4*'D(Ti_Cherniak) Times'!$C267)/(365.35*24*3600)</f>
        <v>144.40285740962531</v>
      </c>
      <c r="Q267" s="2">
        <f>('L-Values'!M267*'D(Ti_Cherniak) Times'!$F267*0.000001)^2/(4*'D(Ti_Cherniak) Times'!$C267)/(365.35*24*3600)</f>
        <v>103.03864521090001</v>
      </c>
      <c r="R267" s="2">
        <f>('L-Values'!N267*'D(Ti_Cherniak) Times'!$F267*0.000001)^2/(4*'D(Ti_Cherniak) Times'!$C267)/(365.35*24*3600)</f>
        <v>62.525611535192716</v>
      </c>
      <c r="S267" s="2">
        <f>('L-Values'!O267*'D(Ti_Cherniak) Times'!$F267*0.000001)^2/(4*'D(Ti_Cherniak) Times'!$C267)/(365.35*24*3600)</f>
        <v>106.007297353552</v>
      </c>
      <c r="T267" s="2"/>
      <c r="U267" s="2">
        <f>('L-Values'!Q267*'D(Ti_Cherniak) Times'!$F267*0.000001)^2/(4*'D(Ti_Cherniak) Times'!$C267)/(365.35*24*3600)</f>
        <v>70.402903216514886</v>
      </c>
      <c r="V267" s="2">
        <f>('L-Values'!R267*'D(Ti_Cherniak) Times'!$F267*0.000001)^2/(4*'D(Ti_Cherniak) Times'!$C267)/(365.35*24*3600)</f>
        <v>76.442099290399128</v>
      </c>
      <c r="W267" s="2">
        <f>('L-Values'!S267*'D(Ti_Cherniak) Times'!$F267*0.000001)^2/(4*'D(Ti_Cherniak) Times'!$C267)/(365.35*24*3600)</f>
        <v>85.311353307917727</v>
      </c>
      <c r="X267" s="2"/>
      <c r="Y267" s="2">
        <f>('L-Values'!U267*'D(Ti_Cherniak) Times'!$F267*0.000001)^2/(4*'D(Ti_Cherniak) Times'!$C267)/(365.35*24*3600)</f>
        <v>69.777788758380524</v>
      </c>
      <c r="Z267" s="2">
        <f>('L-Values'!V267*'D(Ti_Cherniak) Times'!$F267*0.000001)^2/(4*'D(Ti_Cherniak) Times'!$C267)/(365.35*24*3600)</f>
        <v>59.386951841613907</v>
      </c>
      <c r="AA267" s="2">
        <f>('L-Values'!W267*'D(Ti_Cherniak) Times'!$F267*0.000001)^2/(4*'D(Ti_Cherniak) Times'!$C267)/(365.35*24*3600)</f>
        <v>0.91255547928388414</v>
      </c>
      <c r="AB267" s="2">
        <f>('L-Values'!X267*'D(Ti_Cherniak) Times'!$F267*0.000001)^2/(4*'D(Ti_Cherniak) Times'!$C267)/(365.35*24*3600)</f>
        <v>215.34086986621881</v>
      </c>
      <c r="AC267" s="2">
        <f t="shared" si="18"/>
        <v>58.474396362330026</v>
      </c>
      <c r="AD267" s="2">
        <f t="shared" si="19"/>
        <v>155.95391802460489</v>
      </c>
    </row>
    <row r="268" spans="1:30" x14ac:dyDescent="0.2">
      <c r="A268" t="str">
        <f>'L-Values'!A268</f>
        <v>CGI014-qtz08-CL-fit-1-offset</v>
      </c>
      <c r="B268">
        <v>750</v>
      </c>
      <c r="C268">
        <f t="shared" si="16"/>
        <v>8.0537892000481889E-22</v>
      </c>
      <c r="D268">
        <v>1550</v>
      </c>
      <c r="E268">
        <v>1024</v>
      </c>
      <c r="F268">
        <f t="shared" si="17"/>
        <v>1.513671875</v>
      </c>
      <c r="I268" s="2">
        <f>('L-Values'!E268*'D(Ti_Cherniak) Times'!$F268*0.000001)^2/(4*'D(Ti_Cherniak) Times'!$C268)/(365.35*24*3600)</f>
        <v>6201.9084800982037</v>
      </c>
      <c r="J268" s="2">
        <f>('L-Values'!F268*'D(Ti_Cherniak) Times'!$F268*0.000001)^2/(4*'D(Ti_Cherniak) Times'!$C268)/(365.35*24*3600)</f>
        <v>5468.5500901640708</v>
      </c>
      <c r="K268" s="2">
        <f>('L-Values'!G268*'D(Ti_Cherniak) Times'!$F268*0.000001)^2/(4*'D(Ti_Cherniak) Times'!$C268)/(365.35*24*3600)</f>
        <v>5143.1051325847884</v>
      </c>
      <c r="L268" s="2">
        <f>('L-Values'!H268*'D(Ti_Cherniak) Times'!$F268*0.000001)^2/(4*'D(Ti_Cherniak) Times'!$C268)/(365.35*24*3600)</f>
        <v>5702.2059992679542</v>
      </c>
      <c r="M268" s="2">
        <f>('L-Values'!I268*'D(Ti_Cherniak) Times'!$F268*0.000001)^2/(4*'D(Ti_Cherniak) Times'!$C268)/(365.35*24*3600)</f>
        <v>4461.8443452146385</v>
      </c>
      <c r="N268" s="2">
        <f>('L-Values'!J268*'D(Ti_Cherniak) Times'!$F268*0.000001)^2/(4*'D(Ti_Cherniak) Times'!$C268)/(365.35*24*3600)</f>
        <v>4657.963781111428</v>
      </c>
      <c r="O268" s="2">
        <f>('L-Values'!K268*'D(Ti_Cherniak) Times'!$F268*0.000001)^2/(4*'D(Ti_Cherniak) Times'!$C268)/(365.35*24*3600)</f>
        <v>5467.6885761163912</v>
      </c>
      <c r="P268" s="2">
        <f>('L-Values'!L268*'D(Ti_Cherniak) Times'!$F268*0.000001)^2/(4*'D(Ti_Cherniak) Times'!$C268)/(365.35*24*3600)</f>
        <v>5588.6802976688878</v>
      </c>
      <c r="Q268" s="2">
        <f>('L-Values'!M268*'D(Ti_Cherniak) Times'!$F268*0.000001)^2/(4*'D(Ti_Cherniak) Times'!$C268)/(365.35*24*3600)</f>
        <v>5403.2103442318585</v>
      </c>
      <c r="R268" s="2">
        <f>('L-Values'!N268*'D(Ti_Cherniak) Times'!$F268*0.000001)^2/(4*'D(Ti_Cherniak) Times'!$C268)/(365.35*24*3600)</f>
        <v>4342.0384162383907</v>
      </c>
      <c r="S268" s="2">
        <f>('L-Values'!O268*'D(Ti_Cherniak) Times'!$F268*0.000001)^2/(4*'D(Ti_Cherniak) Times'!$C268)/(365.35*24*3600)</f>
        <v>3855.5363351102019</v>
      </c>
      <c r="T268" s="2"/>
      <c r="U268" s="2">
        <f>('L-Values'!Q268*'D(Ti_Cherniak) Times'!$F268*0.000001)^2/(4*'D(Ti_Cherniak) Times'!$C268)/(365.35*24*3600)</f>
        <v>5116.2257150148544</v>
      </c>
      <c r="V268" s="2">
        <f>('L-Values'!R268*'D(Ti_Cherniak) Times'!$F268*0.000001)^2/(4*'D(Ti_Cherniak) Times'!$C268)/(365.35*24*3600)</f>
        <v>5094.9940345274745</v>
      </c>
      <c r="W268" s="2">
        <f>('L-Values'!S268*'D(Ti_Cherniak) Times'!$F268*0.000001)^2/(4*'D(Ti_Cherniak) Times'!$C268)/(365.35*24*3600)</f>
        <v>5403.2103442318585</v>
      </c>
      <c r="X268" s="2"/>
      <c r="Y268" s="2">
        <f>('L-Values'!U268*'D(Ti_Cherniak) Times'!$F268*0.000001)^2/(4*'D(Ti_Cherniak) Times'!$C268)/(365.35*24*3600)</f>
        <v>4988.1790093328409</v>
      </c>
      <c r="Z268" s="2">
        <f>('L-Values'!V268*'D(Ti_Cherniak) Times'!$F268*0.000001)^2/(4*'D(Ti_Cherniak) Times'!$C268)/(365.35*24*3600)</f>
        <v>5046.340195695796</v>
      </c>
      <c r="AA268" s="2">
        <f>('L-Values'!W268*'D(Ti_Cherniak) Times'!$F268*0.000001)^2/(4*'D(Ti_Cherniak) Times'!$C268)/(365.35*24*3600)</f>
        <v>3867.7684243242425</v>
      </c>
      <c r="AB268" s="2">
        <f>('L-Values'!X268*'D(Ti_Cherniak) Times'!$F268*0.000001)^2/(4*'D(Ti_Cherniak) Times'!$C268)/(365.35*24*3600)</f>
        <v>6481.9648497823473</v>
      </c>
      <c r="AC268" s="2">
        <f t="shared" si="18"/>
        <v>1178.5717713715535</v>
      </c>
      <c r="AD268" s="2">
        <f t="shared" si="19"/>
        <v>1435.6246540865513</v>
      </c>
    </row>
    <row r="269" spans="1:30" x14ac:dyDescent="0.2">
      <c r="A269" t="str">
        <f>'L-Values'!A269</f>
        <v>CGI014-qtz08-CL-fit-2-offset</v>
      </c>
      <c r="B269">
        <v>750</v>
      </c>
      <c r="C269">
        <f t="shared" si="16"/>
        <v>8.0537892000481889E-22</v>
      </c>
      <c r="D269">
        <v>1550</v>
      </c>
      <c r="E269">
        <v>1024</v>
      </c>
      <c r="F269">
        <f t="shared" si="17"/>
        <v>1.513671875</v>
      </c>
      <c r="I269" s="2">
        <f>('L-Values'!E269*'D(Ti_Cherniak) Times'!$F269*0.000001)^2/(4*'D(Ti_Cherniak) Times'!$C269)/(365.35*24*3600)</f>
        <v>1147.6169234029821</v>
      </c>
      <c r="J269" s="2">
        <f>('L-Values'!F269*'D(Ti_Cherniak) Times'!$F269*0.000001)^2/(4*'D(Ti_Cherniak) Times'!$C269)/(365.35*24*3600)</f>
        <v>853.20971529419944</v>
      </c>
      <c r="K269" s="2">
        <f>('L-Values'!G269*'D(Ti_Cherniak) Times'!$F269*0.000001)^2/(4*'D(Ti_Cherniak) Times'!$C269)/(365.35*24*3600)</f>
        <v>847.18208260485051</v>
      </c>
      <c r="L269" s="2">
        <f>('L-Values'!H269*'D(Ti_Cherniak) Times'!$F269*0.000001)^2/(4*'D(Ti_Cherniak) Times'!$C269)/(365.35*24*3600)</f>
        <v>749.60150034335675</v>
      </c>
      <c r="M269" s="2">
        <f>('L-Values'!I269*'D(Ti_Cherniak) Times'!$F269*0.000001)^2/(4*'D(Ti_Cherniak) Times'!$C269)/(365.35*24*3600)</f>
        <v>986.31519196927627</v>
      </c>
      <c r="N269" s="2">
        <f>('L-Values'!J269*'D(Ti_Cherniak) Times'!$F269*0.000001)^2/(4*'D(Ti_Cherniak) Times'!$C269)/(365.35*24*3600)</f>
        <v>597.09366989648822</v>
      </c>
      <c r="O269" s="2">
        <f>('L-Values'!K269*'D(Ti_Cherniak) Times'!$F269*0.000001)^2/(4*'D(Ti_Cherniak) Times'!$C269)/(365.35*24*3600)</f>
        <v>653.56155689602031</v>
      </c>
      <c r="P269" s="2">
        <f>('L-Values'!L269*'D(Ti_Cherniak) Times'!$F269*0.000001)^2/(4*'D(Ti_Cherniak) Times'!$C269)/(365.35*24*3600)</f>
        <v>790.2333898394395</v>
      </c>
      <c r="Q269" s="2">
        <f>('L-Values'!M269*'D(Ti_Cherniak) Times'!$F269*0.000001)^2/(4*'D(Ti_Cherniak) Times'!$C269)/(365.35*24*3600)</f>
        <v>744.95343316068659</v>
      </c>
      <c r="R269" s="2">
        <f>('L-Values'!N269*'D(Ti_Cherniak) Times'!$F269*0.000001)^2/(4*'D(Ti_Cherniak) Times'!$C269)/(365.35*24*3600)</f>
        <v>799.7629866945332</v>
      </c>
      <c r="S269" s="2">
        <f>('L-Values'!O269*'D(Ti_Cherniak) Times'!$F269*0.000001)^2/(4*'D(Ti_Cherniak) Times'!$C269)/(365.35*24*3600)</f>
        <v>1336.4808035926808</v>
      </c>
      <c r="T269" s="2"/>
      <c r="U269" s="2">
        <f>('L-Values'!Q269*'D(Ti_Cherniak) Times'!$F269*0.000001)^2/(4*'D(Ti_Cherniak) Times'!$C269)/(365.35*24*3600)</f>
        <v>871.67957334628761</v>
      </c>
      <c r="V269" s="2">
        <f>('L-Values'!R269*'D(Ti_Cherniak) Times'!$F269*0.000001)^2/(4*'D(Ti_Cherniak) Times'!$C269)/(365.35*24*3600)</f>
        <v>852.74838831843454</v>
      </c>
      <c r="W269" s="2">
        <f>('L-Values'!S269*'D(Ti_Cherniak) Times'!$F269*0.000001)^2/(4*'D(Ti_Cherniak) Times'!$C269)/(365.35*24*3600)</f>
        <v>799.7629866945332</v>
      </c>
      <c r="X269" s="2"/>
      <c r="Y269" s="2">
        <f>('L-Values'!U269*'D(Ti_Cherniak) Times'!$F269*0.000001)^2/(4*'D(Ti_Cherniak) Times'!$C269)/(365.35*24*3600)</f>
        <v>863.02283827321526</v>
      </c>
      <c r="Z269" s="2">
        <f>('L-Values'!V269*'D(Ti_Cherniak) Times'!$F269*0.000001)^2/(4*'D(Ti_Cherniak) Times'!$C269)/(365.35*24*3600)</f>
        <v>857.92037116514314</v>
      </c>
      <c r="AA269" s="2">
        <f>('L-Values'!W269*'D(Ti_Cherniak) Times'!$F269*0.000001)^2/(4*'D(Ti_Cherniak) Times'!$C269)/(365.35*24*3600)</f>
        <v>568.07495142820608</v>
      </c>
      <c r="AB269" s="2">
        <f>('L-Values'!X269*'D(Ti_Cherniak) Times'!$F269*0.000001)^2/(4*'D(Ti_Cherniak) Times'!$C269)/(365.35*24*3600)</f>
        <v>1215.9636760501905</v>
      </c>
      <c r="AC269" s="2">
        <f t="shared" si="18"/>
        <v>289.84541973693706</v>
      </c>
      <c r="AD269" s="2">
        <f t="shared" si="19"/>
        <v>358.04330488504741</v>
      </c>
    </row>
    <row r="270" spans="1:30" x14ac:dyDescent="0.2">
      <c r="A270" t="str">
        <f>'L-Values'!A270</f>
        <v>CGI014-qtz08-CL-fit-3-offset</v>
      </c>
      <c r="B270">
        <v>750</v>
      </c>
      <c r="C270">
        <f t="shared" si="16"/>
        <v>8.0537892000481889E-22</v>
      </c>
      <c r="D270">
        <v>1550</v>
      </c>
      <c r="E270">
        <v>1024</v>
      </c>
      <c r="F270">
        <f t="shared" si="17"/>
        <v>1.513671875</v>
      </c>
      <c r="I270" s="2">
        <f>('L-Values'!E270*'D(Ti_Cherniak) Times'!$F270*0.000001)^2/(4*'D(Ti_Cherniak) Times'!$C270)/(365.35*24*3600)</f>
        <v>1118.5986843374544</v>
      </c>
      <c r="J270" s="2">
        <f>('L-Values'!F270*'D(Ti_Cherniak) Times'!$F270*0.000001)^2/(4*'D(Ti_Cherniak) Times'!$C270)/(365.35*24*3600)</f>
        <v>1023.3606240641341</v>
      </c>
      <c r="K270" s="2">
        <f>('L-Values'!G270*'D(Ti_Cherniak) Times'!$F270*0.000001)^2/(4*'D(Ti_Cherniak) Times'!$C270)/(365.35*24*3600)</f>
        <v>2066.2343698559439</v>
      </c>
      <c r="L270" s="2">
        <f>('L-Values'!H270*'D(Ti_Cherniak) Times'!$F270*0.000001)^2/(4*'D(Ti_Cherniak) Times'!$C270)/(365.35*24*3600)</f>
        <v>1838.830246821748</v>
      </c>
      <c r="M270" s="2">
        <f>('L-Values'!I270*'D(Ti_Cherniak) Times'!$F270*0.000001)^2/(4*'D(Ti_Cherniak) Times'!$C270)/(365.35*24*3600)</f>
        <v>1141.0917665701716</v>
      </c>
      <c r="N270" s="2">
        <f>('L-Values'!J270*'D(Ti_Cherniak) Times'!$F270*0.000001)^2/(4*'D(Ti_Cherniak) Times'!$C270)/(365.35*24*3600)</f>
        <v>765.38481355168369</v>
      </c>
      <c r="O270" s="2">
        <f>('L-Values'!K270*'D(Ti_Cherniak) Times'!$F270*0.000001)^2/(4*'D(Ti_Cherniak) Times'!$C270)/(365.35*24*3600)</f>
        <v>921.063545977731</v>
      </c>
      <c r="P270" s="2">
        <f>('L-Values'!L270*'D(Ti_Cherniak) Times'!$F270*0.000001)^2/(4*'D(Ti_Cherniak) Times'!$C270)/(365.35*24*3600)</f>
        <v>311.90759083319705</v>
      </c>
      <c r="Q270" s="2">
        <f>('L-Values'!M270*'D(Ti_Cherniak) Times'!$F270*0.000001)^2/(4*'D(Ti_Cherniak) Times'!$C270)/(365.35*24*3600)</f>
        <v>720.99132100754798</v>
      </c>
      <c r="R270" s="2">
        <f>('L-Values'!N270*'D(Ti_Cherniak) Times'!$F270*0.000001)^2/(4*'D(Ti_Cherniak) Times'!$C270)/(365.35*24*3600)</f>
        <v>794.99644349203538</v>
      </c>
      <c r="S270" s="2">
        <f>('L-Values'!O270*'D(Ti_Cherniak) Times'!$F270*0.000001)^2/(4*'D(Ti_Cherniak) Times'!$C270)/(365.35*24*3600)</f>
        <v>635.5869680964629</v>
      </c>
      <c r="T270" s="2"/>
      <c r="U270" s="2">
        <f>('L-Values'!Q270*'D(Ti_Cherniak) Times'!$F270*0.000001)^2/(4*'D(Ti_Cherniak) Times'!$C270)/(365.35*24*3600)</f>
        <v>897.92892221623731</v>
      </c>
      <c r="V270" s="2">
        <f>('L-Values'!R270*'D(Ti_Cherniak) Times'!$F270*0.000001)^2/(4*'D(Ti_Cherniak) Times'!$C270)/(365.35*24*3600)</f>
        <v>975.06470913386681</v>
      </c>
      <c r="W270" s="2">
        <f>('L-Values'!S270*'D(Ti_Cherniak) Times'!$F270*0.000001)^2/(4*'D(Ti_Cherniak) Times'!$C270)/(365.35*24*3600)</f>
        <v>921.063545977731</v>
      </c>
      <c r="X270" s="2"/>
      <c r="Y270" s="2">
        <f>('L-Values'!U270*'D(Ti_Cherniak) Times'!$F270*0.000001)^2/(4*'D(Ti_Cherniak) Times'!$C270)/(365.35*24*3600)</f>
        <v>887.65211829733187</v>
      </c>
      <c r="Z270" s="2">
        <f>('L-Values'!V270*'D(Ti_Cherniak) Times'!$F270*0.000001)^2/(4*'D(Ti_Cherniak) Times'!$C270)/(365.35*24*3600)</f>
        <v>960.29662002853274</v>
      </c>
      <c r="AA270" s="2">
        <f>('L-Values'!W270*'D(Ti_Cherniak) Times'!$F270*0.000001)^2/(4*'D(Ti_Cherniak) Times'!$C270)/(365.35*24*3600)</f>
        <v>327.97424797584114</v>
      </c>
      <c r="AB270" s="2">
        <f>('L-Values'!X270*'D(Ti_Cherniak) Times'!$F270*0.000001)^2/(4*'D(Ti_Cherniak) Times'!$C270)/(365.35*24*3600)</f>
        <v>2659.272021390967</v>
      </c>
      <c r="AC270" s="2">
        <f t="shared" si="18"/>
        <v>632.32237205269166</v>
      </c>
      <c r="AD270" s="2">
        <f t="shared" si="19"/>
        <v>1698.9754013624342</v>
      </c>
    </row>
    <row r="271" spans="1:30" x14ac:dyDescent="0.2">
      <c r="A271" t="str">
        <f>'L-Values'!A271</f>
        <v>CGI014-qtz08-CL-fit-4-offset</v>
      </c>
      <c r="B271">
        <v>750</v>
      </c>
      <c r="C271">
        <f t="shared" si="16"/>
        <v>8.0537892000481889E-22</v>
      </c>
      <c r="D271">
        <v>1550</v>
      </c>
      <c r="E271">
        <v>1024</v>
      </c>
      <c r="F271">
        <f t="shared" si="17"/>
        <v>1.513671875</v>
      </c>
      <c r="I271" s="2">
        <f>('L-Values'!E271*'D(Ti_Cherniak) Times'!$F271*0.000001)^2/(4*'D(Ti_Cherniak) Times'!$C271)/(365.35*24*3600)</f>
        <v>742.89071301302727</v>
      </c>
      <c r="J271" s="2">
        <f>('L-Values'!F271*'D(Ti_Cherniak) Times'!$F271*0.000001)^2/(4*'D(Ti_Cherniak) Times'!$C271)/(365.35*24*3600)</f>
        <v>705.72794597759923</v>
      </c>
      <c r="K271" s="2">
        <f>('L-Values'!G271*'D(Ti_Cherniak) Times'!$F271*0.000001)^2/(4*'D(Ti_Cherniak) Times'!$C271)/(365.35*24*3600)</f>
        <v>573.05556913723876</v>
      </c>
      <c r="L271" s="2">
        <f>('L-Values'!H271*'D(Ti_Cherniak) Times'!$F271*0.000001)^2/(4*'D(Ti_Cherniak) Times'!$C271)/(365.35*24*3600)</f>
        <v>519.78920099781089</v>
      </c>
      <c r="M271" s="2">
        <f>('L-Values'!I271*'D(Ti_Cherniak) Times'!$F271*0.000001)^2/(4*'D(Ti_Cherniak) Times'!$C271)/(365.35*24*3600)</f>
        <v>867.11868309152885</v>
      </c>
      <c r="N271" s="2">
        <f>('L-Values'!J271*'D(Ti_Cherniak) Times'!$F271*0.000001)^2/(4*'D(Ti_Cherniak) Times'!$C271)/(365.35*24*3600)</f>
        <v>525.86765638610518</v>
      </c>
      <c r="O271" s="2">
        <f>('L-Values'!K271*'D(Ti_Cherniak) Times'!$F271*0.000001)^2/(4*'D(Ti_Cherniak) Times'!$C271)/(365.35*24*3600)</f>
        <v>404.11437276323738</v>
      </c>
      <c r="P271" s="2">
        <f>('L-Values'!L271*'D(Ti_Cherniak) Times'!$F271*0.000001)^2/(4*'D(Ti_Cherniak) Times'!$C271)/(365.35*24*3600)</f>
        <v>536.95801567573244</v>
      </c>
      <c r="Q271" s="2">
        <f>('L-Values'!M271*'D(Ti_Cherniak) Times'!$F271*0.000001)^2/(4*'D(Ti_Cherniak) Times'!$C271)/(365.35*24*3600)</f>
        <v>869.39147297420732</v>
      </c>
      <c r="R271" s="2">
        <f>('L-Values'!N271*'D(Ti_Cherniak) Times'!$F271*0.000001)^2/(4*'D(Ti_Cherniak) Times'!$C271)/(365.35*24*3600)</f>
        <v>783.62963485792295</v>
      </c>
      <c r="S271" s="2">
        <f>('L-Values'!O271*'D(Ti_Cherniak) Times'!$F271*0.000001)^2/(4*'D(Ti_Cherniak) Times'!$C271)/(365.35*24*3600)</f>
        <v>572.9746625699587</v>
      </c>
      <c r="T271" s="2"/>
      <c r="U271" s="2">
        <f>('L-Values'!Q271*'D(Ti_Cherniak) Times'!$F271*0.000001)^2/(4*'D(Ti_Cherniak) Times'!$C271)/(365.35*24*3600)</f>
        <v>647.72630397399712</v>
      </c>
      <c r="V271" s="2">
        <f>('L-Values'!R271*'D(Ti_Cherniak) Times'!$F271*0.000001)^2/(4*'D(Ti_Cherniak) Times'!$C271)/(365.35*24*3600)</f>
        <v>637.00428157818419</v>
      </c>
      <c r="W271" s="2">
        <f>('L-Values'!S271*'D(Ti_Cherniak) Times'!$F271*0.000001)^2/(4*'D(Ti_Cherniak) Times'!$C271)/(365.35*24*3600)</f>
        <v>573.05556913723876</v>
      </c>
      <c r="X271" s="2"/>
      <c r="Y271" s="2">
        <f>('L-Values'!U271*'D(Ti_Cherniak) Times'!$F271*0.000001)^2/(4*'D(Ti_Cherniak) Times'!$C271)/(365.35*24*3600)</f>
        <v>656.87075281841317</v>
      </c>
      <c r="Z271" s="2">
        <f>('L-Values'!V271*'D(Ti_Cherniak) Times'!$F271*0.000001)^2/(4*'D(Ti_Cherniak) Times'!$C271)/(365.35*24*3600)</f>
        <v>663.08895158915448</v>
      </c>
      <c r="AA271" s="2">
        <f>('L-Values'!W271*'D(Ti_Cherniak) Times'!$F271*0.000001)^2/(4*'D(Ti_Cherniak) Times'!$C271)/(365.35*24*3600)</f>
        <v>413.51141614220131</v>
      </c>
      <c r="AB271" s="2">
        <f>('L-Values'!X271*'D(Ti_Cherniak) Times'!$F271*0.000001)^2/(4*'D(Ti_Cherniak) Times'!$C271)/(365.35*24*3600)</f>
        <v>1041.3517680455932</v>
      </c>
      <c r="AC271" s="2">
        <f t="shared" si="18"/>
        <v>249.57753544695316</v>
      </c>
      <c r="AD271" s="2">
        <f t="shared" si="19"/>
        <v>378.26281645643871</v>
      </c>
    </row>
    <row r="272" spans="1:30" x14ac:dyDescent="0.2">
      <c r="A272" t="str">
        <f>'L-Values'!A272</f>
        <v>CGI014-qtz09-CL-fit-1-offset</v>
      </c>
      <c r="B272">
        <v>750</v>
      </c>
      <c r="C272">
        <f t="shared" si="16"/>
        <v>8.0537892000481889E-22</v>
      </c>
      <c r="D272">
        <v>1550</v>
      </c>
      <c r="E272">
        <v>1024</v>
      </c>
      <c r="F272">
        <f t="shared" si="17"/>
        <v>1.513671875</v>
      </c>
      <c r="I272" s="2">
        <f>('L-Values'!E272*'D(Ti_Cherniak) Times'!$F272*0.000001)^2/(4*'D(Ti_Cherniak) Times'!$C272)/(365.35*24*3600)</f>
        <v>1.3615226429977811</v>
      </c>
      <c r="J272" s="2">
        <f>('L-Values'!F272*'D(Ti_Cherniak) Times'!$F272*0.000001)^2/(4*'D(Ti_Cherniak) Times'!$C272)/(365.35*24*3600)</f>
        <v>15.861235954257651</v>
      </c>
      <c r="K272" s="2">
        <f>('L-Values'!G272*'D(Ti_Cherniak) Times'!$F272*0.000001)^2/(4*'D(Ti_Cherniak) Times'!$C272)/(365.35*24*3600)</f>
        <v>200.01047324147274</v>
      </c>
      <c r="L272" s="2">
        <f>('L-Values'!H272*'D(Ti_Cherniak) Times'!$F272*0.000001)^2/(4*'D(Ti_Cherniak) Times'!$C272)/(365.35*24*3600)</f>
        <v>0</v>
      </c>
      <c r="M272" s="2">
        <f>('L-Values'!I272*'D(Ti_Cherniak) Times'!$F272*0.000001)^2/(4*'D(Ti_Cherniak) Times'!$C272)/(365.35*24*3600)</f>
        <v>1.1197991886497951</v>
      </c>
      <c r="N272" s="2">
        <f>('L-Values'!J272*'D(Ti_Cherniak) Times'!$F272*0.000001)^2/(4*'D(Ti_Cherniak) Times'!$C272)/(365.35*24*3600)</f>
        <v>165.86626047728566</v>
      </c>
      <c r="O272" s="2">
        <f>('L-Values'!K272*'D(Ti_Cherniak) Times'!$F272*0.000001)^2/(4*'D(Ti_Cherniak) Times'!$C272)/(365.35*24*3600)</f>
        <v>7.2332095172657762E-2</v>
      </c>
      <c r="P272" s="2">
        <f>('L-Values'!L272*'D(Ti_Cherniak) Times'!$F272*0.000001)^2/(4*'D(Ti_Cherniak) Times'!$C272)/(365.35*24*3600)</f>
        <v>7.7484125912942675E-4</v>
      </c>
      <c r="Q272" s="2">
        <f>('L-Values'!M272*'D(Ti_Cherniak) Times'!$F272*0.000001)^2/(4*'D(Ti_Cherniak) Times'!$C272)/(365.35*24*3600)</f>
        <v>473.68759810525415</v>
      </c>
      <c r="R272" s="2">
        <f>('L-Values'!N272*'D(Ti_Cherniak) Times'!$F272*0.000001)^2/(4*'D(Ti_Cherniak) Times'!$C272)/(365.35*24*3600)</f>
        <v>88.023910179740625</v>
      </c>
      <c r="S272" s="2">
        <f>('L-Values'!O272*'D(Ti_Cherniak) Times'!$F272*0.000001)^2/(4*'D(Ti_Cherniak) Times'!$C272)/(365.35*24*3600)</f>
        <v>0.26786058327884521</v>
      </c>
      <c r="T272" s="2"/>
      <c r="U272" s="2">
        <f>('L-Values'!Q272*'D(Ti_Cherniak) Times'!$F272*0.000001)^2/(4*'D(Ti_Cherniak) Times'!$C272)/(365.35*24*3600)</f>
        <v>135.09112540559656</v>
      </c>
      <c r="V272" s="2">
        <f>('L-Values'!R272*'D(Ti_Cherniak) Times'!$F272*0.000001)^2/(4*'D(Ti_Cherniak) Times'!$C272)/(365.35*24*3600)</f>
        <v>42.497210784199879</v>
      </c>
      <c r="W272" s="2">
        <f>('L-Values'!S272*'D(Ti_Cherniak) Times'!$F272*0.000001)^2/(4*'D(Ti_Cherniak) Times'!$C272)/(365.35*24*3600)</f>
        <v>6.6292339192629131</v>
      </c>
      <c r="X272" s="2"/>
      <c r="Y272" s="2">
        <f>('L-Values'!U272*'D(Ti_Cherniak) Times'!$F272*0.000001)^2/(4*'D(Ti_Cherniak) Times'!$C272)/(365.35*24*3600)</f>
        <v>63.212011521047756</v>
      </c>
      <c r="Z272" s="2">
        <f>('L-Values'!V272*'D(Ti_Cherniak) Times'!$F272*0.000001)^2/(4*'D(Ti_Cherniak) Times'!$C272)/(365.35*24*3600)</f>
        <v>131.39612594566248</v>
      </c>
      <c r="AA272" s="2">
        <f>('L-Values'!W272*'D(Ti_Cherniak) Times'!$F272*0.000001)^2/(4*'D(Ti_Cherniak) Times'!$C272)/(365.35*24*3600)</f>
        <v>3.5060648979352778E-10</v>
      </c>
      <c r="AB272" s="2">
        <f>('L-Values'!X272*'D(Ti_Cherniak) Times'!$F272*0.000001)^2/(4*'D(Ti_Cherniak) Times'!$C272)/(365.35*24*3600)</f>
        <v>1241.3620661308546</v>
      </c>
      <c r="AC272" s="2">
        <f t="shared" si="18"/>
        <v>131.39612594531187</v>
      </c>
      <c r="AD272" s="2">
        <f t="shared" si="19"/>
        <v>1109.965940185192</v>
      </c>
    </row>
    <row r="273" spans="1:30" x14ac:dyDescent="0.2">
      <c r="A273" t="str">
        <f>'L-Values'!A273</f>
        <v>CGI014-qtz09-CL-fit-2-offset</v>
      </c>
      <c r="B273">
        <v>750</v>
      </c>
      <c r="C273">
        <f t="shared" si="16"/>
        <v>8.0537892000481889E-22</v>
      </c>
      <c r="D273">
        <v>1550</v>
      </c>
      <c r="E273">
        <v>1024</v>
      </c>
      <c r="F273">
        <f t="shared" si="17"/>
        <v>1.513671875</v>
      </c>
      <c r="I273" s="2">
        <f>('L-Values'!E273*'D(Ti_Cherniak) Times'!$F273*0.000001)^2/(4*'D(Ti_Cherniak) Times'!$C273)/(365.35*24*3600)</f>
        <v>36.322611942870033</v>
      </c>
      <c r="J273" s="2">
        <f>('L-Values'!F273*'D(Ti_Cherniak) Times'!$F273*0.000001)^2/(4*'D(Ti_Cherniak) Times'!$C273)/(365.35*24*3600)</f>
        <v>206.21357906650843</v>
      </c>
      <c r="K273" s="2">
        <f>('L-Values'!G273*'D(Ti_Cherniak) Times'!$F273*0.000001)^2/(4*'D(Ti_Cherniak) Times'!$C273)/(365.35*24*3600)</f>
        <v>1.7251260179252033</v>
      </c>
      <c r="L273" s="2">
        <f>('L-Values'!H273*'D(Ti_Cherniak) Times'!$F273*0.000001)^2/(4*'D(Ti_Cherniak) Times'!$C273)/(365.35*24*3600)</f>
        <v>110.22535240091432</v>
      </c>
      <c r="M273" s="2">
        <f>('L-Values'!I273*'D(Ti_Cherniak) Times'!$F273*0.000001)^2/(4*'D(Ti_Cherniak) Times'!$C273)/(365.35*24*3600)</f>
        <v>5.7875873002632895E-2</v>
      </c>
      <c r="N273" s="2">
        <f>('L-Values'!J273*'D(Ti_Cherniak) Times'!$F273*0.000001)^2/(4*'D(Ti_Cherniak) Times'!$C273)/(365.35*24*3600)</f>
        <v>1.2081393564617273</v>
      </c>
      <c r="O273" s="2">
        <f>('L-Values'!K273*'D(Ti_Cherniak) Times'!$F273*0.000001)^2/(4*'D(Ti_Cherniak) Times'!$C273)/(365.35*24*3600)</f>
        <v>1.1523184005136939</v>
      </c>
      <c r="P273" s="2">
        <f>('L-Values'!L273*'D(Ti_Cherniak) Times'!$F273*0.000001)^2/(4*'D(Ti_Cherniak) Times'!$C273)/(365.35*24*3600)</f>
        <v>0.21346211631348019</v>
      </c>
      <c r="Q273" s="2">
        <f>('L-Values'!M273*'D(Ti_Cherniak) Times'!$F273*0.000001)^2/(4*'D(Ti_Cherniak) Times'!$C273)/(365.35*24*3600)</f>
        <v>13.746090867705396</v>
      </c>
      <c r="R273" s="2">
        <f>('L-Values'!N273*'D(Ti_Cherniak) Times'!$F273*0.000001)^2/(4*'D(Ti_Cherniak) Times'!$C273)/(365.35*24*3600)</f>
        <v>0</v>
      </c>
      <c r="S273" s="2">
        <f>('L-Values'!O273*'D(Ti_Cherniak) Times'!$F273*0.000001)^2/(4*'D(Ti_Cherniak) Times'!$C273)/(365.35*24*3600)</f>
        <v>15.727002991383811</v>
      </c>
      <c r="T273" s="2"/>
      <c r="U273" s="2">
        <f>('L-Values'!Q273*'D(Ti_Cherniak) Times'!$F273*0.000001)^2/(4*'D(Ti_Cherniak) Times'!$C273)/(365.35*24*3600)</f>
        <v>61.461577845799006</v>
      </c>
      <c r="V273" s="2">
        <f>('L-Values'!R273*'D(Ti_Cherniak) Times'!$F273*0.000001)^2/(4*'D(Ti_Cherniak) Times'!$C273)/(365.35*24*3600)</f>
        <v>18.273691778533031</v>
      </c>
      <c r="W273" s="2">
        <f>('L-Values'!S273*'D(Ti_Cherniak) Times'!$F273*0.000001)^2/(4*'D(Ti_Cherniak) Times'!$C273)/(365.35*24*3600)</f>
        <v>6.3026419470396187</v>
      </c>
      <c r="X273" s="2"/>
      <c r="Y273" s="2">
        <f>('L-Values'!U273*'D(Ti_Cherniak) Times'!$F273*0.000001)^2/(4*'D(Ti_Cherniak) Times'!$C273)/(365.35*24*3600)</f>
        <v>60.006408318345621</v>
      </c>
      <c r="Z273" s="2">
        <f>('L-Values'!V273*'D(Ti_Cherniak) Times'!$F273*0.000001)^2/(4*'D(Ti_Cherniak) Times'!$C273)/(365.35*24*3600)</f>
        <v>114.28411524176727</v>
      </c>
      <c r="AA273" s="2">
        <f>('L-Values'!W273*'D(Ti_Cherniak) Times'!$F273*0.000001)^2/(4*'D(Ti_Cherniak) Times'!$C273)/(365.35*24*3600)</f>
        <v>7.7918326118945641E-2</v>
      </c>
      <c r="AB273" s="2">
        <f>('L-Values'!X273*'D(Ti_Cherniak) Times'!$F273*0.000001)^2/(4*'D(Ti_Cherniak) Times'!$C273)/(365.35*24*3600)</f>
        <v>1971.0800910980461</v>
      </c>
      <c r="AC273" s="2">
        <f t="shared" si="18"/>
        <v>114.20619691564832</v>
      </c>
      <c r="AD273" s="2">
        <f t="shared" si="19"/>
        <v>1856.7959758562788</v>
      </c>
    </row>
    <row r="274" spans="1:30" x14ac:dyDescent="0.2">
      <c r="A274" t="str">
        <f>'L-Values'!A274</f>
        <v>CGI014-qtz09-CL-fit-3-offset</v>
      </c>
      <c r="B274">
        <v>750</v>
      </c>
      <c r="C274">
        <f t="shared" si="16"/>
        <v>8.0537892000481889E-22</v>
      </c>
      <c r="D274">
        <v>1550</v>
      </c>
      <c r="E274">
        <v>1024</v>
      </c>
      <c r="F274">
        <f t="shared" si="17"/>
        <v>1.513671875</v>
      </c>
      <c r="I274" s="2">
        <f>('L-Values'!E274*'D(Ti_Cherniak) Times'!$F274*0.000001)^2/(4*'D(Ti_Cherniak) Times'!$C274)/(365.35*24*3600)</f>
        <v>5.5918556557079903E-3</v>
      </c>
      <c r="J274" s="2">
        <f>('L-Values'!F274*'D(Ti_Cherniak) Times'!$F274*0.000001)^2/(4*'D(Ti_Cherniak) Times'!$C274)/(365.35*24*3600)</f>
        <v>0.69579800642805578</v>
      </c>
      <c r="K274" s="2">
        <f>('L-Values'!G274*'D(Ti_Cherniak) Times'!$F274*0.000001)^2/(4*'D(Ti_Cherniak) Times'!$C274)/(365.35*24*3600)</f>
        <v>5.3021372805717525E-2</v>
      </c>
      <c r="L274" s="2">
        <f>('L-Values'!H274*'D(Ti_Cherniak) Times'!$F274*0.000001)^2/(4*'D(Ti_Cherniak) Times'!$C274)/(365.35*24*3600)</f>
        <v>1.0683914413366531</v>
      </c>
      <c r="M274" s="2">
        <f>('L-Values'!I274*'D(Ti_Cherniak) Times'!$F274*0.000001)^2/(4*'D(Ti_Cherniak) Times'!$C274)/(365.35*24*3600)</f>
        <v>1.8919765520384457</v>
      </c>
      <c r="N274" s="2">
        <f>('L-Values'!J274*'D(Ti_Cherniak) Times'!$F274*0.000001)^2/(4*'D(Ti_Cherniak) Times'!$C274)/(365.35*24*3600)</f>
        <v>0.37720221293575112</v>
      </c>
      <c r="O274" s="2">
        <f>('L-Values'!K274*'D(Ti_Cherniak) Times'!$F274*0.000001)^2/(4*'D(Ti_Cherniak) Times'!$C274)/(365.35*24*3600)</f>
        <v>3.173685458174226E-2</v>
      </c>
      <c r="P274" s="2">
        <f>('L-Values'!L274*'D(Ti_Cherniak) Times'!$F274*0.000001)^2/(4*'D(Ti_Cherniak) Times'!$C274)/(365.35*24*3600)</f>
        <v>1.1681344179294197</v>
      </c>
      <c r="Q274" s="2">
        <f>('L-Values'!M274*'D(Ti_Cherniak) Times'!$F274*0.000001)^2/(4*'D(Ti_Cherniak) Times'!$C274)/(365.35*24*3600)</f>
        <v>23.549418131718994</v>
      </c>
      <c r="R274" s="2">
        <f>('L-Values'!N274*'D(Ti_Cherniak) Times'!$F274*0.000001)^2/(4*'D(Ti_Cherniak) Times'!$C274)/(365.35*24*3600)</f>
        <v>0.75940742893430546</v>
      </c>
      <c r="S274" s="2">
        <f>('L-Values'!O274*'D(Ti_Cherniak) Times'!$F274*0.000001)^2/(4*'D(Ti_Cherniak) Times'!$C274)/(365.35*24*3600)</f>
        <v>9.0303242117685839E-2</v>
      </c>
      <c r="T274" s="2"/>
      <c r="U274" s="2">
        <f>('L-Values'!Q274*'D(Ti_Cherniak) Times'!$F274*0.000001)^2/(4*'D(Ti_Cherniak) Times'!$C274)/(365.35*24*3600)</f>
        <v>1.1400264576068611</v>
      </c>
      <c r="V274" s="2">
        <f>('L-Values'!R274*'D(Ti_Cherniak) Times'!$F274*0.000001)^2/(4*'D(Ti_Cherniak) Times'!$C274)/(365.35*24*3600)</f>
        <v>1.0827626902760226</v>
      </c>
      <c r="W274" s="2">
        <f>('L-Values'!S274*'D(Ti_Cherniak) Times'!$F274*0.000001)^2/(4*'D(Ti_Cherniak) Times'!$C274)/(365.35*24*3600)</f>
        <v>0.69579800642805578</v>
      </c>
      <c r="X274" s="2"/>
      <c r="Y274" s="2">
        <f>('L-Values'!U274*'D(Ti_Cherniak) Times'!$F274*0.000001)^2/(4*'D(Ti_Cherniak) Times'!$C274)/(365.35*24*3600)</f>
        <v>1.0353405456824096</v>
      </c>
      <c r="Z274" s="2">
        <f>('L-Values'!V274*'D(Ti_Cherniak) Times'!$F274*0.000001)^2/(4*'D(Ti_Cherniak) Times'!$C274)/(365.35*24*3600)</f>
        <v>14.57195377073495</v>
      </c>
      <c r="AA274" s="2">
        <f>('L-Values'!W274*'D(Ti_Cherniak) Times'!$F274*0.000001)^2/(4*'D(Ti_Cherniak) Times'!$C274)/(365.35*24*3600)</f>
        <v>4.6147736399131023E-11</v>
      </c>
      <c r="AB274" s="2">
        <f>('L-Values'!X274*'D(Ti_Cherniak) Times'!$F274*0.000001)^2/(4*'D(Ti_Cherniak) Times'!$C274)/(365.35*24*3600)</f>
        <v>662.32144072563437</v>
      </c>
      <c r="AC274" s="2">
        <f t="shared" si="18"/>
        <v>14.571953770688802</v>
      </c>
      <c r="AD274" s="2">
        <f t="shared" si="19"/>
        <v>647.74948695489945</v>
      </c>
    </row>
    <row r="275" spans="1:30" x14ac:dyDescent="0.2">
      <c r="A275" t="str">
        <f>'L-Values'!A275</f>
        <v>CGI014-qtz09-CL-fit-4-offset</v>
      </c>
      <c r="B275">
        <v>750</v>
      </c>
      <c r="C275">
        <f t="shared" si="16"/>
        <v>8.0537892000481889E-22</v>
      </c>
      <c r="D275">
        <v>1550</v>
      </c>
      <c r="E275">
        <v>1024</v>
      </c>
      <c r="F275">
        <f t="shared" si="17"/>
        <v>1.513671875</v>
      </c>
      <c r="I275" s="2">
        <f>('L-Values'!E275*'D(Ti_Cherniak) Times'!$F275*0.000001)^2/(4*'D(Ti_Cherniak) Times'!$C275)/(365.35*24*3600)</f>
        <v>41.276501664983812</v>
      </c>
      <c r="J275" s="2">
        <f>('L-Values'!F275*'D(Ti_Cherniak) Times'!$F275*0.000001)^2/(4*'D(Ti_Cherniak) Times'!$C275)/(365.35*24*3600)</f>
        <v>5.0306214981160537E-2</v>
      </c>
      <c r="K275" s="2">
        <f>('L-Values'!G275*'D(Ti_Cherniak) Times'!$F275*0.000001)^2/(4*'D(Ti_Cherniak) Times'!$C275)/(365.35*24*3600)</f>
        <v>181.45926482330233</v>
      </c>
      <c r="L275" s="2">
        <f>('L-Values'!H275*'D(Ti_Cherniak) Times'!$F275*0.000001)^2/(4*'D(Ti_Cherniak) Times'!$C275)/(365.35*24*3600)</f>
        <v>0.88194391236874314</v>
      </c>
      <c r="M275" s="2">
        <f>('L-Values'!I275*'D(Ti_Cherniak) Times'!$F275*0.000001)^2/(4*'D(Ti_Cherniak) Times'!$C275)/(365.35*24*3600)</f>
        <v>8.5180444604416561</v>
      </c>
      <c r="N275" s="2">
        <f>('L-Values'!J275*'D(Ti_Cherniak) Times'!$F275*0.000001)^2/(4*'D(Ti_Cherniak) Times'!$C275)/(365.35*24*3600)</f>
        <v>9.6522093684117767</v>
      </c>
      <c r="O275" s="2">
        <f>('L-Values'!K275*'D(Ti_Cherniak) Times'!$F275*0.000001)^2/(4*'D(Ti_Cherniak) Times'!$C275)/(365.35*24*3600)</f>
        <v>11.014599000580192</v>
      </c>
      <c r="P275" s="2">
        <f>('L-Values'!L275*'D(Ti_Cherniak) Times'!$F275*0.000001)^2/(4*'D(Ti_Cherniak) Times'!$C275)/(365.35*24*3600)</f>
        <v>2.3144415930410798E-3</v>
      </c>
      <c r="Q275" s="2">
        <f>('L-Values'!M275*'D(Ti_Cherniak) Times'!$F275*0.000001)^2/(4*'D(Ti_Cherniak) Times'!$C275)/(365.35*24*3600)</f>
        <v>0.32003806906841215</v>
      </c>
      <c r="R275" s="2">
        <f>('L-Values'!N275*'D(Ti_Cherniak) Times'!$F275*0.000001)^2/(4*'D(Ti_Cherniak) Times'!$C275)/(365.35*24*3600)</f>
        <v>0.12361297537682468</v>
      </c>
      <c r="S275" s="2">
        <f>('L-Values'!O275*'D(Ti_Cherniak) Times'!$F275*0.000001)^2/(4*'D(Ti_Cherniak) Times'!$C275)/(365.35*24*3600)</f>
        <v>1.4672281780039524</v>
      </c>
      <c r="T275" s="2"/>
      <c r="U275" s="2">
        <f>('L-Values'!Q275*'D(Ti_Cherniak) Times'!$F275*0.000001)^2/(4*'D(Ti_Cherniak) Times'!$C275)/(365.35*24*3600)</f>
        <v>254.35654854550373</v>
      </c>
      <c r="V275" s="2">
        <f>('L-Values'!R275*'D(Ti_Cherniak) Times'!$F275*0.000001)^2/(4*'D(Ti_Cherniak) Times'!$C275)/(365.35*24*3600)</f>
        <v>8.7721894114772496</v>
      </c>
      <c r="W275" s="2">
        <f>('L-Values'!S275*'D(Ti_Cherniak) Times'!$F275*0.000001)^2/(4*'D(Ti_Cherniak) Times'!$C275)/(365.35*24*3600)</f>
        <v>1.4672281780039524</v>
      </c>
      <c r="X275" s="2"/>
      <c r="Y275" s="2">
        <f>('L-Values'!U275*'D(Ti_Cherniak) Times'!$F275*0.000001)^2/(4*'D(Ti_Cherniak) Times'!$C275)/(365.35*24*3600)</f>
        <v>3.5540918321602244</v>
      </c>
      <c r="Z275" s="2">
        <f>('L-Values'!V275*'D(Ti_Cherniak) Times'!$F275*0.000001)^2/(4*'D(Ti_Cherniak) Times'!$C275)/(365.35*24*3600)</f>
        <v>79.957240382701357</v>
      </c>
      <c r="AA275" s="2">
        <f>('L-Values'!W275*'D(Ti_Cherniak) Times'!$F275*0.000001)^2/(4*'D(Ti_Cherniak) Times'!$C275)/(365.35*24*3600)</f>
        <v>2.8590134206838133E-14</v>
      </c>
      <c r="AB275" s="2">
        <f>('L-Values'!X275*'D(Ti_Cherniak) Times'!$F275*0.000001)^2/(4*'D(Ti_Cherniak) Times'!$C275)/(365.35*24*3600)</f>
        <v>1527.88198338242</v>
      </c>
      <c r="AC275" s="2">
        <f t="shared" si="18"/>
        <v>79.957240382701329</v>
      </c>
      <c r="AD275" s="2">
        <f t="shared" si="19"/>
        <v>1447.9247429997185</v>
      </c>
    </row>
    <row r="276" spans="1:30" x14ac:dyDescent="0.2">
      <c r="A276" t="str">
        <f>'L-Values'!A276</f>
        <v>CGI014-qtz09-CL-fit-5-offset</v>
      </c>
      <c r="B276">
        <v>750</v>
      </c>
      <c r="C276">
        <f t="shared" si="16"/>
        <v>8.0537892000481889E-22</v>
      </c>
      <c r="D276">
        <v>1550</v>
      </c>
      <c r="E276">
        <v>1024</v>
      </c>
      <c r="F276">
        <f t="shared" si="17"/>
        <v>1.513671875</v>
      </c>
      <c r="I276" s="2">
        <f>('L-Values'!E276*'D(Ti_Cherniak) Times'!$F276*0.000001)^2/(4*'D(Ti_Cherniak) Times'!$C276)/(365.35*24*3600)</f>
        <v>155.18388453821123</v>
      </c>
      <c r="J276" s="2">
        <f>('L-Values'!F276*'D(Ti_Cherniak) Times'!$F276*0.000001)^2/(4*'D(Ti_Cherniak) Times'!$C276)/(365.35*24*3600)</f>
        <v>23.467880633919872</v>
      </c>
      <c r="K276" s="2">
        <f>('L-Values'!G276*'D(Ti_Cherniak) Times'!$F276*0.000001)^2/(4*'D(Ti_Cherniak) Times'!$C276)/(365.35*24*3600)</f>
        <v>36.879733589703719</v>
      </c>
      <c r="L276" s="2">
        <f>('L-Values'!H276*'D(Ti_Cherniak) Times'!$F276*0.000001)^2/(4*'D(Ti_Cherniak) Times'!$C276)/(365.35*24*3600)</f>
        <v>17.599590575938681</v>
      </c>
      <c r="M276" s="2">
        <f>('L-Values'!I276*'D(Ti_Cherniak) Times'!$F276*0.000001)^2/(4*'D(Ti_Cherniak) Times'!$C276)/(365.35*24*3600)</f>
        <v>120.97909231782893</v>
      </c>
      <c r="N276" s="2">
        <f>('L-Values'!J276*'D(Ti_Cherniak) Times'!$F276*0.000001)^2/(4*'D(Ti_Cherniak) Times'!$C276)/(365.35*24*3600)</f>
        <v>57.988263911980276</v>
      </c>
      <c r="O276" s="2">
        <f>('L-Values'!K276*'D(Ti_Cherniak) Times'!$F276*0.000001)^2/(4*'D(Ti_Cherniak) Times'!$C276)/(365.35*24*3600)</f>
        <v>50.473447599791072</v>
      </c>
      <c r="P276" s="2">
        <f>('L-Values'!L276*'D(Ti_Cherniak) Times'!$F276*0.000001)^2/(4*'D(Ti_Cherniak) Times'!$C276)/(365.35*24*3600)</f>
        <v>83.96137641242008</v>
      </c>
      <c r="Q276" s="2">
        <f>('L-Values'!M276*'D(Ti_Cherniak) Times'!$F276*0.000001)^2/(4*'D(Ti_Cherniak) Times'!$C276)/(365.35*24*3600)</f>
        <v>75.234423359311066</v>
      </c>
      <c r="R276" s="2">
        <f>('L-Values'!N276*'D(Ti_Cherniak) Times'!$F276*0.000001)^2/(4*'D(Ti_Cherniak) Times'!$C276)/(365.35*24*3600)</f>
        <v>54.474879701192975</v>
      </c>
      <c r="S276" s="2">
        <f>('L-Values'!O276*'D(Ti_Cherniak) Times'!$F276*0.000001)^2/(4*'D(Ti_Cherniak) Times'!$C276)/(365.35*24*3600)</f>
        <v>90.013777112642316</v>
      </c>
      <c r="T276" s="2"/>
      <c r="U276" s="2">
        <f>('L-Values'!Q276*'D(Ti_Cherniak) Times'!$F276*0.000001)^2/(4*'D(Ti_Cherniak) Times'!$C276)/(365.35*24*3600)</f>
        <v>70.42616257879088</v>
      </c>
      <c r="V276" s="2">
        <f>('L-Values'!R276*'D(Ti_Cherniak) Times'!$F276*0.000001)^2/(4*'D(Ti_Cherniak) Times'!$C276)/(365.35*24*3600)</f>
        <v>63.990274428736022</v>
      </c>
      <c r="W276" s="2">
        <f>('L-Values'!S276*'D(Ti_Cherniak) Times'!$F276*0.000001)^2/(4*'D(Ti_Cherniak) Times'!$C276)/(365.35*24*3600)</f>
        <v>57.988263911980276</v>
      </c>
      <c r="X276" s="2"/>
      <c r="Y276" s="2">
        <f>('L-Values'!U276*'D(Ti_Cherniak) Times'!$F276*0.000001)^2/(4*'D(Ti_Cherniak) Times'!$C276)/(365.35*24*3600)</f>
        <v>64.798129281866494</v>
      </c>
      <c r="Z276" s="2">
        <f>('L-Values'!V276*'D(Ti_Cherniak) Times'!$F276*0.000001)^2/(4*'D(Ti_Cherniak) Times'!$C276)/(365.35*24*3600)</f>
        <v>73.822248203758832</v>
      </c>
      <c r="AA276" s="2">
        <f>('L-Values'!W276*'D(Ti_Cherniak) Times'!$F276*0.000001)^2/(4*'D(Ti_Cherniak) Times'!$C276)/(365.35*24*3600)</f>
        <v>18.133093894476197</v>
      </c>
      <c r="AB276" s="2">
        <f>('L-Values'!X276*'D(Ti_Cherniak) Times'!$F276*0.000001)^2/(4*'D(Ti_Cherniak) Times'!$C276)/(365.35*24*3600)</f>
        <v>242.61153557460267</v>
      </c>
      <c r="AC276" s="2">
        <f t="shared" si="18"/>
        <v>55.689154309282635</v>
      </c>
      <c r="AD276" s="2">
        <f t="shared" si="19"/>
        <v>168.78928737084385</v>
      </c>
    </row>
    <row r="277" spans="1:30" x14ac:dyDescent="0.2">
      <c r="A277" t="str">
        <f>'L-Values'!A277</f>
        <v>CGI014-qtz10-CL-fit-1-offset</v>
      </c>
      <c r="B277">
        <v>750</v>
      </c>
      <c r="C277">
        <f t="shared" si="16"/>
        <v>8.0537892000481889E-22</v>
      </c>
      <c r="D277">
        <v>1550</v>
      </c>
      <c r="E277">
        <v>1024</v>
      </c>
      <c r="F277">
        <f t="shared" si="17"/>
        <v>1.513671875</v>
      </c>
      <c r="I277" s="2">
        <f>('L-Values'!E277*'D(Ti_Cherniak) Times'!$F277*0.000001)^2/(4*'D(Ti_Cherniak) Times'!$C277)/(365.35*24*3600)</f>
        <v>324.12164456660543</v>
      </c>
      <c r="J277" s="2">
        <f>('L-Values'!F277*'D(Ti_Cherniak) Times'!$F277*0.000001)^2/(4*'D(Ti_Cherniak) Times'!$C277)/(365.35*24*3600)</f>
        <v>275.99092651582913</v>
      </c>
      <c r="K277" s="2">
        <f>('L-Values'!G277*'D(Ti_Cherniak) Times'!$F277*0.000001)^2/(4*'D(Ti_Cherniak) Times'!$C277)/(365.35*24*3600)</f>
        <v>296.47111521139146</v>
      </c>
      <c r="L277" s="2">
        <f>('L-Values'!H277*'D(Ti_Cherniak) Times'!$F277*0.000001)^2/(4*'D(Ti_Cherniak) Times'!$C277)/(365.35*24*3600)</f>
        <v>296.48499152141324</v>
      </c>
      <c r="M277" s="2">
        <f>('L-Values'!I277*'D(Ti_Cherniak) Times'!$F277*0.000001)^2/(4*'D(Ti_Cherniak) Times'!$C277)/(365.35*24*3600)</f>
        <v>533.16424075227951</v>
      </c>
      <c r="N277" s="2">
        <f>('L-Values'!J277*'D(Ti_Cherniak) Times'!$F277*0.000001)^2/(4*'D(Ti_Cherniak) Times'!$C277)/(365.35*24*3600)</f>
        <v>243.53197753077208</v>
      </c>
      <c r="O277" s="2">
        <f>('L-Values'!K277*'D(Ti_Cherniak) Times'!$F277*0.000001)^2/(4*'D(Ti_Cherniak) Times'!$C277)/(365.35*24*3600)</f>
        <v>237.1765818672913</v>
      </c>
      <c r="P277" s="2">
        <f>('L-Values'!L277*'D(Ti_Cherniak) Times'!$F277*0.000001)^2/(4*'D(Ti_Cherniak) Times'!$C277)/(365.35*24*3600)</f>
        <v>209.78229074263018</v>
      </c>
      <c r="Q277" s="2">
        <f>('L-Values'!M277*'D(Ti_Cherniak) Times'!$F277*0.000001)^2/(4*'D(Ti_Cherniak) Times'!$C277)/(365.35*24*3600)</f>
        <v>358.57940356225919</v>
      </c>
      <c r="R277" s="2">
        <f>('L-Values'!N277*'D(Ti_Cherniak) Times'!$F277*0.000001)^2/(4*'D(Ti_Cherniak) Times'!$C277)/(365.35*24*3600)</f>
        <v>131.56778777021404</v>
      </c>
      <c r="S277" s="2">
        <f>('L-Values'!O277*'D(Ti_Cherniak) Times'!$F277*0.000001)^2/(4*'D(Ti_Cherniak) Times'!$C277)/(365.35*24*3600)</f>
        <v>135.8262851116335</v>
      </c>
      <c r="T277" s="2"/>
      <c r="U277" s="2">
        <f>('L-Values'!Q277*'D(Ti_Cherniak) Times'!$F277*0.000001)^2/(4*'D(Ti_Cherniak) Times'!$C277)/(365.35*24*3600)</f>
        <v>267.50855938467026</v>
      </c>
      <c r="V277" s="2">
        <f>('L-Values'!R277*'D(Ti_Cherniak) Times'!$F277*0.000001)^2/(4*'D(Ti_Cherniak) Times'!$C277)/(365.35*24*3600)</f>
        <v>266.8608513783563</v>
      </c>
      <c r="W277" s="2">
        <f>('L-Values'!S277*'D(Ti_Cherniak) Times'!$F277*0.000001)^2/(4*'D(Ti_Cherniak) Times'!$C277)/(365.35*24*3600)</f>
        <v>275.99092651582913</v>
      </c>
      <c r="X277" s="2"/>
      <c r="Y277" s="2">
        <f>('L-Values'!U277*'D(Ti_Cherniak) Times'!$F277*0.000001)^2/(4*'D(Ti_Cherniak) Times'!$C277)/(365.35*24*3600)</f>
        <v>268.48658548572718</v>
      </c>
      <c r="Z277" s="2">
        <f>('L-Values'!V277*'D(Ti_Cherniak) Times'!$F277*0.000001)^2/(4*'D(Ti_Cherniak) Times'!$C277)/(365.35*24*3600)</f>
        <v>269.81134191646015</v>
      </c>
      <c r="AA277" s="2">
        <f>('L-Values'!W277*'D(Ti_Cherniak) Times'!$F277*0.000001)^2/(4*'D(Ti_Cherniak) Times'!$C277)/(365.35*24*3600)</f>
        <v>103.8144879201721</v>
      </c>
      <c r="AB277" s="2">
        <f>('L-Values'!X277*'D(Ti_Cherniak) Times'!$F277*0.000001)^2/(4*'D(Ti_Cherniak) Times'!$C277)/(365.35*24*3600)</f>
        <v>551.59180675964944</v>
      </c>
      <c r="AC277" s="2">
        <f t="shared" si="18"/>
        <v>165.99685399628805</v>
      </c>
      <c r="AD277" s="2">
        <f t="shared" si="19"/>
        <v>281.78046484318929</v>
      </c>
    </row>
    <row r="278" spans="1:30" x14ac:dyDescent="0.2">
      <c r="A278" t="str">
        <f>'L-Values'!A278</f>
        <v>CGI014-qtz10-CL-fit-2-offset</v>
      </c>
      <c r="B278">
        <v>750</v>
      </c>
      <c r="C278">
        <f t="shared" si="16"/>
        <v>8.0537892000481889E-22</v>
      </c>
      <c r="D278">
        <v>1550</v>
      </c>
      <c r="E278">
        <v>1024</v>
      </c>
      <c r="F278">
        <f t="shared" si="17"/>
        <v>1.513671875</v>
      </c>
      <c r="I278" s="2">
        <f>('L-Values'!E278*'D(Ti_Cherniak) Times'!$F278*0.000001)^2/(4*'D(Ti_Cherniak) Times'!$C278)/(365.35*24*3600)</f>
        <v>716.04498613787905</v>
      </c>
      <c r="J278" s="2">
        <f>('L-Values'!F278*'D(Ti_Cherniak) Times'!$F278*0.000001)^2/(4*'D(Ti_Cherniak) Times'!$C278)/(365.35*24*3600)</f>
        <v>1074.7848269722228</v>
      </c>
      <c r="K278" s="2">
        <f>('L-Values'!G278*'D(Ti_Cherniak) Times'!$F278*0.000001)^2/(4*'D(Ti_Cherniak) Times'!$C278)/(365.35*24*3600)</f>
        <v>942.66681043584492</v>
      </c>
      <c r="L278" s="2">
        <f>('L-Values'!H278*'D(Ti_Cherniak) Times'!$F278*0.000001)^2/(4*'D(Ti_Cherniak) Times'!$C278)/(365.35*24*3600)</f>
        <v>867.62648487863612</v>
      </c>
      <c r="M278" s="2">
        <f>('L-Values'!I278*'D(Ti_Cherniak) Times'!$F278*0.000001)^2/(4*'D(Ti_Cherniak) Times'!$C278)/(365.35*24*3600)</f>
        <v>1424.7267885085676</v>
      </c>
      <c r="N278" s="2">
        <f>('L-Values'!J278*'D(Ti_Cherniak) Times'!$F278*0.000001)^2/(4*'D(Ti_Cherniak) Times'!$C278)/(365.35*24*3600)</f>
        <v>1089.2057204742209</v>
      </c>
      <c r="O278" s="2">
        <f>('L-Values'!K278*'D(Ti_Cherniak) Times'!$F278*0.000001)^2/(4*'D(Ti_Cherniak) Times'!$C278)/(365.35*24*3600)</f>
        <v>2240.5314075926694</v>
      </c>
      <c r="P278" s="2">
        <f>('L-Values'!L278*'D(Ti_Cherniak) Times'!$F278*0.000001)^2/(4*'D(Ti_Cherniak) Times'!$C278)/(365.35*24*3600)</f>
        <v>1256.3928355320757</v>
      </c>
      <c r="Q278" s="2">
        <f>('L-Values'!M278*'D(Ti_Cherniak) Times'!$F278*0.000001)^2/(4*'D(Ti_Cherniak) Times'!$C278)/(365.35*24*3600)</f>
        <v>837.60553155322248</v>
      </c>
      <c r="R278" s="2">
        <f>('L-Values'!N278*'D(Ti_Cherniak) Times'!$F278*0.000001)^2/(4*'D(Ti_Cherniak) Times'!$C278)/(365.35*24*3600)</f>
        <v>273.61893863317243</v>
      </c>
      <c r="S278" s="2">
        <f>('L-Values'!O278*'D(Ti_Cherniak) Times'!$F278*0.000001)^2/(4*'D(Ti_Cherniak) Times'!$C278)/(365.35*24*3600)</f>
        <v>1009.3725420554543</v>
      </c>
      <c r="T278" s="2"/>
      <c r="U278" s="2">
        <f>('L-Values'!Q278*'D(Ti_Cherniak) Times'!$F278*0.000001)^2/(4*'D(Ti_Cherniak) Times'!$C278)/(365.35*24*3600)</f>
        <v>1064.3792228278464</v>
      </c>
      <c r="V278" s="2">
        <f>('L-Values'!R278*'D(Ti_Cherniak) Times'!$F278*0.000001)^2/(4*'D(Ti_Cherniak) Times'!$C278)/(365.35*24*3600)</f>
        <v>1015.1947609033383</v>
      </c>
      <c r="W278" s="2">
        <f>('L-Values'!S278*'D(Ti_Cherniak) Times'!$F278*0.000001)^2/(4*'D(Ti_Cherniak) Times'!$C278)/(365.35*24*3600)</f>
        <v>1009.3725420554543</v>
      </c>
      <c r="X278" s="2"/>
      <c r="Y278" s="2">
        <f>('L-Values'!U278*'D(Ti_Cherniak) Times'!$F278*0.000001)^2/(4*'D(Ti_Cherniak) Times'!$C278)/(365.35*24*3600)</f>
        <v>1111.6901556747268</v>
      </c>
      <c r="Z278" s="2">
        <f>('L-Values'!V278*'D(Ti_Cherniak) Times'!$F278*0.000001)^2/(4*'D(Ti_Cherniak) Times'!$C278)/(365.35*24*3600)</f>
        <v>1131.237728240478</v>
      </c>
      <c r="AA278" s="2">
        <f>('L-Values'!W278*'D(Ti_Cherniak) Times'!$F278*0.000001)^2/(4*'D(Ti_Cherniak) Times'!$C278)/(365.35*24*3600)</f>
        <v>273.08345819759023</v>
      </c>
      <c r="AB278" s="2">
        <f>('L-Values'!X278*'D(Ti_Cherniak) Times'!$F278*0.000001)^2/(4*'D(Ti_Cherniak) Times'!$C278)/(365.35*24*3600)</f>
        <v>2844.0367821135633</v>
      </c>
      <c r="AC278" s="2">
        <f t="shared" si="18"/>
        <v>858.15427004288767</v>
      </c>
      <c r="AD278" s="2">
        <f t="shared" si="19"/>
        <v>1712.7990538730853</v>
      </c>
    </row>
    <row r="279" spans="1:30" x14ac:dyDescent="0.2">
      <c r="A279" t="str">
        <f>'L-Values'!A279</f>
        <v>CGI014-qtz10-CL-fit-3-offset</v>
      </c>
      <c r="B279">
        <v>750</v>
      </c>
      <c r="C279">
        <f t="shared" si="16"/>
        <v>8.0537892000481889E-22</v>
      </c>
      <c r="D279">
        <v>1550</v>
      </c>
      <c r="E279">
        <v>1024</v>
      </c>
      <c r="F279">
        <f t="shared" si="17"/>
        <v>1.513671875</v>
      </c>
      <c r="I279" s="2">
        <f>('L-Values'!E279*'D(Ti_Cherniak) Times'!$F279*0.000001)^2/(4*'D(Ti_Cherniak) Times'!$C279)/(365.35*24*3600)</f>
        <v>65.196783251614775</v>
      </c>
      <c r="J279" s="2">
        <f>('L-Values'!F279*'D(Ti_Cherniak) Times'!$F279*0.000001)^2/(4*'D(Ti_Cherniak) Times'!$C279)/(365.35*24*3600)</f>
        <v>76.938431607362389</v>
      </c>
      <c r="K279" s="2">
        <f>('L-Values'!G279*'D(Ti_Cherniak) Times'!$F279*0.000001)^2/(4*'D(Ti_Cherniak) Times'!$C279)/(365.35*24*3600)</f>
        <v>13.59438070202593</v>
      </c>
      <c r="L279" s="2">
        <f>('L-Values'!H279*'D(Ti_Cherniak) Times'!$F279*0.000001)^2/(4*'D(Ti_Cherniak) Times'!$C279)/(365.35*24*3600)</f>
        <v>95.108603749036931</v>
      </c>
      <c r="M279" s="2">
        <f>('L-Values'!I279*'D(Ti_Cherniak) Times'!$F279*0.000001)^2/(4*'D(Ti_Cherniak) Times'!$C279)/(365.35*24*3600)</f>
        <v>133.00101184962074</v>
      </c>
      <c r="N279" s="2">
        <f>('L-Values'!J279*'D(Ti_Cherniak) Times'!$F279*0.000001)^2/(4*'D(Ti_Cherniak) Times'!$C279)/(365.35*24*3600)</f>
        <v>109.88228043293043</v>
      </c>
      <c r="O279" s="2">
        <f>('L-Values'!K279*'D(Ti_Cherniak) Times'!$F279*0.000001)^2/(4*'D(Ti_Cherniak) Times'!$C279)/(365.35*24*3600)</f>
        <v>58.199519956735763</v>
      </c>
      <c r="P279" s="2">
        <f>('L-Values'!L279*'D(Ti_Cherniak) Times'!$F279*0.000001)^2/(4*'D(Ti_Cherniak) Times'!$C279)/(365.35*24*3600)</f>
        <v>164.48896059745434</v>
      </c>
      <c r="Q279" s="2">
        <f>('L-Values'!M279*'D(Ti_Cherniak) Times'!$F279*0.000001)^2/(4*'D(Ti_Cherniak) Times'!$C279)/(365.35*24*3600)</f>
        <v>20.709268819100785</v>
      </c>
      <c r="R279" s="2">
        <f>('L-Values'!N279*'D(Ti_Cherniak) Times'!$F279*0.000001)^2/(4*'D(Ti_Cherniak) Times'!$C279)/(365.35*24*3600)</f>
        <v>30.76308370127872</v>
      </c>
      <c r="S279" s="2">
        <f>('L-Values'!O279*'D(Ti_Cherniak) Times'!$F279*0.000001)^2/(4*'D(Ti_Cherniak) Times'!$C279)/(365.35*24*3600)</f>
        <v>125.83055078342549</v>
      </c>
      <c r="T279" s="2"/>
      <c r="U279" s="2">
        <f>('L-Values'!Q279*'D(Ti_Cherniak) Times'!$F279*0.000001)^2/(4*'D(Ti_Cherniak) Times'!$C279)/(365.35*24*3600)</f>
        <v>60.989973061857803</v>
      </c>
      <c r="V279" s="2">
        <f>('L-Values'!R279*'D(Ti_Cherniak) Times'!$F279*0.000001)^2/(4*'D(Ti_Cherniak) Times'!$C279)/(365.35*24*3600)</f>
        <v>73.132363612474123</v>
      </c>
      <c r="W279" s="2">
        <f>('L-Values'!S279*'D(Ti_Cherniak) Times'!$F279*0.000001)^2/(4*'D(Ti_Cherniak) Times'!$C279)/(365.35*24*3600)</f>
        <v>76.938431607362389</v>
      </c>
      <c r="X279" s="2"/>
      <c r="Y279" s="2">
        <f>('L-Values'!U279*'D(Ti_Cherniak) Times'!$F279*0.000001)^2/(4*'D(Ti_Cherniak) Times'!$C279)/(365.35*24*3600)</f>
        <v>51.679609585974568</v>
      </c>
      <c r="Z279" s="2">
        <f>('L-Values'!V279*'D(Ti_Cherniak) Times'!$F279*0.000001)^2/(4*'D(Ti_Cherniak) Times'!$C279)/(365.35*24*3600)</f>
        <v>53.874878110237916</v>
      </c>
      <c r="AA279" s="2">
        <f>('L-Values'!W279*'D(Ti_Cherniak) Times'!$F279*0.000001)^2/(4*'D(Ti_Cherniak) Times'!$C279)/(365.35*24*3600)</f>
        <v>4.8783438989578459E-2</v>
      </c>
      <c r="AB279" s="2">
        <f>('L-Values'!X279*'D(Ti_Cherniak) Times'!$F279*0.000001)^2/(4*'D(Ti_Cherniak) Times'!$C279)/(365.35*24*3600)</f>
        <v>268.37034715511379</v>
      </c>
      <c r="AC279" s="2">
        <f t="shared" si="18"/>
        <v>53.826094671248335</v>
      </c>
      <c r="AD279" s="2">
        <f t="shared" si="19"/>
        <v>214.49546904487588</v>
      </c>
    </row>
    <row r="280" spans="1:30" x14ac:dyDescent="0.2">
      <c r="A280" t="str">
        <f>'L-Values'!A280</f>
        <v>CGI014-qtz10-CL-fit-4-offset</v>
      </c>
      <c r="B280">
        <v>750</v>
      </c>
      <c r="C280">
        <f t="shared" si="16"/>
        <v>8.0537892000481889E-22</v>
      </c>
      <c r="D280">
        <v>1550</v>
      </c>
      <c r="E280">
        <v>1024</v>
      </c>
      <c r="F280">
        <f t="shared" si="17"/>
        <v>1.513671875</v>
      </c>
      <c r="I280" s="2">
        <f>('L-Values'!E280*'D(Ti_Cherniak) Times'!$F280*0.000001)^2/(4*'D(Ti_Cherniak) Times'!$C280)/(365.35*24*3600)</f>
        <v>12.974569080725958</v>
      </c>
      <c r="J280" s="2">
        <f>('L-Values'!F280*'D(Ti_Cherniak) Times'!$F280*0.000001)^2/(4*'D(Ti_Cherniak) Times'!$C280)/(365.35*24*3600)</f>
        <v>87.560161889904762</v>
      </c>
      <c r="K280" s="2">
        <f>('L-Values'!G280*'D(Ti_Cherniak) Times'!$F280*0.000001)^2/(4*'D(Ti_Cherniak) Times'!$C280)/(365.35*24*3600)</f>
        <v>71.051635899643401</v>
      </c>
      <c r="L280" s="2">
        <f>('L-Values'!H280*'D(Ti_Cherniak) Times'!$F280*0.000001)^2/(4*'D(Ti_Cherniak) Times'!$C280)/(365.35*24*3600)</f>
        <v>147.23315818867439</v>
      </c>
      <c r="M280" s="2">
        <f>('L-Values'!I280*'D(Ti_Cherniak) Times'!$F280*0.000001)^2/(4*'D(Ti_Cherniak) Times'!$C280)/(365.35*24*3600)</f>
        <v>80.348213480650671</v>
      </c>
      <c r="N280" s="2">
        <f>('L-Values'!J280*'D(Ti_Cherniak) Times'!$F280*0.000001)^2/(4*'D(Ti_Cherniak) Times'!$C280)/(365.35*24*3600)</f>
        <v>18.564570012520797</v>
      </c>
      <c r="O280" s="2">
        <f>('L-Values'!K280*'D(Ti_Cherniak) Times'!$F280*0.000001)^2/(4*'D(Ti_Cherniak) Times'!$C280)/(365.35*24*3600)</f>
        <v>63.065383113289435</v>
      </c>
      <c r="P280" s="2">
        <f>('L-Values'!L280*'D(Ti_Cherniak) Times'!$F280*0.000001)^2/(4*'D(Ti_Cherniak) Times'!$C280)/(365.35*24*3600)</f>
        <v>52.267923233001511</v>
      </c>
      <c r="Q280" s="2">
        <f>('L-Values'!M280*'D(Ti_Cherniak) Times'!$F280*0.000001)^2/(4*'D(Ti_Cherniak) Times'!$C280)/(365.35*24*3600)</f>
        <v>97.937858329502248</v>
      </c>
      <c r="R280" s="2">
        <f>('L-Values'!N280*'D(Ti_Cherniak) Times'!$F280*0.000001)^2/(4*'D(Ti_Cherniak) Times'!$C280)/(365.35*24*3600)</f>
        <v>100.57613402327016</v>
      </c>
      <c r="S280" s="2">
        <f>('L-Values'!O280*'D(Ti_Cherniak) Times'!$F280*0.000001)^2/(4*'D(Ti_Cherniak) Times'!$C280)/(365.35*24*3600)</f>
        <v>170.11517559682028</v>
      </c>
      <c r="T280" s="2"/>
      <c r="U280" s="2">
        <f>('L-Values'!Q280*'D(Ti_Cherniak) Times'!$F280*0.000001)^2/(4*'D(Ti_Cherniak) Times'!$C280)/(365.35*24*3600)</f>
        <v>81.502946352884578</v>
      </c>
      <c r="V280" s="2">
        <f>('L-Values'!R280*'D(Ti_Cherniak) Times'!$F280*0.000001)^2/(4*'D(Ti_Cherniak) Times'!$C280)/(365.35*24*3600)</f>
        <v>74.483035440942416</v>
      </c>
      <c r="W280" s="2">
        <f>('L-Values'!S280*'D(Ti_Cherniak) Times'!$F280*0.000001)^2/(4*'D(Ti_Cherniak) Times'!$C280)/(365.35*24*3600)</f>
        <v>80.348213480650671</v>
      </c>
      <c r="X280" s="2"/>
      <c r="Y280" s="2">
        <f>('L-Values'!U280*'D(Ti_Cherniak) Times'!$F280*0.000001)^2/(4*'D(Ti_Cherniak) Times'!$C280)/(365.35*24*3600)</f>
        <v>72.575046707909053</v>
      </c>
      <c r="Z280" s="2">
        <f>('L-Values'!V280*'D(Ti_Cherniak) Times'!$F280*0.000001)^2/(4*'D(Ti_Cherniak) Times'!$C280)/(365.35*24*3600)</f>
        <v>78.486806517972184</v>
      </c>
      <c r="AA280" s="2">
        <f>('L-Values'!W280*'D(Ti_Cherniak) Times'!$F280*0.000001)^2/(4*'D(Ti_Cherniak) Times'!$C280)/(365.35*24*3600)</f>
        <v>13.105667548602376</v>
      </c>
      <c r="AB280" s="2">
        <f>('L-Values'!X280*'D(Ti_Cherniak) Times'!$F280*0.000001)^2/(4*'D(Ti_Cherniak) Times'!$C280)/(365.35*24*3600)</f>
        <v>237.24960478915378</v>
      </c>
      <c r="AC280" s="2">
        <f t="shared" si="18"/>
        <v>65.3811389693698</v>
      </c>
      <c r="AD280" s="2">
        <f t="shared" si="19"/>
        <v>158.76279827118159</v>
      </c>
    </row>
    <row r="281" spans="1:30" x14ac:dyDescent="0.2">
      <c r="A281" t="str">
        <f>'L-Values'!A281</f>
        <v>CGI014-qtz11-CL-fit-1-offset</v>
      </c>
      <c r="B281">
        <v>750</v>
      </c>
      <c r="C281">
        <f t="shared" si="16"/>
        <v>8.0537892000481889E-22</v>
      </c>
      <c r="D281">
        <v>1500</v>
      </c>
      <c r="E281">
        <v>1024</v>
      </c>
      <c r="F281">
        <f t="shared" si="17"/>
        <v>1.46484375</v>
      </c>
      <c r="I281" s="2">
        <f>('L-Values'!E281*'D(Ti_Cherniak) Times'!$F281*0.000001)^2/(4*'D(Ti_Cherniak) Times'!$C281)/(365.35*24*3600)</f>
        <v>972.39432719661806</v>
      </c>
      <c r="J281" s="2">
        <f>('L-Values'!F281*'D(Ti_Cherniak) Times'!$F281*0.000001)^2/(4*'D(Ti_Cherniak) Times'!$C281)/(365.35*24*3600)</f>
        <v>878.44663106712733</v>
      </c>
      <c r="K281" s="2">
        <f>('L-Values'!G281*'D(Ti_Cherniak) Times'!$F281*0.000001)^2/(4*'D(Ti_Cherniak) Times'!$C281)/(365.35*24*3600)</f>
        <v>731.4060888268798</v>
      </c>
      <c r="L281" s="2">
        <f>('L-Values'!H281*'D(Ti_Cherniak) Times'!$F281*0.000001)^2/(4*'D(Ti_Cherniak) Times'!$C281)/(365.35*24*3600)</f>
        <v>1369.370901670339</v>
      </c>
      <c r="M281" s="2">
        <f>('L-Values'!I281*'D(Ti_Cherniak) Times'!$F281*0.000001)^2/(4*'D(Ti_Cherniak) Times'!$C281)/(365.35*24*3600)</f>
        <v>772.64512091656547</v>
      </c>
      <c r="N281" s="2">
        <f>('L-Values'!J281*'D(Ti_Cherniak) Times'!$F281*0.000001)^2/(4*'D(Ti_Cherniak) Times'!$C281)/(365.35*24*3600)</f>
        <v>561.69844733793593</v>
      </c>
      <c r="O281" s="2">
        <f>('L-Values'!K281*'D(Ti_Cherniak) Times'!$F281*0.000001)^2/(4*'D(Ti_Cherniak) Times'!$C281)/(365.35*24*3600)</f>
        <v>392.47855355887549</v>
      </c>
      <c r="P281" s="2">
        <f>('L-Values'!L281*'D(Ti_Cherniak) Times'!$F281*0.000001)^2/(4*'D(Ti_Cherniak) Times'!$C281)/(365.35*24*3600)</f>
        <v>551.09373412875618</v>
      </c>
      <c r="Q281" s="2">
        <f>('L-Values'!M281*'D(Ti_Cherniak) Times'!$F281*0.000001)^2/(4*'D(Ti_Cherniak) Times'!$C281)/(365.35*24*3600)</f>
        <v>631.64088797673378</v>
      </c>
      <c r="R281" s="2">
        <f>('L-Values'!N281*'D(Ti_Cherniak) Times'!$F281*0.000001)^2/(4*'D(Ti_Cherniak) Times'!$C281)/(365.35*24*3600)</f>
        <v>587.24926211144464</v>
      </c>
      <c r="S281" s="2">
        <f>('L-Values'!O281*'D(Ti_Cherniak) Times'!$F281*0.000001)^2/(4*'D(Ti_Cherniak) Times'!$C281)/(365.35*24*3600)</f>
        <v>820.1586006146066</v>
      </c>
      <c r="T281" s="2"/>
      <c r="U281" s="2">
        <f>('L-Values'!Q281*'D(Ti_Cherniak) Times'!$F281*0.000001)^2/(4*'D(Ti_Cherniak) Times'!$C281)/(365.35*24*3600)</f>
        <v>708.722295681074</v>
      </c>
      <c r="V281" s="2">
        <f>('L-Values'!R281*'D(Ti_Cherniak) Times'!$F281*0.000001)^2/(4*'D(Ti_Cherniak) Times'!$C281)/(365.35*24*3600)</f>
        <v>732.23673801518407</v>
      </c>
      <c r="W281" s="2">
        <f>('L-Values'!S281*'D(Ti_Cherniak) Times'!$F281*0.000001)^2/(4*'D(Ti_Cherniak) Times'!$C281)/(365.35*24*3600)</f>
        <v>731.4060888268798</v>
      </c>
      <c r="X281" s="2"/>
      <c r="Y281" s="2">
        <f>('L-Values'!U281*'D(Ti_Cherniak) Times'!$F281*0.000001)^2/(4*'D(Ti_Cherniak) Times'!$C281)/(365.35*24*3600)</f>
        <v>694.16570096231771</v>
      </c>
      <c r="Z281" s="2">
        <f>('L-Values'!V281*'D(Ti_Cherniak) Times'!$F281*0.000001)^2/(4*'D(Ti_Cherniak) Times'!$C281)/(365.35*24*3600)</f>
        <v>716.63975609677914</v>
      </c>
      <c r="AA281" s="2">
        <f>('L-Values'!W281*'D(Ti_Cherniak) Times'!$F281*0.000001)^2/(4*'D(Ti_Cherniak) Times'!$C281)/(365.35*24*3600)</f>
        <v>345.0970653603203</v>
      </c>
      <c r="AB281" s="2">
        <f>('L-Values'!X281*'D(Ti_Cherniak) Times'!$F281*0.000001)^2/(4*'D(Ti_Cherniak) Times'!$C281)/(365.35*24*3600)</f>
        <v>1521.3477817009275</v>
      </c>
      <c r="AC281" s="2">
        <f t="shared" si="18"/>
        <v>371.54269073645884</v>
      </c>
      <c r="AD281" s="2">
        <f t="shared" si="19"/>
        <v>804.70802560414836</v>
      </c>
    </row>
    <row r="282" spans="1:30" x14ac:dyDescent="0.2">
      <c r="A282" t="str">
        <f>'L-Values'!A282</f>
        <v>CGI014-qtz11-CL-fit-2-offset</v>
      </c>
      <c r="B282">
        <v>750</v>
      </c>
      <c r="C282">
        <f t="shared" si="16"/>
        <v>8.0537892000481889E-22</v>
      </c>
      <c r="D282">
        <v>1500</v>
      </c>
      <c r="E282">
        <v>1024</v>
      </c>
      <c r="F282">
        <f t="shared" si="17"/>
        <v>1.46484375</v>
      </c>
      <c r="I282" s="2">
        <f>('L-Values'!E282*'D(Ti_Cherniak) Times'!$F282*0.000001)^2/(4*'D(Ti_Cherniak) Times'!$C282)/(365.35*24*3600)</f>
        <v>2540.090146513819</v>
      </c>
      <c r="J282" s="2">
        <f>('L-Values'!F282*'D(Ti_Cherniak) Times'!$F282*0.000001)^2/(4*'D(Ti_Cherniak) Times'!$C282)/(365.35*24*3600)</f>
        <v>3233.4564166832529</v>
      </c>
      <c r="K282" s="2">
        <f>('L-Values'!G282*'D(Ti_Cherniak) Times'!$F282*0.000001)^2/(4*'D(Ti_Cherniak) Times'!$C282)/(365.35*24*3600)</f>
        <v>1898.5021462621371</v>
      </c>
      <c r="L282" s="2">
        <f>('L-Values'!H282*'D(Ti_Cherniak) Times'!$F282*0.000001)^2/(4*'D(Ti_Cherniak) Times'!$C282)/(365.35*24*3600)</f>
        <v>2269.5075106138625</v>
      </c>
      <c r="M282" s="2">
        <f>('L-Values'!I282*'D(Ti_Cherniak) Times'!$F282*0.000001)^2/(4*'D(Ti_Cherniak) Times'!$C282)/(365.35*24*3600)</f>
        <v>2514.2820408719112</v>
      </c>
      <c r="N282" s="2">
        <f>('L-Values'!J282*'D(Ti_Cherniak) Times'!$F282*0.000001)^2/(4*'D(Ti_Cherniak) Times'!$C282)/(365.35*24*3600)</f>
        <v>2585.3316044568214</v>
      </c>
      <c r="O282" s="2">
        <f>('L-Values'!K282*'D(Ti_Cherniak) Times'!$F282*0.000001)^2/(4*'D(Ti_Cherniak) Times'!$C282)/(365.35*24*3600)</f>
        <v>2397.2138635092469</v>
      </c>
      <c r="P282" s="2">
        <f>('L-Values'!L282*'D(Ti_Cherniak) Times'!$F282*0.000001)^2/(4*'D(Ti_Cherniak) Times'!$C282)/(365.35*24*3600)</f>
        <v>2679.8789733765993</v>
      </c>
      <c r="Q282" s="2">
        <f>('L-Values'!M282*'D(Ti_Cherniak) Times'!$F282*0.000001)^2/(4*'D(Ti_Cherniak) Times'!$C282)/(365.35*24*3600)</f>
        <v>1656.8470953054307</v>
      </c>
      <c r="R282" s="2">
        <f>('L-Values'!N282*'D(Ti_Cherniak) Times'!$F282*0.000001)^2/(4*'D(Ti_Cherniak) Times'!$C282)/(365.35*24*3600)</f>
        <v>2252.6508101066584</v>
      </c>
      <c r="S282" s="2">
        <f>('L-Values'!O282*'D(Ti_Cherniak) Times'!$F282*0.000001)^2/(4*'D(Ti_Cherniak) Times'!$C282)/(365.35*24*3600)</f>
        <v>2857.6987661185058</v>
      </c>
      <c r="T282" s="2"/>
      <c r="U282" s="2">
        <f>('L-Values'!Q282*'D(Ti_Cherniak) Times'!$F282*0.000001)^2/(4*'D(Ti_Cherniak) Times'!$C282)/(365.35*24*3600)</f>
        <v>2450.2904869236108</v>
      </c>
      <c r="V282" s="2">
        <f>('L-Values'!R282*'D(Ti_Cherniak) Times'!$F282*0.000001)^2/(4*'D(Ti_Cherniak) Times'!$C282)/(365.35*24*3600)</f>
        <v>2426.1495430339478</v>
      </c>
      <c r="W282" s="2">
        <f>('L-Values'!S282*'D(Ti_Cherniak) Times'!$F282*0.000001)^2/(4*'D(Ti_Cherniak) Times'!$C282)/(365.35*24*3600)</f>
        <v>2514.2820408719112</v>
      </c>
      <c r="X282" s="2"/>
      <c r="Y282" s="2">
        <f>('L-Values'!U282*'D(Ti_Cherniak) Times'!$F282*0.000001)^2/(4*'D(Ti_Cherniak) Times'!$C282)/(365.35*24*3600)</f>
        <v>2412.8218973660469</v>
      </c>
      <c r="Z282" s="2">
        <f>('L-Values'!V282*'D(Ti_Cherniak) Times'!$F282*0.000001)^2/(4*'D(Ti_Cherniak) Times'!$C282)/(365.35*24*3600)</f>
        <v>2419.8560979740992</v>
      </c>
      <c r="AA282" s="2">
        <f>('L-Values'!W282*'D(Ti_Cherniak) Times'!$F282*0.000001)^2/(4*'D(Ti_Cherniak) Times'!$C282)/(365.35*24*3600)</f>
        <v>1712.2162536748747</v>
      </c>
      <c r="AB282" s="2">
        <f>('L-Values'!X282*'D(Ti_Cherniak) Times'!$F282*0.000001)^2/(4*'D(Ti_Cherniak) Times'!$C282)/(365.35*24*3600)</f>
        <v>3426.7471559634237</v>
      </c>
      <c r="AC282" s="2">
        <f t="shared" si="18"/>
        <v>707.63984429922448</v>
      </c>
      <c r="AD282" s="2">
        <f t="shared" si="19"/>
        <v>1006.8910579893245</v>
      </c>
    </row>
    <row r="283" spans="1:30" x14ac:dyDescent="0.2">
      <c r="A283" t="str">
        <f>'L-Values'!A283</f>
        <v>CGI014-qtz11-CL-fit-3-offset</v>
      </c>
      <c r="B283">
        <v>750</v>
      </c>
      <c r="C283">
        <f t="shared" si="16"/>
        <v>8.0537892000481889E-22</v>
      </c>
      <c r="D283">
        <v>1500</v>
      </c>
      <c r="E283">
        <v>1024</v>
      </c>
      <c r="F283">
        <f t="shared" si="17"/>
        <v>1.46484375</v>
      </c>
      <c r="I283" s="2">
        <f>('L-Values'!E283*'D(Ti_Cherniak) Times'!$F283*0.000001)^2/(4*'D(Ti_Cherniak) Times'!$C283)/(365.35*24*3600)</f>
        <v>187.82912655962113</v>
      </c>
      <c r="J283" s="2">
        <f>('L-Values'!F283*'D(Ti_Cherniak) Times'!$F283*0.000001)^2/(4*'D(Ti_Cherniak) Times'!$C283)/(365.35*24*3600)</f>
        <v>479.56833231167792</v>
      </c>
      <c r="K283" s="2">
        <f>('L-Values'!G283*'D(Ti_Cherniak) Times'!$F283*0.000001)^2/(4*'D(Ti_Cherniak) Times'!$C283)/(365.35*24*3600)</f>
        <v>497.34839938426876</v>
      </c>
      <c r="L283" s="2">
        <f>('L-Values'!H283*'D(Ti_Cherniak) Times'!$F283*0.000001)^2/(4*'D(Ti_Cherniak) Times'!$C283)/(365.35*24*3600)</f>
        <v>237.41134385228713</v>
      </c>
      <c r="M283" s="2">
        <f>('L-Values'!I283*'D(Ti_Cherniak) Times'!$F283*0.000001)^2/(4*'D(Ti_Cherniak) Times'!$C283)/(365.35*24*3600)</f>
        <v>487.08551979162019</v>
      </c>
      <c r="N283" s="2">
        <f>('L-Values'!J283*'D(Ti_Cherniak) Times'!$F283*0.000001)^2/(4*'D(Ti_Cherniak) Times'!$C283)/(365.35*24*3600)</f>
        <v>314.56272384053312</v>
      </c>
      <c r="O283" s="2">
        <f>('L-Values'!K283*'D(Ti_Cherniak) Times'!$F283*0.000001)^2/(4*'D(Ti_Cherniak) Times'!$C283)/(365.35*24*3600)</f>
        <v>414.39094623953662</v>
      </c>
      <c r="P283" s="2">
        <f>('L-Values'!L283*'D(Ti_Cherniak) Times'!$F283*0.000001)^2/(4*'D(Ti_Cherniak) Times'!$C283)/(365.35*24*3600)</f>
        <v>314.65476758640892</v>
      </c>
      <c r="Q283" s="2">
        <f>('L-Values'!M283*'D(Ti_Cherniak) Times'!$F283*0.000001)^2/(4*'D(Ti_Cherniak) Times'!$C283)/(365.35*24*3600)</f>
        <v>419.23730622374319</v>
      </c>
      <c r="R283" s="2">
        <f>('L-Values'!N283*'D(Ti_Cherniak) Times'!$F283*0.000001)^2/(4*'D(Ti_Cherniak) Times'!$C283)/(365.35*24*3600)</f>
        <v>459.44101417896263</v>
      </c>
      <c r="S283" s="2">
        <f>('L-Values'!O283*'D(Ti_Cherniak) Times'!$F283*0.000001)^2/(4*'D(Ti_Cherniak) Times'!$C283)/(365.35*24*3600)</f>
        <v>441.86149457184473</v>
      </c>
      <c r="T283" s="2"/>
      <c r="U283" s="2">
        <f>('L-Values'!Q283*'D(Ti_Cherniak) Times'!$F283*0.000001)^2/(4*'D(Ti_Cherniak) Times'!$C283)/(365.35*24*3600)</f>
        <v>386.62380383941576</v>
      </c>
      <c r="V283" s="2">
        <f>('L-Values'!R283*'D(Ti_Cherniak) Times'!$F283*0.000001)^2/(4*'D(Ti_Cherniak) Times'!$C283)/(365.35*24*3600)</f>
        <v>378.99237349884964</v>
      </c>
      <c r="W283" s="2">
        <f>('L-Values'!S283*'D(Ti_Cherniak) Times'!$F283*0.000001)^2/(4*'D(Ti_Cherniak) Times'!$C283)/(365.35*24*3600)</f>
        <v>419.23730622374319</v>
      </c>
      <c r="X283" s="2"/>
      <c r="Y283" s="2">
        <f>('L-Values'!U283*'D(Ti_Cherniak) Times'!$F283*0.000001)^2/(4*'D(Ti_Cherniak) Times'!$C283)/(365.35*24*3600)</f>
        <v>394.2613572813612</v>
      </c>
      <c r="Z283" s="2">
        <f>('L-Values'!V283*'D(Ti_Cherniak) Times'!$F283*0.000001)^2/(4*'D(Ti_Cherniak) Times'!$C283)/(365.35*24*3600)</f>
        <v>389.70130338710345</v>
      </c>
      <c r="AA283" s="2">
        <f>('L-Values'!W283*'D(Ti_Cherniak) Times'!$F283*0.000001)^2/(4*'D(Ti_Cherniak) Times'!$C283)/(365.35*24*3600)</f>
        <v>222.87356253846764</v>
      </c>
      <c r="AB283" s="2">
        <f>('L-Values'!X283*'D(Ti_Cherniak) Times'!$F283*0.000001)^2/(4*'D(Ti_Cherniak) Times'!$C283)/(365.35*24*3600)</f>
        <v>624.3473350936797</v>
      </c>
      <c r="AC283" s="2">
        <f t="shared" si="18"/>
        <v>166.82774084863581</v>
      </c>
      <c r="AD283" s="2">
        <f t="shared" si="19"/>
        <v>234.64603170657625</v>
      </c>
    </row>
    <row r="284" spans="1:30" x14ac:dyDescent="0.2">
      <c r="A284" t="str">
        <f>'L-Values'!A284</f>
        <v>CGI014-qtz11-CL-fit-4-offset</v>
      </c>
      <c r="B284">
        <v>750</v>
      </c>
      <c r="C284">
        <f t="shared" si="16"/>
        <v>8.0537892000481889E-22</v>
      </c>
      <c r="D284">
        <v>1500</v>
      </c>
      <c r="E284">
        <v>1024</v>
      </c>
      <c r="F284">
        <f t="shared" si="17"/>
        <v>1.46484375</v>
      </c>
      <c r="I284" s="2">
        <f>('L-Values'!E284*'D(Ti_Cherniak) Times'!$F284*0.000001)^2/(4*'D(Ti_Cherniak) Times'!$C284)/(365.35*24*3600)</f>
        <v>104.51380650134344</v>
      </c>
      <c r="J284" s="2">
        <f>('L-Values'!F284*'D(Ti_Cherniak) Times'!$F284*0.000001)^2/(4*'D(Ti_Cherniak) Times'!$C284)/(365.35*24*3600)</f>
        <v>165.40037909980174</v>
      </c>
      <c r="K284" s="2">
        <f>('L-Values'!G284*'D(Ti_Cherniak) Times'!$F284*0.000001)^2/(4*'D(Ti_Cherniak) Times'!$C284)/(365.35*24*3600)</f>
        <v>126.72505621286807</v>
      </c>
      <c r="L284" s="2">
        <f>('L-Values'!H284*'D(Ti_Cherniak) Times'!$F284*0.000001)^2/(4*'D(Ti_Cherniak) Times'!$C284)/(365.35*24*3600)</f>
        <v>94.128925152799383</v>
      </c>
      <c r="M284" s="2">
        <f>('L-Values'!I284*'D(Ti_Cherniak) Times'!$F284*0.000001)^2/(4*'D(Ti_Cherniak) Times'!$C284)/(365.35*24*3600)</f>
        <v>96.246098350382297</v>
      </c>
      <c r="N284" s="2">
        <f>('L-Values'!J284*'D(Ti_Cherniak) Times'!$F284*0.000001)^2/(4*'D(Ti_Cherniak) Times'!$C284)/(365.35*24*3600)</f>
        <v>87.856008533026341</v>
      </c>
      <c r="O284" s="2">
        <f>('L-Values'!K284*'D(Ti_Cherniak) Times'!$F284*0.000001)^2/(4*'D(Ti_Cherniak) Times'!$C284)/(365.35*24*3600)</f>
        <v>85.480179097849145</v>
      </c>
      <c r="P284" s="2">
        <f>('L-Values'!L284*'D(Ti_Cherniak) Times'!$F284*0.000001)^2/(4*'D(Ti_Cherniak) Times'!$C284)/(365.35*24*3600)</f>
        <v>61.165408302188659</v>
      </c>
      <c r="Q284" s="2">
        <f>('L-Values'!M284*'D(Ti_Cherniak) Times'!$F284*0.000001)^2/(4*'D(Ti_Cherniak) Times'!$C284)/(365.35*24*3600)</f>
        <v>95.992020285849179</v>
      </c>
      <c r="R284" s="2">
        <f>('L-Values'!N284*'D(Ti_Cherniak) Times'!$F284*0.000001)^2/(4*'D(Ti_Cherniak) Times'!$C284)/(365.35*24*3600)</f>
        <v>82.233575501259892</v>
      </c>
      <c r="S284" s="2">
        <f>('L-Values'!O284*'D(Ti_Cherniak) Times'!$F284*0.000001)^2/(4*'D(Ti_Cherniak) Times'!$C284)/(365.35*24*3600)</f>
        <v>16.611353515166879</v>
      </c>
      <c r="T284" s="2"/>
      <c r="U284" s="2">
        <f>('L-Values'!Q284*'D(Ti_Cherniak) Times'!$F284*0.000001)^2/(4*'D(Ti_Cherniak) Times'!$C284)/(365.35*24*3600)</f>
        <v>87.475054357143222</v>
      </c>
      <c r="V284" s="2">
        <f>('L-Values'!R284*'D(Ti_Cherniak) Times'!$F284*0.000001)^2/(4*'D(Ti_Cherniak) Times'!$C284)/(365.35*24*3600)</f>
        <v>88.077896638548779</v>
      </c>
      <c r="W284" s="2">
        <f>('L-Values'!S284*'D(Ti_Cherniak) Times'!$F284*0.000001)^2/(4*'D(Ti_Cherniak) Times'!$C284)/(365.35*24*3600)</f>
        <v>94.128925152799383</v>
      </c>
      <c r="X284" s="2"/>
      <c r="Y284" s="2">
        <f>('L-Values'!U284*'D(Ti_Cherniak) Times'!$F284*0.000001)^2/(4*'D(Ti_Cherniak) Times'!$C284)/(365.35*24*3600)</f>
        <v>83.669075641739568</v>
      </c>
      <c r="Z284" s="2">
        <f>('L-Values'!V284*'D(Ti_Cherniak) Times'!$F284*0.000001)^2/(4*'D(Ti_Cherniak) Times'!$C284)/(365.35*24*3600)</f>
        <v>73.851716608012524</v>
      </c>
      <c r="AA284" s="2">
        <f>('L-Values'!W284*'D(Ti_Cherniak) Times'!$F284*0.000001)^2/(4*'D(Ti_Cherniak) Times'!$C284)/(365.35*24*3600)</f>
        <v>2.3942257098571944</v>
      </c>
      <c r="AB284" s="2">
        <f>('L-Values'!X284*'D(Ti_Cherniak) Times'!$F284*0.000001)^2/(4*'D(Ti_Cherniak) Times'!$C284)/(365.35*24*3600)</f>
        <v>222.93835506140198</v>
      </c>
      <c r="AC284" s="2">
        <f t="shared" si="18"/>
        <v>71.457490898155328</v>
      </c>
      <c r="AD284" s="2">
        <f t="shared" si="19"/>
        <v>149.08663845338947</v>
      </c>
    </row>
    <row r="285" spans="1:30" x14ac:dyDescent="0.2">
      <c r="A285" t="str">
        <f>'L-Values'!A285</f>
        <v>CGI014-qtz11-CL-fit-5-offset</v>
      </c>
      <c r="B285">
        <v>750</v>
      </c>
      <c r="C285">
        <f t="shared" si="16"/>
        <v>8.0537892000481889E-22</v>
      </c>
      <c r="D285">
        <v>1500</v>
      </c>
      <c r="E285">
        <v>1024</v>
      </c>
      <c r="F285">
        <f t="shared" si="17"/>
        <v>1.46484375</v>
      </c>
      <c r="I285" s="2">
        <f>('L-Values'!E285*'D(Ti_Cherniak) Times'!$F285*0.000001)^2/(4*'D(Ti_Cherniak) Times'!$C285)/(365.35*24*3600)</f>
        <v>26.835336586486378</v>
      </c>
      <c r="J285" s="2">
        <f>('L-Values'!F285*'D(Ti_Cherniak) Times'!$F285*0.000001)^2/(4*'D(Ti_Cherniak) Times'!$C285)/(365.35*24*3600)</f>
        <v>77.718538225591999</v>
      </c>
      <c r="K285" s="2">
        <f>('L-Values'!G285*'D(Ti_Cherniak) Times'!$F285*0.000001)^2/(4*'D(Ti_Cherniak) Times'!$C285)/(365.35*24*3600)</f>
        <v>63.29475970869283</v>
      </c>
      <c r="L285" s="2">
        <f>('L-Values'!H285*'D(Ti_Cherniak) Times'!$F285*0.000001)^2/(4*'D(Ti_Cherniak) Times'!$C285)/(365.35*24*3600)</f>
        <v>30.852495480779091</v>
      </c>
      <c r="M285" s="2">
        <f>('L-Values'!I285*'D(Ti_Cherniak) Times'!$F285*0.000001)^2/(4*'D(Ti_Cherniak) Times'!$C285)/(365.35*24*3600)</f>
        <v>35.952483484286127</v>
      </c>
      <c r="N285" s="2">
        <f>('L-Values'!J285*'D(Ti_Cherniak) Times'!$F285*0.000001)^2/(4*'D(Ti_Cherniak) Times'!$C285)/(365.35*24*3600)</f>
        <v>47.435521703952297</v>
      </c>
      <c r="O285" s="2">
        <f>('L-Values'!K285*'D(Ti_Cherniak) Times'!$F285*0.000001)^2/(4*'D(Ti_Cherniak) Times'!$C285)/(365.35*24*3600)</f>
        <v>1.0476634895976924</v>
      </c>
      <c r="P285" s="2">
        <f>('L-Values'!L285*'D(Ti_Cherniak) Times'!$F285*0.000001)^2/(4*'D(Ti_Cherniak) Times'!$C285)/(365.35*24*3600)</f>
        <v>15.461324114996353</v>
      </c>
      <c r="Q285" s="2">
        <f>('L-Values'!M285*'D(Ti_Cherniak) Times'!$F285*0.000001)^2/(4*'D(Ti_Cherniak) Times'!$C285)/(365.35*24*3600)</f>
        <v>31.794621916079862</v>
      </c>
      <c r="R285" s="2">
        <f>('L-Values'!N285*'D(Ti_Cherniak) Times'!$F285*0.000001)^2/(4*'D(Ti_Cherniak) Times'!$C285)/(365.35*24*3600)</f>
        <v>27.417302124211464</v>
      </c>
      <c r="S285" s="2">
        <f>('L-Values'!O285*'D(Ti_Cherniak) Times'!$F285*0.000001)^2/(4*'D(Ti_Cherniak) Times'!$C285)/(365.35*24*3600)</f>
        <v>14.440453656400237</v>
      </c>
      <c r="T285" s="2"/>
      <c r="U285" s="2">
        <f>('L-Values'!Q285*'D(Ti_Cherniak) Times'!$F285*0.000001)^2/(4*'D(Ti_Cherniak) Times'!$C285)/(365.35*24*3600)</f>
        <v>38.523740081761716</v>
      </c>
      <c r="V285" s="2">
        <f>('L-Values'!R285*'D(Ti_Cherniak) Times'!$F285*0.000001)^2/(4*'D(Ti_Cherniak) Times'!$C285)/(365.35*24*3600)</f>
        <v>29.772212052608698</v>
      </c>
      <c r="W285" s="2">
        <f>('L-Values'!S285*'D(Ti_Cherniak) Times'!$F285*0.000001)^2/(4*'D(Ti_Cherniak) Times'!$C285)/(365.35*24*3600)</f>
        <v>30.852495480779091</v>
      </c>
      <c r="X285" s="2"/>
      <c r="Y285" s="2">
        <f>('L-Values'!U285*'D(Ti_Cherniak) Times'!$F285*0.000001)^2/(4*'D(Ti_Cherniak) Times'!$C285)/(365.35*24*3600)</f>
        <v>31.391710850805339</v>
      </c>
      <c r="Z285" s="2">
        <f>('L-Values'!V285*'D(Ti_Cherniak) Times'!$F285*0.000001)^2/(4*'D(Ti_Cherniak) Times'!$C285)/(365.35*24*3600)</f>
        <v>28.494821323266848</v>
      </c>
      <c r="AA285" s="2">
        <f>('L-Values'!W285*'D(Ti_Cherniak) Times'!$F285*0.000001)^2/(4*'D(Ti_Cherniak) Times'!$C285)/(365.35*24*3600)</f>
        <v>1.1031225812102408</v>
      </c>
      <c r="AB285" s="2">
        <f>('L-Values'!X285*'D(Ti_Cherniak) Times'!$F285*0.000001)^2/(4*'D(Ti_Cherniak) Times'!$C285)/(365.35*24*3600)</f>
        <v>98.761825902393497</v>
      </c>
      <c r="AC285" s="2">
        <f t="shared" si="18"/>
        <v>27.391698742056608</v>
      </c>
      <c r="AD285" s="2">
        <f t="shared" si="19"/>
        <v>70.267004579126649</v>
      </c>
    </row>
    <row r="286" spans="1:30" x14ac:dyDescent="0.2">
      <c r="A286" t="str">
        <f>'L-Values'!A286</f>
        <v>CGI014-qtz12-CL-fit-1-offset</v>
      </c>
      <c r="B286">
        <v>750</v>
      </c>
      <c r="C286">
        <f t="shared" si="16"/>
        <v>8.0537892000481889E-22</v>
      </c>
      <c r="D286">
        <v>1650</v>
      </c>
      <c r="E286">
        <v>1024</v>
      </c>
      <c r="F286">
        <f t="shared" si="17"/>
        <v>1.611328125</v>
      </c>
      <c r="I286" s="2">
        <f>('L-Values'!E286*'D(Ti_Cherniak) Times'!$F286*0.000001)^2/(4*'D(Ti_Cherniak) Times'!$C286)/(365.35*24*3600)</f>
        <v>4337.2059730379297</v>
      </c>
      <c r="J286" s="2">
        <f>('L-Values'!F286*'D(Ti_Cherniak) Times'!$F286*0.000001)^2/(4*'D(Ti_Cherniak) Times'!$C286)/(365.35*24*3600)</f>
        <v>5328.0770781339397</v>
      </c>
      <c r="K286" s="2">
        <f>('L-Values'!G286*'D(Ti_Cherniak) Times'!$F286*0.000001)^2/(4*'D(Ti_Cherniak) Times'!$C286)/(365.35*24*3600)</f>
        <v>4258.1587917824145</v>
      </c>
      <c r="L286" s="2">
        <f>('L-Values'!H286*'D(Ti_Cherniak) Times'!$F286*0.000001)^2/(4*'D(Ti_Cherniak) Times'!$C286)/(365.35*24*3600)</f>
        <v>7993.0449606928387</v>
      </c>
      <c r="M286" s="2">
        <f>('L-Values'!I286*'D(Ti_Cherniak) Times'!$F286*0.000001)^2/(4*'D(Ti_Cherniak) Times'!$C286)/(365.35*24*3600)</f>
        <v>7331.6417026338277</v>
      </c>
      <c r="N286" s="2">
        <f>('L-Values'!J286*'D(Ti_Cherniak) Times'!$F286*0.000001)^2/(4*'D(Ti_Cherniak) Times'!$C286)/(365.35*24*3600)</f>
        <v>5255.5540876189816</v>
      </c>
      <c r="O286" s="2">
        <f>('L-Values'!K286*'D(Ti_Cherniak) Times'!$F286*0.000001)^2/(4*'D(Ti_Cherniak) Times'!$C286)/(365.35*24*3600)</f>
        <v>4928.857832415245</v>
      </c>
      <c r="P286" s="2">
        <f>('L-Values'!L286*'D(Ti_Cherniak) Times'!$F286*0.000001)^2/(4*'D(Ti_Cherniak) Times'!$C286)/(365.35*24*3600)</f>
        <v>5402.177452897784</v>
      </c>
      <c r="Q286" s="2">
        <f>('L-Values'!M286*'D(Ti_Cherniak) Times'!$F286*0.000001)^2/(4*'D(Ti_Cherniak) Times'!$C286)/(365.35*24*3600)</f>
        <v>4028.7482765571567</v>
      </c>
      <c r="R286" s="2">
        <f>('L-Values'!N286*'D(Ti_Cherniak) Times'!$F286*0.000001)^2/(4*'D(Ti_Cherniak) Times'!$C286)/(365.35*24*3600)</f>
        <v>5481.3652968031356</v>
      </c>
      <c r="S286" s="2">
        <f>('L-Values'!O286*'D(Ti_Cherniak) Times'!$F286*0.000001)^2/(4*'D(Ti_Cherniak) Times'!$C286)/(365.35*24*3600)</f>
        <v>6549.9529707820138</v>
      </c>
      <c r="T286" s="2"/>
      <c r="U286" s="2">
        <f>('L-Values'!Q286*'D(Ti_Cherniak) Times'!$F286*0.000001)^2/(4*'D(Ti_Cherniak) Times'!$C286)/(365.35*24*3600)</f>
        <v>5434.6268981042804</v>
      </c>
      <c r="V286" s="2">
        <f>('L-Values'!R286*'D(Ti_Cherniak) Times'!$F286*0.000001)^2/(4*'D(Ti_Cherniak) Times'!$C286)/(365.35*24*3600)</f>
        <v>5472.9802424325153</v>
      </c>
      <c r="W286" s="2">
        <f>('L-Values'!S286*'D(Ti_Cherniak) Times'!$F286*0.000001)^2/(4*'D(Ti_Cherniak) Times'!$C286)/(365.35*24*3600)</f>
        <v>5328.0770781339397</v>
      </c>
      <c r="X286" s="2"/>
      <c r="Y286" s="2">
        <f>('L-Values'!U286*'D(Ti_Cherniak) Times'!$F286*0.000001)^2/(4*'D(Ti_Cherniak) Times'!$C286)/(365.35*24*3600)</f>
        <v>5430.9733549733173</v>
      </c>
      <c r="Z286" s="2">
        <f>('L-Values'!V286*'D(Ti_Cherniak) Times'!$F286*0.000001)^2/(4*'D(Ti_Cherniak) Times'!$C286)/(365.35*24*3600)</f>
        <v>5465.5844512536351</v>
      </c>
      <c r="AA286" s="2">
        <f>('L-Values'!W286*'D(Ti_Cherniak) Times'!$F286*0.000001)^2/(4*'D(Ti_Cherniak) Times'!$C286)/(365.35*24*3600)</f>
        <v>3615.5710036046548</v>
      </c>
      <c r="AB286" s="2">
        <f>('L-Values'!X286*'D(Ti_Cherniak) Times'!$F286*0.000001)^2/(4*'D(Ti_Cherniak) Times'!$C286)/(365.35*24*3600)</f>
        <v>8409.7312442490547</v>
      </c>
      <c r="AC286" s="2">
        <f t="shared" si="18"/>
        <v>1850.0134476489802</v>
      </c>
      <c r="AD286" s="2">
        <f t="shared" si="19"/>
        <v>2944.1467929954197</v>
      </c>
    </row>
    <row r="287" spans="1:30" x14ac:dyDescent="0.2">
      <c r="A287" t="str">
        <f>'L-Values'!A287</f>
        <v>CGI014-qtz12-CL-fit-2-offset</v>
      </c>
      <c r="B287">
        <v>750</v>
      </c>
      <c r="C287">
        <f t="shared" si="16"/>
        <v>8.0537892000481889E-22</v>
      </c>
      <c r="D287">
        <v>1650</v>
      </c>
      <c r="E287">
        <v>1024</v>
      </c>
      <c r="F287">
        <f t="shared" si="17"/>
        <v>1.611328125</v>
      </c>
      <c r="I287" s="2">
        <f>('L-Values'!E287*'D(Ti_Cherniak) Times'!$F287*0.000001)^2/(4*'D(Ti_Cherniak) Times'!$C287)/(365.35*24*3600)</f>
        <v>1145.8475144430699</v>
      </c>
      <c r="J287" s="2">
        <f>('L-Values'!F287*'D(Ti_Cherniak) Times'!$F287*0.000001)^2/(4*'D(Ti_Cherniak) Times'!$C287)/(365.35*24*3600)</f>
        <v>1772.2301417999859</v>
      </c>
      <c r="K287" s="2">
        <f>('L-Values'!G287*'D(Ti_Cherniak) Times'!$F287*0.000001)^2/(4*'D(Ti_Cherniak) Times'!$C287)/(365.35*24*3600)</f>
        <v>1232.0326098012856</v>
      </c>
      <c r="L287" s="2">
        <f>('L-Values'!H287*'D(Ti_Cherniak) Times'!$F287*0.000001)^2/(4*'D(Ti_Cherniak) Times'!$C287)/(365.35*24*3600)</f>
        <v>0</v>
      </c>
      <c r="M287" s="2">
        <f>('L-Values'!I287*'D(Ti_Cherniak) Times'!$F287*0.000001)^2/(4*'D(Ti_Cherniak) Times'!$C287)/(365.35*24*3600)</f>
        <v>1483.1189631448688</v>
      </c>
      <c r="N287" s="2">
        <f>('L-Values'!J287*'D(Ti_Cherniak) Times'!$F287*0.000001)^2/(4*'D(Ti_Cherniak) Times'!$C287)/(365.35*24*3600)</f>
        <v>1005.2205283348543</v>
      </c>
      <c r="O287" s="2">
        <f>('L-Values'!K287*'D(Ti_Cherniak) Times'!$F287*0.000001)^2/(4*'D(Ti_Cherniak) Times'!$C287)/(365.35*24*3600)</f>
        <v>1822.4827872689798</v>
      </c>
      <c r="P287" s="2">
        <f>('L-Values'!L287*'D(Ti_Cherniak) Times'!$F287*0.000001)^2/(4*'D(Ti_Cherniak) Times'!$C287)/(365.35*24*3600)</f>
        <v>0</v>
      </c>
      <c r="Q287" s="2">
        <f>('L-Values'!M287*'D(Ti_Cherniak) Times'!$F287*0.000001)^2/(4*'D(Ti_Cherniak) Times'!$C287)/(365.35*24*3600)</f>
        <v>462.26830993306714</v>
      </c>
      <c r="R287" s="2">
        <f>('L-Values'!N287*'D(Ti_Cherniak) Times'!$F287*0.000001)^2/(4*'D(Ti_Cherniak) Times'!$C287)/(365.35*24*3600)</f>
        <v>0</v>
      </c>
      <c r="S287" s="2">
        <f>('L-Values'!O287*'D(Ti_Cherniak) Times'!$F287*0.000001)^2/(4*'D(Ti_Cherniak) Times'!$C287)/(365.35*24*3600)</f>
        <v>669.77754743332491</v>
      </c>
      <c r="T287" s="2"/>
      <c r="U287" s="2">
        <f>('L-Values'!Q287*'D(Ti_Cherniak) Times'!$F287*0.000001)^2/(4*'D(Ti_Cherniak) Times'!$C287)/(365.35*24*3600)</f>
        <v>1191.2656212297675</v>
      </c>
      <c r="V287" s="2">
        <f>('L-Values'!R287*'D(Ti_Cherniak) Times'!$F287*0.000001)^2/(4*'D(Ti_Cherniak) Times'!$C287)/(365.35*24*3600)</f>
        <v>1150.3636130440705</v>
      </c>
      <c r="W287" s="2">
        <f>('L-Values'!S287*'D(Ti_Cherniak) Times'!$F287*0.000001)^2/(4*'D(Ti_Cherniak) Times'!$C287)/(365.35*24*3600)</f>
        <v>1188.5494667541645</v>
      </c>
      <c r="X287" s="2"/>
      <c r="Y287" s="2">
        <f>('L-Values'!U287*'D(Ti_Cherniak) Times'!$F287*0.000001)^2/(4*'D(Ti_Cherniak) Times'!$C287)/(365.35*24*3600)</f>
        <v>1121.4986853123476</v>
      </c>
      <c r="Z287" s="2">
        <f>('L-Values'!V287*'D(Ti_Cherniak) Times'!$F287*0.000001)^2/(4*'D(Ti_Cherniak) Times'!$C287)/(365.35*24*3600)</f>
        <v>1157.6032409022405</v>
      </c>
      <c r="AA287" s="2">
        <f>('L-Values'!W287*'D(Ti_Cherniak) Times'!$F287*0.000001)^2/(4*'D(Ti_Cherniak) Times'!$C287)/(365.35*24*3600)</f>
        <v>357.57446339906375</v>
      </c>
      <c r="AB287" s="2">
        <f>('L-Values'!X287*'D(Ti_Cherniak) Times'!$F287*0.000001)^2/(4*'D(Ti_Cherniak) Times'!$C287)/(365.35*24*3600)</f>
        <v>2643.9280111823778</v>
      </c>
      <c r="AC287" s="2">
        <f t="shared" si="18"/>
        <v>800.0287775031768</v>
      </c>
      <c r="AD287" s="2">
        <f t="shared" si="19"/>
        <v>1486.3247702801373</v>
      </c>
    </row>
    <row r="288" spans="1:30" x14ac:dyDescent="0.2">
      <c r="A288" t="str">
        <f>'L-Values'!A288</f>
        <v>CGI014-qtz12-CL-fit-3-offset</v>
      </c>
      <c r="B288">
        <v>750</v>
      </c>
      <c r="C288">
        <f t="shared" si="16"/>
        <v>8.0537892000481889E-22</v>
      </c>
      <c r="D288">
        <v>1650</v>
      </c>
      <c r="E288">
        <v>1024</v>
      </c>
      <c r="F288">
        <f t="shared" si="17"/>
        <v>1.611328125</v>
      </c>
      <c r="I288" s="2">
        <f>('L-Values'!E288*'D(Ti_Cherniak) Times'!$F288*0.000001)^2/(4*'D(Ti_Cherniak) Times'!$C288)/(365.35*24*3600)</f>
        <v>137.56560654868559</v>
      </c>
      <c r="J288" s="2">
        <f>('L-Values'!F288*'D(Ti_Cherniak) Times'!$F288*0.000001)^2/(4*'D(Ti_Cherniak) Times'!$C288)/(365.35*24*3600)</f>
        <v>310.61382894883525</v>
      </c>
      <c r="K288" s="2">
        <f>('L-Values'!G288*'D(Ti_Cherniak) Times'!$F288*0.000001)^2/(4*'D(Ti_Cherniak) Times'!$C288)/(365.35*24*3600)</f>
        <v>334.64374368978076</v>
      </c>
      <c r="L288" s="2">
        <f>('L-Values'!H288*'D(Ti_Cherniak) Times'!$F288*0.000001)^2/(4*'D(Ti_Cherniak) Times'!$C288)/(365.35*24*3600)</f>
        <v>338.05748828055454</v>
      </c>
      <c r="M288" s="2">
        <f>('L-Values'!I288*'D(Ti_Cherniak) Times'!$F288*0.000001)^2/(4*'D(Ti_Cherniak) Times'!$C288)/(365.35*24*3600)</f>
        <v>421.55938689096968</v>
      </c>
      <c r="N288" s="2">
        <f>('L-Values'!J288*'D(Ti_Cherniak) Times'!$F288*0.000001)^2/(4*'D(Ti_Cherniak) Times'!$C288)/(365.35*24*3600)</f>
        <v>372.48153850724378</v>
      </c>
      <c r="O288" s="2">
        <f>('L-Values'!K288*'D(Ti_Cherniak) Times'!$F288*0.000001)^2/(4*'D(Ti_Cherniak) Times'!$C288)/(365.35*24*3600)</f>
        <v>224.62571134986729</v>
      </c>
      <c r="P288" s="2">
        <f>('L-Values'!L288*'D(Ti_Cherniak) Times'!$F288*0.000001)^2/(4*'D(Ti_Cherniak) Times'!$C288)/(365.35*24*3600)</f>
        <v>644.80284013962194</v>
      </c>
      <c r="Q288" s="2">
        <f>('L-Values'!M288*'D(Ti_Cherniak) Times'!$F288*0.000001)^2/(4*'D(Ti_Cherniak) Times'!$C288)/(365.35*24*3600)</f>
        <v>744.00089365172562</v>
      </c>
      <c r="R288" s="2">
        <f>('L-Values'!N288*'D(Ti_Cherniak) Times'!$F288*0.000001)^2/(4*'D(Ti_Cherniak) Times'!$C288)/(365.35*24*3600)</f>
        <v>793.68682644803732</v>
      </c>
      <c r="S288" s="2">
        <f>('L-Values'!O288*'D(Ti_Cherniak) Times'!$F288*0.000001)^2/(4*'D(Ti_Cherniak) Times'!$C288)/(365.35*24*3600)</f>
        <v>701.73637164068066</v>
      </c>
      <c r="T288" s="2"/>
      <c r="U288" s="2">
        <f>('L-Values'!Q288*'D(Ti_Cherniak) Times'!$F288*0.000001)^2/(4*'D(Ti_Cherniak) Times'!$C288)/(365.35*24*3600)</f>
        <v>420.38079828206787</v>
      </c>
      <c r="V288" s="2">
        <f>('L-Values'!R288*'D(Ti_Cherniak) Times'!$F288*0.000001)^2/(4*'D(Ti_Cherniak) Times'!$C288)/(365.35*24*3600)</f>
        <v>430.31353780620702</v>
      </c>
      <c r="W288" s="2">
        <f>('L-Values'!S288*'D(Ti_Cherniak) Times'!$F288*0.000001)^2/(4*'D(Ti_Cherniak) Times'!$C288)/(365.35*24*3600)</f>
        <v>372.48153850724378</v>
      </c>
      <c r="X288" s="2"/>
      <c r="Y288" s="2">
        <f>('L-Values'!U288*'D(Ti_Cherniak) Times'!$F288*0.000001)^2/(4*'D(Ti_Cherniak) Times'!$C288)/(365.35*24*3600)</f>
        <v>435.05967477280984</v>
      </c>
      <c r="Z288" s="2">
        <f>('L-Values'!V288*'D(Ti_Cherniak) Times'!$F288*0.000001)^2/(4*'D(Ti_Cherniak) Times'!$C288)/(365.35*24*3600)</f>
        <v>440.18167093208223</v>
      </c>
      <c r="AA288" s="2">
        <f>('L-Values'!W288*'D(Ti_Cherniak) Times'!$F288*0.000001)^2/(4*'D(Ti_Cherniak) Times'!$C288)/(365.35*24*3600)</f>
        <v>204.09556551166236</v>
      </c>
      <c r="AB288" s="2">
        <f>('L-Values'!X288*'D(Ti_Cherniak) Times'!$F288*0.000001)^2/(4*'D(Ti_Cherniak) Times'!$C288)/(365.35*24*3600)</f>
        <v>804.116141671891</v>
      </c>
      <c r="AC288" s="2">
        <f t="shared" si="18"/>
        <v>236.08610542041987</v>
      </c>
      <c r="AD288" s="2">
        <f t="shared" si="19"/>
        <v>363.93447073980877</v>
      </c>
    </row>
    <row r="289" spans="1:30" x14ac:dyDescent="0.2">
      <c r="A289" t="str">
        <f>'L-Values'!A289</f>
        <v>CGI015-qtz01-CL-fit-1-offset</v>
      </c>
      <c r="B289">
        <v>750</v>
      </c>
      <c r="C289">
        <f t="shared" si="16"/>
        <v>8.0537892000481889E-22</v>
      </c>
      <c r="D289">
        <v>1800</v>
      </c>
      <c r="E289">
        <v>1024</v>
      </c>
      <c r="F289">
        <f t="shared" si="17"/>
        <v>1.7578125</v>
      </c>
      <c r="I289" s="2">
        <f>('L-Values'!E289*'D(Ti_Cherniak) Times'!$F289*0.000001)^2/(4*'D(Ti_Cherniak) Times'!$C289)/(365.35*24*3600)</f>
        <v>186.1271714343207</v>
      </c>
      <c r="J289" s="2">
        <f>('L-Values'!F289*'D(Ti_Cherniak) Times'!$F289*0.000001)^2/(4*'D(Ti_Cherniak) Times'!$C289)/(365.35*24*3600)</f>
        <v>1129.6107506395635</v>
      </c>
      <c r="K289" s="2">
        <f>('L-Values'!G289*'D(Ti_Cherniak) Times'!$F289*0.000001)^2/(4*'D(Ti_Cherniak) Times'!$C289)/(365.35*24*3600)</f>
        <v>317.54155653053169</v>
      </c>
      <c r="L289" s="2">
        <f>('L-Values'!H289*'D(Ti_Cherniak) Times'!$F289*0.000001)^2/(4*'D(Ti_Cherniak) Times'!$C289)/(365.35*24*3600)</f>
        <v>914.67437180383388</v>
      </c>
      <c r="M289" s="2">
        <f>('L-Values'!I289*'D(Ti_Cherniak) Times'!$F289*0.000001)^2/(4*'D(Ti_Cherniak) Times'!$C289)/(365.35*24*3600)</f>
        <v>1726.8576645201786</v>
      </c>
      <c r="N289" s="2">
        <f>('L-Values'!J289*'D(Ti_Cherniak) Times'!$F289*0.000001)^2/(4*'D(Ti_Cherniak) Times'!$C289)/(365.35*24*3600)</f>
        <v>106.91564412007678</v>
      </c>
      <c r="O289" s="2">
        <f>('L-Values'!K289*'D(Ti_Cherniak) Times'!$F289*0.000001)^2/(4*'D(Ti_Cherniak) Times'!$C289)/(365.35*24*3600)</f>
        <v>398.65597586989435</v>
      </c>
      <c r="P289" s="2">
        <f>('L-Values'!L289*'D(Ti_Cherniak) Times'!$F289*0.000001)^2/(4*'D(Ti_Cherniak) Times'!$C289)/(365.35*24*3600)</f>
        <v>318.87019082665876</v>
      </c>
      <c r="Q289" s="2">
        <f>('L-Values'!M289*'D(Ti_Cherniak) Times'!$F289*0.000001)^2/(4*'D(Ti_Cherniak) Times'!$C289)/(365.35*24*3600)</f>
        <v>224.5697630559545</v>
      </c>
      <c r="R289" s="2">
        <f>('L-Values'!N289*'D(Ti_Cherniak) Times'!$F289*0.000001)^2/(4*'D(Ti_Cherniak) Times'!$C289)/(365.35*24*3600)</f>
        <v>379.19385951772369</v>
      </c>
      <c r="S289" s="2">
        <f>('L-Values'!O289*'D(Ti_Cherniak) Times'!$F289*0.000001)^2/(4*'D(Ti_Cherniak) Times'!$C289)/(365.35*24*3600)</f>
        <v>16.090782990627915</v>
      </c>
      <c r="T289" s="2"/>
      <c r="U289" s="2">
        <f>('L-Values'!Q289*'D(Ti_Cherniak) Times'!$F289*0.000001)^2/(4*'D(Ti_Cherniak) Times'!$C289)/(365.35*24*3600)</f>
        <v>420.93209879767818</v>
      </c>
      <c r="V289" s="2">
        <f>('L-Values'!R289*'D(Ti_Cherniak) Times'!$F289*0.000001)^2/(4*'D(Ti_Cherniak) Times'!$C289)/(365.35*24*3600)</f>
        <v>412.84505046106074</v>
      </c>
      <c r="W289" s="2">
        <f>('L-Values'!S289*'D(Ti_Cherniak) Times'!$F289*0.000001)^2/(4*'D(Ti_Cherniak) Times'!$C289)/(365.35*24*3600)</f>
        <v>318.87019082665876</v>
      </c>
      <c r="X289" s="2"/>
      <c r="Y289" s="2">
        <f>('L-Values'!U289*'D(Ti_Cherniak) Times'!$F289*0.000001)^2/(4*'D(Ti_Cherniak) Times'!$C289)/(365.35*24*3600)</f>
        <v>401.47654907498287</v>
      </c>
      <c r="Z289" s="2">
        <f>('L-Values'!V289*'D(Ti_Cherniak) Times'!$F289*0.000001)^2/(4*'D(Ti_Cherniak) Times'!$C289)/(365.35*24*3600)</f>
        <v>415.80321623687325</v>
      </c>
      <c r="AA289" s="2">
        <f>('L-Values'!W289*'D(Ti_Cherniak) Times'!$F289*0.000001)^2/(4*'D(Ti_Cherniak) Times'!$C289)/(365.35*24*3600)</f>
        <v>21.53199665157209</v>
      </c>
      <c r="AB289" s="2">
        <f>('L-Values'!X289*'D(Ti_Cherniak) Times'!$F289*0.000001)^2/(4*'D(Ti_Cherniak) Times'!$C289)/(365.35*24*3600)</f>
        <v>1585.3348829414838</v>
      </c>
      <c r="AC289" s="2">
        <f t="shared" si="18"/>
        <v>394.27121958530114</v>
      </c>
      <c r="AD289" s="2">
        <f t="shared" si="19"/>
        <v>1169.5316667046104</v>
      </c>
    </row>
    <row r="290" spans="1:30" x14ac:dyDescent="0.2">
      <c r="A290" t="str">
        <f>'L-Values'!A290</f>
        <v>CGI015-qtz01-CL-fit-2-offset</v>
      </c>
      <c r="B290">
        <v>750</v>
      </c>
      <c r="C290">
        <f t="shared" si="16"/>
        <v>8.0537892000481889E-22</v>
      </c>
      <c r="D290">
        <v>1800</v>
      </c>
      <c r="E290">
        <v>1024</v>
      </c>
      <c r="F290">
        <f t="shared" si="17"/>
        <v>1.7578125</v>
      </c>
      <c r="I290" s="2">
        <f>('L-Values'!E290*'D(Ti_Cherniak) Times'!$F290*0.000001)^2/(4*'D(Ti_Cherniak) Times'!$C290)/(365.35*24*3600)</f>
        <v>378.11392734025856</v>
      </c>
      <c r="J290" s="2">
        <f>('L-Values'!F290*'D(Ti_Cherniak) Times'!$F290*0.000001)^2/(4*'D(Ti_Cherniak) Times'!$C290)/(365.35*24*3600)</f>
        <v>274.20941551144955</v>
      </c>
      <c r="K290" s="2">
        <f>('L-Values'!G290*'D(Ti_Cherniak) Times'!$F290*0.000001)^2/(4*'D(Ti_Cherniak) Times'!$C290)/(365.35*24*3600)</f>
        <v>313.33238902190959</v>
      </c>
      <c r="L290" s="2">
        <f>('L-Values'!H290*'D(Ti_Cherniak) Times'!$F290*0.000001)^2/(4*'D(Ti_Cherniak) Times'!$C290)/(365.35*24*3600)</f>
        <v>283.57812063908</v>
      </c>
      <c r="M290" s="2">
        <f>('L-Values'!I290*'D(Ti_Cherniak) Times'!$F290*0.000001)^2/(4*'D(Ti_Cherniak) Times'!$C290)/(365.35*24*3600)</f>
        <v>275.19609355359307</v>
      </c>
      <c r="N290" s="2">
        <f>('L-Values'!J290*'D(Ti_Cherniak) Times'!$F290*0.000001)^2/(4*'D(Ti_Cherniak) Times'!$C290)/(365.35*24*3600)</f>
        <v>340.70290370119318</v>
      </c>
      <c r="O290" s="2">
        <f>('L-Values'!K290*'D(Ti_Cherniak) Times'!$F290*0.000001)^2/(4*'D(Ti_Cherniak) Times'!$C290)/(365.35*24*3600)</f>
        <v>342.57805788536314</v>
      </c>
      <c r="P290" s="2">
        <f>('L-Values'!L290*'D(Ti_Cherniak) Times'!$F290*0.000001)^2/(4*'D(Ti_Cherniak) Times'!$C290)/(365.35*24*3600)</f>
        <v>272.83264998525959</v>
      </c>
      <c r="Q290" s="2">
        <f>('L-Values'!M290*'D(Ti_Cherniak) Times'!$F290*0.000001)^2/(4*'D(Ti_Cherniak) Times'!$C290)/(365.35*24*3600)</f>
        <v>305.95175769978249</v>
      </c>
      <c r="R290" s="2">
        <f>('L-Values'!N290*'D(Ti_Cherniak) Times'!$F290*0.000001)^2/(4*'D(Ti_Cherniak) Times'!$C290)/(365.35*24*3600)</f>
        <v>507.1013753450992</v>
      </c>
      <c r="S290" s="2">
        <f>('L-Values'!O290*'D(Ti_Cherniak) Times'!$F290*0.000001)^2/(4*'D(Ti_Cherniak) Times'!$C290)/(365.35*24*3600)</f>
        <v>492.43162236999689</v>
      </c>
      <c r="T290" s="2"/>
      <c r="U290" s="2">
        <f>('L-Values'!Q290*'D(Ti_Cherniak) Times'!$F290*0.000001)^2/(4*'D(Ti_Cherniak) Times'!$C290)/(365.35*24*3600)</f>
        <v>338.8023496301422</v>
      </c>
      <c r="V290" s="2">
        <f>('L-Values'!R290*'D(Ti_Cherniak) Times'!$F290*0.000001)^2/(4*'D(Ti_Cherniak) Times'!$C290)/(365.35*24*3600)</f>
        <v>339.96745718990263</v>
      </c>
      <c r="W290" s="2">
        <f>('L-Values'!S290*'D(Ti_Cherniak) Times'!$F290*0.000001)^2/(4*'D(Ti_Cherniak) Times'!$C290)/(365.35*24*3600)</f>
        <v>313.33238902190959</v>
      </c>
      <c r="X290" s="2"/>
      <c r="Y290" s="2">
        <f>('L-Values'!U290*'D(Ti_Cherniak) Times'!$F290*0.000001)^2/(4*'D(Ti_Cherniak) Times'!$C290)/(365.35*24*3600)</f>
        <v>334.56276929647993</v>
      </c>
      <c r="Z290" s="2">
        <f>('L-Values'!V290*'D(Ti_Cherniak) Times'!$F290*0.000001)^2/(4*'D(Ti_Cherniak) Times'!$C290)/(365.35*24*3600)</f>
        <v>333.51308849275915</v>
      </c>
      <c r="AA290" s="2">
        <f>('L-Values'!W290*'D(Ti_Cherniak) Times'!$F290*0.000001)^2/(4*'D(Ti_Cherniak) Times'!$C290)/(365.35*24*3600)</f>
        <v>100.73410901261052</v>
      </c>
      <c r="AB290" s="2">
        <f>('L-Values'!X290*'D(Ti_Cherniak) Times'!$F290*0.000001)^2/(4*'D(Ti_Cherniak) Times'!$C290)/(365.35*24*3600)</f>
        <v>669.57564032980611</v>
      </c>
      <c r="AC290" s="2">
        <f t="shared" si="18"/>
        <v>232.77897948014862</v>
      </c>
      <c r="AD290" s="2">
        <f t="shared" si="19"/>
        <v>336.06255183704695</v>
      </c>
    </row>
    <row r="291" spans="1:30" x14ac:dyDescent="0.2">
      <c r="A291" t="str">
        <f>'L-Values'!A291</f>
        <v>CGI015-qtz01-CL-fit-3-offset</v>
      </c>
      <c r="B291">
        <v>750</v>
      </c>
      <c r="C291">
        <f t="shared" si="16"/>
        <v>8.0537892000481889E-22</v>
      </c>
      <c r="D291">
        <v>1800</v>
      </c>
      <c r="E291">
        <v>1024</v>
      </c>
      <c r="F291">
        <f t="shared" si="17"/>
        <v>1.7578125</v>
      </c>
      <c r="I291" s="2">
        <f>('L-Values'!E291*'D(Ti_Cherniak) Times'!$F291*0.000001)^2/(4*'D(Ti_Cherniak) Times'!$C291)/(365.35*24*3600)</f>
        <v>446.19382613430145</v>
      </c>
      <c r="J291" s="2">
        <f>('L-Values'!F291*'D(Ti_Cherniak) Times'!$F291*0.000001)^2/(4*'D(Ti_Cherniak) Times'!$C291)/(365.35*24*3600)</f>
        <v>413.53189797302991</v>
      </c>
      <c r="K291" s="2">
        <f>('L-Values'!G291*'D(Ti_Cherniak) Times'!$F291*0.000001)^2/(4*'D(Ti_Cherniak) Times'!$C291)/(365.35*24*3600)</f>
        <v>474.5957492180421</v>
      </c>
      <c r="L291" s="2">
        <f>('L-Values'!H291*'D(Ti_Cherniak) Times'!$F291*0.000001)^2/(4*'D(Ti_Cherniak) Times'!$C291)/(365.35*24*3600)</f>
        <v>244.88633549225699</v>
      </c>
      <c r="M291" s="2">
        <f>('L-Values'!I291*'D(Ti_Cherniak) Times'!$F291*0.000001)^2/(4*'D(Ti_Cherniak) Times'!$C291)/(365.35*24*3600)</f>
        <v>466.07805471395096</v>
      </c>
      <c r="N291" s="2">
        <f>('L-Values'!J291*'D(Ti_Cherniak) Times'!$F291*0.000001)^2/(4*'D(Ti_Cherniak) Times'!$C291)/(365.35*24*3600)</f>
        <v>608.84741578515309</v>
      </c>
      <c r="O291" s="2">
        <f>('L-Values'!K291*'D(Ti_Cherniak) Times'!$F291*0.000001)^2/(4*'D(Ti_Cherniak) Times'!$C291)/(365.35*24*3600)</f>
        <v>649.88702228660975</v>
      </c>
      <c r="P291" s="2">
        <f>('L-Values'!L291*'D(Ti_Cherniak) Times'!$F291*0.000001)^2/(4*'D(Ti_Cherniak) Times'!$C291)/(365.35*24*3600)</f>
        <v>752.68904253099515</v>
      </c>
      <c r="Q291" s="2">
        <f>('L-Values'!M291*'D(Ti_Cherniak) Times'!$F291*0.000001)^2/(4*'D(Ti_Cherniak) Times'!$C291)/(365.35*24*3600)</f>
        <v>488.74919392880491</v>
      </c>
      <c r="R291" s="2">
        <f>('L-Values'!N291*'D(Ti_Cherniak) Times'!$F291*0.000001)^2/(4*'D(Ti_Cherniak) Times'!$C291)/(365.35*24*3600)</f>
        <v>396.4549650056212</v>
      </c>
      <c r="S291" s="2">
        <f>('L-Values'!O291*'D(Ti_Cherniak) Times'!$F291*0.000001)^2/(4*'D(Ti_Cherniak) Times'!$C291)/(365.35*24*3600)</f>
        <v>549.86338925613029</v>
      </c>
      <c r="T291" s="2"/>
      <c r="U291" s="2">
        <f>('L-Values'!Q291*'D(Ti_Cherniak) Times'!$F291*0.000001)^2/(4*'D(Ti_Cherniak) Times'!$C291)/(365.35*24*3600)</f>
        <v>482.0489852020832</v>
      </c>
      <c r="V291" s="2">
        <f>('L-Values'!R291*'D(Ti_Cherniak) Times'!$F291*0.000001)^2/(4*'D(Ti_Cherniak) Times'!$C291)/(365.35*24*3600)</f>
        <v>490.23031577627279</v>
      </c>
      <c r="W291" s="2">
        <f>('L-Values'!S291*'D(Ti_Cherniak) Times'!$F291*0.000001)^2/(4*'D(Ti_Cherniak) Times'!$C291)/(365.35*24*3600)</f>
        <v>474.5957492180421</v>
      </c>
      <c r="X291" s="2"/>
      <c r="Y291" s="2">
        <f>('L-Values'!U291*'D(Ti_Cherniak) Times'!$F291*0.000001)^2/(4*'D(Ti_Cherniak) Times'!$C291)/(365.35*24*3600)</f>
        <v>479.37768852454843</v>
      </c>
      <c r="Z291" s="2">
        <f>('L-Values'!V291*'D(Ti_Cherniak) Times'!$F291*0.000001)^2/(4*'D(Ti_Cherniak) Times'!$C291)/(365.35*24*3600)</f>
        <v>482.28610207792269</v>
      </c>
      <c r="AA291" s="2">
        <f>('L-Values'!W291*'D(Ti_Cherniak) Times'!$F291*0.000001)^2/(4*'D(Ti_Cherniak) Times'!$C291)/(365.35*24*3600)</f>
        <v>253.63781181220642</v>
      </c>
      <c r="AB291" s="2">
        <f>('L-Values'!X291*'D(Ti_Cherniak) Times'!$F291*0.000001)^2/(4*'D(Ti_Cherniak) Times'!$C291)/(365.35*24*3600)</f>
        <v>811.47218922724096</v>
      </c>
      <c r="AC291" s="2">
        <f t="shared" si="18"/>
        <v>228.64829026571627</v>
      </c>
      <c r="AD291" s="2">
        <f t="shared" si="19"/>
        <v>329.18608714931827</v>
      </c>
    </row>
    <row r="292" spans="1:30" x14ac:dyDescent="0.2">
      <c r="A292" t="str">
        <f>'L-Values'!A292</f>
        <v>CGI015-qtz01-CL-fit-4-offset</v>
      </c>
      <c r="B292">
        <v>750</v>
      </c>
      <c r="C292">
        <f t="shared" si="16"/>
        <v>8.0537892000481889E-22</v>
      </c>
      <c r="D292">
        <v>1800</v>
      </c>
      <c r="E292">
        <v>1024</v>
      </c>
      <c r="F292">
        <f t="shared" si="17"/>
        <v>1.7578125</v>
      </c>
      <c r="I292" s="2">
        <f>('L-Values'!E292*'D(Ti_Cherniak) Times'!$F292*0.000001)^2/(4*'D(Ti_Cherniak) Times'!$C292)/(365.35*24*3600)</f>
        <v>272.14510767178064</v>
      </c>
      <c r="J292" s="2">
        <f>('L-Values'!F292*'D(Ti_Cherniak) Times'!$F292*0.000001)^2/(4*'D(Ti_Cherniak) Times'!$C292)/(365.35*24*3600)</f>
        <v>226.57686818883275</v>
      </c>
      <c r="K292" s="2">
        <f>('L-Values'!G292*'D(Ti_Cherniak) Times'!$F292*0.000001)^2/(4*'D(Ti_Cherniak) Times'!$C292)/(365.35*24*3600)</f>
        <v>289.45413816414788</v>
      </c>
      <c r="L292" s="2">
        <f>('L-Values'!H292*'D(Ti_Cherniak) Times'!$F292*0.000001)^2/(4*'D(Ti_Cherniak) Times'!$C292)/(365.35*24*3600)</f>
        <v>127.73445899907448</v>
      </c>
      <c r="M292" s="2">
        <f>('L-Values'!I292*'D(Ti_Cherniak) Times'!$F292*0.000001)^2/(4*'D(Ti_Cherniak) Times'!$C292)/(365.35*24*3600)</f>
        <v>162.19611267017174</v>
      </c>
      <c r="N292" s="2">
        <f>('L-Values'!J292*'D(Ti_Cherniak) Times'!$F292*0.000001)^2/(4*'D(Ti_Cherniak) Times'!$C292)/(365.35*24*3600)</f>
        <v>243.61576266744265</v>
      </c>
      <c r="O292" s="2">
        <f>('L-Values'!K292*'D(Ti_Cherniak) Times'!$F292*0.000001)^2/(4*'D(Ti_Cherniak) Times'!$C292)/(365.35*24*3600)</f>
        <v>183.7018031216885</v>
      </c>
      <c r="P292" s="2">
        <f>('L-Values'!L292*'D(Ti_Cherniak) Times'!$F292*0.000001)^2/(4*'D(Ti_Cherniak) Times'!$C292)/(365.35*24*3600)</f>
        <v>265.45664359391259</v>
      </c>
      <c r="Q292" s="2">
        <f>('L-Values'!M292*'D(Ti_Cherniak) Times'!$F292*0.000001)^2/(4*'D(Ti_Cherniak) Times'!$C292)/(365.35*24*3600)</f>
        <v>217.22098282901797</v>
      </c>
      <c r="R292" s="2">
        <f>('L-Values'!N292*'D(Ti_Cherniak) Times'!$F292*0.000001)^2/(4*'D(Ti_Cherniak) Times'!$C292)/(365.35*24*3600)</f>
        <v>153.55812968162164</v>
      </c>
      <c r="S292" s="2">
        <f>('L-Values'!O292*'D(Ti_Cherniak) Times'!$F292*0.000001)^2/(4*'D(Ti_Cherniak) Times'!$C292)/(365.35*24*3600)</f>
        <v>95.813886353094489</v>
      </c>
      <c r="T292" s="2"/>
      <c r="U292" s="2">
        <f>('L-Values'!Q292*'D(Ti_Cherniak) Times'!$F292*0.000001)^2/(4*'D(Ti_Cherniak) Times'!$C292)/(365.35*24*3600)</f>
        <v>197.1447530980102</v>
      </c>
      <c r="V292" s="2">
        <f>('L-Values'!R292*'D(Ti_Cherniak) Times'!$F292*0.000001)^2/(4*'D(Ti_Cherniak) Times'!$C292)/(365.35*24*3600)</f>
        <v>198.48625860178907</v>
      </c>
      <c r="W292" s="2">
        <f>('L-Values'!S292*'D(Ti_Cherniak) Times'!$F292*0.000001)^2/(4*'D(Ti_Cherniak) Times'!$C292)/(365.35*24*3600)</f>
        <v>217.22098282901797</v>
      </c>
      <c r="X292" s="2"/>
      <c r="Y292" s="2">
        <f>('L-Values'!U292*'D(Ti_Cherniak) Times'!$F292*0.000001)^2/(4*'D(Ti_Cherniak) Times'!$C292)/(365.35*24*3600)</f>
        <v>203.04517930209855</v>
      </c>
      <c r="Z292" s="2">
        <f>('L-Values'!V292*'D(Ti_Cherniak) Times'!$F292*0.000001)^2/(4*'D(Ti_Cherniak) Times'!$C292)/(365.35*24*3600)</f>
        <v>202.03184960978425</v>
      </c>
      <c r="AA292" s="2">
        <f>('L-Values'!W292*'D(Ti_Cherniak) Times'!$F292*0.000001)^2/(4*'D(Ti_Cherniak) Times'!$C292)/(365.35*24*3600)</f>
        <v>99.989314909624213</v>
      </c>
      <c r="AB292" s="2">
        <f>('L-Values'!X292*'D(Ti_Cherniak) Times'!$F292*0.000001)^2/(4*'D(Ti_Cherniak) Times'!$C292)/(365.35*24*3600)</f>
        <v>352.8302663139666</v>
      </c>
      <c r="AC292" s="2">
        <f t="shared" si="18"/>
        <v>102.04253470016003</v>
      </c>
      <c r="AD292" s="2">
        <f t="shared" si="19"/>
        <v>150.79841670418236</v>
      </c>
    </row>
    <row r="293" spans="1:30" x14ac:dyDescent="0.2">
      <c r="A293" t="str">
        <f>'L-Values'!A293</f>
        <v>CGI015-qtz01-CL-fit-5-offset</v>
      </c>
      <c r="B293">
        <v>750</v>
      </c>
      <c r="C293">
        <f t="shared" si="16"/>
        <v>8.0537892000481889E-22</v>
      </c>
      <c r="D293">
        <v>1800</v>
      </c>
      <c r="E293">
        <v>1024</v>
      </c>
      <c r="F293">
        <f t="shared" si="17"/>
        <v>1.7578125</v>
      </c>
      <c r="I293" s="2">
        <f>('L-Values'!E293*'D(Ti_Cherniak) Times'!$F293*0.000001)^2/(4*'D(Ti_Cherniak) Times'!$C293)/(365.35*24*3600)</f>
        <v>94.359207983028881</v>
      </c>
      <c r="J293" s="2">
        <f>('L-Values'!F293*'D(Ti_Cherniak) Times'!$F293*0.000001)^2/(4*'D(Ti_Cherniak) Times'!$C293)/(365.35*24*3600)</f>
        <v>77.611804839447672</v>
      </c>
      <c r="K293" s="2">
        <f>('L-Values'!G293*'D(Ti_Cherniak) Times'!$F293*0.000001)^2/(4*'D(Ti_Cherniak) Times'!$C293)/(365.35*24*3600)</f>
        <v>211.7021939746206</v>
      </c>
      <c r="L293" s="2">
        <f>('L-Values'!H293*'D(Ti_Cherniak) Times'!$F293*0.000001)^2/(4*'D(Ti_Cherniak) Times'!$C293)/(365.35*24*3600)</f>
        <v>225.05210084517407</v>
      </c>
      <c r="M293" s="2">
        <f>('L-Values'!I293*'D(Ti_Cherniak) Times'!$F293*0.000001)^2/(4*'D(Ti_Cherniak) Times'!$C293)/(365.35*24*3600)</f>
        <v>227.34263005376383</v>
      </c>
      <c r="N293" s="2">
        <f>('L-Values'!J293*'D(Ti_Cherniak) Times'!$F293*0.000001)^2/(4*'D(Ti_Cherniak) Times'!$C293)/(365.35*24*3600)</f>
        <v>90.756473835719305</v>
      </c>
      <c r="O293" s="2">
        <f>('L-Values'!K293*'D(Ti_Cherniak) Times'!$F293*0.000001)^2/(4*'D(Ti_Cherniak) Times'!$C293)/(365.35*24*3600)</f>
        <v>130.6163953625929</v>
      </c>
      <c r="P293" s="2">
        <f>('L-Values'!L293*'D(Ti_Cherniak) Times'!$F293*0.000001)^2/(4*'D(Ti_Cherniak) Times'!$C293)/(365.35*24*3600)</f>
        <v>141.43715075100985</v>
      </c>
      <c r="Q293" s="2">
        <f>('L-Values'!M293*'D(Ti_Cherniak) Times'!$F293*0.000001)^2/(4*'D(Ti_Cherniak) Times'!$C293)/(365.35*24*3600)</f>
        <v>482.7514838573378</v>
      </c>
      <c r="R293" s="2">
        <f>('L-Values'!N293*'D(Ti_Cherniak) Times'!$F293*0.000001)^2/(4*'D(Ti_Cherniak) Times'!$C293)/(365.35*24*3600)</f>
        <v>103.09690272329763</v>
      </c>
      <c r="S293" s="2">
        <f>('L-Values'!O293*'D(Ti_Cherniak) Times'!$F293*0.000001)^2/(4*'D(Ti_Cherniak) Times'!$C293)/(365.35*24*3600)</f>
        <v>280.1669837402797</v>
      </c>
      <c r="T293" s="2"/>
      <c r="U293" s="2">
        <f>('L-Values'!Q293*'D(Ti_Cherniak) Times'!$F293*0.000001)^2/(4*'D(Ti_Cherniak) Times'!$C293)/(365.35*24*3600)</f>
        <v>154.24323330000379</v>
      </c>
      <c r="V293" s="2">
        <f>('L-Values'!R293*'D(Ti_Cherniak) Times'!$F293*0.000001)^2/(4*'D(Ti_Cherniak) Times'!$C293)/(365.35*24*3600)</f>
        <v>173.4364538343319</v>
      </c>
      <c r="W293" s="2">
        <f>('L-Values'!S293*'D(Ti_Cherniak) Times'!$F293*0.000001)^2/(4*'D(Ti_Cherniak) Times'!$C293)/(365.35*24*3600)</f>
        <v>141.43715075100985</v>
      </c>
      <c r="X293" s="2"/>
      <c r="Y293" s="2">
        <f>('L-Values'!U293*'D(Ti_Cherniak) Times'!$F293*0.000001)^2/(4*'D(Ti_Cherniak) Times'!$C293)/(365.35*24*3600)</f>
        <v>139.48833778284651</v>
      </c>
      <c r="Z293" s="2">
        <f>('L-Values'!V293*'D(Ti_Cherniak) Times'!$F293*0.000001)^2/(4*'D(Ti_Cherniak) Times'!$C293)/(365.35*24*3600)</f>
        <v>152.63721053323826</v>
      </c>
      <c r="AA293" s="2">
        <f>('L-Values'!W293*'D(Ti_Cherniak) Times'!$F293*0.000001)^2/(4*'D(Ti_Cherniak) Times'!$C293)/(365.35*24*3600)</f>
        <v>52.880100144083983</v>
      </c>
      <c r="AB293" s="2">
        <f>('L-Values'!X293*'D(Ti_Cherniak) Times'!$F293*0.000001)^2/(4*'D(Ti_Cherniak) Times'!$C293)/(365.35*24*3600)</f>
        <v>329.82894841313345</v>
      </c>
      <c r="AC293" s="2">
        <f t="shared" si="18"/>
        <v>99.757110389154278</v>
      </c>
      <c r="AD293" s="2">
        <f t="shared" si="19"/>
        <v>177.19173787989519</v>
      </c>
    </row>
    <row r="294" spans="1:30" x14ac:dyDescent="0.2">
      <c r="A294" t="str">
        <f>'L-Values'!A294</f>
        <v>CGI015-qtz01-CL-fit-6-offset</v>
      </c>
      <c r="B294">
        <v>750</v>
      </c>
      <c r="C294">
        <f t="shared" si="16"/>
        <v>8.0537892000481889E-22</v>
      </c>
      <c r="D294">
        <v>1800</v>
      </c>
      <c r="E294">
        <v>1024</v>
      </c>
      <c r="F294">
        <f t="shared" si="17"/>
        <v>1.7578125</v>
      </c>
      <c r="I294" s="2">
        <f>('L-Values'!E294*'D(Ti_Cherniak) Times'!$F294*0.000001)^2/(4*'D(Ti_Cherniak) Times'!$C294)/(365.35*24*3600)</f>
        <v>23.854059501823322</v>
      </c>
      <c r="J294" s="2">
        <f>('L-Values'!F294*'D(Ti_Cherniak) Times'!$F294*0.000001)^2/(4*'D(Ti_Cherniak) Times'!$C294)/(365.35*24*3600)</f>
        <v>19.21220930000138</v>
      </c>
      <c r="K294" s="2">
        <f>('L-Values'!G294*'D(Ti_Cherniak) Times'!$F294*0.000001)^2/(4*'D(Ti_Cherniak) Times'!$C294)/(365.35*24*3600)</f>
        <v>16.787852193592762</v>
      </c>
      <c r="L294" s="2">
        <f>('L-Values'!H294*'D(Ti_Cherniak) Times'!$F294*0.000001)^2/(4*'D(Ti_Cherniak) Times'!$C294)/(365.35*24*3600)</f>
        <v>23.414852684307849</v>
      </c>
      <c r="M294" s="2">
        <f>('L-Values'!I294*'D(Ti_Cherniak) Times'!$F294*0.000001)^2/(4*'D(Ti_Cherniak) Times'!$C294)/(365.35*24*3600)</f>
        <v>10.15740892114613</v>
      </c>
      <c r="N294" s="2">
        <f>('L-Values'!J294*'D(Ti_Cherniak) Times'!$F294*0.000001)^2/(4*'D(Ti_Cherniak) Times'!$C294)/(365.35*24*3600)</f>
        <v>2.2964413220076558</v>
      </c>
      <c r="O294" s="2">
        <f>('L-Values'!K294*'D(Ti_Cherniak) Times'!$F294*0.000001)^2/(4*'D(Ti_Cherniak) Times'!$C294)/(365.35*24*3600)</f>
        <v>27.253893304481721</v>
      </c>
      <c r="P294" s="2">
        <f>('L-Values'!L294*'D(Ti_Cherniak) Times'!$F294*0.000001)^2/(4*'D(Ti_Cherniak) Times'!$C294)/(365.35*24*3600)</f>
        <v>2.4544165859217508</v>
      </c>
      <c r="Q294" s="2">
        <f>('L-Values'!M294*'D(Ti_Cherniak) Times'!$F294*0.000001)^2/(4*'D(Ti_Cherniak) Times'!$C294)/(365.35*24*3600)</f>
        <v>35.99476520100373</v>
      </c>
      <c r="R294" s="2">
        <f>('L-Values'!N294*'D(Ti_Cherniak) Times'!$F294*0.000001)^2/(4*'D(Ti_Cherniak) Times'!$C294)/(365.35*24*3600)</f>
        <v>2.5727893418283778</v>
      </c>
      <c r="S294" s="2">
        <f>('L-Values'!O294*'D(Ti_Cherniak) Times'!$F294*0.000001)^2/(4*'D(Ti_Cherniak) Times'!$C294)/(365.35*24*3600)</f>
        <v>52.477272106708753</v>
      </c>
      <c r="T294" s="2"/>
      <c r="U294" s="2">
        <f>('L-Values'!Q294*'D(Ti_Cherniak) Times'!$F294*0.000001)^2/(4*'D(Ti_Cherniak) Times'!$C294)/(365.35*24*3600)</f>
        <v>23.727338449940575</v>
      </c>
      <c r="V294" s="2">
        <f>('L-Values'!R294*'D(Ti_Cherniak) Times'!$F294*0.000001)^2/(4*'D(Ti_Cherniak) Times'!$C294)/(365.35*24*3600)</f>
        <v>16.395691235977107</v>
      </c>
      <c r="W294" s="2">
        <f>('L-Values'!S294*'D(Ti_Cherniak) Times'!$F294*0.000001)^2/(4*'D(Ti_Cherniak) Times'!$C294)/(365.35*24*3600)</f>
        <v>19.21220930000138</v>
      </c>
      <c r="X294" s="2"/>
      <c r="Y294" s="2">
        <f>('L-Values'!U294*'D(Ti_Cherniak) Times'!$F294*0.000001)^2/(4*'D(Ti_Cherniak) Times'!$C294)/(365.35*24*3600)</f>
        <v>18.673899252885626</v>
      </c>
      <c r="Z294" s="2">
        <f>('L-Values'!V294*'D(Ti_Cherniak) Times'!$F294*0.000001)^2/(4*'D(Ti_Cherniak) Times'!$C294)/(365.35*24*3600)</f>
        <v>20.856984604020287</v>
      </c>
      <c r="AA294" s="2">
        <f>('L-Values'!W294*'D(Ti_Cherniak) Times'!$F294*0.000001)^2/(4*'D(Ti_Cherniak) Times'!$C294)/(365.35*24*3600)</f>
        <v>0.25096879429829627</v>
      </c>
      <c r="AB294" s="2">
        <f>('L-Values'!X294*'D(Ti_Cherniak) Times'!$F294*0.000001)^2/(4*'D(Ti_Cherniak) Times'!$C294)/(365.35*24*3600)</f>
        <v>112.29015574295113</v>
      </c>
      <c r="AC294" s="2">
        <f t="shared" si="18"/>
        <v>20.606015809721992</v>
      </c>
      <c r="AD294" s="2">
        <f t="shared" si="19"/>
        <v>91.433171138930845</v>
      </c>
    </row>
    <row r="295" spans="1:30" x14ac:dyDescent="0.2">
      <c r="A295" t="str">
        <f>'L-Values'!A295</f>
        <v>CGI015-qtz02-CL-fit-1-offset</v>
      </c>
      <c r="B295">
        <v>750</v>
      </c>
      <c r="C295">
        <f t="shared" si="16"/>
        <v>8.0537892000481889E-22</v>
      </c>
      <c r="D295">
        <v>1550</v>
      </c>
      <c r="E295">
        <v>1024</v>
      </c>
      <c r="F295">
        <f t="shared" si="17"/>
        <v>1.513671875</v>
      </c>
      <c r="I295" s="2">
        <f>('L-Values'!E295*'D(Ti_Cherniak) Times'!$F295*0.000001)^2/(4*'D(Ti_Cherniak) Times'!$C295)/(365.35*24*3600)</f>
        <v>4765.4828354599449</v>
      </c>
      <c r="J295" s="2">
        <f>('L-Values'!F295*'D(Ti_Cherniak) Times'!$F295*0.000001)^2/(4*'D(Ti_Cherniak) Times'!$C295)/(365.35*24*3600)</f>
        <v>4842.4718614315561</v>
      </c>
      <c r="K295" s="2">
        <f>('L-Values'!G295*'D(Ti_Cherniak) Times'!$F295*0.000001)^2/(4*'D(Ti_Cherniak) Times'!$C295)/(365.35*24*3600)</f>
        <v>5061.7078065019105</v>
      </c>
      <c r="L295" s="2">
        <f>('L-Values'!H295*'D(Ti_Cherniak) Times'!$F295*0.000001)^2/(4*'D(Ti_Cherniak) Times'!$C295)/(365.35*24*3600)</f>
        <v>4573.0261570829898</v>
      </c>
      <c r="M295" s="2">
        <f>('L-Values'!I295*'D(Ti_Cherniak) Times'!$F295*0.000001)^2/(4*'D(Ti_Cherniak) Times'!$C295)/(365.35*24*3600)</f>
        <v>4911.7211141721627</v>
      </c>
      <c r="N295" s="2">
        <f>('L-Values'!J295*'D(Ti_Cherniak) Times'!$F295*0.000001)^2/(4*'D(Ti_Cherniak) Times'!$C295)/(365.35*24*3600)</f>
        <v>4270.8649206194359</v>
      </c>
      <c r="O295" s="2">
        <f>('L-Values'!K295*'D(Ti_Cherniak) Times'!$F295*0.000001)^2/(4*'D(Ti_Cherniak) Times'!$C295)/(365.35*24*3600)</f>
        <v>3578.4262009537301</v>
      </c>
      <c r="P295" s="2">
        <f>('L-Values'!L295*'D(Ti_Cherniak) Times'!$F295*0.000001)^2/(4*'D(Ti_Cherniak) Times'!$C295)/(365.35*24*3600)</f>
        <v>5103.7159746852367</v>
      </c>
      <c r="Q295" s="2">
        <f>('L-Values'!M295*'D(Ti_Cherniak) Times'!$F295*0.000001)^2/(4*'D(Ti_Cherniak) Times'!$C295)/(365.35*24*3600)</f>
        <v>6192.9178531772459</v>
      </c>
      <c r="R295" s="2">
        <f>('L-Values'!N295*'D(Ti_Cherniak) Times'!$F295*0.000001)^2/(4*'D(Ti_Cherniak) Times'!$C295)/(365.35*24*3600)</f>
        <v>6326.1861523542402</v>
      </c>
      <c r="S295" s="2">
        <f>('L-Values'!O295*'D(Ti_Cherniak) Times'!$F295*0.000001)^2/(4*'D(Ti_Cherniak) Times'!$C295)/(365.35*24*3600)</f>
        <v>4491.5304690646326</v>
      </c>
      <c r="T295" s="2"/>
      <c r="U295" s="2">
        <f>('L-Values'!Q295*'D(Ti_Cherniak) Times'!$F295*0.000001)^2/(4*'D(Ti_Cherniak) Times'!$C295)/(365.35*24*3600)</f>
        <v>4860.3688759932447</v>
      </c>
      <c r="V295" s="2">
        <f>('L-Values'!R295*'D(Ti_Cherniak) Times'!$F295*0.000001)^2/(4*'D(Ti_Cherniak) Times'!$C295)/(365.35*24*3600)</f>
        <v>4891.5686928646601</v>
      </c>
      <c r="W295" s="2">
        <f>('L-Values'!S295*'D(Ti_Cherniak) Times'!$F295*0.000001)^2/(4*'D(Ti_Cherniak) Times'!$C295)/(365.35*24*3600)</f>
        <v>4842.4718614315561</v>
      </c>
      <c r="X295" s="2"/>
      <c r="Y295" s="2">
        <f>('L-Values'!U295*'D(Ti_Cherniak) Times'!$F295*0.000001)^2/(4*'D(Ti_Cherniak) Times'!$C295)/(365.35*24*3600)</f>
        <v>4903.3367709318436</v>
      </c>
      <c r="Z295" s="2">
        <f>('L-Values'!V295*'D(Ti_Cherniak) Times'!$F295*0.000001)^2/(4*'D(Ti_Cherniak) Times'!$C295)/(365.35*24*3600)</f>
        <v>4883.0761335645329</v>
      </c>
      <c r="AA295" s="2">
        <f>('L-Values'!W295*'D(Ti_Cherniak) Times'!$F295*0.000001)^2/(4*'D(Ti_Cherniak) Times'!$C295)/(365.35*24*3600)</f>
        <v>3350.8352658296317</v>
      </c>
      <c r="AB295" s="2">
        <f>('L-Values'!X295*'D(Ti_Cherniak) Times'!$F295*0.000001)^2/(4*'D(Ti_Cherniak) Times'!$C295)/(365.35*24*3600)</f>
        <v>6796.723895782503</v>
      </c>
      <c r="AC295" s="2">
        <f t="shared" si="18"/>
        <v>1532.2408677349013</v>
      </c>
      <c r="AD295" s="2">
        <f t="shared" si="19"/>
        <v>1913.64776221797</v>
      </c>
    </row>
    <row r="296" spans="1:30" x14ac:dyDescent="0.2">
      <c r="A296" t="str">
        <f>'L-Values'!A296</f>
        <v>CGI015-qtz02-CL-fit-2-offset</v>
      </c>
      <c r="B296">
        <v>750</v>
      </c>
      <c r="C296">
        <f t="shared" si="16"/>
        <v>8.0537892000481889E-22</v>
      </c>
      <c r="D296">
        <v>1550</v>
      </c>
      <c r="E296">
        <v>1024</v>
      </c>
      <c r="F296">
        <f t="shared" si="17"/>
        <v>1.513671875</v>
      </c>
      <c r="I296" s="2">
        <f>('L-Values'!E296*'D(Ti_Cherniak) Times'!$F296*0.000001)^2/(4*'D(Ti_Cherniak) Times'!$C296)/(365.35*24*3600)</f>
        <v>139.08128571007967</v>
      </c>
      <c r="J296" s="2">
        <f>('L-Values'!F296*'D(Ti_Cherniak) Times'!$F296*0.000001)^2/(4*'D(Ti_Cherniak) Times'!$C296)/(365.35*24*3600)</f>
        <v>192.13311181374567</v>
      </c>
      <c r="K296" s="2">
        <f>('L-Values'!G296*'D(Ti_Cherniak) Times'!$F296*0.000001)^2/(4*'D(Ti_Cherniak) Times'!$C296)/(365.35*24*3600)</f>
        <v>169.61048566946323</v>
      </c>
      <c r="L296" s="2">
        <f>('L-Values'!H296*'D(Ti_Cherniak) Times'!$F296*0.000001)^2/(4*'D(Ti_Cherniak) Times'!$C296)/(365.35*24*3600)</f>
        <v>77.762492631410097</v>
      </c>
      <c r="M296" s="2">
        <f>('L-Values'!I296*'D(Ti_Cherniak) Times'!$F296*0.000001)^2/(4*'D(Ti_Cherniak) Times'!$C296)/(365.35*24*3600)</f>
        <v>193.23411482370059</v>
      </c>
      <c r="N296" s="2">
        <f>('L-Values'!J296*'D(Ti_Cherniak) Times'!$F296*0.000001)^2/(4*'D(Ti_Cherniak) Times'!$C296)/(365.35*24*3600)</f>
        <v>271.55368400938829</v>
      </c>
      <c r="O296" s="2">
        <f>('L-Values'!K296*'D(Ti_Cherniak) Times'!$F296*0.000001)^2/(4*'D(Ti_Cherniak) Times'!$C296)/(365.35*24*3600)</f>
        <v>221.26334488041221</v>
      </c>
      <c r="P296" s="2">
        <f>('L-Values'!L296*'D(Ti_Cherniak) Times'!$F296*0.000001)^2/(4*'D(Ti_Cherniak) Times'!$C296)/(365.35*24*3600)</f>
        <v>337.29156970116759</v>
      </c>
      <c r="Q296" s="2">
        <f>('L-Values'!M296*'D(Ti_Cherniak) Times'!$F296*0.000001)^2/(4*'D(Ti_Cherniak) Times'!$C296)/(365.35*24*3600)</f>
        <v>298.76949368041068</v>
      </c>
      <c r="R296" s="2">
        <f>('L-Values'!N296*'D(Ti_Cherniak) Times'!$F296*0.000001)^2/(4*'D(Ti_Cherniak) Times'!$C296)/(365.35*24*3600)</f>
        <v>270.10794762816215</v>
      </c>
      <c r="S296" s="2">
        <f>('L-Values'!O296*'D(Ti_Cherniak) Times'!$F296*0.000001)^2/(4*'D(Ti_Cherniak) Times'!$C296)/(365.35*24*3600)</f>
        <v>160.09575803173686</v>
      </c>
      <c r="T296" s="2"/>
      <c r="U296" s="2">
        <f>('L-Values'!Q296*'D(Ti_Cherniak) Times'!$F296*0.000001)^2/(4*'D(Ti_Cherniak) Times'!$C296)/(365.35*24*3600)</f>
        <v>217.4897854220483</v>
      </c>
      <c r="V296" s="2">
        <f>('L-Values'!R296*'D(Ti_Cherniak) Times'!$F296*0.000001)^2/(4*'D(Ti_Cherniak) Times'!$C296)/(365.35*24*3600)</f>
        <v>204.98228811358882</v>
      </c>
      <c r="W296" s="2">
        <f>('L-Values'!S296*'D(Ti_Cherniak) Times'!$F296*0.000001)^2/(4*'D(Ti_Cherniak) Times'!$C296)/(365.35*24*3600)</f>
        <v>193.23411482370059</v>
      </c>
      <c r="X296" s="2"/>
      <c r="Y296" s="2">
        <f>('L-Values'!U296*'D(Ti_Cherniak) Times'!$F296*0.000001)^2/(4*'D(Ti_Cherniak) Times'!$C296)/(365.35*24*3600)</f>
        <v>203.29691455328782</v>
      </c>
      <c r="Z296" s="2">
        <f>('L-Values'!V296*'D(Ti_Cherniak) Times'!$F296*0.000001)^2/(4*'D(Ti_Cherniak) Times'!$C296)/(365.35*24*3600)</f>
        <v>201.77541071850675</v>
      </c>
      <c r="AA296" s="2">
        <f>('L-Values'!W296*'D(Ti_Cherniak) Times'!$F296*0.000001)^2/(4*'D(Ti_Cherniak) Times'!$C296)/(365.35*24*3600)</f>
        <v>84.622265885761479</v>
      </c>
      <c r="AB296" s="2">
        <f>('L-Values'!X296*'D(Ti_Cherniak) Times'!$F296*0.000001)^2/(4*'D(Ti_Cherniak) Times'!$C296)/(365.35*24*3600)</f>
        <v>327.19714276781605</v>
      </c>
      <c r="AC296" s="2">
        <f t="shared" si="18"/>
        <v>117.15314483274527</v>
      </c>
      <c r="AD296" s="2">
        <f t="shared" si="19"/>
        <v>125.4217320493093</v>
      </c>
    </row>
    <row r="297" spans="1:30" x14ac:dyDescent="0.2">
      <c r="A297" t="str">
        <f>'L-Values'!A297</f>
        <v>CGI015-qtz02-CL-fit-3-offset</v>
      </c>
      <c r="B297">
        <v>750</v>
      </c>
      <c r="C297">
        <f t="shared" si="16"/>
        <v>8.0537892000481889E-22</v>
      </c>
      <c r="D297">
        <v>1550</v>
      </c>
      <c r="E297">
        <v>1024</v>
      </c>
      <c r="F297">
        <f t="shared" si="17"/>
        <v>1.513671875</v>
      </c>
      <c r="I297" s="2">
        <f>('L-Values'!E297*'D(Ti_Cherniak) Times'!$F297*0.000001)^2/(4*'D(Ti_Cherniak) Times'!$C297)/(365.35*24*3600)</f>
        <v>161.6409635340749</v>
      </c>
      <c r="J297" s="2">
        <f>('L-Values'!F297*'D(Ti_Cherniak) Times'!$F297*0.000001)^2/(4*'D(Ti_Cherniak) Times'!$C297)/(365.35*24*3600)</f>
        <v>121.486071368522</v>
      </c>
      <c r="K297" s="2">
        <f>('L-Values'!G297*'D(Ti_Cherniak) Times'!$F297*0.000001)^2/(4*'D(Ti_Cherniak) Times'!$C297)/(365.35*24*3600)</f>
        <v>95.033516089680603</v>
      </c>
      <c r="L297" s="2">
        <f>('L-Values'!H297*'D(Ti_Cherniak) Times'!$F297*0.000001)^2/(4*'D(Ti_Cherniak) Times'!$C297)/(365.35*24*3600)</f>
        <v>176.20907331459907</v>
      </c>
      <c r="M297" s="2">
        <f>('L-Values'!I297*'D(Ti_Cherniak) Times'!$F297*0.000001)^2/(4*'D(Ti_Cherniak) Times'!$C297)/(365.35*24*3600)</f>
        <v>160.56434784227974</v>
      </c>
      <c r="N297" s="2">
        <f>('L-Values'!J297*'D(Ti_Cherniak) Times'!$F297*0.000001)^2/(4*'D(Ti_Cherniak) Times'!$C297)/(365.35*24*3600)</f>
        <v>125.75016481216969</v>
      </c>
      <c r="O297" s="2">
        <f>('L-Values'!K297*'D(Ti_Cherniak) Times'!$F297*0.000001)^2/(4*'D(Ti_Cherniak) Times'!$C297)/(365.35*24*3600)</f>
        <v>109.54846369544009</v>
      </c>
      <c r="P297" s="2">
        <f>('L-Values'!L297*'D(Ti_Cherniak) Times'!$F297*0.000001)^2/(4*'D(Ti_Cherniak) Times'!$C297)/(365.35*24*3600)</f>
        <v>94.565791419254879</v>
      </c>
      <c r="Q297" s="2">
        <f>('L-Values'!M297*'D(Ti_Cherniak) Times'!$F297*0.000001)^2/(4*'D(Ti_Cherniak) Times'!$C297)/(365.35*24*3600)</f>
        <v>106.84136079442963</v>
      </c>
      <c r="R297" s="2">
        <f>('L-Values'!N297*'D(Ti_Cherniak) Times'!$F297*0.000001)^2/(4*'D(Ti_Cherniak) Times'!$C297)/(365.35*24*3600)</f>
        <v>225.34171440444928</v>
      </c>
      <c r="S297" s="2">
        <f>('L-Values'!O297*'D(Ti_Cherniak) Times'!$F297*0.000001)^2/(4*'D(Ti_Cherniak) Times'!$C297)/(365.35*24*3600)</f>
        <v>70.545482077609861</v>
      </c>
      <c r="T297" s="2"/>
      <c r="U297" s="2">
        <f>('L-Values'!Q297*'D(Ti_Cherniak) Times'!$F297*0.000001)^2/(4*'D(Ti_Cherniak) Times'!$C297)/(365.35*24*3600)</f>
        <v>127.2584270966083</v>
      </c>
      <c r="V297" s="2">
        <f>('L-Values'!R297*'D(Ti_Cherniak) Times'!$F297*0.000001)^2/(4*'D(Ti_Cherniak) Times'!$C297)/(365.35*24*3600)</f>
        <v>128.26998755520037</v>
      </c>
      <c r="W297" s="2">
        <f>('L-Values'!S297*'D(Ti_Cherniak) Times'!$F297*0.000001)^2/(4*'D(Ti_Cherniak) Times'!$C297)/(365.35*24*3600)</f>
        <v>121.486071368522</v>
      </c>
      <c r="X297" s="2"/>
      <c r="Y297" s="2">
        <f>('L-Values'!U297*'D(Ti_Cherniak) Times'!$F297*0.000001)^2/(4*'D(Ti_Cherniak) Times'!$C297)/(365.35*24*3600)</f>
        <v>129.93516572719753</v>
      </c>
      <c r="Z297" s="2">
        <f>('L-Values'!V297*'D(Ti_Cherniak) Times'!$F297*0.000001)^2/(4*'D(Ti_Cherniak) Times'!$C297)/(365.35*24*3600)</f>
        <v>129.80502407246829</v>
      </c>
      <c r="AA297" s="2">
        <f>('L-Values'!W297*'D(Ti_Cherniak) Times'!$F297*0.000001)^2/(4*'D(Ti_Cherniak) Times'!$C297)/(365.35*24*3600)</f>
        <v>43.273358721208865</v>
      </c>
      <c r="AB297" s="2">
        <f>('L-Values'!X297*'D(Ti_Cherniak) Times'!$F297*0.000001)^2/(4*'D(Ti_Cherniak) Times'!$C297)/(365.35*24*3600)</f>
        <v>254.33257514052491</v>
      </c>
      <c r="AC297" s="2">
        <f t="shared" si="18"/>
        <v>86.53166535125942</v>
      </c>
      <c r="AD297" s="2">
        <f t="shared" si="19"/>
        <v>124.52755106805662</v>
      </c>
    </row>
    <row r="298" spans="1:30" x14ac:dyDescent="0.2">
      <c r="A298" t="str">
        <f>'L-Values'!A298</f>
        <v>CGI015-qtz02-CL-fit-4-offset</v>
      </c>
      <c r="B298">
        <v>750</v>
      </c>
      <c r="C298">
        <f t="shared" si="16"/>
        <v>8.0537892000481889E-22</v>
      </c>
      <c r="D298">
        <v>1550</v>
      </c>
      <c r="E298">
        <v>1024</v>
      </c>
      <c r="F298">
        <f t="shared" si="17"/>
        <v>1.513671875</v>
      </c>
      <c r="I298" s="2">
        <f>('L-Values'!E298*'D(Ti_Cherniak) Times'!$F298*0.000001)^2/(4*'D(Ti_Cherniak) Times'!$C298)/(365.35*24*3600)</f>
        <v>17.79365638806923</v>
      </c>
      <c r="J298" s="2">
        <f>('L-Values'!F298*'D(Ti_Cherniak) Times'!$F298*0.000001)^2/(4*'D(Ti_Cherniak) Times'!$C298)/(365.35*24*3600)</f>
        <v>13.234435443399924</v>
      </c>
      <c r="K298" s="2">
        <f>('L-Values'!G298*'D(Ti_Cherniak) Times'!$F298*0.000001)^2/(4*'D(Ti_Cherniak) Times'!$C298)/(365.35*24*3600)</f>
        <v>9.6402565156618856</v>
      </c>
      <c r="L298" s="2">
        <f>('L-Values'!H298*'D(Ti_Cherniak) Times'!$F298*0.000001)^2/(4*'D(Ti_Cherniak) Times'!$C298)/(365.35*24*3600)</f>
        <v>12.738030551507697</v>
      </c>
      <c r="M298" s="2">
        <f>('L-Values'!I298*'D(Ti_Cherniak) Times'!$F298*0.000001)^2/(4*'D(Ti_Cherniak) Times'!$C298)/(365.35*24*3600)</f>
        <v>15.801528748476322</v>
      </c>
      <c r="N298" s="2">
        <f>('L-Values'!J298*'D(Ti_Cherniak) Times'!$F298*0.000001)^2/(4*'D(Ti_Cherniak) Times'!$C298)/(365.35*24*3600)</f>
        <v>18.574674762908636</v>
      </c>
      <c r="O298" s="2">
        <f>('L-Values'!K298*'D(Ti_Cherniak) Times'!$F298*0.000001)^2/(4*'D(Ti_Cherniak) Times'!$C298)/(365.35*24*3600)</f>
        <v>16.336216782005504</v>
      </c>
      <c r="P298" s="2">
        <f>('L-Values'!L298*'D(Ti_Cherniak) Times'!$F298*0.000001)^2/(4*'D(Ti_Cherniak) Times'!$C298)/(365.35*24*3600)</f>
        <v>25.641650263023433</v>
      </c>
      <c r="Q298" s="2">
        <f>('L-Values'!M298*'D(Ti_Cherniak) Times'!$F298*0.000001)^2/(4*'D(Ti_Cherniak) Times'!$C298)/(365.35*24*3600)</f>
        <v>20.477094191989536</v>
      </c>
      <c r="R298" s="2">
        <f>('L-Values'!N298*'D(Ti_Cherniak) Times'!$F298*0.000001)^2/(4*'D(Ti_Cherniak) Times'!$C298)/(365.35*24*3600)</f>
        <v>23.555725237566364</v>
      </c>
      <c r="S298" s="2">
        <f>('L-Values'!O298*'D(Ti_Cherniak) Times'!$F298*0.000001)^2/(4*'D(Ti_Cherniak) Times'!$C298)/(365.35*24*3600)</f>
        <v>15.128854523928931</v>
      </c>
      <c r="T298" s="2"/>
      <c r="U298" s="2">
        <f>('L-Values'!Q298*'D(Ti_Cherniak) Times'!$F298*0.000001)^2/(4*'D(Ti_Cherniak) Times'!$C298)/(365.35*24*3600)</f>
        <v>18.479869201922227</v>
      </c>
      <c r="V298" s="2">
        <f>('L-Values'!R298*'D(Ti_Cherniak) Times'!$F298*0.000001)^2/(4*'D(Ti_Cherniak) Times'!$C298)/(365.35*24*3600)</f>
        <v>16.876237494525622</v>
      </c>
      <c r="W298" s="2">
        <f>('L-Values'!S298*'D(Ti_Cherniak) Times'!$F298*0.000001)^2/(4*'D(Ti_Cherniak) Times'!$C298)/(365.35*24*3600)</f>
        <v>16.336216782005504</v>
      </c>
      <c r="X298" s="2"/>
      <c r="Y298" s="2">
        <f>('L-Values'!U298*'D(Ti_Cherniak) Times'!$F298*0.000001)^2/(4*'D(Ti_Cherniak) Times'!$C298)/(365.35*24*3600)</f>
        <v>17.418851841083622</v>
      </c>
      <c r="Z298" s="2">
        <f>('L-Values'!V298*'D(Ti_Cherniak) Times'!$F298*0.000001)^2/(4*'D(Ti_Cherniak) Times'!$C298)/(365.35*24*3600)</f>
        <v>14.999675680308387</v>
      </c>
      <c r="AA298" s="2">
        <f>('L-Values'!W298*'D(Ti_Cherniak) Times'!$F298*0.000001)^2/(4*'D(Ti_Cherniak) Times'!$C298)/(365.35*24*3600)</f>
        <v>0.11118404814089591</v>
      </c>
      <c r="AB298" s="2">
        <f>('L-Values'!X298*'D(Ti_Cherniak) Times'!$F298*0.000001)^2/(4*'D(Ti_Cherniak) Times'!$C298)/(365.35*24*3600)</f>
        <v>47.114551789696172</v>
      </c>
      <c r="AC298" s="2">
        <f t="shared" si="18"/>
        <v>14.888491632167492</v>
      </c>
      <c r="AD298" s="2">
        <f t="shared" si="19"/>
        <v>32.114876109387787</v>
      </c>
    </row>
    <row r="299" spans="1:30" x14ac:dyDescent="0.2">
      <c r="A299" t="str">
        <f>'L-Values'!A299</f>
        <v>CGI015-qtz03-CL-fit-1-offset</v>
      </c>
      <c r="B299">
        <v>750</v>
      </c>
      <c r="C299">
        <f t="shared" si="16"/>
        <v>8.0537892000481889E-22</v>
      </c>
      <c r="D299">
        <v>1750</v>
      </c>
      <c r="E299">
        <v>1024</v>
      </c>
      <c r="F299">
        <f t="shared" si="17"/>
        <v>1.708984375</v>
      </c>
      <c r="I299" s="2">
        <f>('L-Values'!E299*'D(Ti_Cherniak) Times'!$F299*0.000001)^2/(4*'D(Ti_Cherniak) Times'!$C299)/(365.35*24*3600)</f>
        <v>1395.0485585616273</v>
      </c>
      <c r="J299" s="2">
        <f>('L-Values'!F299*'D(Ti_Cherniak) Times'!$F299*0.000001)^2/(4*'D(Ti_Cherniak) Times'!$C299)/(365.35*24*3600)</f>
        <v>1549.8813537896119</v>
      </c>
      <c r="K299" s="2">
        <f>('L-Values'!G299*'D(Ti_Cherniak) Times'!$F299*0.000001)^2/(4*'D(Ti_Cherniak) Times'!$C299)/(365.35*24*3600)</f>
        <v>1496.1988822099436</v>
      </c>
      <c r="L299" s="2">
        <f>('L-Values'!H299*'D(Ti_Cherniak) Times'!$F299*0.000001)^2/(4*'D(Ti_Cherniak) Times'!$C299)/(365.35*24*3600)</f>
        <v>1299.4404007768048</v>
      </c>
      <c r="M299" s="2">
        <f>('L-Values'!I299*'D(Ti_Cherniak) Times'!$F299*0.000001)^2/(4*'D(Ti_Cherniak) Times'!$C299)/(365.35*24*3600)</f>
        <v>1282.8171920019656</v>
      </c>
      <c r="N299" s="2">
        <f>('L-Values'!J299*'D(Ti_Cherniak) Times'!$F299*0.000001)^2/(4*'D(Ti_Cherniak) Times'!$C299)/(365.35*24*3600)</f>
        <v>1782.9010741625571</v>
      </c>
      <c r="O299" s="2">
        <f>('L-Values'!K299*'D(Ti_Cherniak) Times'!$F299*0.000001)^2/(4*'D(Ti_Cherniak) Times'!$C299)/(365.35*24*3600)</f>
        <v>746.84556036519757</v>
      </c>
      <c r="P299" s="2">
        <f>('L-Values'!L299*'D(Ti_Cherniak) Times'!$F299*0.000001)^2/(4*'D(Ti_Cherniak) Times'!$C299)/(365.35*24*3600)</f>
        <v>851.4718463171771</v>
      </c>
      <c r="Q299" s="2">
        <f>('L-Values'!M299*'D(Ti_Cherniak) Times'!$F299*0.000001)^2/(4*'D(Ti_Cherniak) Times'!$C299)/(365.35*24*3600)</f>
        <v>714.26829665305024</v>
      </c>
      <c r="R299" s="2">
        <f>('L-Values'!N299*'D(Ti_Cherniak) Times'!$F299*0.000001)^2/(4*'D(Ti_Cherniak) Times'!$C299)/(365.35*24*3600)</f>
        <v>745.19128680206677</v>
      </c>
      <c r="S299" s="2">
        <f>('L-Values'!O299*'D(Ti_Cherniak) Times'!$F299*0.000001)^2/(4*'D(Ti_Cherniak) Times'!$C299)/(365.35*24*3600)</f>
        <v>1160.4906985648704</v>
      </c>
      <c r="T299" s="2"/>
      <c r="U299" s="2">
        <f>('L-Values'!Q299*'D(Ti_Cherniak) Times'!$F299*0.000001)^2/(4*'D(Ti_Cherniak) Times'!$C299)/(365.35*24*3600)</f>
        <v>1189.0930259773288</v>
      </c>
      <c r="V299" s="2">
        <f>('L-Values'!R299*'D(Ti_Cherniak) Times'!$F299*0.000001)^2/(4*'D(Ti_Cherniak) Times'!$C299)/(365.35*24*3600)</f>
        <v>1156.5356897619392</v>
      </c>
      <c r="W299" s="2">
        <f>('L-Values'!S299*'D(Ti_Cherniak) Times'!$F299*0.000001)^2/(4*'D(Ti_Cherniak) Times'!$C299)/(365.35*24*3600)</f>
        <v>1282.8171920019656</v>
      </c>
      <c r="X299" s="2"/>
      <c r="Y299" s="2">
        <f>('L-Values'!U299*'D(Ti_Cherniak) Times'!$F299*0.000001)^2/(4*'D(Ti_Cherniak) Times'!$C299)/(365.35*24*3600)</f>
        <v>1128.3123267142937</v>
      </c>
      <c r="Z299" s="2">
        <f>('L-Values'!V299*'D(Ti_Cherniak) Times'!$F299*0.000001)^2/(4*'D(Ti_Cherniak) Times'!$C299)/(365.35*24*3600)</f>
        <v>1160.568419769224</v>
      </c>
      <c r="AA299" s="2">
        <f>('L-Values'!W299*'D(Ti_Cherniak) Times'!$F299*0.000001)^2/(4*'D(Ti_Cherniak) Times'!$C299)/(365.35*24*3600)</f>
        <v>462.28084955925777</v>
      </c>
      <c r="AB299" s="2">
        <f>('L-Values'!X299*'D(Ti_Cherniak) Times'!$F299*0.000001)^2/(4*'D(Ti_Cherniak) Times'!$C299)/(365.35*24*3600)</f>
        <v>2361.32383823176</v>
      </c>
      <c r="AC299" s="2">
        <f t="shared" si="18"/>
        <v>698.28757020996613</v>
      </c>
      <c r="AD299" s="2">
        <f t="shared" si="19"/>
        <v>1200.755418462536</v>
      </c>
    </row>
    <row r="300" spans="1:30" x14ac:dyDescent="0.2">
      <c r="A300" t="str">
        <f>'L-Values'!A300</f>
        <v>CGI015-qtz03-CL-fit-2-offset</v>
      </c>
      <c r="B300">
        <v>750</v>
      </c>
      <c r="C300">
        <f t="shared" si="16"/>
        <v>8.0537892000481889E-22</v>
      </c>
      <c r="D300">
        <v>1750</v>
      </c>
      <c r="E300">
        <v>1024</v>
      </c>
      <c r="F300">
        <f t="shared" si="17"/>
        <v>1.708984375</v>
      </c>
      <c r="I300" s="2">
        <f>('L-Values'!E300*'D(Ti_Cherniak) Times'!$F300*0.000001)^2/(4*'D(Ti_Cherniak) Times'!$C300)/(365.35*24*3600)</f>
        <v>696.31158949128917</v>
      </c>
      <c r="J300" s="2">
        <f>('L-Values'!F300*'D(Ti_Cherniak) Times'!$F300*0.000001)^2/(4*'D(Ti_Cherniak) Times'!$C300)/(365.35*24*3600)</f>
        <v>1338.7968136463562</v>
      </c>
      <c r="K300" s="2">
        <f>('L-Values'!G300*'D(Ti_Cherniak) Times'!$F300*0.000001)^2/(4*'D(Ti_Cherniak) Times'!$C300)/(365.35*24*3600)</f>
        <v>1505.4393816462027</v>
      </c>
      <c r="L300" s="2">
        <f>('L-Values'!H300*'D(Ti_Cherniak) Times'!$F300*0.000001)^2/(4*'D(Ti_Cherniak) Times'!$C300)/(365.35*24*3600)</f>
        <v>1021.848754066693</v>
      </c>
      <c r="M300" s="2">
        <f>('L-Values'!I300*'D(Ti_Cherniak) Times'!$F300*0.000001)^2/(4*'D(Ti_Cherniak) Times'!$C300)/(365.35*24*3600)</f>
        <v>1129.8407814588693</v>
      </c>
      <c r="N300" s="2">
        <f>('L-Values'!J300*'D(Ti_Cherniak) Times'!$F300*0.000001)^2/(4*'D(Ti_Cherniak) Times'!$C300)/(365.35*24*3600)</f>
        <v>1551.3631644000136</v>
      </c>
      <c r="O300" s="2">
        <f>('L-Values'!K300*'D(Ti_Cherniak) Times'!$F300*0.000001)^2/(4*'D(Ti_Cherniak) Times'!$C300)/(365.35*24*3600)</f>
        <v>1367.5148405658697</v>
      </c>
      <c r="P300" s="2">
        <f>('L-Values'!L300*'D(Ti_Cherniak) Times'!$F300*0.000001)^2/(4*'D(Ti_Cherniak) Times'!$C300)/(365.35*24*3600)</f>
        <v>1424.2974430904958</v>
      </c>
      <c r="Q300" s="2">
        <f>('L-Values'!M300*'D(Ti_Cherniak) Times'!$F300*0.000001)^2/(4*'D(Ti_Cherniak) Times'!$C300)/(365.35*24*3600)</f>
        <v>1681.5635302962003</v>
      </c>
      <c r="R300" s="2">
        <f>('L-Values'!N300*'D(Ti_Cherniak) Times'!$F300*0.000001)^2/(4*'D(Ti_Cherniak) Times'!$C300)/(365.35*24*3600)</f>
        <v>1655.6693738485851</v>
      </c>
      <c r="S300" s="2">
        <f>('L-Values'!O300*'D(Ti_Cherniak) Times'!$F300*0.000001)^2/(4*'D(Ti_Cherniak) Times'!$C300)/(365.35*24*3600)</f>
        <v>1212.083064044868</v>
      </c>
      <c r="T300" s="2"/>
      <c r="U300" s="2">
        <f>('L-Values'!Q300*'D(Ti_Cherniak) Times'!$F300*0.000001)^2/(4*'D(Ti_Cherniak) Times'!$C300)/(365.35*24*3600)</f>
        <v>1332.7197858218174</v>
      </c>
      <c r="V300" s="2">
        <f>('L-Values'!R300*'D(Ti_Cherniak) Times'!$F300*0.000001)^2/(4*'D(Ti_Cherniak) Times'!$C300)/(365.35*24*3600)</f>
        <v>1308.9638838884568</v>
      </c>
      <c r="W300" s="2">
        <f>('L-Values'!S300*'D(Ti_Cherniak) Times'!$F300*0.000001)^2/(4*'D(Ti_Cherniak) Times'!$C300)/(365.35*24*3600)</f>
        <v>1367.5148405658697</v>
      </c>
      <c r="X300" s="2"/>
      <c r="Y300" s="2">
        <f>('L-Values'!U300*'D(Ti_Cherniak) Times'!$F300*0.000001)^2/(4*'D(Ti_Cherniak) Times'!$C300)/(365.35*24*3600)</f>
        <v>1279.7781015540609</v>
      </c>
      <c r="Z300" s="2">
        <f>('L-Values'!V300*'D(Ti_Cherniak) Times'!$F300*0.000001)^2/(4*'D(Ti_Cherniak) Times'!$C300)/(365.35*24*3600)</f>
        <v>1289.8152897915525</v>
      </c>
      <c r="AA300" s="2">
        <f>('L-Values'!W300*'D(Ti_Cherniak) Times'!$F300*0.000001)^2/(4*'D(Ti_Cherniak) Times'!$C300)/(365.35*24*3600)</f>
        <v>699.54370786011077</v>
      </c>
      <c r="AB300" s="2">
        <f>('L-Values'!X300*'D(Ti_Cherniak) Times'!$F300*0.000001)^2/(4*'D(Ti_Cherniak) Times'!$C300)/(365.35*24*3600)</f>
        <v>2166.1278474166661</v>
      </c>
      <c r="AC300" s="2">
        <f t="shared" si="18"/>
        <v>590.27158193144169</v>
      </c>
      <c r="AD300" s="2">
        <f t="shared" si="19"/>
        <v>876.31255762511364</v>
      </c>
    </row>
    <row r="301" spans="1:30" x14ac:dyDescent="0.2">
      <c r="A301" t="str">
        <f>'L-Values'!A301</f>
        <v>CGI015-qtz03-CL-fit-3-offset</v>
      </c>
      <c r="B301">
        <v>750</v>
      </c>
      <c r="C301">
        <f t="shared" si="16"/>
        <v>8.0537892000481889E-22</v>
      </c>
      <c r="D301">
        <v>1750</v>
      </c>
      <c r="E301">
        <v>1024</v>
      </c>
      <c r="F301">
        <f t="shared" si="17"/>
        <v>1.708984375</v>
      </c>
      <c r="I301" s="2">
        <f>('L-Values'!E301*'D(Ti_Cherniak) Times'!$F301*0.000001)^2/(4*'D(Ti_Cherniak) Times'!$C301)/(365.35*24*3600)</f>
        <v>376.602510440299</v>
      </c>
      <c r="J301" s="2">
        <f>('L-Values'!F301*'D(Ti_Cherniak) Times'!$F301*0.000001)^2/(4*'D(Ti_Cherniak) Times'!$C301)/(365.35*24*3600)</f>
        <v>406.72540063347537</v>
      </c>
      <c r="K301" s="2">
        <f>('L-Values'!G301*'D(Ti_Cherniak) Times'!$F301*0.000001)^2/(4*'D(Ti_Cherniak) Times'!$C301)/(365.35*24*3600)</f>
        <v>496.7739517679658</v>
      </c>
      <c r="L301" s="2">
        <f>('L-Values'!H301*'D(Ti_Cherniak) Times'!$F301*0.000001)^2/(4*'D(Ti_Cherniak) Times'!$C301)/(365.35*24*3600)</f>
        <v>269.56424283381477</v>
      </c>
      <c r="M301" s="2">
        <f>('L-Values'!I301*'D(Ti_Cherniak) Times'!$F301*0.000001)^2/(4*'D(Ti_Cherniak) Times'!$C301)/(365.35*24*3600)</f>
        <v>201.99138157115988</v>
      </c>
      <c r="N301" s="2">
        <f>('L-Values'!J301*'D(Ti_Cherniak) Times'!$F301*0.000001)^2/(4*'D(Ti_Cherniak) Times'!$C301)/(365.35*24*3600)</f>
        <v>281.696514301702</v>
      </c>
      <c r="O301" s="2">
        <f>('L-Values'!K301*'D(Ti_Cherniak) Times'!$F301*0.000001)^2/(4*'D(Ti_Cherniak) Times'!$C301)/(365.35*24*3600)</f>
        <v>275.60279450254922</v>
      </c>
      <c r="P301" s="2">
        <f>('L-Values'!L301*'D(Ti_Cherniak) Times'!$F301*0.000001)^2/(4*'D(Ti_Cherniak) Times'!$C301)/(365.35*24*3600)</f>
        <v>389.02919606014552</v>
      </c>
      <c r="Q301" s="2">
        <f>('L-Values'!M301*'D(Ti_Cherniak) Times'!$F301*0.000001)^2/(4*'D(Ti_Cherniak) Times'!$C301)/(365.35*24*3600)</f>
        <v>448.22516540878951</v>
      </c>
      <c r="R301" s="2">
        <f>('L-Values'!N301*'D(Ti_Cherniak) Times'!$F301*0.000001)^2/(4*'D(Ti_Cherniak) Times'!$C301)/(365.35*24*3600)</f>
        <v>295.53818090599884</v>
      </c>
      <c r="S301" s="2">
        <f>('L-Values'!O301*'D(Ti_Cherniak) Times'!$F301*0.000001)^2/(4*'D(Ti_Cherniak) Times'!$C301)/(365.35*24*3600)</f>
        <v>273.2689580963912</v>
      </c>
      <c r="T301" s="2"/>
      <c r="U301" s="2">
        <f>('L-Values'!Q301*'D(Ti_Cherniak) Times'!$F301*0.000001)^2/(4*'D(Ti_Cherniak) Times'!$C301)/(365.35*24*3600)</f>
        <v>327.77827096547003</v>
      </c>
      <c r="V301" s="2">
        <f>('L-Values'!R301*'D(Ti_Cherniak) Times'!$F301*0.000001)^2/(4*'D(Ti_Cherniak) Times'!$C301)/(365.35*24*3600)</f>
        <v>332.21762765188498</v>
      </c>
      <c r="W301" s="2">
        <f>('L-Values'!S301*'D(Ti_Cherniak) Times'!$F301*0.000001)^2/(4*'D(Ti_Cherniak) Times'!$C301)/(365.35*24*3600)</f>
        <v>295.53818090599884</v>
      </c>
      <c r="X301" s="2"/>
      <c r="Y301" s="2">
        <f>('L-Values'!U301*'D(Ti_Cherniak) Times'!$F301*0.000001)^2/(4*'D(Ti_Cherniak) Times'!$C301)/(365.35*24*3600)</f>
        <v>319.26326136405157</v>
      </c>
      <c r="Z301" s="2">
        <f>('L-Values'!V301*'D(Ti_Cherniak) Times'!$F301*0.000001)^2/(4*'D(Ti_Cherniak) Times'!$C301)/(365.35*24*3600)</f>
        <v>320.59505465194803</v>
      </c>
      <c r="AA301" s="2">
        <f>('L-Values'!W301*'D(Ti_Cherniak) Times'!$F301*0.000001)^2/(4*'D(Ti_Cherniak) Times'!$C301)/(365.35*24*3600)</f>
        <v>155.91995987377123</v>
      </c>
      <c r="AB301" s="2">
        <f>('L-Values'!X301*'D(Ti_Cherniak) Times'!$F301*0.000001)^2/(4*'D(Ti_Cherniak) Times'!$C301)/(365.35*24*3600)</f>
        <v>508.48342207385537</v>
      </c>
      <c r="AC301" s="2">
        <f t="shared" si="18"/>
        <v>164.6750947781768</v>
      </c>
      <c r="AD301" s="2">
        <f t="shared" si="19"/>
        <v>187.88836742190733</v>
      </c>
    </row>
    <row r="302" spans="1:30" x14ac:dyDescent="0.2">
      <c r="A302" t="str">
        <f>'L-Values'!A302</f>
        <v>CGI015-qtz03-CL-fit-4-offset</v>
      </c>
      <c r="B302">
        <v>750</v>
      </c>
      <c r="C302">
        <f t="shared" si="16"/>
        <v>8.0537892000481889E-22</v>
      </c>
      <c r="D302">
        <v>1750</v>
      </c>
      <c r="E302">
        <v>1024</v>
      </c>
      <c r="F302">
        <f t="shared" si="17"/>
        <v>1.708984375</v>
      </c>
      <c r="I302" s="2">
        <f>('L-Values'!E302*'D(Ti_Cherniak) Times'!$F302*0.000001)^2/(4*'D(Ti_Cherniak) Times'!$C302)/(365.35*24*3600)</f>
        <v>602.84075236717263</v>
      </c>
      <c r="J302" s="2">
        <f>('L-Values'!F302*'D(Ti_Cherniak) Times'!$F302*0.000001)^2/(4*'D(Ti_Cherniak) Times'!$C302)/(365.35*24*3600)</f>
        <v>728.34468858641287</v>
      </c>
      <c r="K302" s="2">
        <f>('L-Values'!G302*'D(Ti_Cherniak) Times'!$F302*0.000001)^2/(4*'D(Ti_Cherniak) Times'!$C302)/(365.35*24*3600)</f>
        <v>647.4118692385872</v>
      </c>
      <c r="L302" s="2">
        <f>('L-Values'!H302*'D(Ti_Cherniak) Times'!$F302*0.000001)^2/(4*'D(Ti_Cherniak) Times'!$C302)/(365.35*24*3600)</f>
        <v>543.6029379833534</v>
      </c>
      <c r="M302" s="2">
        <f>('L-Values'!I302*'D(Ti_Cherniak) Times'!$F302*0.000001)^2/(4*'D(Ti_Cherniak) Times'!$C302)/(365.35*24*3600)</f>
        <v>353.39366147110218</v>
      </c>
      <c r="N302" s="2">
        <f>('L-Values'!J302*'D(Ti_Cherniak) Times'!$F302*0.000001)^2/(4*'D(Ti_Cherniak) Times'!$C302)/(365.35*24*3600)</f>
        <v>443.59609822225718</v>
      </c>
      <c r="O302" s="2">
        <f>('L-Values'!K302*'D(Ti_Cherniak) Times'!$F302*0.000001)^2/(4*'D(Ti_Cherniak) Times'!$C302)/(365.35*24*3600)</f>
        <v>404.98775982233985</v>
      </c>
      <c r="P302" s="2">
        <f>('L-Values'!L302*'D(Ti_Cherniak) Times'!$F302*0.000001)^2/(4*'D(Ti_Cherniak) Times'!$C302)/(365.35*24*3600)</f>
        <v>739.08688720277416</v>
      </c>
      <c r="Q302" s="2">
        <f>('L-Values'!M302*'D(Ti_Cherniak) Times'!$F302*0.000001)^2/(4*'D(Ti_Cherniak) Times'!$C302)/(365.35*24*3600)</f>
        <v>151.81274298400001</v>
      </c>
      <c r="R302" s="2">
        <f>('L-Values'!N302*'D(Ti_Cherniak) Times'!$F302*0.000001)^2/(4*'D(Ti_Cherniak) Times'!$C302)/(365.35*24*3600)</f>
        <v>166.51369019476846</v>
      </c>
      <c r="S302" s="2">
        <f>('L-Values'!O302*'D(Ti_Cherniak) Times'!$F302*0.000001)^2/(4*'D(Ti_Cherniak) Times'!$C302)/(365.35*24*3600)</f>
        <v>380.57766961953479</v>
      </c>
      <c r="T302" s="2"/>
      <c r="U302" s="2">
        <f>('L-Values'!Q302*'D(Ti_Cherniak) Times'!$F302*0.000001)^2/(4*'D(Ti_Cherniak) Times'!$C302)/(365.35*24*3600)</f>
        <v>421.12164363011971</v>
      </c>
      <c r="V302" s="2">
        <f>('L-Values'!R302*'D(Ti_Cherniak) Times'!$F302*0.000001)^2/(4*'D(Ti_Cherniak) Times'!$C302)/(365.35*24*3600)</f>
        <v>445.61237070507644</v>
      </c>
      <c r="W302" s="2">
        <f>('L-Values'!S302*'D(Ti_Cherniak) Times'!$F302*0.000001)^2/(4*'D(Ti_Cherniak) Times'!$C302)/(365.35*24*3600)</f>
        <v>443.59609822225718</v>
      </c>
      <c r="X302" s="2"/>
      <c r="Y302" s="2">
        <f>('L-Values'!U302*'D(Ti_Cherniak) Times'!$F302*0.000001)^2/(4*'D(Ti_Cherniak) Times'!$C302)/(365.35*24*3600)</f>
        <v>374.08695031885293</v>
      </c>
      <c r="Z302" s="2">
        <f>('L-Values'!V302*'D(Ti_Cherniak) Times'!$F302*0.000001)^2/(4*'D(Ti_Cherniak) Times'!$C302)/(365.35*24*3600)</f>
        <v>396.65206665463342</v>
      </c>
      <c r="AA302" s="2">
        <f>('L-Values'!W302*'D(Ti_Cherniak) Times'!$F302*0.000001)^2/(4*'D(Ti_Cherniak) Times'!$C302)/(365.35*24*3600)</f>
        <v>189.21626478176</v>
      </c>
      <c r="AB302" s="2">
        <f>('L-Values'!X302*'D(Ti_Cherniak) Times'!$F302*0.000001)^2/(4*'D(Ti_Cherniak) Times'!$C302)/(365.35*24*3600)</f>
        <v>802.28204678177735</v>
      </c>
      <c r="AC302" s="2">
        <f t="shared" si="18"/>
        <v>207.43580187287341</v>
      </c>
      <c r="AD302" s="2">
        <f t="shared" si="19"/>
        <v>405.62998012714394</v>
      </c>
    </row>
    <row r="303" spans="1:30" x14ac:dyDescent="0.2">
      <c r="A303" t="str">
        <f>'L-Values'!A303</f>
        <v>CGI015-qtz03-CL-fit-5-offset</v>
      </c>
      <c r="B303">
        <v>750</v>
      </c>
      <c r="C303">
        <f t="shared" si="16"/>
        <v>8.0537892000481889E-22</v>
      </c>
      <c r="D303">
        <v>1750</v>
      </c>
      <c r="E303">
        <v>1024</v>
      </c>
      <c r="F303">
        <f t="shared" si="17"/>
        <v>1.708984375</v>
      </c>
      <c r="I303" s="2">
        <f>('L-Values'!E303*'D(Ti_Cherniak) Times'!$F303*0.000001)^2/(4*'D(Ti_Cherniak) Times'!$C303)/(365.35*24*3600)</f>
        <v>266.63528090391742</v>
      </c>
      <c r="J303" s="2">
        <f>('L-Values'!F303*'D(Ti_Cherniak) Times'!$F303*0.000001)^2/(4*'D(Ti_Cherniak) Times'!$C303)/(365.35*24*3600)</f>
        <v>89.129576147115372</v>
      </c>
      <c r="K303" s="2">
        <f>('L-Values'!G303*'D(Ti_Cherniak) Times'!$F303*0.000001)^2/(4*'D(Ti_Cherniak) Times'!$C303)/(365.35*24*3600)</f>
        <v>179.7697463064161</v>
      </c>
      <c r="L303" s="2">
        <f>('L-Values'!H303*'D(Ti_Cherniak) Times'!$F303*0.000001)^2/(4*'D(Ti_Cherniak) Times'!$C303)/(365.35*24*3600)</f>
        <v>84.172955670321087</v>
      </c>
      <c r="M303" s="2">
        <f>('L-Values'!I303*'D(Ti_Cherniak) Times'!$F303*0.000001)^2/(4*'D(Ti_Cherniak) Times'!$C303)/(365.35*24*3600)</f>
        <v>126.70834756238118</v>
      </c>
      <c r="N303" s="2">
        <f>('L-Values'!J303*'D(Ti_Cherniak) Times'!$F303*0.000001)^2/(4*'D(Ti_Cherniak) Times'!$C303)/(365.35*24*3600)</f>
        <v>136.05378671825511</v>
      </c>
      <c r="O303" s="2">
        <f>('L-Values'!K303*'D(Ti_Cherniak) Times'!$F303*0.000001)^2/(4*'D(Ti_Cherniak) Times'!$C303)/(365.35*24*3600)</f>
        <v>147.78137950339516</v>
      </c>
      <c r="P303" s="2">
        <f>('L-Values'!L303*'D(Ti_Cherniak) Times'!$F303*0.000001)^2/(4*'D(Ti_Cherniak) Times'!$C303)/(365.35*24*3600)</f>
        <v>134.12477946094339</v>
      </c>
      <c r="Q303" s="2">
        <f>('L-Values'!M303*'D(Ti_Cherniak) Times'!$F303*0.000001)^2/(4*'D(Ti_Cherniak) Times'!$C303)/(365.35*24*3600)</f>
        <v>161.88019501478627</v>
      </c>
      <c r="R303" s="2">
        <f>('L-Values'!N303*'D(Ti_Cherniak) Times'!$F303*0.000001)^2/(4*'D(Ti_Cherniak) Times'!$C303)/(365.35*24*3600)</f>
        <v>211.29091794129562</v>
      </c>
      <c r="S303" s="2">
        <f>('L-Values'!O303*'D(Ti_Cherniak) Times'!$F303*0.000001)^2/(4*'D(Ti_Cherniak) Times'!$C303)/(365.35*24*3600)</f>
        <v>277.98505908082541</v>
      </c>
      <c r="T303" s="2"/>
      <c r="U303" s="2">
        <f>('L-Values'!Q303*'D(Ti_Cherniak) Times'!$F303*0.000001)^2/(4*'D(Ti_Cherniak) Times'!$C303)/(365.35*24*3600)</f>
        <v>164.19714710379847</v>
      </c>
      <c r="V303" s="2">
        <f>('L-Values'!R303*'D(Ti_Cherniak) Times'!$F303*0.000001)^2/(4*'D(Ti_Cherniak) Times'!$C303)/(365.35*24*3600)</f>
        <v>159.54588766998199</v>
      </c>
      <c r="W303" s="2">
        <f>('L-Values'!S303*'D(Ti_Cherniak) Times'!$F303*0.000001)^2/(4*'D(Ti_Cherniak) Times'!$C303)/(365.35*24*3600)</f>
        <v>147.78137950339516</v>
      </c>
      <c r="X303" s="2"/>
      <c r="Y303" s="2">
        <f>('L-Values'!U303*'D(Ti_Cherniak) Times'!$F303*0.000001)^2/(4*'D(Ti_Cherniak) Times'!$C303)/(365.35*24*3600)</f>
        <v>157.02442756586422</v>
      </c>
      <c r="Z303" s="2">
        <f>('L-Values'!V303*'D(Ti_Cherniak) Times'!$F303*0.000001)^2/(4*'D(Ti_Cherniak) Times'!$C303)/(365.35*24*3600)</f>
        <v>158.21596161973744</v>
      </c>
      <c r="AA303" s="2">
        <f>('L-Values'!W303*'D(Ti_Cherniak) Times'!$F303*0.000001)^2/(4*'D(Ti_Cherniak) Times'!$C303)/(365.35*24*3600)</f>
        <v>42.18579896375654</v>
      </c>
      <c r="AB303" s="2">
        <f>('L-Values'!X303*'D(Ti_Cherniak) Times'!$F303*0.000001)^2/(4*'D(Ti_Cherniak) Times'!$C303)/(365.35*24*3600)</f>
        <v>351.39394957063837</v>
      </c>
      <c r="AC303" s="2">
        <f t="shared" si="18"/>
        <v>116.0301626559809</v>
      </c>
      <c r="AD303" s="2">
        <f t="shared" si="19"/>
        <v>193.17798795090093</v>
      </c>
    </row>
    <row r="304" spans="1:30" x14ac:dyDescent="0.2">
      <c r="A304" t="str">
        <f>'L-Values'!A304</f>
        <v>CGI015-qtz04-CL-fit-1-offset</v>
      </c>
      <c r="B304">
        <v>750</v>
      </c>
      <c r="C304">
        <f t="shared" si="16"/>
        <v>8.0537892000481889E-22</v>
      </c>
      <c r="D304">
        <v>2000</v>
      </c>
      <c r="E304">
        <v>1024</v>
      </c>
      <c r="F304">
        <f t="shared" si="17"/>
        <v>1.953125</v>
      </c>
      <c r="I304" s="2">
        <f>('L-Values'!E304*'D(Ti_Cherniak) Times'!$F304*0.000001)^2/(4*'D(Ti_Cherniak) Times'!$C304)/(365.35*24*3600)</f>
        <v>685.60876825295145</v>
      </c>
      <c r="J304" s="2">
        <f>('L-Values'!F304*'D(Ti_Cherniak) Times'!$F304*0.000001)^2/(4*'D(Ti_Cherniak) Times'!$C304)/(365.35*24*3600)</f>
        <v>802.39141133056955</v>
      </c>
      <c r="K304" s="2">
        <f>('L-Values'!G304*'D(Ti_Cherniak) Times'!$F304*0.000001)^2/(4*'D(Ti_Cherniak) Times'!$C304)/(365.35*24*3600)</f>
        <v>933.22974852504319</v>
      </c>
      <c r="L304" s="2">
        <f>('L-Values'!H304*'D(Ti_Cherniak) Times'!$F304*0.000001)^2/(4*'D(Ti_Cherniak) Times'!$C304)/(365.35*24*3600)</f>
        <v>806.31678059860235</v>
      </c>
      <c r="M304" s="2">
        <f>('L-Values'!I304*'D(Ti_Cherniak) Times'!$F304*0.000001)^2/(4*'D(Ti_Cherniak) Times'!$C304)/(365.35*24*3600)</f>
        <v>740.98619360822295</v>
      </c>
      <c r="N304" s="2">
        <f>('L-Values'!J304*'D(Ti_Cherniak) Times'!$F304*0.000001)^2/(4*'D(Ti_Cherniak) Times'!$C304)/(365.35*24*3600)</f>
        <v>807.96347852294934</v>
      </c>
      <c r="O304" s="2">
        <f>('L-Values'!K304*'D(Ti_Cherniak) Times'!$F304*0.000001)^2/(4*'D(Ti_Cherniak) Times'!$C304)/(365.35*24*3600)</f>
        <v>803.30772496643476</v>
      </c>
      <c r="P304" s="2">
        <f>('L-Values'!L304*'D(Ti_Cherniak) Times'!$F304*0.000001)^2/(4*'D(Ti_Cherniak) Times'!$C304)/(365.35*24*3600)</f>
        <v>728.66064886890115</v>
      </c>
      <c r="Q304" s="2">
        <f>('L-Values'!M304*'D(Ti_Cherniak) Times'!$F304*0.000001)^2/(4*'D(Ti_Cherniak) Times'!$C304)/(365.35*24*3600)</f>
        <v>780.19010937599785</v>
      </c>
      <c r="R304" s="2">
        <f>('L-Values'!N304*'D(Ti_Cherniak) Times'!$F304*0.000001)^2/(4*'D(Ti_Cherniak) Times'!$C304)/(365.35*24*3600)</f>
        <v>796.11430932620465</v>
      </c>
      <c r="S304" s="2">
        <f>('L-Values'!O304*'D(Ti_Cherniak) Times'!$F304*0.000001)^2/(4*'D(Ti_Cherniak) Times'!$C304)/(365.35*24*3600)</f>
        <v>1044.1688800597437</v>
      </c>
      <c r="T304" s="2"/>
      <c r="U304" s="2">
        <f>('L-Values'!Q304*'D(Ti_Cherniak) Times'!$F304*0.000001)^2/(4*'D(Ti_Cherniak) Times'!$C304)/(365.35*24*3600)</f>
        <v>821.1027227073796</v>
      </c>
      <c r="V304" s="2">
        <f>('L-Values'!R304*'D(Ti_Cherniak) Times'!$F304*0.000001)^2/(4*'D(Ti_Cherniak) Times'!$C304)/(365.35*24*3600)</f>
        <v>809.13517026120121</v>
      </c>
      <c r="W304" s="2">
        <f>('L-Values'!S304*'D(Ti_Cherniak) Times'!$F304*0.000001)^2/(4*'D(Ti_Cherniak) Times'!$C304)/(365.35*24*3600)</f>
        <v>802.39141133056955</v>
      </c>
      <c r="X304" s="2"/>
      <c r="Y304" s="2">
        <f>('L-Values'!U304*'D(Ti_Cherniak) Times'!$F304*0.000001)^2/(4*'D(Ti_Cherniak) Times'!$C304)/(365.35*24*3600)</f>
        <v>800.73849441668278</v>
      </c>
      <c r="Z304" s="2">
        <f>('L-Values'!V304*'D(Ti_Cherniak) Times'!$F304*0.000001)^2/(4*'D(Ti_Cherniak) Times'!$C304)/(365.35*24*3600)</f>
        <v>811.99677329995745</v>
      </c>
      <c r="AA304" s="2">
        <f>('L-Values'!W304*'D(Ti_Cherniak) Times'!$F304*0.000001)^2/(4*'D(Ti_Cherniak) Times'!$C304)/(365.35*24*3600)</f>
        <v>535.27553648769083</v>
      </c>
      <c r="AB304" s="2">
        <f>('L-Values'!X304*'D(Ti_Cherniak) Times'!$F304*0.000001)^2/(4*'D(Ti_Cherniak) Times'!$C304)/(365.35*24*3600)</f>
        <v>1109.3933509506385</v>
      </c>
      <c r="AC304" s="2">
        <f t="shared" si="18"/>
        <v>276.72123681226662</v>
      </c>
      <c r="AD304" s="2">
        <f t="shared" si="19"/>
        <v>297.39657765068102</v>
      </c>
    </row>
    <row r="305" spans="1:30" x14ac:dyDescent="0.2">
      <c r="A305" t="str">
        <f>'L-Values'!A305</f>
        <v>CGI015-qtz04-CL-fit-2-offset</v>
      </c>
      <c r="B305">
        <v>750</v>
      </c>
      <c r="C305">
        <f t="shared" si="16"/>
        <v>8.0537892000481889E-22</v>
      </c>
      <c r="D305">
        <v>2000</v>
      </c>
      <c r="E305">
        <v>1024</v>
      </c>
      <c r="F305">
        <f t="shared" si="17"/>
        <v>1.953125</v>
      </c>
      <c r="I305" s="2">
        <f>('L-Values'!E305*'D(Ti_Cherniak) Times'!$F305*0.000001)^2/(4*'D(Ti_Cherniak) Times'!$C305)/(365.35*24*3600)</f>
        <v>487.24325174788288</v>
      </c>
      <c r="J305" s="2">
        <f>('L-Values'!F305*'D(Ti_Cherniak) Times'!$F305*0.000001)^2/(4*'D(Ti_Cherniak) Times'!$C305)/(365.35*24*3600)</f>
        <v>560.34175362433336</v>
      </c>
      <c r="K305" s="2">
        <f>('L-Values'!G305*'D(Ti_Cherniak) Times'!$F305*0.000001)^2/(4*'D(Ti_Cherniak) Times'!$C305)/(365.35*24*3600)</f>
        <v>482.20794379223776</v>
      </c>
      <c r="L305" s="2">
        <f>('L-Values'!H305*'D(Ti_Cherniak) Times'!$F305*0.000001)^2/(4*'D(Ti_Cherniak) Times'!$C305)/(365.35*24*3600)</f>
        <v>558.260896354431</v>
      </c>
      <c r="M305" s="2">
        <f>('L-Values'!I305*'D(Ti_Cherniak) Times'!$F305*0.000001)^2/(4*'D(Ti_Cherniak) Times'!$C305)/(365.35*24*3600)</f>
        <v>348.80832893156327</v>
      </c>
      <c r="N305" s="2">
        <f>('L-Values'!J305*'D(Ti_Cherniak) Times'!$F305*0.000001)^2/(4*'D(Ti_Cherniak) Times'!$C305)/(365.35*24*3600)</f>
        <v>515.61609438210201</v>
      </c>
      <c r="O305" s="2">
        <f>('L-Values'!K305*'D(Ti_Cherniak) Times'!$F305*0.000001)^2/(4*'D(Ti_Cherniak) Times'!$C305)/(365.35*24*3600)</f>
        <v>405.64004330092467</v>
      </c>
      <c r="P305" s="2">
        <f>('L-Values'!L305*'D(Ti_Cherniak) Times'!$F305*0.000001)^2/(4*'D(Ti_Cherniak) Times'!$C305)/(365.35*24*3600)</f>
        <v>667.52334342491099</v>
      </c>
      <c r="Q305" s="2">
        <f>('L-Values'!M305*'D(Ti_Cherniak) Times'!$F305*0.000001)^2/(4*'D(Ti_Cherniak) Times'!$C305)/(365.35*24*3600)</f>
        <v>502.65333635574183</v>
      </c>
      <c r="R305" s="2">
        <f>('L-Values'!N305*'D(Ti_Cherniak) Times'!$F305*0.000001)^2/(4*'D(Ti_Cherniak) Times'!$C305)/(365.35*24*3600)</f>
        <v>523.56289769759724</v>
      </c>
      <c r="S305" s="2">
        <f>('L-Values'!O305*'D(Ti_Cherniak) Times'!$F305*0.000001)^2/(4*'D(Ti_Cherniak) Times'!$C305)/(365.35*24*3600)</f>
        <v>269.53312280201686</v>
      </c>
      <c r="T305" s="2"/>
      <c r="U305" s="2">
        <f>('L-Values'!Q305*'D(Ti_Cherniak) Times'!$F305*0.000001)^2/(4*'D(Ti_Cherniak) Times'!$C305)/(365.35*24*3600)</f>
        <v>501.65125839912167</v>
      </c>
      <c r="V305" s="2">
        <f>('L-Values'!R305*'D(Ti_Cherniak) Times'!$F305*0.000001)^2/(4*'D(Ti_Cherniak) Times'!$C305)/(365.35*24*3600)</f>
        <v>477.66634045600995</v>
      </c>
      <c r="W305" s="2">
        <f>('L-Values'!S305*'D(Ti_Cherniak) Times'!$F305*0.000001)^2/(4*'D(Ti_Cherniak) Times'!$C305)/(365.35*24*3600)</f>
        <v>502.65333635574183</v>
      </c>
      <c r="X305" s="2"/>
      <c r="Y305" s="2">
        <f>('L-Values'!U305*'D(Ti_Cherniak) Times'!$F305*0.000001)^2/(4*'D(Ti_Cherniak) Times'!$C305)/(365.35*24*3600)</f>
        <v>494.60455362395436</v>
      </c>
      <c r="Z305" s="2">
        <f>('L-Values'!V305*'D(Ti_Cherniak) Times'!$F305*0.000001)^2/(4*'D(Ti_Cherniak) Times'!$C305)/(365.35*24*3600)</f>
        <v>503.23912339802263</v>
      </c>
      <c r="AA305" s="2">
        <f>('L-Values'!W305*'D(Ti_Cherniak) Times'!$F305*0.000001)^2/(4*'D(Ti_Cherniak) Times'!$C305)/(365.35*24*3600)</f>
        <v>230.21720887402535</v>
      </c>
      <c r="AB305" s="2">
        <f>('L-Values'!X305*'D(Ti_Cherniak) Times'!$F305*0.000001)^2/(4*'D(Ti_Cherniak) Times'!$C305)/(365.35*24*3600)</f>
        <v>886.71752558300579</v>
      </c>
      <c r="AC305" s="2">
        <f t="shared" si="18"/>
        <v>273.02191452399728</v>
      </c>
      <c r="AD305" s="2">
        <f t="shared" si="19"/>
        <v>383.47840218498317</v>
      </c>
    </row>
    <row r="306" spans="1:30" x14ac:dyDescent="0.2">
      <c r="A306" t="str">
        <f>'L-Values'!A306</f>
        <v>CGI015-qtz04-CL-fit-3-offset</v>
      </c>
      <c r="B306">
        <v>750</v>
      </c>
      <c r="C306">
        <f t="shared" si="16"/>
        <v>8.0537892000481889E-22</v>
      </c>
      <c r="D306">
        <v>2000</v>
      </c>
      <c r="E306">
        <v>1024</v>
      </c>
      <c r="F306">
        <f t="shared" si="17"/>
        <v>1.953125</v>
      </c>
      <c r="I306" s="2">
        <f>('L-Values'!E306*'D(Ti_Cherniak) Times'!$F306*0.000001)^2/(4*'D(Ti_Cherniak) Times'!$C306)/(365.35*24*3600)</f>
        <v>148.75905045291975</v>
      </c>
      <c r="J306" s="2">
        <f>('L-Values'!F306*'D(Ti_Cherniak) Times'!$F306*0.000001)^2/(4*'D(Ti_Cherniak) Times'!$C306)/(365.35*24*3600)</f>
        <v>74.473867425266448</v>
      </c>
      <c r="K306" s="2">
        <f>('L-Values'!G306*'D(Ti_Cherniak) Times'!$F306*0.000001)^2/(4*'D(Ti_Cherniak) Times'!$C306)/(365.35*24*3600)</f>
        <v>84.22033723035895</v>
      </c>
      <c r="L306" s="2">
        <f>('L-Values'!H306*'D(Ti_Cherniak) Times'!$F306*0.000001)^2/(4*'D(Ti_Cherniak) Times'!$C306)/(365.35*24*3600)</f>
        <v>67.642848987593069</v>
      </c>
      <c r="M306" s="2">
        <f>('L-Values'!I306*'D(Ti_Cherniak) Times'!$F306*0.000001)^2/(4*'D(Ti_Cherniak) Times'!$C306)/(365.35*24*3600)</f>
        <v>51.012699513466579</v>
      </c>
      <c r="N306" s="2">
        <f>('L-Values'!J306*'D(Ti_Cherniak) Times'!$F306*0.000001)^2/(4*'D(Ti_Cherniak) Times'!$C306)/(365.35*24*3600)</f>
        <v>144.77595393915394</v>
      </c>
      <c r="O306" s="2">
        <f>('L-Values'!K306*'D(Ti_Cherniak) Times'!$F306*0.000001)^2/(4*'D(Ti_Cherniak) Times'!$C306)/(365.35*24*3600)</f>
        <v>242.98708259834072</v>
      </c>
      <c r="P306" s="2">
        <f>('L-Values'!L306*'D(Ti_Cherniak) Times'!$F306*0.000001)^2/(4*'D(Ti_Cherniak) Times'!$C306)/(365.35*24*3600)</f>
        <v>115.39593674921106</v>
      </c>
      <c r="Q306" s="2">
        <f>('L-Values'!M306*'D(Ti_Cherniak) Times'!$F306*0.000001)^2/(4*'D(Ti_Cherniak) Times'!$C306)/(365.35*24*3600)</f>
        <v>207.50305747841512</v>
      </c>
      <c r="R306" s="2">
        <f>('L-Values'!N306*'D(Ti_Cherniak) Times'!$F306*0.000001)^2/(4*'D(Ti_Cherniak) Times'!$C306)/(365.35*24*3600)</f>
        <v>42.017101149432285</v>
      </c>
      <c r="S306" s="2">
        <f>('L-Values'!O306*'D(Ti_Cherniak) Times'!$F306*0.000001)^2/(4*'D(Ti_Cherniak) Times'!$C306)/(365.35*24*3600)</f>
        <v>80.179968891776682</v>
      </c>
      <c r="T306" s="2"/>
      <c r="U306" s="2">
        <f>('L-Values'!Q306*'D(Ti_Cherniak) Times'!$F306*0.000001)^2/(4*'D(Ti_Cherniak) Times'!$C306)/(365.35*24*3600)</f>
        <v>112.10175156887254</v>
      </c>
      <c r="V306" s="2">
        <f>('L-Values'!R306*'D(Ti_Cherniak) Times'!$F306*0.000001)^2/(4*'D(Ti_Cherniak) Times'!$C306)/(365.35*24*3600)</f>
        <v>106.60459084987932</v>
      </c>
      <c r="W306" s="2">
        <f>('L-Values'!S306*'D(Ti_Cherniak) Times'!$F306*0.000001)^2/(4*'D(Ti_Cherniak) Times'!$C306)/(365.35*24*3600)</f>
        <v>84.22033723035895</v>
      </c>
      <c r="X306" s="2"/>
      <c r="Y306" s="2">
        <f>('L-Values'!U306*'D(Ti_Cherniak) Times'!$F306*0.000001)^2/(4*'D(Ti_Cherniak) Times'!$C306)/(365.35*24*3600)</f>
        <v>104.23252127192886</v>
      </c>
      <c r="Z306" s="2">
        <f>('L-Values'!V306*'D(Ti_Cherniak) Times'!$F306*0.000001)^2/(4*'D(Ti_Cherniak) Times'!$C306)/(365.35*24*3600)</f>
        <v>100.17245560354748</v>
      </c>
      <c r="AA306" s="2">
        <f>('L-Values'!W306*'D(Ti_Cherniak) Times'!$F306*0.000001)^2/(4*'D(Ti_Cherniak) Times'!$C306)/(365.35*24*3600)</f>
        <v>2.5857122699181843</v>
      </c>
      <c r="AB306" s="2">
        <f>('L-Values'!X306*'D(Ti_Cherniak) Times'!$F306*0.000001)^2/(4*'D(Ti_Cherniak) Times'!$C306)/(365.35*24*3600)</f>
        <v>259.61287092249302</v>
      </c>
      <c r="AC306" s="2">
        <f t="shared" si="18"/>
        <v>97.586743333629286</v>
      </c>
      <c r="AD306" s="2">
        <f t="shared" si="19"/>
        <v>159.44041531894555</v>
      </c>
    </row>
    <row r="307" spans="1:30" x14ac:dyDescent="0.2">
      <c r="A307" t="str">
        <f>'L-Values'!A307</f>
        <v>CGI015-qtz04-CL-fit-4-offset</v>
      </c>
      <c r="B307">
        <v>750</v>
      </c>
      <c r="C307">
        <f t="shared" si="16"/>
        <v>8.0537892000481889E-22</v>
      </c>
      <c r="D307">
        <v>2000</v>
      </c>
      <c r="E307">
        <v>1024</v>
      </c>
      <c r="F307">
        <f t="shared" si="17"/>
        <v>1.953125</v>
      </c>
      <c r="I307" s="2">
        <f>('L-Values'!E307*'D(Ti_Cherniak) Times'!$F307*0.000001)^2/(4*'D(Ti_Cherniak) Times'!$C307)/(365.35*24*3600)</f>
        <v>101.65081876740574</v>
      </c>
      <c r="J307" s="2">
        <f>('L-Values'!F307*'D(Ti_Cherniak) Times'!$F307*0.000001)^2/(4*'D(Ti_Cherniak) Times'!$C307)/(365.35*24*3600)</f>
        <v>2.4943514306478711</v>
      </c>
      <c r="K307" s="2">
        <f>('L-Values'!G307*'D(Ti_Cherniak) Times'!$F307*0.000001)^2/(4*'D(Ti_Cherniak) Times'!$C307)/(365.35*24*3600)</f>
        <v>66.909148844295856</v>
      </c>
      <c r="L307" s="2">
        <f>('L-Values'!H307*'D(Ti_Cherniak) Times'!$F307*0.000001)^2/(4*'D(Ti_Cherniak) Times'!$C307)/(365.35*24*3600)</f>
        <v>52.76125620143457</v>
      </c>
      <c r="M307" s="2">
        <f>('L-Values'!I307*'D(Ti_Cherniak) Times'!$F307*0.000001)^2/(4*'D(Ti_Cherniak) Times'!$C307)/(365.35*24*3600)</f>
        <v>53.85580403636299</v>
      </c>
      <c r="N307" s="2">
        <f>('L-Values'!J307*'D(Ti_Cherniak) Times'!$F307*0.000001)^2/(4*'D(Ti_Cherniak) Times'!$C307)/(365.35*24*3600)</f>
        <v>89.657364161110877</v>
      </c>
      <c r="O307" s="2">
        <f>('L-Values'!K307*'D(Ti_Cherniak) Times'!$F307*0.000001)^2/(4*'D(Ti_Cherniak) Times'!$C307)/(365.35*24*3600)</f>
        <v>63.408749804247037</v>
      </c>
      <c r="P307" s="2">
        <f>('L-Values'!L307*'D(Ti_Cherniak) Times'!$F307*0.000001)^2/(4*'D(Ti_Cherniak) Times'!$C307)/(365.35*24*3600)</f>
        <v>0.84917817259207706</v>
      </c>
      <c r="Q307" s="2">
        <f>('L-Values'!M307*'D(Ti_Cherniak) Times'!$F307*0.000001)^2/(4*'D(Ti_Cherniak) Times'!$C307)/(365.35*24*3600)</f>
        <v>33.673177305468037</v>
      </c>
      <c r="R307" s="2">
        <f>('L-Values'!N307*'D(Ti_Cherniak) Times'!$F307*0.000001)^2/(4*'D(Ti_Cherniak) Times'!$C307)/(365.35*24*3600)</f>
        <v>60.180893755477165</v>
      </c>
      <c r="S307" s="2">
        <f>('L-Values'!O307*'D(Ti_Cherniak) Times'!$F307*0.000001)^2/(4*'D(Ti_Cherniak) Times'!$C307)/(365.35*24*3600)</f>
        <v>38.655512568918965</v>
      </c>
      <c r="T307" s="2"/>
      <c r="U307" s="2">
        <f>('L-Values'!Q307*'D(Ti_Cherniak) Times'!$F307*0.000001)^2/(4*'D(Ti_Cherniak) Times'!$C307)/(365.35*24*3600)</f>
        <v>61.806776621600036</v>
      </c>
      <c r="V307" s="2">
        <f>('L-Values'!R307*'D(Ti_Cherniak) Times'!$F307*0.000001)^2/(4*'D(Ti_Cherniak) Times'!$C307)/(365.35*24*3600)</f>
        <v>43.529739373057552</v>
      </c>
      <c r="W307" s="2">
        <f>('L-Values'!S307*'D(Ti_Cherniak) Times'!$F307*0.000001)^2/(4*'D(Ti_Cherniak) Times'!$C307)/(365.35*24*3600)</f>
        <v>53.85580403636299</v>
      </c>
      <c r="X307" s="2"/>
      <c r="Y307" s="2">
        <f>('L-Values'!U307*'D(Ti_Cherniak) Times'!$F307*0.000001)^2/(4*'D(Ti_Cherniak) Times'!$C307)/(365.35*24*3600)</f>
        <v>57.843291503128881</v>
      </c>
      <c r="Z307" s="2">
        <f>('L-Values'!V307*'D(Ti_Cherniak) Times'!$F307*0.000001)^2/(4*'D(Ti_Cherniak) Times'!$C307)/(365.35*24*3600)</f>
        <v>60.821350248890091</v>
      </c>
      <c r="AA307" s="2">
        <f>('L-Values'!W307*'D(Ti_Cherniak) Times'!$F307*0.000001)^2/(4*'D(Ti_Cherniak) Times'!$C307)/(365.35*24*3600)</f>
        <v>1.2922443304678328</v>
      </c>
      <c r="AB307" s="2">
        <f>('L-Values'!X307*'D(Ti_Cherniak) Times'!$F307*0.000001)^2/(4*'D(Ti_Cherniak) Times'!$C307)/(365.35*24*3600)</f>
        <v>518.32289981155054</v>
      </c>
      <c r="AC307" s="2">
        <f t="shared" si="18"/>
        <v>59.52910591842226</v>
      </c>
      <c r="AD307" s="2">
        <f t="shared" si="19"/>
        <v>457.50154956266044</v>
      </c>
    </row>
    <row r="308" spans="1:30" x14ac:dyDescent="0.2">
      <c r="A308" t="str">
        <f>'L-Values'!A308</f>
        <v>CGI015-qtz05-CL-fit-1-offset</v>
      </c>
      <c r="B308">
        <v>750</v>
      </c>
      <c r="C308">
        <f t="shared" si="16"/>
        <v>8.0537892000481889E-22</v>
      </c>
      <c r="D308">
        <v>1900</v>
      </c>
      <c r="E308">
        <v>1024</v>
      </c>
      <c r="F308">
        <f t="shared" si="17"/>
        <v>1.85546875</v>
      </c>
      <c r="I308" s="2">
        <f>('L-Values'!E308*'D(Ti_Cherniak) Times'!$F308*0.000001)^2/(4*'D(Ti_Cherniak) Times'!$C308)/(365.35*24*3600)</f>
        <v>2278.1952915986626</v>
      </c>
      <c r="J308" s="2">
        <f>('L-Values'!F308*'D(Ti_Cherniak) Times'!$F308*0.000001)^2/(4*'D(Ti_Cherniak) Times'!$C308)/(365.35*24*3600)</f>
        <v>1893.6487347982581</v>
      </c>
      <c r="K308" s="2">
        <f>('L-Values'!G308*'D(Ti_Cherniak) Times'!$F308*0.000001)^2/(4*'D(Ti_Cherniak) Times'!$C308)/(365.35*24*3600)</f>
        <v>3004.1310110893469</v>
      </c>
      <c r="L308" s="2">
        <f>('L-Values'!H308*'D(Ti_Cherniak) Times'!$F308*0.000001)^2/(4*'D(Ti_Cherniak) Times'!$C308)/(365.35*24*3600)</f>
        <v>2167.7055699088614</v>
      </c>
      <c r="M308" s="2">
        <f>('L-Values'!I308*'D(Ti_Cherniak) Times'!$F308*0.000001)^2/(4*'D(Ti_Cherniak) Times'!$C308)/(365.35*24*3600)</f>
        <v>2332.0529506407088</v>
      </c>
      <c r="N308" s="2">
        <f>('L-Values'!J308*'D(Ti_Cherniak) Times'!$F308*0.000001)^2/(4*'D(Ti_Cherniak) Times'!$C308)/(365.35*24*3600)</f>
        <v>1779.1175176159254</v>
      </c>
      <c r="O308" s="2">
        <f>('L-Values'!K308*'D(Ti_Cherniak) Times'!$F308*0.000001)^2/(4*'D(Ti_Cherniak) Times'!$C308)/(365.35*24*3600)</f>
        <v>3483.858777008068</v>
      </c>
      <c r="P308" s="2">
        <f>('L-Values'!L308*'D(Ti_Cherniak) Times'!$F308*0.000001)^2/(4*'D(Ti_Cherniak) Times'!$C308)/(365.35*24*3600)</f>
        <v>2117.5567900504275</v>
      </c>
      <c r="Q308" s="2">
        <f>('L-Values'!M308*'D(Ti_Cherniak) Times'!$F308*0.000001)^2/(4*'D(Ti_Cherniak) Times'!$C308)/(365.35*24*3600)</f>
        <v>1149.5948677357937</v>
      </c>
      <c r="R308" s="2">
        <f>('L-Values'!N308*'D(Ti_Cherniak) Times'!$F308*0.000001)^2/(4*'D(Ti_Cherniak) Times'!$C308)/(365.35*24*3600)</f>
        <v>866.82084362584453</v>
      </c>
      <c r="S308" s="2">
        <f>('L-Values'!O308*'D(Ti_Cherniak) Times'!$F308*0.000001)^2/(4*'D(Ti_Cherniak) Times'!$C308)/(365.35*24*3600)</f>
        <v>1759.4469816925657</v>
      </c>
      <c r="T308" s="2"/>
      <c r="U308" s="2">
        <f>('L-Values'!Q308*'D(Ti_Cherniak) Times'!$F308*0.000001)^2/(4*'D(Ti_Cherniak) Times'!$C308)/(365.35*24*3600)</f>
        <v>1920.1907194636151</v>
      </c>
      <c r="V308" s="2">
        <f>('L-Values'!R308*'D(Ti_Cherniak) Times'!$F308*0.000001)^2/(4*'D(Ti_Cherniak) Times'!$C308)/(365.35*24*3600)</f>
        <v>2012.0967679856692</v>
      </c>
      <c r="W308" s="2">
        <f>('L-Values'!S308*'D(Ti_Cherniak) Times'!$F308*0.000001)^2/(4*'D(Ti_Cherniak) Times'!$C308)/(365.35*24*3600)</f>
        <v>2117.5567900504275</v>
      </c>
      <c r="X308" s="2"/>
      <c r="Y308" s="2">
        <f>('L-Values'!U308*'D(Ti_Cherniak) Times'!$F308*0.000001)^2/(4*'D(Ti_Cherniak) Times'!$C308)/(365.35*24*3600)</f>
        <v>1892.7621471113637</v>
      </c>
      <c r="Z308" s="2">
        <f>('L-Values'!V308*'D(Ti_Cherniak) Times'!$F308*0.000001)^2/(4*'D(Ti_Cherniak) Times'!$C308)/(365.35*24*3600)</f>
        <v>1903.1486986731431</v>
      </c>
      <c r="AA308" s="2">
        <f>('L-Values'!W308*'D(Ti_Cherniak) Times'!$F308*0.000001)^2/(4*'D(Ti_Cherniak) Times'!$C308)/(365.35*24*3600)</f>
        <v>1218.2135868774556</v>
      </c>
      <c r="AB308" s="2">
        <f>('L-Values'!X308*'D(Ti_Cherniak) Times'!$F308*0.000001)^2/(4*'D(Ti_Cherniak) Times'!$C308)/(365.35*24*3600)</f>
        <v>2864.1327768659608</v>
      </c>
      <c r="AC308" s="2">
        <f t="shared" si="18"/>
        <v>684.93511179568759</v>
      </c>
      <c r="AD308" s="2">
        <f t="shared" si="19"/>
        <v>960.98407819281761</v>
      </c>
    </row>
    <row r="309" spans="1:30" x14ac:dyDescent="0.2">
      <c r="A309" t="str">
        <f>'L-Values'!A309</f>
        <v>CGI015-qtz05-CL-fit-2-offset</v>
      </c>
      <c r="B309">
        <v>750</v>
      </c>
      <c r="C309">
        <f t="shared" si="16"/>
        <v>8.0537892000481889E-22</v>
      </c>
      <c r="D309">
        <v>1900</v>
      </c>
      <c r="E309">
        <v>1024</v>
      </c>
      <c r="F309">
        <f t="shared" si="17"/>
        <v>1.85546875</v>
      </c>
      <c r="I309" s="2">
        <f>('L-Values'!E309*'D(Ti_Cherniak) Times'!$F309*0.000001)^2/(4*'D(Ti_Cherniak) Times'!$C309)/(365.35*24*3600)</f>
        <v>301.03321699178906</v>
      </c>
      <c r="J309" s="2">
        <f>('L-Values'!F309*'D(Ti_Cherniak) Times'!$F309*0.000001)^2/(4*'D(Ti_Cherniak) Times'!$C309)/(365.35*24*3600)</f>
        <v>280.71944225089021</v>
      </c>
      <c r="K309" s="2">
        <f>('L-Values'!G309*'D(Ti_Cherniak) Times'!$F309*0.000001)^2/(4*'D(Ti_Cherniak) Times'!$C309)/(365.35*24*3600)</f>
        <v>281.08957960438221</v>
      </c>
      <c r="L309" s="2">
        <f>('L-Values'!H309*'D(Ti_Cherniak) Times'!$F309*0.000001)^2/(4*'D(Ti_Cherniak) Times'!$C309)/(365.35*24*3600)</f>
        <v>295.12009706163411</v>
      </c>
      <c r="M309" s="2">
        <f>('L-Values'!I309*'D(Ti_Cherniak) Times'!$F309*0.000001)^2/(4*'D(Ti_Cherniak) Times'!$C309)/(365.35*24*3600)</f>
        <v>306.93904714491504</v>
      </c>
      <c r="N309" s="2">
        <f>('L-Values'!J309*'D(Ti_Cherniak) Times'!$F309*0.000001)^2/(4*'D(Ti_Cherniak) Times'!$C309)/(365.35*24*3600)</f>
        <v>364.46633277966549</v>
      </c>
      <c r="O309" s="2">
        <f>('L-Values'!K309*'D(Ti_Cherniak) Times'!$F309*0.000001)^2/(4*'D(Ti_Cherniak) Times'!$C309)/(365.35*24*3600)</f>
        <v>467.07953917919355</v>
      </c>
      <c r="P309" s="2">
        <f>('L-Values'!L309*'D(Ti_Cherniak) Times'!$F309*0.000001)^2/(4*'D(Ti_Cherniak) Times'!$C309)/(365.35*24*3600)</f>
        <v>361.23517082161862</v>
      </c>
      <c r="Q309" s="2">
        <f>('L-Values'!M309*'D(Ti_Cherniak) Times'!$F309*0.000001)^2/(4*'D(Ti_Cherniak) Times'!$C309)/(365.35*24*3600)</f>
        <v>433.26594561081788</v>
      </c>
      <c r="R309" s="2">
        <f>('L-Values'!N309*'D(Ti_Cherniak) Times'!$F309*0.000001)^2/(4*'D(Ti_Cherniak) Times'!$C309)/(365.35*24*3600)</f>
        <v>208.8920889026256</v>
      </c>
      <c r="S309" s="2">
        <f>('L-Values'!O309*'D(Ti_Cherniak) Times'!$F309*0.000001)^2/(4*'D(Ti_Cherniak) Times'!$C309)/(365.35*24*3600)</f>
        <v>289.07586372446008</v>
      </c>
      <c r="T309" s="2"/>
      <c r="U309" s="2">
        <f>('L-Values'!Q309*'D(Ti_Cherniak) Times'!$F309*0.000001)^2/(4*'D(Ti_Cherniak) Times'!$C309)/(365.35*24*3600)</f>
        <v>320.07959191612804</v>
      </c>
      <c r="V309" s="2">
        <f>('L-Values'!R309*'D(Ti_Cherniak) Times'!$F309*0.000001)^2/(4*'D(Ti_Cherniak) Times'!$C309)/(365.35*24*3600)</f>
        <v>322.52580961923007</v>
      </c>
      <c r="W309" s="2">
        <f>('L-Values'!S309*'D(Ti_Cherniak) Times'!$F309*0.000001)^2/(4*'D(Ti_Cherniak) Times'!$C309)/(365.35*24*3600)</f>
        <v>301.03321699178906</v>
      </c>
      <c r="X309" s="2"/>
      <c r="Y309" s="2">
        <f>('L-Values'!U309*'D(Ti_Cherniak) Times'!$F309*0.000001)^2/(4*'D(Ti_Cherniak) Times'!$C309)/(365.35*24*3600)</f>
        <v>308.27099590730427</v>
      </c>
      <c r="Z309" s="2">
        <f>('L-Values'!V309*'D(Ti_Cherniak) Times'!$F309*0.000001)^2/(4*'D(Ti_Cherniak) Times'!$C309)/(365.35*24*3600)</f>
        <v>307.81823344675752</v>
      </c>
      <c r="AA309" s="2">
        <f>('L-Values'!W309*'D(Ti_Cherniak) Times'!$F309*0.000001)^2/(4*'D(Ti_Cherniak) Times'!$C309)/(365.35*24*3600)</f>
        <v>188.34618149363291</v>
      </c>
      <c r="AB309" s="2">
        <f>('L-Values'!X309*'D(Ti_Cherniak) Times'!$F309*0.000001)^2/(4*'D(Ti_Cherniak) Times'!$C309)/(365.35*24*3600)</f>
        <v>482.77566657848882</v>
      </c>
      <c r="AC309" s="2">
        <f t="shared" si="18"/>
        <v>119.47205195312461</v>
      </c>
      <c r="AD309" s="2">
        <f t="shared" si="19"/>
        <v>174.95743313173131</v>
      </c>
    </row>
    <row r="310" spans="1:30" x14ac:dyDescent="0.2">
      <c r="A310" t="str">
        <f>'L-Values'!A310</f>
        <v>CGI015-qtz05-CL-fit-3-offset</v>
      </c>
      <c r="B310">
        <v>750</v>
      </c>
      <c r="C310">
        <f t="shared" si="16"/>
        <v>8.0537892000481889E-22</v>
      </c>
      <c r="D310">
        <v>1900</v>
      </c>
      <c r="E310">
        <v>1024</v>
      </c>
      <c r="F310">
        <f t="shared" si="17"/>
        <v>1.85546875</v>
      </c>
      <c r="I310" s="2">
        <f>('L-Values'!E310*'D(Ti_Cherniak) Times'!$F310*0.000001)^2/(4*'D(Ti_Cherniak) Times'!$C310)/(365.35*24*3600)</f>
        <v>246.08217177432974</v>
      </c>
      <c r="J310" s="2">
        <f>('L-Values'!F310*'D(Ti_Cherniak) Times'!$F310*0.000001)^2/(4*'D(Ti_Cherniak) Times'!$C310)/(365.35*24*3600)</f>
        <v>216.71782934203461</v>
      </c>
      <c r="K310" s="2">
        <f>('L-Values'!G310*'D(Ti_Cherniak) Times'!$F310*0.000001)^2/(4*'D(Ti_Cherniak) Times'!$C310)/(365.35*24*3600)</f>
        <v>167.26828217108277</v>
      </c>
      <c r="L310" s="2">
        <f>('L-Values'!H310*'D(Ti_Cherniak) Times'!$F310*0.000001)^2/(4*'D(Ti_Cherniak) Times'!$C310)/(365.35*24*3600)</f>
        <v>84.265000424325194</v>
      </c>
      <c r="M310" s="2">
        <f>('L-Values'!I310*'D(Ti_Cherniak) Times'!$F310*0.000001)^2/(4*'D(Ti_Cherniak) Times'!$C310)/(365.35*24*3600)</f>
        <v>40.643125073328676</v>
      </c>
      <c r="N310" s="2">
        <f>('L-Values'!J310*'D(Ti_Cherniak) Times'!$F310*0.000001)^2/(4*'D(Ti_Cherniak) Times'!$C310)/(365.35*24*3600)</f>
        <v>48.277488930380315</v>
      </c>
      <c r="O310" s="2">
        <f>('L-Values'!K310*'D(Ti_Cherniak) Times'!$F310*0.000001)^2/(4*'D(Ti_Cherniak) Times'!$C310)/(365.35*24*3600)</f>
        <v>163.04513291158827</v>
      </c>
      <c r="P310" s="2">
        <f>('L-Values'!L310*'D(Ti_Cherniak) Times'!$F310*0.000001)^2/(4*'D(Ti_Cherniak) Times'!$C310)/(365.35*24*3600)</f>
        <v>142.00168912523094</v>
      </c>
      <c r="Q310" s="2">
        <f>('L-Values'!M310*'D(Ti_Cherniak) Times'!$F310*0.000001)^2/(4*'D(Ti_Cherniak) Times'!$C310)/(365.35*24*3600)</f>
        <v>44.355385129870292</v>
      </c>
      <c r="R310" s="2">
        <f>('L-Values'!N310*'D(Ti_Cherniak) Times'!$F310*0.000001)^2/(4*'D(Ti_Cherniak) Times'!$C310)/(365.35*24*3600)</f>
        <v>76.140863398307147</v>
      </c>
      <c r="S310" s="2">
        <f>('L-Values'!O310*'D(Ti_Cherniak) Times'!$F310*0.000001)^2/(4*'D(Ti_Cherniak) Times'!$C310)/(365.35*24*3600)</f>
        <v>38.548084875663569</v>
      </c>
      <c r="T310" s="2"/>
      <c r="U310" s="2">
        <f>('L-Values'!Q310*'D(Ti_Cherniak) Times'!$F310*0.000001)^2/(4*'D(Ti_Cherniak) Times'!$C310)/(365.35*24*3600)</f>
        <v>109.62754403461172</v>
      </c>
      <c r="V310" s="2">
        <f>('L-Values'!R310*'D(Ti_Cherniak) Times'!$F310*0.000001)^2/(4*'D(Ti_Cherniak) Times'!$C310)/(365.35*24*3600)</f>
        <v>103.90000954236588</v>
      </c>
      <c r="W310" s="2">
        <f>('L-Values'!S310*'D(Ti_Cherniak) Times'!$F310*0.000001)^2/(4*'D(Ti_Cherniak) Times'!$C310)/(365.35*24*3600)</f>
        <v>84.265000424325194</v>
      </c>
      <c r="X310" s="2"/>
      <c r="Y310" s="2">
        <f>('L-Values'!U310*'D(Ti_Cherniak) Times'!$F310*0.000001)^2/(4*'D(Ti_Cherniak) Times'!$C310)/(365.35*24*3600)</f>
        <v>105.82631388074832</v>
      </c>
      <c r="Z310" s="2">
        <f>('L-Values'!V310*'D(Ti_Cherniak) Times'!$F310*0.000001)^2/(4*'D(Ti_Cherniak) Times'!$C310)/(365.35*24*3600)</f>
        <v>100.98150604368081</v>
      </c>
      <c r="AA310" s="2">
        <f>('L-Values'!W310*'D(Ti_Cherniak) Times'!$F310*0.000001)^2/(4*'D(Ti_Cherniak) Times'!$C310)/(365.35*24*3600)</f>
        <v>2.6243362697200912</v>
      </c>
      <c r="AB310" s="2">
        <f>('L-Values'!X310*'D(Ti_Cherniak) Times'!$F310*0.000001)^2/(4*'D(Ti_Cherniak) Times'!$C310)/(365.35*24*3600)</f>
        <v>231.66384860507941</v>
      </c>
      <c r="AC310" s="2">
        <f t="shared" si="18"/>
        <v>98.35716977396072</v>
      </c>
      <c r="AD310" s="2">
        <f t="shared" si="19"/>
        <v>130.6823425613986</v>
      </c>
    </row>
    <row r="311" spans="1:30" x14ac:dyDescent="0.2">
      <c r="A311" t="str">
        <f>'L-Values'!A311</f>
        <v>CGI015-qtz05-CL-fit-4-offset</v>
      </c>
      <c r="B311">
        <v>750</v>
      </c>
      <c r="C311">
        <f t="shared" si="16"/>
        <v>8.0537892000481889E-22</v>
      </c>
      <c r="D311">
        <v>1900</v>
      </c>
      <c r="E311">
        <v>1024</v>
      </c>
      <c r="F311">
        <f t="shared" si="17"/>
        <v>1.85546875</v>
      </c>
      <c r="I311" s="2">
        <f>('L-Values'!E311*'D(Ti_Cherniak) Times'!$F311*0.000001)^2/(4*'D(Ti_Cherniak) Times'!$C311)/(365.35*24*3600)</f>
        <v>167.06313509247306</v>
      </c>
      <c r="J311" s="2">
        <f>('L-Values'!F311*'D(Ti_Cherniak) Times'!$F311*0.000001)^2/(4*'D(Ti_Cherniak) Times'!$C311)/(365.35*24*3600)</f>
        <v>207.35831986135346</v>
      </c>
      <c r="K311" s="2">
        <f>('L-Values'!G311*'D(Ti_Cherniak) Times'!$F311*0.000001)^2/(4*'D(Ti_Cherniak) Times'!$C311)/(365.35*24*3600)</f>
        <v>233.35940327195499</v>
      </c>
      <c r="L311" s="2">
        <f>('L-Values'!H311*'D(Ti_Cherniak) Times'!$F311*0.000001)^2/(4*'D(Ti_Cherniak) Times'!$C311)/(365.35*24*3600)</f>
        <v>212.94870059891736</v>
      </c>
      <c r="M311" s="2">
        <f>('L-Values'!I311*'D(Ti_Cherniak) Times'!$F311*0.000001)^2/(4*'D(Ti_Cherniak) Times'!$C311)/(365.35*24*3600)</f>
        <v>104.47210670426071</v>
      </c>
      <c r="N311" s="2">
        <f>('L-Values'!J311*'D(Ti_Cherniak) Times'!$F311*0.000001)^2/(4*'D(Ti_Cherniak) Times'!$C311)/(365.35*24*3600)</f>
        <v>159.03997636334074</v>
      </c>
      <c r="O311" s="2">
        <f>('L-Values'!K311*'D(Ti_Cherniak) Times'!$F311*0.000001)^2/(4*'D(Ti_Cherniak) Times'!$C311)/(365.35*24*3600)</f>
        <v>66.637802301437233</v>
      </c>
      <c r="P311" s="2">
        <f>('L-Values'!L311*'D(Ti_Cherniak) Times'!$F311*0.000001)^2/(4*'D(Ti_Cherniak) Times'!$C311)/(365.35*24*3600)</f>
        <v>23.875006450351361</v>
      </c>
      <c r="Q311" s="2">
        <f>('L-Values'!M311*'D(Ti_Cherniak) Times'!$F311*0.000001)^2/(4*'D(Ti_Cherniak) Times'!$C311)/(365.35*24*3600)</f>
        <v>204.42589641853004</v>
      </c>
      <c r="R311" s="2">
        <f>('L-Values'!N311*'D(Ti_Cherniak) Times'!$F311*0.000001)^2/(4*'D(Ti_Cherniak) Times'!$C311)/(365.35*24*3600)</f>
        <v>122.50996069748955</v>
      </c>
      <c r="S311" s="2">
        <f>('L-Values'!O311*'D(Ti_Cherniak) Times'!$F311*0.000001)^2/(4*'D(Ti_Cherniak) Times'!$C311)/(365.35*24*3600)</f>
        <v>36.426499983024684</v>
      </c>
      <c r="T311" s="2"/>
      <c r="U311" s="2">
        <f>('L-Values'!Q311*'D(Ti_Cherniak) Times'!$F311*0.000001)^2/(4*'D(Ti_Cherniak) Times'!$C311)/(365.35*24*3600)</f>
        <v>126.77628652612545</v>
      </c>
      <c r="V311" s="2">
        <f>('L-Values'!R311*'D(Ti_Cherniak) Times'!$F311*0.000001)^2/(4*'D(Ti_Cherniak) Times'!$C311)/(365.35*24*3600)</f>
        <v>128.0547072071605</v>
      </c>
      <c r="W311" s="2">
        <f>('L-Values'!S311*'D(Ti_Cherniak) Times'!$F311*0.000001)^2/(4*'D(Ti_Cherniak) Times'!$C311)/(365.35*24*3600)</f>
        <v>159.03997636334074</v>
      </c>
      <c r="X311" s="2"/>
      <c r="Y311" s="2">
        <f>('L-Values'!U311*'D(Ti_Cherniak) Times'!$F311*0.000001)^2/(4*'D(Ti_Cherniak) Times'!$C311)/(365.35*24*3600)</f>
        <v>119.97440325658327</v>
      </c>
      <c r="Z311" s="2">
        <f>('L-Values'!V311*'D(Ti_Cherniak) Times'!$F311*0.000001)^2/(4*'D(Ti_Cherniak) Times'!$C311)/(365.35*24*3600)</f>
        <v>113.29092075361821</v>
      </c>
      <c r="AA311" s="2">
        <f>('L-Values'!W311*'D(Ti_Cherniak) Times'!$F311*0.000001)^2/(4*'D(Ti_Cherniak) Times'!$C311)/(365.35*24*3600)</f>
        <v>1.8238996905869829</v>
      </c>
      <c r="AB311" s="2">
        <f>('L-Values'!X311*'D(Ti_Cherniak) Times'!$F311*0.000001)^2/(4*'D(Ti_Cherniak) Times'!$C311)/(365.35*24*3600)</f>
        <v>336.2371524865772</v>
      </c>
      <c r="AC311" s="2">
        <f t="shared" si="18"/>
        <v>111.46702106303123</v>
      </c>
      <c r="AD311" s="2">
        <f t="shared" si="19"/>
        <v>222.94623173295901</v>
      </c>
    </row>
    <row r="312" spans="1:30" x14ac:dyDescent="0.2">
      <c r="A312" t="str">
        <f>'L-Values'!A312</f>
        <v>CGI015-qtz06-CL-fit-1-offset</v>
      </c>
      <c r="B312">
        <v>750</v>
      </c>
      <c r="C312">
        <f t="shared" si="16"/>
        <v>8.0537892000481889E-22</v>
      </c>
      <c r="D312">
        <v>1700</v>
      </c>
      <c r="E312">
        <v>1024</v>
      </c>
      <c r="F312">
        <f t="shared" si="17"/>
        <v>1.66015625</v>
      </c>
      <c r="I312" s="2">
        <f>('L-Values'!E312*'D(Ti_Cherniak) Times'!$F312*0.000001)^2/(4*'D(Ti_Cherniak) Times'!$C312)/(365.35*24*3600)</f>
        <v>795.91816990668337</v>
      </c>
      <c r="J312" s="2">
        <f>('L-Values'!F312*'D(Ti_Cherniak) Times'!$F312*0.000001)^2/(4*'D(Ti_Cherniak) Times'!$C312)/(365.35*24*3600)</f>
        <v>867.12477250334211</v>
      </c>
      <c r="K312" s="2">
        <f>('L-Values'!G312*'D(Ti_Cherniak) Times'!$F312*0.000001)^2/(4*'D(Ti_Cherniak) Times'!$C312)/(365.35*24*3600)</f>
        <v>673.8498758310368</v>
      </c>
      <c r="L312" s="2">
        <f>('L-Values'!H312*'D(Ti_Cherniak) Times'!$F312*0.000001)^2/(4*'D(Ti_Cherniak) Times'!$C312)/(365.35*24*3600)</f>
        <v>1071.6326811826286</v>
      </c>
      <c r="M312" s="2">
        <f>('L-Values'!I312*'D(Ti_Cherniak) Times'!$F312*0.000001)^2/(4*'D(Ti_Cherniak) Times'!$C312)/(365.35*24*3600)</f>
        <v>1263.4916316188182</v>
      </c>
      <c r="N312" s="2">
        <f>('L-Values'!J312*'D(Ti_Cherniak) Times'!$F312*0.000001)^2/(4*'D(Ti_Cherniak) Times'!$C312)/(365.35*24*3600)</f>
        <v>970.04309401893431</v>
      </c>
      <c r="O312" s="2">
        <f>('L-Values'!K312*'D(Ti_Cherniak) Times'!$F312*0.000001)^2/(4*'D(Ti_Cherniak) Times'!$C312)/(365.35*24*3600)</f>
        <v>943.0982186509093</v>
      </c>
      <c r="P312" s="2">
        <f>('L-Values'!L312*'D(Ti_Cherniak) Times'!$F312*0.000001)^2/(4*'D(Ti_Cherniak) Times'!$C312)/(365.35*24*3600)</f>
        <v>749.5002740594889</v>
      </c>
      <c r="Q312" s="2">
        <f>('L-Values'!M312*'D(Ti_Cherniak) Times'!$F312*0.000001)^2/(4*'D(Ti_Cherniak) Times'!$C312)/(365.35*24*3600)</f>
        <v>633.80034830202214</v>
      </c>
      <c r="R312" s="2">
        <f>('L-Values'!N312*'D(Ti_Cherniak) Times'!$F312*0.000001)^2/(4*'D(Ti_Cherniak) Times'!$C312)/(365.35*24*3600)</f>
        <v>1276.9755130945632</v>
      </c>
      <c r="S312" s="2">
        <f>('L-Values'!O312*'D(Ti_Cherniak) Times'!$F312*0.000001)^2/(4*'D(Ti_Cherniak) Times'!$C312)/(365.35*24*3600)</f>
        <v>1394.5124812207953</v>
      </c>
      <c r="T312" s="2"/>
      <c r="U312" s="2">
        <f>('L-Values'!Q312*'D(Ti_Cherniak) Times'!$F312*0.000001)^2/(4*'D(Ti_Cherniak) Times'!$C312)/(365.35*24*3600)</f>
        <v>928.76724878330936</v>
      </c>
      <c r="V312" s="2">
        <f>('L-Values'!R312*'D(Ti_Cherniak) Times'!$F312*0.000001)^2/(4*'D(Ti_Cherniak) Times'!$C312)/(365.35*24*3600)</f>
        <v>951.91787882242352</v>
      </c>
      <c r="W312" s="2">
        <f>('L-Values'!S312*'D(Ti_Cherniak) Times'!$F312*0.000001)^2/(4*'D(Ti_Cherniak) Times'!$C312)/(365.35*24*3600)</f>
        <v>943.0982186509093</v>
      </c>
      <c r="X312" s="2"/>
      <c r="Y312" s="2">
        <f>('L-Values'!U312*'D(Ti_Cherniak) Times'!$F312*0.000001)^2/(4*'D(Ti_Cherniak) Times'!$C312)/(365.35*24*3600)</f>
        <v>916.80699354515218</v>
      </c>
      <c r="Z312" s="2">
        <f>('L-Values'!V312*'D(Ti_Cherniak) Times'!$F312*0.000001)^2/(4*'D(Ti_Cherniak) Times'!$C312)/(365.35*24*3600)</f>
        <v>936.3809227408135</v>
      </c>
      <c r="AA312" s="2">
        <f>('L-Values'!W312*'D(Ti_Cherniak) Times'!$F312*0.000001)^2/(4*'D(Ti_Cherniak) Times'!$C312)/(365.35*24*3600)</f>
        <v>523.09726739284315</v>
      </c>
      <c r="AB312" s="2">
        <f>('L-Values'!X312*'D(Ti_Cherniak) Times'!$F312*0.000001)^2/(4*'D(Ti_Cherniak) Times'!$C312)/(365.35*24*3600)</f>
        <v>1542.5390590265692</v>
      </c>
      <c r="AC312" s="2">
        <f t="shared" si="18"/>
        <v>413.28365534797035</v>
      </c>
      <c r="AD312" s="2">
        <f t="shared" si="19"/>
        <v>606.15813628575575</v>
      </c>
    </row>
    <row r="313" spans="1:30" x14ac:dyDescent="0.2">
      <c r="A313" t="str">
        <f>'L-Values'!A313</f>
        <v>CGI015-qtz06-CL-fit-2-offset</v>
      </c>
      <c r="B313">
        <v>750</v>
      </c>
      <c r="C313">
        <f t="shared" si="16"/>
        <v>8.0537892000481889E-22</v>
      </c>
      <c r="D313">
        <v>1700</v>
      </c>
      <c r="E313">
        <v>1024</v>
      </c>
      <c r="F313">
        <f t="shared" si="17"/>
        <v>1.66015625</v>
      </c>
      <c r="I313" s="2">
        <f>('L-Values'!E313*'D(Ti_Cherniak) Times'!$F313*0.000001)^2/(4*'D(Ti_Cherniak) Times'!$C313)/(365.35*24*3600)</f>
        <v>769.15540018414151</v>
      </c>
      <c r="J313" s="2">
        <f>('L-Values'!F313*'D(Ti_Cherniak) Times'!$F313*0.000001)^2/(4*'D(Ti_Cherniak) Times'!$C313)/(365.35*24*3600)</f>
        <v>396.39893295663092</v>
      </c>
      <c r="K313" s="2">
        <f>('L-Values'!G313*'D(Ti_Cherniak) Times'!$F313*0.000001)^2/(4*'D(Ti_Cherniak) Times'!$C313)/(365.35*24*3600)</f>
        <v>553.78618698089758</v>
      </c>
      <c r="L313" s="2">
        <f>('L-Values'!H313*'D(Ti_Cherniak) Times'!$F313*0.000001)^2/(4*'D(Ti_Cherniak) Times'!$C313)/(365.35*24*3600)</f>
        <v>518.03412520036818</v>
      </c>
      <c r="M313" s="2">
        <f>('L-Values'!I313*'D(Ti_Cherniak) Times'!$F313*0.000001)^2/(4*'D(Ti_Cherniak) Times'!$C313)/(365.35*24*3600)</f>
        <v>555.26606219825635</v>
      </c>
      <c r="N313" s="2">
        <f>('L-Values'!J313*'D(Ti_Cherniak) Times'!$F313*0.000001)^2/(4*'D(Ti_Cherniak) Times'!$C313)/(365.35*24*3600)</f>
        <v>684.1862636181985</v>
      </c>
      <c r="O313" s="2">
        <f>('L-Values'!K313*'D(Ti_Cherniak) Times'!$F313*0.000001)^2/(4*'D(Ti_Cherniak) Times'!$C313)/(365.35*24*3600)</f>
        <v>325.78236080881538</v>
      </c>
      <c r="P313" s="2">
        <f>('L-Values'!L313*'D(Ti_Cherniak) Times'!$F313*0.000001)^2/(4*'D(Ti_Cherniak) Times'!$C313)/(365.35*24*3600)</f>
        <v>377.18111523058843</v>
      </c>
      <c r="Q313" s="2">
        <f>('L-Values'!M313*'D(Ti_Cherniak) Times'!$F313*0.000001)^2/(4*'D(Ti_Cherniak) Times'!$C313)/(365.35*24*3600)</f>
        <v>256.59574069171617</v>
      </c>
      <c r="R313" s="2">
        <f>('L-Values'!N313*'D(Ti_Cherniak) Times'!$F313*0.000001)^2/(4*'D(Ti_Cherniak) Times'!$C313)/(365.35*24*3600)</f>
        <v>500.39501953514673</v>
      </c>
      <c r="S313" s="2">
        <f>('L-Values'!O313*'D(Ti_Cherniak) Times'!$F313*0.000001)^2/(4*'D(Ti_Cherniak) Times'!$C313)/(365.35*24*3600)</f>
        <v>389.27330838539433</v>
      </c>
      <c r="T313" s="2"/>
      <c r="U313" s="2">
        <f>('L-Values'!Q313*'D(Ti_Cherniak) Times'!$F313*0.000001)^2/(4*'D(Ti_Cherniak) Times'!$C313)/(365.35*24*3600)</f>
        <v>472.87932168796169</v>
      </c>
      <c r="V313" s="2">
        <f>('L-Values'!R313*'D(Ti_Cherniak) Times'!$F313*0.000001)^2/(4*'D(Ti_Cherniak) Times'!$C313)/(365.35*24*3600)</f>
        <v>473.04749367362803</v>
      </c>
      <c r="W313" s="2">
        <f>('L-Values'!S313*'D(Ti_Cherniak) Times'!$F313*0.000001)^2/(4*'D(Ti_Cherniak) Times'!$C313)/(365.35*24*3600)</f>
        <v>500.39501953514673</v>
      </c>
      <c r="X313" s="2"/>
      <c r="Y313" s="2">
        <f>('L-Values'!U313*'D(Ti_Cherniak) Times'!$F313*0.000001)^2/(4*'D(Ti_Cherniak) Times'!$C313)/(365.35*24*3600)</f>
        <v>464.45650793461186</v>
      </c>
      <c r="Z313" s="2">
        <f>('L-Values'!V313*'D(Ti_Cherniak) Times'!$F313*0.000001)^2/(4*'D(Ti_Cherniak) Times'!$C313)/(365.35*24*3600)</f>
        <v>459.95307194703719</v>
      </c>
      <c r="AA313" s="2">
        <f>('L-Values'!W313*'D(Ti_Cherniak) Times'!$F313*0.000001)^2/(4*'D(Ti_Cherniak) Times'!$C313)/(365.35*24*3600)</f>
        <v>227.72919728287991</v>
      </c>
      <c r="AB313" s="2">
        <f>('L-Values'!X313*'D(Ti_Cherniak) Times'!$F313*0.000001)^2/(4*'D(Ti_Cherniak) Times'!$C313)/(365.35*24*3600)</f>
        <v>719.06163355166348</v>
      </c>
      <c r="AC313" s="2">
        <f t="shared" si="18"/>
        <v>232.22387466415728</v>
      </c>
      <c r="AD313" s="2">
        <f t="shared" si="19"/>
        <v>259.10856160462629</v>
      </c>
    </row>
    <row r="314" spans="1:30" x14ac:dyDescent="0.2">
      <c r="A314" t="str">
        <f>'L-Values'!A314</f>
        <v>CGI015-qtz06-CL-fit-3-offset</v>
      </c>
      <c r="B314">
        <v>750</v>
      </c>
      <c r="C314">
        <f t="shared" si="16"/>
        <v>8.0537892000481889E-22</v>
      </c>
      <c r="D314">
        <v>1700</v>
      </c>
      <c r="E314">
        <v>1024</v>
      </c>
      <c r="F314">
        <f t="shared" si="17"/>
        <v>1.66015625</v>
      </c>
      <c r="I314" s="2">
        <f>('L-Values'!E314*'D(Ti_Cherniak) Times'!$F314*0.000001)^2/(4*'D(Ti_Cherniak) Times'!$C314)/(365.35*24*3600)</f>
        <v>0.92660546423041001</v>
      </c>
      <c r="J314" s="2">
        <f>('L-Values'!F314*'D(Ti_Cherniak) Times'!$F314*0.000001)^2/(4*'D(Ti_Cherniak) Times'!$C314)/(365.35*24*3600)</f>
        <v>116.52889022684715</v>
      </c>
      <c r="K314" s="2">
        <f>('L-Values'!G314*'D(Ti_Cherniak) Times'!$F314*0.000001)^2/(4*'D(Ti_Cherniak) Times'!$C314)/(365.35*24*3600)</f>
        <v>402.77619747740414</v>
      </c>
      <c r="L314" s="2">
        <f>('L-Values'!H314*'D(Ti_Cherniak) Times'!$F314*0.000001)^2/(4*'D(Ti_Cherniak) Times'!$C314)/(365.35*24*3600)</f>
        <v>70.809941673118814</v>
      </c>
      <c r="M314" s="2">
        <f>('L-Values'!I314*'D(Ti_Cherniak) Times'!$F314*0.000001)^2/(4*'D(Ti_Cherniak) Times'!$C314)/(365.35*24*3600)</f>
        <v>0</v>
      </c>
      <c r="N314" s="2">
        <f>('L-Values'!J314*'D(Ti_Cherniak) Times'!$F314*0.000001)^2/(4*'D(Ti_Cherniak) Times'!$C314)/(365.35*24*3600)</f>
        <v>1.5057054898216564</v>
      </c>
      <c r="O314" s="2">
        <f>('L-Values'!K314*'D(Ti_Cherniak) Times'!$F314*0.000001)^2/(4*'D(Ti_Cherniak) Times'!$C314)/(365.35*24*3600)</f>
        <v>833.64807385313736</v>
      </c>
      <c r="P314" s="2">
        <f>('L-Values'!L314*'D(Ti_Cherniak) Times'!$F314*0.000001)^2/(4*'D(Ti_Cherniak) Times'!$C314)/(365.35*24*3600)</f>
        <v>1280.2544815912952</v>
      </c>
      <c r="Q314" s="2">
        <f>('L-Values'!M314*'D(Ti_Cherniak) Times'!$F314*0.000001)^2/(4*'D(Ti_Cherniak) Times'!$C314)/(365.35*24*3600)</f>
        <v>74.302948788193831</v>
      </c>
      <c r="R314" s="2">
        <f>('L-Values'!N314*'D(Ti_Cherniak) Times'!$F314*0.000001)^2/(4*'D(Ti_Cherniak) Times'!$C314)/(365.35*24*3600)</f>
        <v>360.98582659410221</v>
      </c>
      <c r="S314" s="2">
        <f>('L-Values'!O314*'D(Ti_Cherniak) Times'!$F314*0.000001)^2/(4*'D(Ti_Cherniak) Times'!$C314)/(365.35*24*3600)</f>
        <v>113.95153692727449</v>
      </c>
      <c r="T314" s="2"/>
      <c r="U314" s="2">
        <f>('L-Values'!Q314*'D(Ti_Cherniak) Times'!$F314*0.000001)^2/(4*'D(Ti_Cherniak) Times'!$C314)/(365.35*24*3600)</f>
        <v>376.09347112215107</v>
      </c>
      <c r="V314" s="2">
        <f>('L-Values'!R314*'D(Ti_Cherniak) Times'!$F314*0.000001)^2/(4*'D(Ti_Cherniak) Times'!$C314)/(365.35*24*3600)</f>
        <v>208.56165670554267</v>
      </c>
      <c r="W314" s="2">
        <f>('L-Values'!S314*'D(Ti_Cherniak) Times'!$F314*0.000001)^2/(4*'D(Ti_Cherniak) Times'!$C314)/(365.35*24*3600)</f>
        <v>115.23661079948828</v>
      </c>
      <c r="X314" s="2"/>
      <c r="Y314" s="2">
        <f>('L-Values'!U314*'D(Ti_Cherniak) Times'!$F314*0.000001)^2/(4*'D(Ti_Cherniak) Times'!$C314)/(365.35*24*3600)</f>
        <v>371.05054197169244</v>
      </c>
      <c r="Z314" s="2">
        <f>('L-Values'!V314*'D(Ti_Cherniak) Times'!$F314*0.000001)^2/(4*'D(Ti_Cherniak) Times'!$C314)/(365.35*24*3600)</f>
        <v>453.99495757093547</v>
      </c>
      <c r="AA314" s="2">
        <f>('L-Values'!W314*'D(Ti_Cherniak) Times'!$F314*0.000001)^2/(4*'D(Ti_Cherniak) Times'!$C314)/(365.35*24*3600)</f>
        <v>2.7760662263655038</v>
      </c>
      <c r="AB314" s="2">
        <f>('L-Values'!X314*'D(Ti_Cherniak) Times'!$F314*0.000001)^2/(4*'D(Ti_Cherniak) Times'!$C314)/(365.35*24*3600)</f>
        <v>3036.0476178213376</v>
      </c>
      <c r="AC314" s="2">
        <f t="shared" si="18"/>
        <v>451.21889134456995</v>
      </c>
      <c r="AD314" s="2">
        <f t="shared" si="19"/>
        <v>2582.0526602504019</v>
      </c>
    </row>
    <row r="315" spans="1:30" x14ac:dyDescent="0.2">
      <c r="A315" t="str">
        <f>'L-Values'!A315</f>
        <v>CGI015-qtz06-CL-fit-4-offset</v>
      </c>
      <c r="B315">
        <v>750</v>
      </c>
      <c r="C315">
        <f t="shared" si="16"/>
        <v>8.0537892000481889E-22</v>
      </c>
      <c r="D315">
        <v>1700</v>
      </c>
      <c r="E315">
        <v>1024</v>
      </c>
      <c r="F315">
        <f t="shared" si="17"/>
        <v>1.66015625</v>
      </c>
      <c r="I315" s="2">
        <f>('L-Values'!E315*'D(Ti_Cherniak) Times'!$F315*0.000001)^2/(4*'D(Ti_Cherniak) Times'!$C315)/(365.35*24*3600)</f>
        <v>208.88842471756061</v>
      </c>
      <c r="J315" s="2">
        <f>('L-Values'!F315*'D(Ti_Cherniak) Times'!$F315*0.000001)^2/(4*'D(Ti_Cherniak) Times'!$C315)/(365.35*24*3600)</f>
        <v>365.56869360316659</v>
      </c>
      <c r="K315" s="2">
        <f>('L-Values'!G315*'D(Ti_Cherniak) Times'!$F315*0.000001)^2/(4*'D(Ti_Cherniak) Times'!$C315)/(365.35*24*3600)</f>
        <v>380.58464563894177</v>
      </c>
      <c r="L315" s="2">
        <f>('L-Values'!H315*'D(Ti_Cherniak) Times'!$F315*0.000001)^2/(4*'D(Ti_Cherniak) Times'!$C315)/(365.35*24*3600)</f>
        <v>171.54082060190942</v>
      </c>
      <c r="M315" s="2">
        <f>('L-Values'!I315*'D(Ti_Cherniak) Times'!$F315*0.000001)^2/(4*'D(Ti_Cherniak) Times'!$C315)/(365.35*24*3600)</f>
        <v>315.54431846914196</v>
      </c>
      <c r="N315" s="2">
        <f>('L-Values'!J315*'D(Ti_Cherniak) Times'!$F315*0.000001)^2/(4*'D(Ti_Cherniak) Times'!$C315)/(365.35*24*3600)</f>
        <v>373.9345032592509</v>
      </c>
      <c r="O315" s="2">
        <f>('L-Values'!K315*'D(Ti_Cherniak) Times'!$F315*0.000001)^2/(4*'D(Ti_Cherniak) Times'!$C315)/(365.35*24*3600)</f>
        <v>320.77756064348017</v>
      </c>
      <c r="P315" s="2">
        <f>('L-Values'!L315*'D(Ti_Cherniak) Times'!$F315*0.000001)^2/(4*'D(Ti_Cherniak) Times'!$C315)/(365.35*24*3600)</f>
        <v>331.46663329815908</v>
      </c>
      <c r="Q315" s="2">
        <f>('L-Values'!M315*'D(Ti_Cherniak) Times'!$F315*0.000001)^2/(4*'D(Ti_Cherniak) Times'!$C315)/(365.35*24*3600)</f>
        <v>646.76383800864016</v>
      </c>
      <c r="R315" s="2">
        <f>('L-Values'!N315*'D(Ti_Cherniak) Times'!$F315*0.000001)^2/(4*'D(Ti_Cherniak) Times'!$C315)/(365.35*24*3600)</f>
        <v>435.9588744407518</v>
      </c>
      <c r="S315" s="2">
        <f>('L-Values'!O315*'D(Ti_Cherniak) Times'!$F315*0.000001)^2/(4*'D(Ti_Cherniak) Times'!$C315)/(365.35*24*3600)</f>
        <v>254.04835382431631</v>
      </c>
      <c r="T315" s="2"/>
      <c r="U315" s="2">
        <f>('L-Values'!Q315*'D(Ti_Cherniak) Times'!$F315*0.000001)^2/(4*'D(Ti_Cherniak) Times'!$C315)/(365.35*24*3600)</f>
        <v>358.21442206165011</v>
      </c>
      <c r="V315" s="2">
        <f>('L-Values'!R315*'D(Ti_Cherniak) Times'!$F315*0.000001)^2/(4*'D(Ti_Cherniak) Times'!$C315)/(365.35*24*3600)</f>
        <v>336.04315524323408</v>
      </c>
      <c r="W315" s="2">
        <f>('L-Values'!S315*'D(Ti_Cherniak) Times'!$F315*0.000001)^2/(4*'D(Ti_Cherniak) Times'!$C315)/(365.35*24*3600)</f>
        <v>331.46663329815908</v>
      </c>
      <c r="X315" s="2"/>
      <c r="Y315" s="2">
        <f>('L-Values'!U315*'D(Ti_Cherniak) Times'!$F315*0.000001)^2/(4*'D(Ti_Cherniak) Times'!$C315)/(365.35*24*3600)</f>
        <v>347.70182135955633</v>
      </c>
      <c r="Z315" s="2">
        <f>('L-Values'!V315*'D(Ti_Cherniak) Times'!$F315*0.000001)^2/(4*'D(Ti_Cherniak) Times'!$C315)/(365.35*24*3600)</f>
        <v>353.18210382911855</v>
      </c>
      <c r="AA315" s="2">
        <f>('L-Values'!W315*'D(Ti_Cherniak) Times'!$F315*0.000001)^2/(4*'D(Ti_Cherniak) Times'!$C315)/(365.35*24*3600)</f>
        <v>193.29431757031722</v>
      </c>
      <c r="AB315" s="2">
        <f>('L-Values'!X315*'D(Ti_Cherniak) Times'!$F315*0.000001)^2/(4*'D(Ti_Cherniak) Times'!$C315)/(365.35*24*3600)</f>
        <v>583.8052636200681</v>
      </c>
      <c r="AC315" s="2">
        <f t="shared" si="18"/>
        <v>159.88778625880133</v>
      </c>
      <c r="AD315" s="2">
        <f t="shared" si="19"/>
        <v>230.62315979094956</v>
      </c>
    </row>
    <row r="316" spans="1:30" x14ac:dyDescent="0.2">
      <c r="A316" t="str">
        <f>'L-Values'!A316</f>
        <v>CGI015-qtz07-CL-fit-1-offset</v>
      </c>
      <c r="B316">
        <v>750</v>
      </c>
      <c r="C316">
        <f t="shared" si="16"/>
        <v>8.0537892000481889E-22</v>
      </c>
      <c r="D316">
        <v>2250</v>
      </c>
      <c r="E316">
        <v>1024</v>
      </c>
      <c r="F316">
        <f t="shared" si="17"/>
        <v>2.197265625</v>
      </c>
      <c r="I316" s="2">
        <f>('L-Values'!E316*'D(Ti_Cherniak) Times'!$F316*0.000001)^2/(4*'D(Ti_Cherniak) Times'!$C316)/(365.35*24*3600)</f>
        <v>1038.8683464474007</v>
      </c>
      <c r="J316" s="2">
        <f>('L-Values'!F316*'D(Ti_Cherniak) Times'!$F316*0.000001)^2/(4*'D(Ti_Cherniak) Times'!$C316)/(365.35*24*3600)</f>
        <v>1018.5991001993609</v>
      </c>
      <c r="K316" s="2">
        <f>('L-Values'!G316*'D(Ti_Cherniak) Times'!$F316*0.000001)^2/(4*'D(Ti_Cherniak) Times'!$C316)/(365.35*24*3600)</f>
        <v>1279.5051890207642</v>
      </c>
      <c r="L316" s="2">
        <f>('L-Values'!H316*'D(Ti_Cherniak) Times'!$F316*0.000001)^2/(4*'D(Ti_Cherniak) Times'!$C316)/(365.35*24*3600)</f>
        <v>940.73686788842087</v>
      </c>
      <c r="M316" s="2">
        <f>('L-Values'!I316*'D(Ti_Cherniak) Times'!$F316*0.000001)^2/(4*'D(Ti_Cherniak) Times'!$C316)/(365.35*24*3600)</f>
        <v>1091.896572024413</v>
      </c>
      <c r="N316" s="2">
        <f>('L-Values'!J316*'D(Ti_Cherniak) Times'!$F316*0.000001)^2/(4*'D(Ti_Cherniak) Times'!$C316)/(365.35*24*3600)</f>
        <v>844.29780854370836</v>
      </c>
      <c r="O316" s="2">
        <f>('L-Values'!K316*'D(Ti_Cherniak) Times'!$F316*0.000001)^2/(4*'D(Ti_Cherniak) Times'!$C316)/(365.35*24*3600)</f>
        <v>1036.7650069550652</v>
      </c>
      <c r="P316" s="2">
        <f>('L-Values'!L316*'D(Ti_Cherniak) Times'!$F316*0.000001)^2/(4*'D(Ti_Cherniak) Times'!$C316)/(365.35*24*3600)</f>
        <v>690.02866302148129</v>
      </c>
      <c r="Q316" s="2">
        <f>('L-Values'!M316*'D(Ti_Cherniak) Times'!$F316*0.000001)^2/(4*'D(Ti_Cherniak) Times'!$C316)/(365.35*24*3600)</f>
        <v>660.88426680926295</v>
      </c>
      <c r="R316" s="2">
        <f>('L-Values'!N316*'D(Ti_Cherniak) Times'!$F316*0.000001)^2/(4*'D(Ti_Cherniak) Times'!$C316)/(365.35*24*3600)</f>
        <v>701.43155517178627</v>
      </c>
      <c r="S316" s="2">
        <f>('L-Values'!O316*'D(Ti_Cherniak) Times'!$F316*0.000001)^2/(4*'D(Ti_Cherniak) Times'!$C316)/(365.35*24*3600)</f>
        <v>1125.3466035309623</v>
      </c>
      <c r="T316" s="2"/>
      <c r="U316" s="2">
        <f>('L-Values'!Q316*'D(Ti_Cherniak) Times'!$F316*0.000001)^2/(4*'D(Ti_Cherniak) Times'!$C316)/(365.35*24*3600)</f>
        <v>946.11566860396067</v>
      </c>
      <c r="V316" s="2">
        <f>('L-Values'!R316*'D(Ti_Cherniak) Times'!$F316*0.000001)^2/(4*'D(Ti_Cherniak) Times'!$C316)/(365.35*24*3600)</f>
        <v>938.00136924190929</v>
      </c>
      <c r="W316" s="2">
        <f>('L-Values'!S316*'D(Ti_Cherniak) Times'!$F316*0.000001)^2/(4*'D(Ti_Cherniak) Times'!$C316)/(365.35*24*3600)</f>
        <v>1018.5991001993609</v>
      </c>
      <c r="X316" s="2"/>
      <c r="Y316" s="2">
        <f>('L-Values'!U316*'D(Ti_Cherniak) Times'!$F316*0.000001)^2/(4*'D(Ti_Cherniak) Times'!$C316)/(365.35*24*3600)</f>
        <v>944.41539537590359</v>
      </c>
      <c r="Z316" s="2">
        <f>('L-Values'!V316*'D(Ti_Cherniak) Times'!$F316*0.000001)^2/(4*'D(Ti_Cherniak) Times'!$C316)/(365.35*24*3600)</f>
        <v>953.01135320660467</v>
      </c>
      <c r="AA316" s="2">
        <f>('L-Values'!W316*'D(Ti_Cherniak) Times'!$F316*0.000001)^2/(4*'D(Ti_Cherniak) Times'!$C316)/(365.35*24*3600)</f>
        <v>596.62827975458106</v>
      </c>
      <c r="AB316" s="2">
        <f>('L-Values'!X316*'D(Ti_Cherniak) Times'!$F316*0.000001)^2/(4*'D(Ti_Cherniak) Times'!$C316)/(365.35*24*3600)</f>
        <v>1428.7713935313664</v>
      </c>
      <c r="AC316" s="2">
        <f t="shared" si="18"/>
        <v>356.38307345202361</v>
      </c>
      <c r="AD316" s="2">
        <f t="shared" si="19"/>
        <v>475.76004032476169</v>
      </c>
    </row>
    <row r="317" spans="1:30" x14ac:dyDescent="0.2">
      <c r="A317" t="str">
        <f>'L-Values'!A317</f>
        <v>CGI015-qtz07-CL-fit-2-offset</v>
      </c>
      <c r="B317">
        <v>750</v>
      </c>
      <c r="C317">
        <f t="shared" si="16"/>
        <v>8.0537892000481889E-22</v>
      </c>
      <c r="D317">
        <v>2250</v>
      </c>
      <c r="E317">
        <v>1024</v>
      </c>
      <c r="F317">
        <f t="shared" si="17"/>
        <v>2.197265625</v>
      </c>
      <c r="I317" s="2">
        <f>('L-Values'!E317*'D(Ti_Cherniak) Times'!$F317*0.000001)^2/(4*'D(Ti_Cherniak) Times'!$C317)/(365.35*24*3600)</f>
        <v>5188.8605580542453</v>
      </c>
      <c r="J317" s="2">
        <f>('L-Values'!F317*'D(Ti_Cherniak) Times'!$F317*0.000001)^2/(4*'D(Ti_Cherniak) Times'!$C317)/(365.35*24*3600)</f>
        <v>5186.7739791132099</v>
      </c>
      <c r="K317" s="2">
        <f>('L-Values'!G317*'D(Ti_Cherniak) Times'!$F317*0.000001)^2/(4*'D(Ti_Cherniak) Times'!$C317)/(365.35*24*3600)</f>
        <v>5293.7208691281785</v>
      </c>
      <c r="L317" s="2">
        <f>('L-Values'!H317*'D(Ti_Cherniak) Times'!$F317*0.000001)^2/(4*'D(Ti_Cherniak) Times'!$C317)/(365.35*24*3600)</f>
        <v>2822.9152854809654</v>
      </c>
      <c r="M317" s="2">
        <f>('L-Values'!I317*'D(Ti_Cherniak) Times'!$F317*0.000001)^2/(4*'D(Ti_Cherniak) Times'!$C317)/(365.35*24*3600)</f>
        <v>3230.9049447229249</v>
      </c>
      <c r="N317" s="2">
        <f>('L-Values'!J317*'D(Ti_Cherniak) Times'!$F317*0.000001)^2/(4*'D(Ti_Cherniak) Times'!$C317)/(365.35*24*3600)</f>
        <v>2577.7797568292153</v>
      </c>
      <c r="O317" s="2">
        <f>('L-Values'!K317*'D(Ti_Cherniak) Times'!$F317*0.000001)^2/(4*'D(Ti_Cherniak) Times'!$C317)/(365.35*24*3600)</f>
        <v>2637.4734113982345</v>
      </c>
      <c r="P317" s="2">
        <f>('L-Values'!L317*'D(Ti_Cherniak) Times'!$F317*0.000001)^2/(4*'D(Ti_Cherniak) Times'!$C317)/(365.35*24*3600)</f>
        <v>3628.5813970864865</v>
      </c>
      <c r="Q317" s="2">
        <f>('L-Values'!M317*'D(Ti_Cherniak) Times'!$F317*0.000001)^2/(4*'D(Ti_Cherniak) Times'!$C317)/(365.35*24*3600)</f>
        <v>1719.3796027279791</v>
      </c>
      <c r="R317" s="2">
        <f>('L-Values'!N317*'D(Ti_Cherniak) Times'!$F317*0.000001)^2/(4*'D(Ti_Cherniak) Times'!$C317)/(365.35*24*3600)</f>
        <v>5380.6010473276892</v>
      </c>
      <c r="S317" s="2">
        <f>('L-Values'!O317*'D(Ti_Cherniak) Times'!$F317*0.000001)^2/(4*'D(Ti_Cherniak) Times'!$C317)/(365.35*24*3600)</f>
        <v>3854.3729853228847</v>
      </c>
      <c r="T317" s="2"/>
      <c r="U317" s="2">
        <f>('L-Values'!Q317*'D(Ti_Cherniak) Times'!$F317*0.000001)^2/(4*'D(Ti_Cherniak) Times'!$C317)/(365.35*24*3600)</f>
        <v>3732.6174468611839</v>
      </c>
      <c r="V317" s="2">
        <f>('L-Values'!R317*'D(Ti_Cherniak) Times'!$F317*0.000001)^2/(4*'D(Ti_Cherniak) Times'!$C317)/(365.35*24*3600)</f>
        <v>3666.3090696582922</v>
      </c>
      <c r="W317" s="2">
        <f>('L-Values'!S317*'D(Ti_Cherniak) Times'!$F317*0.000001)^2/(4*'D(Ti_Cherniak) Times'!$C317)/(365.35*24*3600)</f>
        <v>3628.5813970864865</v>
      </c>
      <c r="X317" s="2"/>
      <c r="Y317" s="2">
        <f>('L-Values'!U317*'D(Ti_Cherniak) Times'!$F317*0.000001)^2/(4*'D(Ti_Cherniak) Times'!$C317)/(365.35*24*3600)</f>
        <v>3574.2655389648253</v>
      </c>
      <c r="Z317" s="2">
        <f>('L-Values'!V317*'D(Ti_Cherniak) Times'!$F317*0.000001)^2/(4*'D(Ti_Cherniak) Times'!$C317)/(365.35*24*3600)</f>
        <v>3725.4226799395083</v>
      </c>
      <c r="AA317" s="2">
        <f>('L-Values'!W317*'D(Ti_Cherniak) Times'!$F317*0.000001)^2/(4*'D(Ti_Cherniak) Times'!$C317)/(365.35*24*3600)</f>
        <v>2020.0251306234331</v>
      </c>
      <c r="AB317" s="2">
        <f>('L-Values'!X317*'D(Ti_Cherniak) Times'!$F317*0.000001)^2/(4*'D(Ti_Cherniak) Times'!$C317)/(365.35*24*3600)</f>
        <v>7035.8520917672795</v>
      </c>
      <c r="AC317" s="2">
        <f t="shared" si="18"/>
        <v>1705.3975493160751</v>
      </c>
      <c r="AD317" s="2">
        <f t="shared" si="19"/>
        <v>3310.4294118277712</v>
      </c>
    </row>
    <row r="318" spans="1:30" x14ac:dyDescent="0.2">
      <c r="A318" t="str">
        <f>'L-Values'!A318</f>
        <v>CGI015-qtz07-CL-fit-3-offset</v>
      </c>
      <c r="B318">
        <v>750</v>
      </c>
      <c r="C318">
        <f t="shared" si="16"/>
        <v>8.0537892000481889E-22</v>
      </c>
      <c r="D318">
        <v>2250</v>
      </c>
      <c r="E318">
        <v>1024</v>
      </c>
      <c r="F318">
        <f t="shared" si="17"/>
        <v>2.197265625</v>
      </c>
      <c r="I318" s="2">
        <f>('L-Values'!E318*'D(Ti_Cherniak) Times'!$F318*0.000001)^2/(4*'D(Ti_Cherniak) Times'!$C318)/(365.35*24*3600)</f>
        <v>169.40334213553325</v>
      </c>
      <c r="J318" s="2">
        <f>('L-Values'!F318*'D(Ti_Cherniak) Times'!$F318*0.000001)^2/(4*'D(Ti_Cherniak) Times'!$C318)/(365.35*24*3600)</f>
        <v>232.05195074427908</v>
      </c>
      <c r="K318" s="2">
        <f>('L-Values'!G318*'D(Ti_Cherniak) Times'!$F318*0.000001)^2/(4*'D(Ti_Cherniak) Times'!$C318)/(365.35*24*3600)</f>
        <v>230.94604259431947</v>
      </c>
      <c r="L318" s="2">
        <f>('L-Values'!H318*'D(Ti_Cherniak) Times'!$F318*0.000001)^2/(4*'D(Ti_Cherniak) Times'!$C318)/(365.35*24*3600)</f>
        <v>294.28059556801526</v>
      </c>
      <c r="M318" s="2">
        <f>('L-Values'!I318*'D(Ti_Cherniak) Times'!$F318*0.000001)^2/(4*'D(Ti_Cherniak) Times'!$C318)/(365.35*24*3600)</f>
        <v>238.5970520516928</v>
      </c>
      <c r="N318" s="2">
        <f>('L-Values'!J318*'D(Ti_Cherniak) Times'!$F318*0.000001)^2/(4*'D(Ti_Cherniak) Times'!$C318)/(365.35*24*3600)</f>
        <v>233.17398245433944</v>
      </c>
      <c r="O318" s="2">
        <f>('L-Values'!K318*'D(Ti_Cherniak) Times'!$F318*0.000001)^2/(4*'D(Ti_Cherniak) Times'!$C318)/(365.35*24*3600)</f>
        <v>243.11249475720268</v>
      </c>
      <c r="P318" s="2">
        <f>('L-Values'!L318*'D(Ti_Cherniak) Times'!$F318*0.000001)^2/(4*'D(Ti_Cherniak) Times'!$C318)/(365.35*24*3600)</f>
        <v>287.69797109932921</v>
      </c>
      <c r="Q318" s="2">
        <f>('L-Values'!M318*'D(Ti_Cherniak) Times'!$F318*0.000001)^2/(4*'D(Ti_Cherniak) Times'!$C318)/(365.35*24*3600)</f>
        <v>195.154029676682</v>
      </c>
      <c r="R318" s="2">
        <f>('L-Values'!N318*'D(Ti_Cherniak) Times'!$F318*0.000001)^2/(4*'D(Ti_Cherniak) Times'!$C318)/(365.35*24*3600)</f>
        <v>178.39891307353724</v>
      </c>
      <c r="S318" s="2">
        <f>('L-Values'!O318*'D(Ti_Cherniak) Times'!$F318*0.000001)^2/(4*'D(Ti_Cherniak) Times'!$C318)/(365.35*24*3600)</f>
        <v>460.60478855933115</v>
      </c>
      <c r="T318" s="2"/>
      <c r="U318" s="2">
        <f>('L-Values'!Q318*'D(Ti_Cherniak) Times'!$F318*0.000001)^2/(4*'D(Ti_Cherniak) Times'!$C318)/(365.35*24*3600)</f>
        <v>243.55319648101042</v>
      </c>
      <c r="V318" s="2">
        <f>('L-Values'!R318*'D(Ti_Cherniak) Times'!$F318*0.000001)^2/(4*'D(Ti_Cherniak) Times'!$C318)/(365.35*24*3600)</f>
        <v>246.37208500832804</v>
      </c>
      <c r="W318" s="2">
        <f>('L-Values'!S318*'D(Ti_Cherniak) Times'!$F318*0.000001)^2/(4*'D(Ti_Cherniak) Times'!$C318)/(365.35*24*3600)</f>
        <v>233.17398245433944</v>
      </c>
      <c r="X318" s="2"/>
      <c r="Y318" s="2">
        <f>('L-Values'!U318*'D(Ti_Cherniak) Times'!$F318*0.000001)^2/(4*'D(Ti_Cherniak) Times'!$C318)/(365.35*24*3600)</f>
        <v>226.15313572857343</v>
      </c>
      <c r="Z318" s="2">
        <f>('L-Values'!V318*'D(Ti_Cherniak) Times'!$F318*0.000001)^2/(4*'D(Ti_Cherniak) Times'!$C318)/(365.35*24*3600)</f>
        <v>234.00708897901484</v>
      </c>
      <c r="AA318" s="2">
        <f>('L-Values'!W318*'D(Ti_Cherniak) Times'!$F318*0.000001)^2/(4*'D(Ti_Cherniak) Times'!$C318)/(365.35*24*3600)</f>
        <v>119.69878285751213</v>
      </c>
      <c r="AB318" s="2">
        <f>('L-Values'!X318*'D(Ti_Cherniak) Times'!$F318*0.000001)^2/(4*'D(Ti_Cherniak) Times'!$C318)/(365.35*24*3600)</f>
        <v>425.58660634548625</v>
      </c>
      <c r="AC318" s="2">
        <f t="shared" si="18"/>
        <v>114.30830612150271</v>
      </c>
      <c r="AD318" s="2">
        <f t="shared" si="19"/>
        <v>191.57951736647141</v>
      </c>
    </row>
    <row r="319" spans="1:30" x14ac:dyDescent="0.2">
      <c r="A319" t="str">
        <f>'L-Values'!A319</f>
        <v>CGI015-qtz07-CL-fit-4-offset</v>
      </c>
      <c r="B319">
        <v>750</v>
      </c>
      <c r="C319">
        <f t="shared" si="16"/>
        <v>8.0537892000481889E-22</v>
      </c>
      <c r="D319">
        <v>2250</v>
      </c>
      <c r="E319">
        <v>1024</v>
      </c>
      <c r="F319">
        <f t="shared" si="17"/>
        <v>2.197265625</v>
      </c>
      <c r="I319" s="2">
        <f>('L-Values'!E319*'D(Ti_Cherniak) Times'!$F319*0.000001)^2/(4*'D(Ti_Cherniak) Times'!$C319)/(365.35*24*3600)</f>
        <v>185.53486733498164</v>
      </c>
      <c r="J319" s="2">
        <f>('L-Values'!F319*'D(Ti_Cherniak) Times'!$F319*0.000001)^2/(4*'D(Ti_Cherniak) Times'!$C319)/(365.35*24*3600)</f>
        <v>124.01267471234584</v>
      </c>
      <c r="K319" s="2">
        <f>('L-Values'!G319*'D(Ti_Cherniak) Times'!$F319*0.000001)^2/(4*'D(Ti_Cherniak) Times'!$C319)/(365.35*24*3600)</f>
        <v>195.4561043131813</v>
      </c>
      <c r="L319" s="2">
        <f>('L-Values'!H319*'D(Ti_Cherniak) Times'!$F319*0.000001)^2/(4*'D(Ti_Cherniak) Times'!$C319)/(365.35*24*3600)</f>
        <v>177.07495926556098</v>
      </c>
      <c r="M319" s="2">
        <f>('L-Values'!I319*'D(Ti_Cherniak) Times'!$F319*0.000001)^2/(4*'D(Ti_Cherniak) Times'!$C319)/(365.35*24*3600)</f>
        <v>199.26860477756506</v>
      </c>
      <c r="N319" s="2">
        <f>('L-Values'!J319*'D(Ti_Cherniak) Times'!$F319*0.000001)^2/(4*'D(Ti_Cherniak) Times'!$C319)/(365.35*24*3600)</f>
        <v>196.42630997924263</v>
      </c>
      <c r="O319" s="2">
        <f>('L-Values'!K319*'D(Ti_Cherniak) Times'!$F319*0.000001)^2/(4*'D(Ti_Cherniak) Times'!$C319)/(365.35*24*3600)</f>
        <v>192.76539851919816</v>
      </c>
      <c r="P319" s="2">
        <f>('L-Values'!L319*'D(Ti_Cherniak) Times'!$F319*0.000001)^2/(4*'D(Ti_Cherniak) Times'!$C319)/(365.35*24*3600)</f>
        <v>190.38101393959337</v>
      </c>
      <c r="Q319" s="2">
        <f>('L-Values'!M319*'D(Ti_Cherniak) Times'!$F319*0.000001)^2/(4*'D(Ti_Cherniak) Times'!$C319)/(365.35*24*3600)</f>
        <v>173.37112881790858</v>
      </c>
      <c r="R319" s="2">
        <f>('L-Values'!N319*'D(Ti_Cherniak) Times'!$F319*0.000001)^2/(4*'D(Ti_Cherniak) Times'!$C319)/(365.35*24*3600)</f>
        <v>245.44947970030557</v>
      </c>
      <c r="S319" s="2">
        <f>('L-Values'!O319*'D(Ti_Cherniak) Times'!$F319*0.000001)^2/(4*'D(Ti_Cherniak) Times'!$C319)/(365.35*24*3600)</f>
        <v>264.29551382251952</v>
      </c>
      <c r="T319" s="2"/>
      <c r="U319" s="2">
        <f>('L-Values'!Q319*'D(Ti_Cherniak) Times'!$F319*0.000001)^2/(4*'D(Ti_Cherniak) Times'!$C319)/(365.35*24*3600)</f>
        <v>209.87045481377157</v>
      </c>
      <c r="V319" s="2">
        <f>('L-Values'!R319*'D(Ti_Cherniak) Times'!$F319*0.000001)^2/(4*'D(Ti_Cherniak) Times'!$C319)/(365.35*24*3600)</f>
        <v>193.33411625006138</v>
      </c>
      <c r="W319" s="2">
        <f>('L-Values'!S319*'D(Ti_Cherniak) Times'!$F319*0.000001)^2/(4*'D(Ti_Cherniak) Times'!$C319)/(365.35*24*3600)</f>
        <v>192.76539851919816</v>
      </c>
      <c r="X319" s="2"/>
      <c r="Y319" s="2">
        <f>('L-Values'!U319*'D(Ti_Cherniak) Times'!$F319*0.000001)^2/(4*'D(Ti_Cherniak) Times'!$C319)/(365.35*24*3600)</f>
        <v>206.30993432226694</v>
      </c>
      <c r="Z319" s="2">
        <f>('L-Values'!V319*'D(Ti_Cherniak) Times'!$F319*0.000001)^2/(4*'D(Ti_Cherniak) Times'!$C319)/(365.35*24*3600)</f>
        <v>191.73600723181076</v>
      </c>
      <c r="AA319" s="2">
        <f>('L-Values'!W319*'D(Ti_Cherniak) Times'!$F319*0.000001)^2/(4*'D(Ti_Cherniak) Times'!$C319)/(365.35*24*3600)</f>
        <v>27.259634201552508</v>
      </c>
      <c r="AB319" s="2">
        <f>('L-Values'!X319*'D(Ti_Cherniak) Times'!$F319*0.000001)^2/(4*'D(Ti_Cherniak) Times'!$C319)/(365.35*24*3600)</f>
        <v>364.54212097224638</v>
      </c>
      <c r="AC319" s="2">
        <f t="shared" si="18"/>
        <v>164.47637303025826</v>
      </c>
      <c r="AD319" s="2">
        <f t="shared" si="19"/>
        <v>172.80611374043562</v>
      </c>
    </row>
    <row r="320" spans="1:30" x14ac:dyDescent="0.2">
      <c r="A320" t="str">
        <f>'L-Values'!A320</f>
        <v>CGI015-qtz07-CL-fit-5-offset</v>
      </c>
      <c r="B320">
        <v>750</v>
      </c>
      <c r="C320">
        <f t="shared" si="16"/>
        <v>8.0537892000481889E-22</v>
      </c>
      <c r="D320">
        <v>2250</v>
      </c>
      <c r="E320">
        <v>1024</v>
      </c>
      <c r="F320">
        <f t="shared" si="17"/>
        <v>2.197265625</v>
      </c>
      <c r="I320" s="2">
        <f>('L-Values'!E320*'D(Ti_Cherniak) Times'!$F320*0.000001)^2/(4*'D(Ti_Cherniak) Times'!$C320)/(365.35*24*3600)</f>
        <v>363.78074224463217</v>
      </c>
      <c r="J320" s="2">
        <f>('L-Values'!F320*'D(Ti_Cherniak) Times'!$F320*0.000001)^2/(4*'D(Ti_Cherniak) Times'!$C320)/(365.35*24*3600)</f>
        <v>376.04383993195358</v>
      </c>
      <c r="K320" s="2">
        <f>('L-Values'!G320*'D(Ti_Cherniak) Times'!$F320*0.000001)^2/(4*'D(Ti_Cherniak) Times'!$C320)/(365.35*24*3600)</f>
        <v>318.55254398386182</v>
      </c>
      <c r="L320" s="2">
        <f>('L-Values'!H320*'D(Ti_Cherniak) Times'!$F320*0.000001)^2/(4*'D(Ti_Cherniak) Times'!$C320)/(365.35*24*3600)</f>
        <v>406.09551407099184</v>
      </c>
      <c r="M320" s="2">
        <f>('L-Values'!I320*'D(Ti_Cherniak) Times'!$F320*0.000001)^2/(4*'D(Ti_Cherniak) Times'!$C320)/(365.35*24*3600)</f>
        <v>351.40818592406742</v>
      </c>
      <c r="N320" s="2">
        <f>('L-Values'!J320*'D(Ti_Cherniak) Times'!$F320*0.000001)^2/(4*'D(Ti_Cherniak) Times'!$C320)/(365.35*24*3600)</f>
        <v>438.58329760877552</v>
      </c>
      <c r="O320" s="2">
        <f>('L-Values'!K320*'D(Ti_Cherniak) Times'!$F320*0.000001)^2/(4*'D(Ti_Cherniak) Times'!$C320)/(365.35*24*3600)</f>
        <v>281.92196109454414</v>
      </c>
      <c r="P320" s="2">
        <f>('L-Values'!L320*'D(Ti_Cherniak) Times'!$F320*0.000001)^2/(4*'D(Ti_Cherniak) Times'!$C320)/(365.35*24*3600)</f>
        <v>171.49710177377759</v>
      </c>
      <c r="Q320" s="2">
        <f>('L-Values'!M320*'D(Ti_Cherniak) Times'!$F320*0.000001)^2/(4*'D(Ti_Cherniak) Times'!$C320)/(365.35*24*3600)</f>
        <v>250.49684927372493</v>
      </c>
      <c r="R320" s="2">
        <f>('L-Values'!N320*'D(Ti_Cherniak) Times'!$F320*0.000001)^2/(4*'D(Ti_Cherniak) Times'!$C320)/(365.35*24*3600)</f>
        <v>471.92193136731152</v>
      </c>
      <c r="S320" s="2">
        <f>('L-Values'!O320*'D(Ti_Cherniak) Times'!$F320*0.000001)^2/(4*'D(Ti_Cherniak) Times'!$C320)/(365.35*24*3600)</f>
        <v>409.15965690199323</v>
      </c>
      <c r="T320" s="2"/>
      <c r="U320" s="2">
        <f>('L-Values'!Q320*'D(Ti_Cherniak) Times'!$F320*0.000001)^2/(4*'D(Ti_Cherniak) Times'!$C320)/(365.35*24*3600)</f>
        <v>351.37783414768774</v>
      </c>
      <c r="V320" s="2">
        <f>('L-Values'!R320*'D(Ti_Cherniak) Times'!$F320*0.000001)^2/(4*'D(Ti_Cherniak) Times'!$C320)/(365.35*24*3600)</f>
        <v>343.31972310356798</v>
      </c>
      <c r="W320" s="2">
        <f>('L-Values'!S320*'D(Ti_Cherniak) Times'!$F320*0.000001)^2/(4*'D(Ti_Cherniak) Times'!$C320)/(365.35*24*3600)</f>
        <v>363.78074224463217</v>
      </c>
      <c r="X320" s="2"/>
      <c r="Y320" s="2">
        <f>('L-Values'!U320*'D(Ti_Cherniak) Times'!$F320*0.000001)^2/(4*'D(Ti_Cherniak) Times'!$C320)/(365.35*24*3600)</f>
        <v>326.93946955579332</v>
      </c>
      <c r="Z320" s="2">
        <f>('L-Values'!V320*'D(Ti_Cherniak) Times'!$F320*0.000001)^2/(4*'D(Ti_Cherniak) Times'!$C320)/(365.35*24*3600)</f>
        <v>332.36593484325641</v>
      </c>
      <c r="AA320" s="2">
        <f>('L-Values'!W320*'D(Ti_Cherniak) Times'!$F320*0.000001)^2/(4*'D(Ti_Cherniak) Times'!$C320)/(365.35*24*3600)</f>
        <v>28.928824644146989</v>
      </c>
      <c r="AB320" s="2">
        <f>('L-Values'!X320*'D(Ti_Cherniak) Times'!$F320*0.000001)^2/(4*'D(Ti_Cherniak) Times'!$C320)/(365.35*24*3600)</f>
        <v>1074.5167585387121</v>
      </c>
      <c r="AC320" s="2">
        <f t="shared" si="18"/>
        <v>303.43711019910944</v>
      </c>
      <c r="AD320" s="2">
        <f t="shared" si="19"/>
        <v>742.15082369545576</v>
      </c>
    </row>
    <row r="321" spans="1:30" x14ac:dyDescent="0.2">
      <c r="A321" t="str">
        <f>'L-Values'!A321</f>
        <v>CGI015-qtz07-CL-fit-6-offset</v>
      </c>
      <c r="B321">
        <v>750</v>
      </c>
      <c r="C321">
        <f t="shared" si="16"/>
        <v>8.0537892000481889E-22</v>
      </c>
      <c r="D321">
        <v>2250</v>
      </c>
      <c r="E321">
        <v>1024</v>
      </c>
      <c r="F321">
        <f t="shared" si="17"/>
        <v>2.197265625</v>
      </c>
      <c r="I321" s="2">
        <f>('L-Values'!E321*'D(Ti_Cherniak) Times'!$F321*0.000001)^2/(4*'D(Ti_Cherniak) Times'!$C321)/(365.35*24*3600)</f>
        <v>75.877937418400847</v>
      </c>
      <c r="J321" s="2">
        <f>('L-Values'!F321*'D(Ti_Cherniak) Times'!$F321*0.000001)^2/(4*'D(Ti_Cherniak) Times'!$C321)/(365.35*24*3600)</f>
        <v>118.37002950978219</v>
      </c>
      <c r="K321" s="2">
        <f>('L-Values'!G321*'D(Ti_Cherniak) Times'!$F321*0.000001)^2/(4*'D(Ti_Cherniak) Times'!$C321)/(365.35*24*3600)</f>
        <v>127.27327877718182</v>
      </c>
      <c r="L321" s="2">
        <f>('L-Values'!H321*'D(Ti_Cherniak) Times'!$F321*0.000001)^2/(4*'D(Ti_Cherniak) Times'!$C321)/(365.35*24*3600)</f>
        <v>65.624641535040155</v>
      </c>
      <c r="M321" s="2">
        <f>('L-Values'!I321*'D(Ti_Cherniak) Times'!$F321*0.000001)^2/(4*'D(Ti_Cherniak) Times'!$C321)/(365.35*24*3600)</f>
        <v>103.58120457286233</v>
      </c>
      <c r="N321" s="2">
        <f>('L-Values'!J321*'D(Ti_Cherniak) Times'!$F321*0.000001)^2/(4*'D(Ti_Cherniak) Times'!$C321)/(365.35*24*3600)</f>
        <v>115.84632041374142</v>
      </c>
      <c r="O321" s="2">
        <f>('L-Values'!K321*'D(Ti_Cherniak) Times'!$F321*0.000001)^2/(4*'D(Ti_Cherniak) Times'!$C321)/(365.35*24*3600)</f>
        <v>150.9653610694333</v>
      </c>
      <c r="P321" s="2">
        <f>('L-Values'!L321*'D(Ti_Cherniak) Times'!$F321*0.000001)^2/(4*'D(Ti_Cherniak) Times'!$C321)/(365.35*24*3600)</f>
        <v>114.25078375721733</v>
      </c>
      <c r="Q321" s="2">
        <f>('L-Values'!M321*'D(Ti_Cherniak) Times'!$F321*0.000001)^2/(4*'D(Ti_Cherniak) Times'!$C321)/(365.35*24*3600)</f>
        <v>114.0755446557786</v>
      </c>
      <c r="R321" s="2">
        <f>('L-Values'!N321*'D(Ti_Cherniak) Times'!$F321*0.000001)^2/(4*'D(Ti_Cherniak) Times'!$C321)/(365.35*24*3600)</f>
        <v>74.475265480566762</v>
      </c>
      <c r="S321" s="2">
        <f>('L-Values'!O321*'D(Ti_Cherniak) Times'!$F321*0.000001)^2/(4*'D(Ti_Cherniak) Times'!$C321)/(365.35*24*3600)</f>
        <v>60.511450719015741</v>
      </c>
      <c r="T321" s="2"/>
      <c r="U321" s="2">
        <f>('L-Values'!Q321*'D(Ti_Cherniak) Times'!$F321*0.000001)^2/(4*'D(Ti_Cherniak) Times'!$C321)/(365.35*24*3600)</f>
        <v>105.93450487245576</v>
      </c>
      <c r="V321" s="2">
        <f>('L-Values'!R321*'D(Ti_Cherniak) Times'!$F321*0.000001)^2/(4*'D(Ti_Cherniak) Times'!$C321)/(365.35*24*3600)</f>
        <v>99.961393753288789</v>
      </c>
      <c r="W321" s="2">
        <f>('L-Values'!S321*'D(Ti_Cherniak) Times'!$F321*0.000001)^2/(4*'D(Ti_Cherniak) Times'!$C321)/(365.35*24*3600)</f>
        <v>114.0755446557786</v>
      </c>
      <c r="X321" s="2"/>
      <c r="Y321" s="2">
        <f>('L-Values'!U321*'D(Ti_Cherniak) Times'!$F321*0.000001)^2/(4*'D(Ti_Cherniak) Times'!$C321)/(365.35*24*3600)</f>
        <v>100.36575977858797</v>
      </c>
      <c r="Z321" s="2">
        <f>('L-Values'!V321*'D(Ti_Cherniak) Times'!$F321*0.000001)^2/(4*'D(Ti_Cherniak) Times'!$C321)/(365.35*24*3600)</f>
        <v>94.69526980815057</v>
      </c>
      <c r="AA321" s="2">
        <f>('L-Values'!W321*'D(Ti_Cherniak) Times'!$F321*0.000001)^2/(4*'D(Ti_Cherniak) Times'!$C321)/(365.35*24*3600)</f>
        <v>3.2683716643176037</v>
      </c>
      <c r="AB321" s="2">
        <f>('L-Values'!X321*'D(Ti_Cherniak) Times'!$F321*0.000001)^2/(4*'D(Ti_Cherniak) Times'!$C321)/(365.35*24*3600)</f>
        <v>203.44140411904749</v>
      </c>
      <c r="AC321" s="2">
        <f t="shared" si="18"/>
        <v>91.426898143832972</v>
      </c>
      <c r="AD321" s="2">
        <f t="shared" si="19"/>
        <v>108.74613431089692</v>
      </c>
    </row>
    <row r="322" spans="1:30" x14ac:dyDescent="0.2">
      <c r="A322" t="str">
        <f>'L-Values'!A322</f>
        <v>CGI015-qtz08-CL-fit-1-offset</v>
      </c>
      <c r="B322">
        <v>750</v>
      </c>
      <c r="C322">
        <f t="shared" si="16"/>
        <v>8.0537892000481889E-22</v>
      </c>
      <c r="D322">
        <v>1150</v>
      </c>
      <c r="E322">
        <v>1024</v>
      </c>
      <c r="F322">
        <f t="shared" si="17"/>
        <v>1.123046875</v>
      </c>
      <c r="I322" s="2">
        <f>('L-Values'!E322*'D(Ti_Cherniak) Times'!$F322*0.000001)^2/(4*'D(Ti_Cherniak) Times'!$C322)/(365.35*24*3600)</f>
        <v>377.35099651755502</v>
      </c>
      <c r="J322" s="2">
        <f>('L-Values'!F322*'D(Ti_Cherniak) Times'!$F322*0.000001)^2/(4*'D(Ti_Cherniak) Times'!$C322)/(365.35*24*3600)</f>
        <v>456.99464465113505</v>
      </c>
      <c r="K322" s="2">
        <f>('L-Values'!G322*'D(Ti_Cherniak) Times'!$F322*0.000001)^2/(4*'D(Ti_Cherniak) Times'!$C322)/(365.35*24*3600)</f>
        <v>512.58183282879384</v>
      </c>
      <c r="L322" s="2">
        <f>('L-Values'!H322*'D(Ti_Cherniak) Times'!$F322*0.000001)^2/(4*'D(Ti_Cherniak) Times'!$C322)/(365.35*24*3600)</f>
        <v>541.39931340613998</v>
      </c>
      <c r="M322" s="2">
        <f>('L-Values'!I322*'D(Ti_Cherniak) Times'!$F322*0.000001)^2/(4*'D(Ti_Cherniak) Times'!$C322)/(365.35*24*3600)</f>
        <v>533.9209209053339</v>
      </c>
      <c r="N322" s="2">
        <f>('L-Values'!J322*'D(Ti_Cherniak) Times'!$F322*0.000001)^2/(4*'D(Ti_Cherniak) Times'!$C322)/(365.35*24*3600)</f>
        <v>323.50844821332856</v>
      </c>
      <c r="O322" s="2">
        <f>('L-Values'!K322*'D(Ti_Cherniak) Times'!$F322*0.000001)^2/(4*'D(Ti_Cherniak) Times'!$C322)/(365.35*24*3600)</f>
        <v>353.86066233116622</v>
      </c>
      <c r="P322" s="2">
        <f>('L-Values'!L322*'D(Ti_Cherniak) Times'!$F322*0.000001)^2/(4*'D(Ti_Cherniak) Times'!$C322)/(365.35*24*3600)</f>
        <v>542.02329522988225</v>
      </c>
      <c r="Q322" s="2">
        <f>('L-Values'!M322*'D(Ti_Cherniak) Times'!$F322*0.000001)^2/(4*'D(Ti_Cherniak) Times'!$C322)/(365.35*24*3600)</f>
        <v>468.26548839762177</v>
      </c>
      <c r="R322" s="2">
        <f>('L-Values'!N322*'D(Ti_Cherniak) Times'!$F322*0.000001)^2/(4*'D(Ti_Cherniak) Times'!$C322)/(365.35*24*3600)</f>
        <v>322.69340723396789</v>
      </c>
      <c r="S322" s="2">
        <f>('L-Values'!O322*'D(Ti_Cherniak) Times'!$F322*0.000001)^2/(4*'D(Ti_Cherniak) Times'!$C322)/(365.35*24*3600)</f>
        <v>403.18836127954614</v>
      </c>
      <c r="T322" s="2"/>
      <c r="U322" s="2">
        <f>('L-Values'!Q322*'D(Ti_Cherniak) Times'!$F322*0.000001)^2/(4*'D(Ti_Cherniak) Times'!$C322)/(365.35*24*3600)</f>
        <v>435.15467546608716</v>
      </c>
      <c r="V322" s="2">
        <f>('L-Values'!R322*'D(Ti_Cherniak) Times'!$F322*0.000001)^2/(4*'D(Ti_Cherniak) Times'!$C322)/(365.35*24*3600)</f>
        <v>435.59305207046367</v>
      </c>
      <c r="W322" s="2">
        <f>('L-Values'!S322*'D(Ti_Cherniak) Times'!$F322*0.000001)^2/(4*'D(Ti_Cherniak) Times'!$C322)/(365.35*24*3600)</f>
        <v>456.99464465113505</v>
      </c>
      <c r="X322" s="2"/>
      <c r="Y322" s="2">
        <f>('L-Values'!U322*'D(Ti_Cherniak) Times'!$F322*0.000001)^2/(4*'D(Ti_Cherniak) Times'!$C322)/(365.35*24*3600)</f>
        <v>436.37628593438194</v>
      </c>
      <c r="Z322" s="2">
        <f>('L-Values'!V322*'D(Ti_Cherniak) Times'!$F322*0.000001)^2/(4*'D(Ti_Cherniak) Times'!$C322)/(365.35*24*3600)</f>
        <v>440.15082450351105</v>
      </c>
      <c r="AA322" s="2">
        <f>('L-Values'!W322*'D(Ti_Cherniak) Times'!$F322*0.000001)^2/(4*'D(Ti_Cherniak) Times'!$C322)/(365.35*24*3600)</f>
        <v>269.12009087835946</v>
      </c>
      <c r="AB322" s="2">
        <f>('L-Values'!X322*'D(Ti_Cherniak) Times'!$F322*0.000001)^2/(4*'D(Ti_Cherniak) Times'!$C322)/(365.35*24*3600)</f>
        <v>657.74308123319474</v>
      </c>
      <c r="AC322" s="2">
        <f t="shared" si="18"/>
        <v>171.03073362515158</v>
      </c>
      <c r="AD322" s="2">
        <f t="shared" si="19"/>
        <v>217.5922567296837</v>
      </c>
    </row>
    <row r="323" spans="1:30" x14ac:dyDescent="0.2">
      <c r="A323" t="str">
        <f>'L-Values'!A323</f>
        <v>CGI015-qtz08-CL-fit-2-offset</v>
      </c>
      <c r="B323">
        <v>750</v>
      </c>
      <c r="C323">
        <f t="shared" ref="C323:C385" si="20">0.00000007*EXP(-273/(0.00831451*(B323+273)))</f>
        <v>8.0537892000481889E-22</v>
      </c>
      <c r="D323">
        <v>1150</v>
      </c>
      <c r="E323">
        <v>1024</v>
      </c>
      <c r="F323">
        <f t="shared" ref="F323:F385" si="21">D323/E323</f>
        <v>1.123046875</v>
      </c>
      <c r="I323" s="2">
        <f>('L-Values'!E323*'D(Ti_Cherniak) Times'!$F323*0.000001)^2/(4*'D(Ti_Cherniak) Times'!$C323)/(365.35*24*3600)</f>
        <v>235.2186821390676</v>
      </c>
      <c r="J323" s="2">
        <f>('L-Values'!F323*'D(Ti_Cherniak) Times'!$F323*0.000001)^2/(4*'D(Ti_Cherniak) Times'!$C323)/(365.35*24*3600)</f>
        <v>191.51406905735018</v>
      </c>
      <c r="K323" s="2">
        <f>('L-Values'!G323*'D(Ti_Cherniak) Times'!$F323*0.000001)^2/(4*'D(Ti_Cherniak) Times'!$C323)/(365.35*24*3600)</f>
        <v>241.40080917776316</v>
      </c>
      <c r="L323" s="2">
        <f>('L-Values'!H323*'D(Ti_Cherniak) Times'!$F323*0.000001)^2/(4*'D(Ti_Cherniak) Times'!$C323)/(365.35*24*3600)</f>
        <v>144.07130956445994</v>
      </c>
      <c r="M323" s="2">
        <f>('L-Values'!I323*'D(Ti_Cherniak) Times'!$F323*0.000001)^2/(4*'D(Ti_Cherniak) Times'!$C323)/(365.35*24*3600)</f>
        <v>305.43404136565817</v>
      </c>
      <c r="N323" s="2">
        <f>('L-Values'!J323*'D(Ti_Cherniak) Times'!$F323*0.000001)^2/(4*'D(Ti_Cherniak) Times'!$C323)/(365.35*24*3600)</f>
        <v>145.77153944963618</v>
      </c>
      <c r="O323" s="2">
        <f>('L-Values'!K323*'D(Ti_Cherniak) Times'!$F323*0.000001)^2/(4*'D(Ti_Cherniak) Times'!$C323)/(365.35*24*3600)</f>
        <v>185.91620547793582</v>
      </c>
      <c r="P323" s="2">
        <f>('L-Values'!L323*'D(Ti_Cherniak) Times'!$F323*0.000001)^2/(4*'D(Ti_Cherniak) Times'!$C323)/(365.35*24*3600)</f>
        <v>173.92116195689212</v>
      </c>
      <c r="Q323" s="2">
        <f>('L-Values'!M323*'D(Ti_Cherniak) Times'!$F323*0.000001)^2/(4*'D(Ti_Cherniak) Times'!$C323)/(365.35*24*3600)</f>
        <v>146.85016001101653</v>
      </c>
      <c r="R323" s="2">
        <f>('L-Values'!N323*'D(Ti_Cherniak) Times'!$F323*0.000001)^2/(4*'D(Ti_Cherniak) Times'!$C323)/(365.35*24*3600)</f>
        <v>367.49201806596074</v>
      </c>
      <c r="S323" s="2">
        <f>('L-Values'!O323*'D(Ti_Cherniak) Times'!$F323*0.000001)^2/(4*'D(Ti_Cherniak) Times'!$C323)/(365.35*24*3600)</f>
        <v>310.79659673018165</v>
      </c>
      <c r="T323" s="2"/>
      <c r="U323" s="2">
        <f>('L-Values'!Q323*'D(Ti_Cherniak) Times'!$F323*0.000001)^2/(4*'D(Ti_Cherniak) Times'!$C323)/(365.35*24*3600)</f>
        <v>222.14527757286828</v>
      </c>
      <c r="V323" s="2">
        <f>('L-Values'!R323*'D(Ti_Cherniak) Times'!$F323*0.000001)^2/(4*'D(Ti_Cherniak) Times'!$C323)/(365.35*24*3600)</f>
        <v>216.91054999724935</v>
      </c>
      <c r="W323" s="2">
        <f>('L-Values'!S323*'D(Ti_Cherniak) Times'!$F323*0.000001)^2/(4*'D(Ti_Cherniak) Times'!$C323)/(365.35*24*3600)</f>
        <v>191.51406905735018</v>
      </c>
      <c r="X323" s="2"/>
      <c r="Y323" s="2">
        <f>('L-Values'!U323*'D(Ti_Cherniak) Times'!$F323*0.000001)^2/(4*'D(Ti_Cherniak) Times'!$C323)/(365.35*24*3600)</f>
        <v>220.72386107357838</v>
      </c>
      <c r="Z323" s="2">
        <f>('L-Values'!V323*'D(Ti_Cherniak) Times'!$F323*0.000001)^2/(4*'D(Ti_Cherniak) Times'!$C323)/(365.35*24*3600)</f>
        <v>229.25676580073124</v>
      </c>
      <c r="AA323" s="2">
        <f>('L-Values'!W323*'D(Ti_Cherniak) Times'!$F323*0.000001)^2/(4*'D(Ti_Cherniak) Times'!$C323)/(365.35*24*3600)</f>
        <v>107.70673249608133</v>
      </c>
      <c r="AB323" s="2">
        <f>('L-Values'!X323*'D(Ti_Cherniak) Times'!$F323*0.000001)^2/(4*'D(Ti_Cherniak) Times'!$C323)/(365.35*24*3600)</f>
        <v>511.40526918305966</v>
      </c>
      <c r="AC323" s="2">
        <f t="shared" ref="AC323:AC385" si="22">Z323-AA323</f>
        <v>121.55003330464992</v>
      </c>
      <c r="AD323" s="2">
        <f t="shared" ref="AD323:AD385" si="23">AB323-Z323</f>
        <v>282.14850338232839</v>
      </c>
    </row>
    <row r="324" spans="1:30" x14ac:dyDescent="0.2">
      <c r="A324" t="str">
        <f>'L-Values'!A324</f>
        <v>CGI015-qtz08-CL-fit-3-offset</v>
      </c>
      <c r="B324">
        <v>750</v>
      </c>
      <c r="C324">
        <f t="shared" si="20"/>
        <v>8.0537892000481889E-22</v>
      </c>
      <c r="D324">
        <v>1150</v>
      </c>
      <c r="E324">
        <v>1024</v>
      </c>
      <c r="F324">
        <f t="shared" si="21"/>
        <v>1.123046875</v>
      </c>
      <c r="I324" s="2">
        <f>('L-Values'!E324*'D(Ti_Cherniak) Times'!$F324*0.000001)^2/(4*'D(Ti_Cherniak) Times'!$C324)/(365.35*24*3600)</f>
        <v>824.90676590318526</v>
      </c>
      <c r="J324" s="2">
        <f>('L-Values'!F324*'D(Ti_Cherniak) Times'!$F324*0.000001)^2/(4*'D(Ti_Cherniak) Times'!$C324)/(365.35*24*3600)</f>
        <v>532.9710203742635</v>
      </c>
      <c r="K324" s="2">
        <f>('L-Values'!G324*'D(Ti_Cherniak) Times'!$F324*0.000001)^2/(4*'D(Ti_Cherniak) Times'!$C324)/(365.35*24*3600)</f>
        <v>677.22522681487737</v>
      </c>
      <c r="L324" s="2">
        <f>('L-Values'!H324*'D(Ti_Cherniak) Times'!$F324*0.000001)^2/(4*'D(Ti_Cherniak) Times'!$C324)/(365.35*24*3600)</f>
        <v>689.51473267422136</v>
      </c>
      <c r="M324" s="2">
        <f>('L-Values'!I324*'D(Ti_Cherniak) Times'!$F324*0.000001)^2/(4*'D(Ti_Cherniak) Times'!$C324)/(365.35*24*3600)</f>
        <v>2035.202247655473</v>
      </c>
      <c r="N324" s="2">
        <f>('L-Values'!J324*'D(Ti_Cherniak) Times'!$F324*0.000001)^2/(4*'D(Ti_Cherniak) Times'!$C324)/(365.35*24*3600)</f>
        <v>440.53950833774883</v>
      </c>
      <c r="O324" s="2">
        <f>('L-Values'!K324*'D(Ti_Cherniak) Times'!$F324*0.000001)^2/(4*'D(Ti_Cherniak) Times'!$C324)/(365.35*24*3600)</f>
        <v>511.31124009987332</v>
      </c>
      <c r="P324" s="2">
        <f>('L-Values'!L324*'D(Ti_Cherniak) Times'!$F324*0.000001)^2/(4*'D(Ti_Cherniak) Times'!$C324)/(365.35*24*3600)</f>
        <v>582.5345050529254</v>
      </c>
      <c r="Q324" s="2">
        <f>('L-Values'!M324*'D(Ti_Cherniak) Times'!$F324*0.000001)^2/(4*'D(Ti_Cherniak) Times'!$C324)/(365.35*24*3600)</f>
        <v>1474.7586190910222</v>
      </c>
      <c r="R324" s="2">
        <f>('L-Values'!N324*'D(Ti_Cherniak) Times'!$F324*0.000001)^2/(4*'D(Ti_Cherniak) Times'!$C324)/(365.35*24*3600)</f>
        <v>676.21907977036994</v>
      </c>
      <c r="S324" s="2">
        <f>('L-Values'!O324*'D(Ti_Cherniak) Times'!$F324*0.000001)^2/(4*'D(Ti_Cherniak) Times'!$C324)/(365.35*24*3600)</f>
        <v>978.2179855982771</v>
      </c>
      <c r="T324" s="2"/>
      <c r="U324" s="2">
        <f>('L-Values'!Q324*'D(Ti_Cherniak) Times'!$F324*0.000001)^2/(4*'D(Ti_Cherniak) Times'!$C324)/(365.35*24*3600)</f>
        <v>785.88563571448663</v>
      </c>
      <c r="V324" s="2">
        <f>('L-Values'!R324*'D(Ti_Cherniak) Times'!$F324*0.000001)^2/(4*'D(Ti_Cherniak) Times'!$C324)/(365.35*24*3600)</f>
        <v>807.71183705465785</v>
      </c>
      <c r="W324" s="2">
        <f>('L-Values'!S324*'D(Ti_Cherniak) Times'!$F324*0.000001)^2/(4*'D(Ti_Cherniak) Times'!$C324)/(365.35*24*3600)</f>
        <v>677.22522681487737</v>
      </c>
      <c r="X324" s="2"/>
      <c r="Y324" s="2">
        <f>('L-Values'!U324*'D(Ti_Cherniak) Times'!$F324*0.000001)^2/(4*'D(Ti_Cherniak) Times'!$C324)/(365.35*24*3600)</f>
        <v>771.45736376236027</v>
      </c>
      <c r="Z324" s="2">
        <f>('L-Values'!V324*'D(Ti_Cherniak) Times'!$F324*0.000001)^2/(4*'D(Ti_Cherniak) Times'!$C324)/(365.35*24*3600)</f>
        <v>795.01791898660838</v>
      </c>
      <c r="AA324" s="2">
        <f>('L-Values'!W324*'D(Ti_Cherniak) Times'!$F324*0.000001)^2/(4*'D(Ti_Cherniak) Times'!$C324)/(365.35*24*3600)</f>
        <v>132.32307261446394</v>
      </c>
      <c r="AB324" s="2">
        <f>('L-Values'!X324*'D(Ti_Cherniak) Times'!$F324*0.000001)^2/(4*'D(Ti_Cherniak) Times'!$C324)/(365.35*24*3600)</f>
        <v>2488.4397970958667</v>
      </c>
      <c r="AC324" s="2">
        <f t="shared" si="22"/>
        <v>662.69484637214441</v>
      </c>
      <c r="AD324" s="2">
        <f t="shared" si="23"/>
        <v>1693.4218781092582</v>
      </c>
    </row>
    <row r="325" spans="1:30" x14ac:dyDescent="0.2">
      <c r="A325" t="str">
        <f>'L-Values'!A325</f>
        <v>CGI015-qtz08-CL-fit-4-offset</v>
      </c>
      <c r="B325">
        <v>750</v>
      </c>
      <c r="C325">
        <f t="shared" si="20"/>
        <v>8.0537892000481889E-22</v>
      </c>
      <c r="D325">
        <v>1150</v>
      </c>
      <c r="E325">
        <v>1024</v>
      </c>
      <c r="F325">
        <f t="shared" si="21"/>
        <v>1.123046875</v>
      </c>
      <c r="I325" s="2">
        <f>('L-Values'!E325*'D(Ti_Cherniak) Times'!$F325*0.000001)^2/(4*'D(Ti_Cherniak) Times'!$C325)/(365.35*24*3600)</f>
        <v>154.27596371276798</v>
      </c>
      <c r="J325" s="2">
        <f>('L-Values'!F325*'D(Ti_Cherniak) Times'!$F325*0.000001)^2/(4*'D(Ti_Cherniak) Times'!$C325)/(365.35*24*3600)</f>
        <v>389.72672281845399</v>
      </c>
      <c r="K325" s="2">
        <f>('L-Values'!G325*'D(Ti_Cherniak) Times'!$F325*0.000001)^2/(4*'D(Ti_Cherniak) Times'!$C325)/(365.35*24*3600)</f>
        <v>206.06865882770254</v>
      </c>
      <c r="L325" s="2">
        <f>('L-Values'!H325*'D(Ti_Cherniak) Times'!$F325*0.000001)^2/(4*'D(Ti_Cherniak) Times'!$C325)/(365.35*24*3600)</f>
        <v>251.01837278189237</v>
      </c>
      <c r="M325" s="2">
        <f>('L-Values'!I325*'D(Ti_Cherniak) Times'!$F325*0.000001)^2/(4*'D(Ti_Cherniak) Times'!$C325)/(365.35*24*3600)</f>
        <v>200.01030158705626</v>
      </c>
      <c r="N325" s="2">
        <f>('L-Values'!J325*'D(Ti_Cherniak) Times'!$F325*0.000001)^2/(4*'D(Ti_Cherniak) Times'!$C325)/(365.35*24*3600)</f>
        <v>241.677848242496</v>
      </c>
      <c r="O325" s="2">
        <f>('L-Values'!K325*'D(Ti_Cherniak) Times'!$F325*0.000001)^2/(4*'D(Ti_Cherniak) Times'!$C325)/(365.35*24*3600)</f>
        <v>235.36285137508546</v>
      </c>
      <c r="P325" s="2">
        <f>('L-Values'!L325*'D(Ti_Cherniak) Times'!$F325*0.000001)^2/(4*'D(Ti_Cherniak) Times'!$C325)/(365.35*24*3600)</f>
        <v>286.53903488273613</v>
      </c>
      <c r="Q325" s="2">
        <f>('L-Values'!M325*'D(Ti_Cherniak) Times'!$F325*0.000001)^2/(4*'D(Ti_Cherniak) Times'!$C325)/(365.35*24*3600)</f>
        <v>345.90074106971866</v>
      </c>
      <c r="R325" s="2">
        <f>('L-Values'!N325*'D(Ti_Cherniak) Times'!$F325*0.000001)^2/(4*'D(Ti_Cherniak) Times'!$C325)/(365.35*24*3600)</f>
        <v>651.86004916628337</v>
      </c>
      <c r="S325" s="2">
        <f>('L-Values'!O325*'D(Ti_Cherniak) Times'!$F325*0.000001)^2/(4*'D(Ti_Cherniak) Times'!$C325)/(365.35*24*3600)</f>
        <v>301.8158106780769</v>
      </c>
      <c r="T325" s="2"/>
      <c r="U325" s="2">
        <f>('L-Values'!Q325*'D(Ti_Cherniak) Times'!$F325*0.000001)^2/(4*'D(Ti_Cherniak) Times'!$C325)/(365.35*24*3600)</f>
        <v>292.76974855020467</v>
      </c>
      <c r="V325" s="2">
        <f>('L-Values'!R325*'D(Ti_Cherniak) Times'!$F325*0.000001)^2/(4*'D(Ti_Cherniak) Times'!$C325)/(365.35*24*3600)</f>
        <v>285.36802882116189</v>
      </c>
      <c r="W325" s="2">
        <f>('L-Values'!S325*'D(Ti_Cherniak) Times'!$F325*0.000001)^2/(4*'D(Ti_Cherniak) Times'!$C325)/(365.35*24*3600)</f>
        <v>251.01837278189237</v>
      </c>
      <c r="X325" s="2"/>
      <c r="Y325" s="2">
        <f>('L-Values'!U325*'D(Ti_Cherniak) Times'!$F325*0.000001)^2/(4*'D(Ti_Cherniak) Times'!$C325)/(365.35*24*3600)</f>
        <v>271.32976588232304</v>
      </c>
      <c r="Z325" s="2">
        <f>('L-Values'!V325*'D(Ti_Cherniak) Times'!$F325*0.000001)^2/(4*'D(Ti_Cherniak) Times'!$C325)/(365.35*24*3600)</f>
        <v>275.05241984422975</v>
      </c>
      <c r="AA325" s="2">
        <f>('L-Values'!W325*'D(Ti_Cherniak) Times'!$F325*0.000001)^2/(4*'D(Ti_Cherniak) Times'!$C325)/(365.35*24*3600)</f>
        <v>104.03424260519661</v>
      </c>
      <c r="AB325" s="2">
        <f>('L-Values'!X325*'D(Ti_Cherniak) Times'!$F325*0.000001)^2/(4*'D(Ti_Cherniak) Times'!$C325)/(365.35*24*3600)</f>
        <v>590.83663213715352</v>
      </c>
      <c r="AC325" s="2">
        <f t="shared" si="22"/>
        <v>171.01817723903315</v>
      </c>
      <c r="AD325" s="2">
        <f t="shared" si="23"/>
        <v>315.78421229292377</v>
      </c>
    </row>
    <row r="326" spans="1:30" x14ac:dyDescent="0.2">
      <c r="A326" t="str">
        <f>'L-Values'!A326</f>
        <v>CGI015-qtz08-CL-fit-5-offset</v>
      </c>
      <c r="B326">
        <v>750</v>
      </c>
      <c r="C326">
        <f t="shared" si="20"/>
        <v>8.0537892000481889E-22</v>
      </c>
      <c r="D326">
        <v>1150</v>
      </c>
      <c r="E326">
        <v>1024</v>
      </c>
      <c r="F326">
        <f t="shared" si="21"/>
        <v>1.123046875</v>
      </c>
      <c r="I326" s="2">
        <f>('L-Values'!E326*'D(Ti_Cherniak) Times'!$F326*0.000001)^2/(4*'D(Ti_Cherniak) Times'!$C326)/(365.35*24*3600)</f>
        <v>211.53473830554805</v>
      </c>
      <c r="J326" s="2">
        <f>('L-Values'!F326*'D(Ti_Cherniak) Times'!$F326*0.000001)^2/(4*'D(Ti_Cherniak) Times'!$C326)/(365.35*24*3600)</f>
        <v>255.46909294499974</v>
      </c>
      <c r="K326" s="2">
        <f>('L-Values'!G326*'D(Ti_Cherniak) Times'!$F326*0.000001)^2/(4*'D(Ti_Cherniak) Times'!$C326)/(365.35*24*3600)</f>
        <v>226.52047186093876</v>
      </c>
      <c r="L326" s="2">
        <f>('L-Values'!H326*'D(Ti_Cherniak) Times'!$F326*0.000001)^2/(4*'D(Ti_Cherniak) Times'!$C326)/(365.35*24*3600)</f>
        <v>159.68306901786224</v>
      </c>
      <c r="M326" s="2">
        <f>('L-Values'!I326*'D(Ti_Cherniak) Times'!$F326*0.000001)^2/(4*'D(Ti_Cherniak) Times'!$C326)/(365.35*24*3600)</f>
        <v>256.88613861392247</v>
      </c>
      <c r="N326" s="2">
        <f>('L-Values'!J326*'D(Ti_Cherniak) Times'!$F326*0.000001)^2/(4*'D(Ti_Cherniak) Times'!$C326)/(365.35*24*3600)</f>
        <v>275.77318293302949</v>
      </c>
      <c r="O326" s="2">
        <f>('L-Values'!K326*'D(Ti_Cherniak) Times'!$F326*0.000001)^2/(4*'D(Ti_Cherniak) Times'!$C326)/(365.35*24*3600)</f>
        <v>250.76945920112803</v>
      </c>
      <c r="P326" s="2">
        <f>('L-Values'!L326*'D(Ti_Cherniak) Times'!$F326*0.000001)^2/(4*'D(Ti_Cherniak) Times'!$C326)/(365.35*24*3600)</f>
        <v>452.03282651594503</v>
      </c>
      <c r="Q326" s="2">
        <f>('L-Values'!M326*'D(Ti_Cherniak) Times'!$F326*0.000001)^2/(4*'D(Ti_Cherniak) Times'!$C326)/(365.35*24*3600)</f>
        <v>626.79871341975127</v>
      </c>
      <c r="R326" s="2">
        <f>('L-Values'!N326*'D(Ti_Cherniak) Times'!$F326*0.000001)^2/(4*'D(Ti_Cherniak) Times'!$C326)/(365.35*24*3600)</f>
        <v>867.13902872282961</v>
      </c>
      <c r="S326" s="2">
        <f>('L-Values'!O326*'D(Ti_Cherniak) Times'!$F326*0.000001)^2/(4*'D(Ti_Cherniak) Times'!$C326)/(365.35*24*3600)</f>
        <v>420.79058295938546</v>
      </c>
      <c r="T326" s="2"/>
      <c r="U326" s="2">
        <f>('L-Values'!Q326*'D(Ti_Cherniak) Times'!$F326*0.000001)^2/(4*'D(Ti_Cherniak) Times'!$C326)/(365.35*24*3600)</f>
        <v>330.3990592412249</v>
      </c>
      <c r="V326" s="2">
        <f>('L-Values'!R326*'D(Ti_Cherniak) Times'!$F326*0.000001)^2/(4*'D(Ti_Cherniak) Times'!$C326)/(365.35*24*3600)</f>
        <v>340.3757151497885</v>
      </c>
      <c r="W326" s="2">
        <f>('L-Values'!S326*'D(Ti_Cherniak) Times'!$F326*0.000001)^2/(4*'D(Ti_Cherniak) Times'!$C326)/(365.35*24*3600)</f>
        <v>256.88613861392247</v>
      </c>
      <c r="X326" s="2"/>
      <c r="Y326" s="2">
        <f>('L-Values'!U326*'D(Ti_Cherniak) Times'!$F326*0.000001)^2/(4*'D(Ti_Cherniak) Times'!$C326)/(365.35*24*3600)</f>
        <v>324.07791453708933</v>
      </c>
      <c r="Z326" s="2">
        <f>('L-Values'!V326*'D(Ti_Cherniak) Times'!$F326*0.000001)^2/(4*'D(Ti_Cherniak) Times'!$C326)/(365.35*24*3600)</f>
        <v>334.61627350601924</v>
      </c>
      <c r="AA326" s="2">
        <f>('L-Values'!W326*'D(Ti_Cherniak) Times'!$F326*0.000001)^2/(4*'D(Ti_Cherniak) Times'!$C326)/(365.35*24*3600)</f>
        <v>121.7282880467201</v>
      </c>
      <c r="AB326" s="2">
        <f>('L-Values'!X326*'D(Ti_Cherniak) Times'!$F326*0.000001)^2/(4*'D(Ti_Cherniak) Times'!$C326)/(365.35*24*3600)</f>
        <v>741.5822125257846</v>
      </c>
      <c r="AC326" s="2">
        <f t="shared" si="22"/>
        <v>212.88798545929916</v>
      </c>
      <c r="AD326" s="2">
        <f t="shared" si="23"/>
        <v>406.96593901976536</v>
      </c>
    </row>
    <row r="327" spans="1:30" x14ac:dyDescent="0.2">
      <c r="A327" t="str">
        <f>'L-Values'!A327</f>
        <v>CGI015-qtz08-CL-fit-6-offset</v>
      </c>
      <c r="B327">
        <v>750</v>
      </c>
      <c r="C327">
        <f t="shared" si="20"/>
        <v>8.0537892000481889E-22</v>
      </c>
      <c r="D327">
        <v>1150</v>
      </c>
      <c r="E327">
        <v>1024</v>
      </c>
      <c r="F327">
        <f t="shared" si="21"/>
        <v>1.123046875</v>
      </c>
      <c r="I327" s="2">
        <f>('L-Values'!E327*'D(Ti_Cherniak) Times'!$F327*0.000001)^2/(4*'D(Ti_Cherniak) Times'!$C327)/(365.35*24*3600)</f>
        <v>106.36817890468804</v>
      </c>
      <c r="J327" s="2">
        <f>('L-Values'!F327*'D(Ti_Cherniak) Times'!$F327*0.000001)^2/(4*'D(Ti_Cherniak) Times'!$C327)/(365.35*24*3600)</f>
        <v>150.60186600731282</v>
      </c>
      <c r="K327" s="2">
        <f>('L-Values'!G327*'D(Ti_Cherniak) Times'!$F327*0.000001)^2/(4*'D(Ti_Cherniak) Times'!$C327)/(365.35*24*3600)</f>
        <v>74.176802569049599</v>
      </c>
      <c r="L327" s="2">
        <f>('L-Values'!H327*'D(Ti_Cherniak) Times'!$F327*0.000001)^2/(4*'D(Ti_Cherniak) Times'!$C327)/(365.35*24*3600)</f>
        <v>41.752179889069446</v>
      </c>
      <c r="M327" s="2">
        <f>('L-Values'!I327*'D(Ti_Cherniak) Times'!$F327*0.000001)^2/(4*'D(Ti_Cherniak) Times'!$C327)/(365.35*24*3600)</f>
        <v>86.83489834330075</v>
      </c>
      <c r="N327" s="2">
        <f>('L-Values'!J327*'D(Ti_Cherniak) Times'!$F327*0.000001)^2/(4*'D(Ti_Cherniak) Times'!$C327)/(365.35*24*3600)</f>
        <v>71.89904112697144</v>
      </c>
      <c r="O327" s="2">
        <f>('L-Values'!K327*'D(Ti_Cherniak) Times'!$F327*0.000001)^2/(4*'D(Ti_Cherniak) Times'!$C327)/(365.35*24*3600)</f>
        <v>89.654774798313412</v>
      </c>
      <c r="P327" s="2">
        <f>('L-Values'!L327*'D(Ti_Cherniak) Times'!$F327*0.000001)^2/(4*'D(Ti_Cherniak) Times'!$C327)/(365.35*24*3600)</f>
        <v>100.34070313436142</v>
      </c>
      <c r="Q327" s="2">
        <f>('L-Values'!M327*'D(Ti_Cherniak) Times'!$F327*0.000001)^2/(4*'D(Ti_Cherniak) Times'!$C327)/(365.35*24*3600)</f>
        <v>115.49086047835442</v>
      </c>
      <c r="R327" s="2">
        <f>('L-Values'!N327*'D(Ti_Cherniak) Times'!$F327*0.000001)^2/(4*'D(Ti_Cherniak) Times'!$C327)/(365.35*24*3600)</f>
        <v>58.657735730020264</v>
      </c>
      <c r="S327" s="2">
        <f>('L-Values'!O327*'D(Ti_Cherniak) Times'!$F327*0.000001)^2/(4*'D(Ti_Cherniak) Times'!$C327)/(365.35*24*3600)</f>
        <v>123.33031110761391</v>
      </c>
      <c r="T327" s="2"/>
      <c r="U327" s="2">
        <f>('L-Values'!Q327*'D(Ti_Cherniak) Times'!$F327*0.000001)^2/(4*'D(Ti_Cherniak) Times'!$C327)/(365.35*24*3600)</f>
        <v>86.201366544638987</v>
      </c>
      <c r="V327" s="2">
        <f>('L-Values'!R327*'D(Ti_Cherniak) Times'!$F327*0.000001)^2/(4*'D(Ti_Cherniak) Times'!$C327)/(365.35*24*3600)</f>
        <v>90.170724690467907</v>
      </c>
      <c r="W327" s="2">
        <f>('L-Values'!S327*'D(Ti_Cherniak) Times'!$F327*0.000001)^2/(4*'D(Ti_Cherniak) Times'!$C327)/(365.35*24*3600)</f>
        <v>89.654774798313412</v>
      </c>
      <c r="X327" s="2"/>
      <c r="Y327" s="2">
        <f>('L-Values'!U327*'D(Ti_Cherniak) Times'!$F327*0.000001)^2/(4*'D(Ti_Cherniak) Times'!$C327)/(365.35*24*3600)</f>
        <v>86.508735859349457</v>
      </c>
      <c r="Z327" s="2">
        <f>('L-Values'!V327*'D(Ti_Cherniak) Times'!$F327*0.000001)^2/(4*'D(Ti_Cherniak) Times'!$C327)/(365.35*24*3600)</f>
        <v>93.970641687876466</v>
      </c>
      <c r="AA327" s="2">
        <f>('L-Values'!W327*'D(Ti_Cherniak) Times'!$F327*0.000001)^2/(4*'D(Ti_Cherniak) Times'!$C327)/(365.35*24*3600)</f>
        <v>31.592209217373693</v>
      </c>
      <c r="AB327" s="2">
        <f>('L-Values'!X327*'D(Ti_Cherniak) Times'!$F327*0.000001)^2/(4*'D(Ti_Cherniak) Times'!$C327)/(365.35*24*3600)</f>
        <v>251.60496605211898</v>
      </c>
      <c r="AC327" s="2">
        <f t="shared" si="22"/>
        <v>62.378432470502773</v>
      </c>
      <c r="AD327" s="2">
        <f t="shared" si="23"/>
        <v>157.6343243642425</v>
      </c>
    </row>
    <row r="328" spans="1:30" x14ac:dyDescent="0.2">
      <c r="A328" t="str">
        <f>'L-Values'!A328</f>
        <v>CGI015-qtz09-CL-fit-1-offset</v>
      </c>
      <c r="B328">
        <v>750</v>
      </c>
      <c r="C328">
        <f t="shared" si="20"/>
        <v>8.0537892000481889E-22</v>
      </c>
      <c r="D328">
        <v>2150</v>
      </c>
      <c r="E328">
        <v>1024</v>
      </c>
      <c r="F328">
        <f t="shared" si="21"/>
        <v>2.099609375</v>
      </c>
      <c r="I328" s="2">
        <f>('L-Values'!E328*'D(Ti_Cherniak) Times'!$F328*0.000001)^2/(4*'D(Ti_Cherniak) Times'!$C328)/(365.35*24*3600)</f>
        <v>1108.8241112104522</v>
      </c>
      <c r="J328" s="2">
        <f>('L-Values'!F328*'D(Ti_Cherniak) Times'!$F328*0.000001)^2/(4*'D(Ti_Cherniak) Times'!$C328)/(365.35*24*3600)</f>
        <v>1466.9595003816157</v>
      </c>
      <c r="K328" s="2">
        <f>('L-Values'!G328*'D(Ti_Cherniak) Times'!$F328*0.000001)^2/(4*'D(Ti_Cherniak) Times'!$C328)/(365.35*24*3600)</f>
        <v>1442.8329308676448</v>
      </c>
      <c r="L328" s="2">
        <f>('L-Values'!H328*'D(Ti_Cherniak) Times'!$F328*0.000001)^2/(4*'D(Ti_Cherniak) Times'!$C328)/(365.35*24*3600)</f>
        <v>1724.0417191058791</v>
      </c>
      <c r="M328" s="2">
        <f>('L-Values'!I328*'D(Ti_Cherniak) Times'!$F328*0.000001)^2/(4*'D(Ti_Cherniak) Times'!$C328)/(365.35*24*3600)</f>
        <v>1291.711213744635</v>
      </c>
      <c r="N328" s="2">
        <f>('L-Values'!J328*'D(Ti_Cherniak) Times'!$F328*0.000001)^2/(4*'D(Ti_Cherniak) Times'!$C328)/(365.35*24*3600)</f>
        <v>1526.0066678581534</v>
      </c>
      <c r="O328" s="2">
        <f>('L-Values'!K328*'D(Ti_Cherniak) Times'!$F328*0.000001)^2/(4*'D(Ti_Cherniak) Times'!$C328)/(365.35*24*3600)</f>
        <v>1470.261457576941</v>
      </c>
      <c r="P328" s="2">
        <f>('L-Values'!L328*'D(Ti_Cherniak) Times'!$F328*0.000001)^2/(4*'D(Ti_Cherniak) Times'!$C328)/(365.35*24*3600)</f>
        <v>1679.0520048080789</v>
      </c>
      <c r="Q328" s="2">
        <f>('L-Values'!M328*'D(Ti_Cherniak) Times'!$F328*0.000001)^2/(4*'D(Ti_Cherniak) Times'!$C328)/(365.35*24*3600)</f>
        <v>2349.3597849578573</v>
      </c>
      <c r="R328" s="2">
        <f>('L-Values'!N328*'D(Ti_Cherniak) Times'!$F328*0.000001)^2/(4*'D(Ti_Cherniak) Times'!$C328)/(365.35*24*3600)</f>
        <v>1672.6427633886717</v>
      </c>
      <c r="S328" s="2">
        <f>('L-Values'!O328*'D(Ti_Cherniak) Times'!$F328*0.000001)^2/(4*'D(Ti_Cherniak) Times'!$C328)/(365.35*24*3600)</f>
        <v>1752.9658312411707</v>
      </c>
      <c r="T328" s="2"/>
      <c r="U328" s="2">
        <f>('L-Values'!Q328*'D(Ti_Cherniak) Times'!$F328*0.000001)^2/(4*'D(Ti_Cherniak) Times'!$C328)/(365.35*24*3600)</f>
        <v>1565.2020216376025</v>
      </c>
      <c r="V328" s="2">
        <f>('L-Values'!R328*'D(Ti_Cherniak) Times'!$F328*0.000001)^2/(4*'D(Ti_Cherniak) Times'!$C328)/(365.35*24*3600)</f>
        <v>1575.8552030280541</v>
      </c>
      <c r="W328" s="2">
        <f>('L-Values'!S328*'D(Ti_Cherniak) Times'!$F328*0.000001)^2/(4*'D(Ti_Cherniak) Times'!$C328)/(365.35*24*3600)</f>
        <v>1526.0066678581534</v>
      </c>
      <c r="X328" s="2"/>
      <c r="Y328" s="2">
        <f>('L-Values'!U328*'D(Ti_Cherniak) Times'!$F328*0.000001)^2/(4*'D(Ti_Cherniak) Times'!$C328)/(365.35*24*3600)</f>
        <v>1580.3667219859492</v>
      </c>
      <c r="Z328" s="2">
        <f>('L-Values'!V328*'D(Ti_Cherniak) Times'!$F328*0.000001)^2/(4*'D(Ti_Cherniak) Times'!$C328)/(365.35*24*3600)</f>
        <v>1605.071077962813</v>
      </c>
      <c r="AA328" s="2">
        <f>('L-Values'!W328*'D(Ti_Cherniak) Times'!$F328*0.000001)^2/(4*'D(Ti_Cherniak) Times'!$C328)/(365.35*24*3600)</f>
        <v>1144.6495027892192</v>
      </c>
      <c r="AB328" s="2">
        <f>('L-Values'!X328*'D(Ti_Cherniak) Times'!$F328*0.000001)^2/(4*'D(Ti_Cherniak) Times'!$C328)/(365.35*24*3600)</f>
        <v>2402.0928634801289</v>
      </c>
      <c r="AC328" s="2">
        <f t="shared" si="22"/>
        <v>460.42157517359374</v>
      </c>
      <c r="AD328" s="2">
        <f t="shared" si="23"/>
        <v>797.02178551731595</v>
      </c>
    </row>
    <row r="329" spans="1:30" x14ac:dyDescent="0.2">
      <c r="A329" t="str">
        <f>'L-Values'!A329</f>
        <v>CGI015-qtz09-CL-fit-2-offset</v>
      </c>
      <c r="B329">
        <v>750</v>
      </c>
      <c r="C329">
        <f t="shared" si="20"/>
        <v>8.0537892000481889E-22</v>
      </c>
      <c r="D329">
        <v>2150</v>
      </c>
      <c r="E329">
        <v>1024</v>
      </c>
      <c r="F329">
        <f t="shared" si="21"/>
        <v>2.099609375</v>
      </c>
      <c r="I329" s="2">
        <f>('L-Values'!E329*'D(Ti_Cherniak) Times'!$F329*0.000001)^2/(4*'D(Ti_Cherniak) Times'!$C329)/(365.35*24*3600)</f>
        <v>1218.1343640918544</v>
      </c>
      <c r="J329" s="2">
        <f>('L-Values'!F329*'D(Ti_Cherniak) Times'!$F329*0.000001)^2/(4*'D(Ti_Cherniak) Times'!$C329)/(365.35*24*3600)</f>
        <v>1409.6247114596347</v>
      </c>
      <c r="K329" s="2">
        <f>('L-Values'!G329*'D(Ti_Cherniak) Times'!$F329*0.000001)^2/(4*'D(Ti_Cherniak) Times'!$C329)/(365.35*24*3600)</f>
        <v>868.47499898640706</v>
      </c>
      <c r="L329" s="2">
        <f>('L-Values'!H329*'D(Ti_Cherniak) Times'!$F329*0.000001)^2/(4*'D(Ti_Cherniak) Times'!$C329)/(365.35*24*3600)</f>
        <v>1052.7532082221405</v>
      </c>
      <c r="M329" s="2">
        <f>('L-Values'!I329*'D(Ti_Cherniak) Times'!$F329*0.000001)^2/(4*'D(Ti_Cherniak) Times'!$C329)/(365.35*24*3600)</f>
        <v>892.07614471146178</v>
      </c>
      <c r="N329" s="2">
        <f>('L-Values'!J329*'D(Ti_Cherniak) Times'!$F329*0.000001)^2/(4*'D(Ti_Cherniak) Times'!$C329)/(365.35*24*3600)</f>
        <v>1134.3862479332922</v>
      </c>
      <c r="O329" s="2">
        <f>('L-Values'!K329*'D(Ti_Cherniak) Times'!$F329*0.000001)^2/(4*'D(Ti_Cherniak) Times'!$C329)/(365.35*24*3600)</f>
        <v>1194.1620232456828</v>
      </c>
      <c r="P329" s="2">
        <f>('L-Values'!L329*'D(Ti_Cherniak) Times'!$F329*0.000001)^2/(4*'D(Ti_Cherniak) Times'!$C329)/(365.35*24*3600)</f>
        <v>1368.578754503448</v>
      </c>
      <c r="Q329" s="2">
        <f>('L-Values'!M329*'D(Ti_Cherniak) Times'!$F329*0.000001)^2/(4*'D(Ti_Cherniak) Times'!$C329)/(365.35*24*3600)</f>
        <v>1336.2706301276148</v>
      </c>
      <c r="R329" s="2">
        <f>('L-Values'!N329*'D(Ti_Cherniak) Times'!$F329*0.000001)^2/(4*'D(Ti_Cherniak) Times'!$C329)/(365.35*24*3600)</f>
        <v>1492.954249008638</v>
      </c>
      <c r="S329" s="2">
        <f>('L-Values'!O329*'D(Ti_Cherniak) Times'!$F329*0.000001)^2/(4*'D(Ti_Cherniak) Times'!$C329)/(365.35*24*3600)</f>
        <v>823.09903987587165</v>
      </c>
      <c r="T329" s="2"/>
      <c r="U329" s="2">
        <f>('L-Values'!Q329*'D(Ti_Cherniak) Times'!$F329*0.000001)^2/(4*'D(Ti_Cherniak) Times'!$C329)/(365.35*24*3600)</f>
        <v>1166.2488190813986</v>
      </c>
      <c r="V329" s="2">
        <f>('L-Values'!R329*'D(Ti_Cherniak) Times'!$F329*0.000001)^2/(4*'D(Ti_Cherniak) Times'!$C329)/(365.35*24*3600)</f>
        <v>1151.9579417321668</v>
      </c>
      <c r="W329" s="2">
        <f>('L-Values'!S329*'D(Ti_Cherniak) Times'!$F329*0.000001)^2/(4*'D(Ti_Cherniak) Times'!$C329)/(365.35*24*3600)</f>
        <v>1194.1620232456828</v>
      </c>
      <c r="X329" s="2"/>
      <c r="Y329" s="2">
        <f>('L-Values'!U329*'D(Ti_Cherniak) Times'!$F329*0.000001)^2/(4*'D(Ti_Cherniak) Times'!$C329)/(365.35*24*3600)</f>
        <v>1130.808756995149</v>
      </c>
      <c r="Z329" s="2">
        <f>('L-Values'!V329*'D(Ti_Cherniak) Times'!$F329*0.000001)^2/(4*'D(Ti_Cherniak) Times'!$C329)/(365.35*24*3600)</f>
        <v>1134.295270828409</v>
      </c>
      <c r="AA329" s="2">
        <f>('L-Values'!W329*'D(Ti_Cherniak) Times'!$F329*0.000001)^2/(4*'D(Ti_Cherniak) Times'!$C329)/(365.35*24*3600)</f>
        <v>654.30049858597647</v>
      </c>
      <c r="AB329" s="2">
        <f>('L-Values'!X329*'D(Ti_Cherniak) Times'!$F329*0.000001)^2/(4*'D(Ti_Cherniak) Times'!$C329)/(365.35*24*3600)</f>
        <v>1871.3650405673043</v>
      </c>
      <c r="AC329" s="2">
        <f t="shared" si="22"/>
        <v>479.99477224243253</v>
      </c>
      <c r="AD329" s="2">
        <f t="shared" si="23"/>
        <v>737.06976973889527</v>
      </c>
    </row>
    <row r="330" spans="1:30" x14ac:dyDescent="0.2">
      <c r="A330" t="str">
        <f>'L-Values'!A330</f>
        <v>CGI015-qtz09-CL-fit-3-offset</v>
      </c>
      <c r="B330">
        <v>750</v>
      </c>
      <c r="C330">
        <f t="shared" si="20"/>
        <v>8.0537892000481889E-22</v>
      </c>
      <c r="D330">
        <v>2150</v>
      </c>
      <c r="E330">
        <v>1024</v>
      </c>
      <c r="F330">
        <f t="shared" si="21"/>
        <v>2.099609375</v>
      </c>
      <c r="I330" s="2">
        <f>('L-Values'!E330*'D(Ti_Cherniak) Times'!$F330*0.000001)^2/(4*'D(Ti_Cherniak) Times'!$C330)/(365.35*24*3600)</f>
        <v>190.86661968018083</v>
      </c>
      <c r="J330" s="2">
        <f>('L-Values'!F330*'D(Ti_Cherniak) Times'!$F330*0.000001)^2/(4*'D(Ti_Cherniak) Times'!$C330)/(365.35*24*3600)</f>
        <v>174.42395632811125</v>
      </c>
      <c r="K330" s="2">
        <f>('L-Values'!G330*'D(Ti_Cherniak) Times'!$F330*0.000001)^2/(4*'D(Ti_Cherniak) Times'!$C330)/(365.35*24*3600)</f>
        <v>140.34594761741033</v>
      </c>
      <c r="L330" s="2">
        <f>('L-Values'!H330*'D(Ti_Cherniak) Times'!$F330*0.000001)^2/(4*'D(Ti_Cherniak) Times'!$C330)/(365.35*24*3600)</f>
        <v>120.69566328391215</v>
      </c>
      <c r="M330" s="2">
        <f>('L-Values'!I330*'D(Ti_Cherniak) Times'!$F330*0.000001)^2/(4*'D(Ti_Cherniak) Times'!$C330)/(365.35*24*3600)</f>
        <v>141.69485703269618</v>
      </c>
      <c r="N330" s="2">
        <f>('L-Values'!J330*'D(Ti_Cherniak) Times'!$F330*0.000001)^2/(4*'D(Ti_Cherniak) Times'!$C330)/(365.35*24*3600)</f>
        <v>139.13007991628484</v>
      </c>
      <c r="O330" s="2">
        <f>('L-Values'!K330*'D(Ti_Cherniak) Times'!$F330*0.000001)^2/(4*'D(Ti_Cherniak) Times'!$C330)/(365.35*24*3600)</f>
        <v>139.32104008452927</v>
      </c>
      <c r="P330" s="2">
        <f>('L-Values'!L330*'D(Ti_Cherniak) Times'!$F330*0.000001)^2/(4*'D(Ti_Cherniak) Times'!$C330)/(365.35*24*3600)</f>
        <v>296.30188805156229</v>
      </c>
      <c r="Q330" s="2">
        <f>('L-Values'!M330*'D(Ti_Cherniak) Times'!$F330*0.000001)^2/(4*'D(Ti_Cherniak) Times'!$C330)/(365.35*24*3600)</f>
        <v>191.63381709250442</v>
      </c>
      <c r="R330" s="2">
        <f>('L-Values'!N330*'D(Ti_Cherniak) Times'!$F330*0.000001)^2/(4*'D(Ti_Cherniak) Times'!$C330)/(365.35*24*3600)</f>
        <v>197.55663012557579</v>
      </c>
      <c r="S330" s="2">
        <f>('L-Values'!O330*'D(Ti_Cherniak) Times'!$F330*0.000001)^2/(4*'D(Ti_Cherniak) Times'!$C330)/(365.35*24*3600)</f>
        <v>221.42578938725768</v>
      </c>
      <c r="T330" s="2"/>
      <c r="U330" s="2">
        <f>('L-Values'!Q330*'D(Ti_Cherniak) Times'!$F330*0.000001)^2/(4*'D(Ti_Cherniak) Times'!$C330)/(365.35*24*3600)</f>
        <v>177.04500422117769</v>
      </c>
      <c r="V330" s="2">
        <f>('L-Values'!R330*'D(Ti_Cherniak) Times'!$F330*0.000001)^2/(4*'D(Ti_Cherniak) Times'!$C330)/(365.35*24*3600)</f>
        <v>174.60056298554136</v>
      </c>
      <c r="W330" s="2">
        <f>('L-Values'!S330*'D(Ti_Cherniak) Times'!$F330*0.000001)^2/(4*'D(Ti_Cherniak) Times'!$C330)/(365.35*24*3600)</f>
        <v>174.42395632811125</v>
      </c>
      <c r="X330" s="2"/>
      <c r="Y330" s="2">
        <f>('L-Values'!U330*'D(Ti_Cherniak) Times'!$F330*0.000001)^2/(4*'D(Ti_Cherniak) Times'!$C330)/(365.35*24*3600)</f>
        <v>161.92794364757026</v>
      </c>
      <c r="Z330" s="2">
        <f>('L-Values'!V330*'D(Ti_Cherniak) Times'!$F330*0.000001)^2/(4*'D(Ti_Cherniak) Times'!$C330)/(365.35*24*3600)</f>
        <v>163.49697829562245</v>
      </c>
      <c r="AA330" s="2">
        <f>('L-Values'!W330*'D(Ti_Cherniak) Times'!$F330*0.000001)^2/(4*'D(Ti_Cherniak) Times'!$C330)/(365.35*24*3600)</f>
        <v>69.000924868763789</v>
      </c>
      <c r="AB330" s="2">
        <f>('L-Values'!X330*'D(Ti_Cherniak) Times'!$F330*0.000001)^2/(4*'D(Ti_Cherniak) Times'!$C330)/(365.35*24*3600)</f>
        <v>292.7159637879443</v>
      </c>
      <c r="AC330" s="2">
        <f t="shared" si="22"/>
        <v>94.496053426858666</v>
      </c>
      <c r="AD330" s="2">
        <f t="shared" si="23"/>
        <v>129.21898549232185</v>
      </c>
    </row>
    <row r="331" spans="1:30" x14ac:dyDescent="0.2">
      <c r="A331" t="str">
        <f>'L-Values'!A331</f>
        <v>CGI015-qtz09-CL-fit-4-offset</v>
      </c>
      <c r="B331">
        <v>750</v>
      </c>
      <c r="C331">
        <f t="shared" si="20"/>
        <v>8.0537892000481889E-22</v>
      </c>
      <c r="D331">
        <v>2150</v>
      </c>
      <c r="E331">
        <v>1024</v>
      </c>
      <c r="F331">
        <f t="shared" si="21"/>
        <v>2.099609375</v>
      </c>
      <c r="I331" s="2">
        <f>('L-Values'!E331*'D(Ti_Cherniak) Times'!$F331*0.000001)^2/(4*'D(Ti_Cherniak) Times'!$C331)/(365.35*24*3600)</f>
        <v>165.03834823051545</v>
      </c>
      <c r="J331" s="2">
        <f>('L-Values'!F331*'D(Ti_Cherniak) Times'!$F331*0.000001)^2/(4*'D(Ti_Cherniak) Times'!$C331)/(365.35*24*3600)</f>
        <v>312.17506080298023</v>
      </c>
      <c r="K331" s="2">
        <f>('L-Values'!G331*'D(Ti_Cherniak) Times'!$F331*0.000001)^2/(4*'D(Ti_Cherniak) Times'!$C331)/(365.35*24*3600)</f>
        <v>389.99173239036321</v>
      </c>
      <c r="L331" s="2">
        <f>('L-Values'!H331*'D(Ti_Cherniak) Times'!$F331*0.000001)^2/(4*'D(Ti_Cherniak) Times'!$C331)/(365.35*24*3600)</f>
        <v>378.26384183133013</v>
      </c>
      <c r="M331" s="2">
        <f>('L-Values'!I331*'D(Ti_Cherniak) Times'!$F331*0.000001)^2/(4*'D(Ti_Cherniak) Times'!$C331)/(365.35*24*3600)</f>
        <v>458.12761683766632</v>
      </c>
      <c r="N331" s="2">
        <f>('L-Values'!J331*'D(Ti_Cherniak) Times'!$F331*0.000001)^2/(4*'D(Ti_Cherniak) Times'!$C331)/(365.35*24*3600)</f>
        <v>144.36104469598132</v>
      </c>
      <c r="O331" s="2">
        <f>('L-Values'!K331*'D(Ti_Cherniak) Times'!$F331*0.000001)^2/(4*'D(Ti_Cherniak) Times'!$C331)/(365.35*24*3600)</f>
        <v>243.45536735410801</v>
      </c>
      <c r="P331" s="2">
        <f>('L-Values'!L331*'D(Ti_Cherniak) Times'!$F331*0.000001)^2/(4*'D(Ti_Cherniak) Times'!$C331)/(365.35*24*3600)</f>
        <v>320.80865485475152</v>
      </c>
      <c r="Q331" s="2">
        <f>('L-Values'!M331*'D(Ti_Cherniak) Times'!$F331*0.000001)^2/(4*'D(Ti_Cherniak) Times'!$C331)/(365.35*24*3600)</f>
        <v>385.97887534885791</v>
      </c>
      <c r="R331" s="2">
        <f>('L-Values'!N331*'D(Ti_Cherniak) Times'!$F331*0.000001)^2/(4*'D(Ti_Cherniak) Times'!$C331)/(365.35*24*3600)</f>
        <v>286.3534858091017</v>
      </c>
      <c r="S331" s="2">
        <f>('L-Values'!O331*'D(Ti_Cherniak) Times'!$F331*0.000001)^2/(4*'D(Ti_Cherniak) Times'!$C331)/(365.35*24*3600)</f>
        <v>420.60698274824421</v>
      </c>
      <c r="T331" s="2"/>
      <c r="U331" s="2">
        <f>('L-Values'!Q331*'D(Ti_Cherniak) Times'!$F331*0.000001)^2/(4*'D(Ti_Cherniak) Times'!$C331)/(365.35*24*3600)</f>
        <v>337.32761646671133</v>
      </c>
      <c r="V331" s="2">
        <f>('L-Values'!R331*'D(Ti_Cherniak) Times'!$F331*0.000001)^2/(4*'D(Ti_Cherniak) Times'!$C331)/(365.35*24*3600)</f>
        <v>310.15240317880881</v>
      </c>
      <c r="W331" s="2">
        <f>('L-Values'!S331*'D(Ti_Cherniak) Times'!$F331*0.000001)^2/(4*'D(Ti_Cherniak) Times'!$C331)/(365.35*24*3600)</f>
        <v>320.80865485475152</v>
      </c>
      <c r="X331" s="2"/>
      <c r="Y331" s="2">
        <f>('L-Values'!U331*'D(Ti_Cherniak) Times'!$F331*0.000001)^2/(4*'D(Ti_Cherniak) Times'!$C331)/(365.35*24*3600)</f>
        <v>327.88239545794204</v>
      </c>
      <c r="Z331" s="2">
        <f>('L-Values'!V331*'D(Ti_Cherniak) Times'!$F331*0.000001)^2/(4*'D(Ti_Cherniak) Times'!$C331)/(365.35*24*3600)</f>
        <v>319.86960615207977</v>
      </c>
      <c r="AA331" s="2">
        <f>('L-Values'!W331*'D(Ti_Cherniak) Times'!$F331*0.000001)^2/(4*'D(Ti_Cherniak) Times'!$C331)/(365.35*24*3600)</f>
        <v>97.412006427276438</v>
      </c>
      <c r="AB331" s="2">
        <f>('L-Values'!X331*'D(Ti_Cherniak) Times'!$F331*0.000001)^2/(4*'D(Ti_Cherniak) Times'!$C331)/(365.35*24*3600)</f>
        <v>621.6484906669931</v>
      </c>
      <c r="AC331" s="2">
        <f t="shared" si="22"/>
        <v>222.45759972480334</v>
      </c>
      <c r="AD331" s="2">
        <f t="shared" si="23"/>
        <v>301.77888451491333</v>
      </c>
    </row>
    <row r="332" spans="1:30" x14ac:dyDescent="0.2">
      <c r="A332" t="str">
        <f>'L-Values'!A332</f>
        <v>CGI015-qtz09-CL-fit-5-offset</v>
      </c>
      <c r="B332">
        <v>750</v>
      </c>
      <c r="C332">
        <f t="shared" si="20"/>
        <v>8.0537892000481889E-22</v>
      </c>
      <c r="D332">
        <v>2150</v>
      </c>
      <c r="E332">
        <v>1024</v>
      </c>
      <c r="F332">
        <f t="shared" si="21"/>
        <v>2.099609375</v>
      </c>
      <c r="I332" s="2">
        <f>('L-Values'!E332*'D(Ti_Cherniak) Times'!$F332*0.000001)^2/(4*'D(Ti_Cherniak) Times'!$C332)/(365.35*24*3600)</f>
        <v>6.2773517987587383E-6</v>
      </c>
      <c r="J332" s="2">
        <f>('L-Values'!F332*'D(Ti_Cherniak) Times'!$F332*0.000001)^2/(4*'D(Ti_Cherniak) Times'!$C332)/(365.35*24*3600)</f>
        <v>55.800103750303208</v>
      </c>
      <c r="K332" s="2">
        <f>('L-Values'!G332*'D(Ti_Cherniak) Times'!$F332*0.000001)^2/(4*'D(Ti_Cherniak) Times'!$C332)/(365.35*24*3600)</f>
        <v>52.681905040321723</v>
      </c>
      <c r="L332" s="2">
        <f>('L-Values'!H332*'D(Ti_Cherniak) Times'!$F332*0.000001)^2/(4*'D(Ti_Cherniak) Times'!$C332)/(365.35*24*3600)</f>
        <v>7.8623863728011723E-2</v>
      </c>
      <c r="M332" s="2">
        <f>('L-Values'!I332*'D(Ti_Cherniak) Times'!$F332*0.000001)^2/(4*'D(Ti_Cherniak) Times'!$C332)/(365.35*24*3600)</f>
        <v>108.30502738433874</v>
      </c>
      <c r="N332" s="2">
        <f>('L-Values'!J332*'D(Ti_Cherniak) Times'!$F332*0.000001)^2/(4*'D(Ti_Cherniak) Times'!$C332)/(365.35*24*3600)</f>
        <v>24.319676928794998</v>
      </c>
      <c r="O332" s="2">
        <f>('L-Values'!K332*'D(Ti_Cherniak) Times'!$F332*0.000001)^2/(4*'D(Ti_Cherniak) Times'!$C332)/(365.35*24*3600)</f>
        <v>40.621501229984084</v>
      </c>
      <c r="P332" s="2">
        <f>('L-Values'!L332*'D(Ti_Cherniak) Times'!$F332*0.000001)^2/(4*'D(Ti_Cherniak) Times'!$C332)/(365.35*24*3600)</f>
        <v>2.3005278731440893E-3</v>
      </c>
      <c r="Q332" s="2">
        <f>('L-Values'!M332*'D(Ti_Cherniak) Times'!$F332*0.000001)^2/(4*'D(Ti_Cherniak) Times'!$C332)/(365.35*24*3600)</f>
        <v>35.646952641571104</v>
      </c>
      <c r="R332" s="2">
        <f>('L-Values'!N332*'D(Ti_Cherniak) Times'!$F332*0.000001)^2/(4*'D(Ti_Cherniak) Times'!$C332)/(365.35*24*3600)</f>
        <v>48.846901930434903</v>
      </c>
      <c r="S332" s="2">
        <f>('L-Values'!O332*'D(Ti_Cherniak) Times'!$F332*0.000001)^2/(4*'D(Ti_Cherniak) Times'!$C332)/(365.35*24*3600)</f>
        <v>16.051889569600739</v>
      </c>
      <c r="T332" s="2"/>
      <c r="U332" s="2">
        <f>('L-Values'!Q332*'D(Ti_Cherniak) Times'!$F332*0.000001)^2/(4*'D(Ti_Cherniak) Times'!$C332)/(365.35*24*3600)</f>
        <v>30.606453551670345</v>
      </c>
      <c r="V332" s="2">
        <f>('L-Values'!R332*'D(Ti_Cherniak) Times'!$F332*0.000001)^2/(4*'D(Ti_Cherniak) Times'!$C332)/(365.35*24*3600)</f>
        <v>23.865052764016983</v>
      </c>
      <c r="W332" s="2">
        <f>('L-Values'!S332*'D(Ti_Cherniak) Times'!$F332*0.000001)^2/(4*'D(Ti_Cherniak) Times'!$C332)/(365.35*24*3600)</f>
        <v>35.646952641571104</v>
      </c>
      <c r="X332" s="2"/>
      <c r="Y332" s="2">
        <f>('L-Values'!U332*'D(Ti_Cherniak) Times'!$F332*0.000001)^2/(4*'D(Ti_Cherniak) Times'!$C332)/(365.35*24*3600)</f>
        <v>27.462233913698043</v>
      </c>
      <c r="Z332" s="2">
        <f>('L-Values'!V332*'D(Ti_Cherniak) Times'!$F332*0.000001)^2/(4*'D(Ti_Cherniak) Times'!$C332)/(365.35*24*3600)</f>
        <v>30.492764159182222</v>
      </c>
      <c r="AA332" s="2">
        <f>('L-Values'!W332*'D(Ti_Cherniak) Times'!$F332*0.000001)^2/(4*'D(Ti_Cherniak) Times'!$C332)/(365.35*24*3600)</f>
        <v>0.65067710239919507</v>
      </c>
      <c r="AB332" s="2">
        <f>('L-Values'!X332*'D(Ti_Cherniak) Times'!$F332*0.000001)^2/(4*'D(Ti_Cherniak) Times'!$C332)/(365.35*24*3600)</f>
        <v>131.97905469897282</v>
      </c>
      <c r="AC332" s="2">
        <f t="shared" si="22"/>
        <v>29.842087056783026</v>
      </c>
      <c r="AD332" s="2">
        <f t="shared" si="23"/>
        <v>101.48629053979059</v>
      </c>
    </row>
    <row r="333" spans="1:30" x14ac:dyDescent="0.2">
      <c r="A333" t="str">
        <f>'L-Values'!A333</f>
        <v>CGI015-qtz09-CL-fit-6-offset</v>
      </c>
      <c r="B333">
        <v>750</v>
      </c>
      <c r="C333">
        <f t="shared" si="20"/>
        <v>8.0537892000481889E-22</v>
      </c>
      <c r="D333">
        <v>2150</v>
      </c>
      <c r="E333">
        <v>1024</v>
      </c>
      <c r="F333">
        <f t="shared" si="21"/>
        <v>2.099609375</v>
      </c>
      <c r="I333" s="2">
        <f>('L-Values'!E333*'D(Ti_Cherniak) Times'!$F333*0.000001)^2/(4*'D(Ti_Cherniak) Times'!$C333)/(365.35*24*3600)</f>
        <v>327.73597442491109</v>
      </c>
      <c r="J333" s="2">
        <f>('L-Values'!F333*'D(Ti_Cherniak) Times'!$F333*0.000001)^2/(4*'D(Ti_Cherniak) Times'!$C333)/(365.35*24*3600)</f>
        <v>198.94925936865064</v>
      </c>
      <c r="K333" s="2">
        <f>('L-Values'!G333*'D(Ti_Cherniak) Times'!$F333*0.000001)^2/(4*'D(Ti_Cherniak) Times'!$C333)/(365.35*24*3600)</f>
        <v>252.81147524033139</v>
      </c>
      <c r="L333" s="2">
        <f>('L-Values'!H333*'D(Ti_Cherniak) Times'!$F333*0.000001)^2/(4*'D(Ti_Cherniak) Times'!$C333)/(365.35*24*3600)</f>
        <v>114.84379980328232</v>
      </c>
      <c r="M333" s="2">
        <f>('L-Values'!I333*'D(Ti_Cherniak) Times'!$F333*0.000001)^2/(4*'D(Ti_Cherniak) Times'!$C333)/(365.35*24*3600)</f>
        <v>166.88543340474328</v>
      </c>
      <c r="N333" s="2">
        <f>('L-Values'!J333*'D(Ti_Cherniak) Times'!$F333*0.000001)^2/(4*'D(Ti_Cherniak) Times'!$C333)/(365.35*24*3600)</f>
        <v>121.59536940388834</v>
      </c>
      <c r="O333" s="2">
        <f>('L-Values'!K333*'D(Ti_Cherniak) Times'!$F333*0.000001)^2/(4*'D(Ti_Cherniak) Times'!$C333)/(365.35*24*3600)</f>
        <v>150.74692411269442</v>
      </c>
      <c r="P333" s="2">
        <f>('L-Values'!L333*'D(Ti_Cherniak) Times'!$F333*0.000001)^2/(4*'D(Ti_Cherniak) Times'!$C333)/(365.35*24*3600)</f>
        <v>117.71441116995639</v>
      </c>
      <c r="Q333" s="2">
        <f>('L-Values'!M333*'D(Ti_Cherniak) Times'!$F333*0.000001)^2/(4*'D(Ti_Cherniak) Times'!$C333)/(365.35*24*3600)</f>
        <v>75.711250684329201</v>
      </c>
      <c r="R333" s="2">
        <f>('L-Values'!N333*'D(Ti_Cherniak) Times'!$F333*0.000001)^2/(4*'D(Ti_Cherniak) Times'!$C333)/(365.35*24*3600)</f>
        <v>85.613014176044828</v>
      </c>
      <c r="S333" s="2">
        <f>('L-Values'!O333*'D(Ti_Cherniak) Times'!$F333*0.000001)^2/(4*'D(Ti_Cherniak) Times'!$C333)/(365.35*24*3600)</f>
        <v>74.133883790394606</v>
      </c>
      <c r="T333" s="2"/>
      <c r="U333" s="2">
        <f>('L-Values'!Q333*'D(Ti_Cherniak) Times'!$F333*0.000001)^2/(4*'D(Ti_Cherniak) Times'!$C333)/(365.35*24*3600)</f>
        <v>164.26588361853385</v>
      </c>
      <c r="V333" s="2">
        <f>('L-Values'!R333*'D(Ti_Cherniak) Times'!$F333*0.000001)^2/(4*'D(Ti_Cherniak) Times'!$C333)/(365.35*24*3600)</f>
        <v>145.00979235609728</v>
      </c>
      <c r="W333" s="2">
        <f>('L-Values'!S333*'D(Ti_Cherniak) Times'!$F333*0.000001)^2/(4*'D(Ti_Cherniak) Times'!$C333)/(365.35*24*3600)</f>
        <v>121.59536940388834</v>
      </c>
      <c r="X333" s="2"/>
      <c r="Y333" s="2">
        <f>('L-Values'!U333*'D(Ti_Cherniak) Times'!$F333*0.000001)^2/(4*'D(Ti_Cherniak) Times'!$C333)/(365.35*24*3600)</f>
        <v>143.43901075559032</v>
      </c>
      <c r="Z333" s="2">
        <f>('L-Values'!V333*'D(Ti_Cherniak) Times'!$F333*0.000001)^2/(4*'D(Ti_Cherniak) Times'!$C333)/(365.35*24*3600)</f>
        <v>136.89612682094858</v>
      </c>
      <c r="AA333" s="2">
        <f>('L-Values'!W333*'D(Ti_Cherniak) Times'!$F333*0.000001)^2/(4*'D(Ti_Cherniak) Times'!$C333)/(365.35*24*3600)</f>
        <v>21.887791667778696</v>
      </c>
      <c r="AB333" s="2">
        <f>('L-Values'!X333*'D(Ti_Cherniak) Times'!$F333*0.000001)^2/(4*'D(Ti_Cherniak) Times'!$C333)/(365.35*24*3600)</f>
        <v>375.1679338728124</v>
      </c>
      <c r="AC333" s="2">
        <f t="shared" si="22"/>
        <v>115.00833515316988</v>
      </c>
      <c r="AD333" s="2">
        <f t="shared" si="23"/>
        <v>238.27180705186382</v>
      </c>
    </row>
    <row r="334" spans="1:30" x14ac:dyDescent="0.2">
      <c r="A334" t="str">
        <f>'L-Values'!A334</f>
        <v>CGI015-qtz10-CL-fit-1-offset</v>
      </c>
      <c r="B334">
        <v>750</v>
      </c>
      <c r="C334">
        <f t="shared" si="20"/>
        <v>8.0537892000481889E-22</v>
      </c>
      <c r="D334">
        <v>2050</v>
      </c>
      <c r="E334">
        <v>1024</v>
      </c>
      <c r="F334">
        <f t="shared" si="21"/>
        <v>2.001953125</v>
      </c>
      <c r="I334" s="2">
        <f>('L-Values'!E334*'D(Ti_Cherniak) Times'!$F334*0.000001)^2/(4*'D(Ti_Cherniak) Times'!$C334)/(365.35*24*3600)</f>
        <v>1869.1641428206701</v>
      </c>
      <c r="J334" s="2">
        <f>('L-Values'!F334*'D(Ti_Cherniak) Times'!$F334*0.000001)^2/(4*'D(Ti_Cherniak) Times'!$C334)/(365.35*24*3600)</f>
        <v>2134.9426106771407</v>
      </c>
      <c r="K334" s="2">
        <f>('L-Values'!G334*'D(Ti_Cherniak) Times'!$F334*0.000001)^2/(4*'D(Ti_Cherniak) Times'!$C334)/(365.35*24*3600)</f>
        <v>1383.2527966876621</v>
      </c>
      <c r="L334" s="2">
        <f>('L-Values'!H334*'D(Ti_Cherniak) Times'!$F334*0.000001)^2/(4*'D(Ti_Cherniak) Times'!$C334)/(365.35*24*3600)</f>
        <v>2077.9576440651645</v>
      </c>
      <c r="M334" s="2">
        <f>('L-Values'!I334*'D(Ti_Cherniak) Times'!$F334*0.000001)^2/(4*'D(Ti_Cherniak) Times'!$C334)/(365.35*24*3600)</f>
        <v>1842.3111323447324</v>
      </c>
      <c r="N334" s="2">
        <f>('L-Values'!J334*'D(Ti_Cherniak) Times'!$F334*0.000001)^2/(4*'D(Ti_Cherniak) Times'!$C334)/(365.35*24*3600)</f>
        <v>2315.4856766562998</v>
      </c>
      <c r="O334" s="2">
        <f>('L-Values'!K334*'D(Ti_Cherniak) Times'!$F334*0.000001)^2/(4*'D(Ti_Cherniak) Times'!$C334)/(365.35*24*3600)</f>
        <v>2083.8614874045661</v>
      </c>
      <c r="P334" s="2">
        <f>('L-Values'!L334*'D(Ti_Cherniak) Times'!$F334*0.000001)^2/(4*'D(Ti_Cherniak) Times'!$C334)/(365.35*24*3600)</f>
        <v>1831.381802834883</v>
      </c>
      <c r="Q334" s="2">
        <f>('L-Values'!M334*'D(Ti_Cherniak) Times'!$F334*0.000001)^2/(4*'D(Ti_Cherniak) Times'!$C334)/(365.35*24*3600)</f>
        <v>1908.0592539524916</v>
      </c>
      <c r="R334" s="2">
        <f>('L-Values'!N334*'D(Ti_Cherniak) Times'!$F334*0.000001)^2/(4*'D(Ti_Cherniak) Times'!$C334)/(365.35*24*3600)</f>
        <v>2894.5170020989158</v>
      </c>
      <c r="S334" s="2">
        <f>('L-Values'!O334*'D(Ti_Cherniak) Times'!$F334*0.000001)^2/(4*'D(Ti_Cherniak) Times'!$C334)/(365.35*24*3600)</f>
        <v>1915.5868485856492</v>
      </c>
      <c r="T334" s="2"/>
      <c r="U334" s="2">
        <f>('L-Values'!Q334*'D(Ti_Cherniak) Times'!$F334*0.000001)^2/(4*'D(Ti_Cherniak) Times'!$C334)/(365.35*24*3600)</f>
        <v>2003.8060175039716</v>
      </c>
      <c r="V334" s="2">
        <f>('L-Values'!R334*'D(Ti_Cherniak) Times'!$F334*0.000001)^2/(4*'D(Ti_Cherniak) Times'!$C334)/(365.35*24*3600)</f>
        <v>2008.2709079112944</v>
      </c>
      <c r="W334" s="2">
        <f>('L-Values'!S334*'D(Ti_Cherniak) Times'!$F334*0.000001)^2/(4*'D(Ti_Cherniak) Times'!$C334)/(365.35*24*3600)</f>
        <v>1915.5868485856492</v>
      </c>
      <c r="X334" s="2"/>
      <c r="Y334" s="2">
        <f>('L-Values'!U334*'D(Ti_Cherniak) Times'!$F334*0.000001)^2/(4*'D(Ti_Cherniak) Times'!$C334)/(365.35*24*3600)</f>
        <v>1997.9850055781051</v>
      </c>
      <c r="Z334" s="2">
        <f>('L-Values'!V334*'D(Ti_Cherniak) Times'!$F334*0.000001)^2/(4*'D(Ti_Cherniak) Times'!$C334)/(365.35*24*3600)</f>
        <v>1989.491633219237</v>
      </c>
      <c r="AA334" s="2">
        <f>('L-Values'!W334*'D(Ti_Cherniak) Times'!$F334*0.000001)^2/(4*'D(Ti_Cherniak) Times'!$C334)/(365.35*24*3600)</f>
        <v>1345.4896247677937</v>
      </c>
      <c r="AB334" s="2">
        <f>('L-Values'!X334*'D(Ti_Cherniak) Times'!$F334*0.000001)^2/(4*'D(Ti_Cherniak) Times'!$C334)/(365.35*24*3600)</f>
        <v>2953.5095841420107</v>
      </c>
      <c r="AC334" s="2">
        <f t="shared" si="22"/>
        <v>644.00200845144332</v>
      </c>
      <c r="AD334" s="2">
        <f t="shared" si="23"/>
        <v>964.01795092277371</v>
      </c>
    </row>
    <row r="335" spans="1:30" x14ac:dyDescent="0.2">
      <c r="A335" t="str">
        <f>'L-Values'!A335</f>
        <v>CGI015-qtz10-CL-fit-2-offset</v>
      </c>
      <c r="B335">
        <v>750</v>
      </c>
      <c r="C335">
        <f t="shared" si="20"/>
        <v>8.0537892000481889E-22</v>
      </c>
      <c r="D335">
        <v>2050</v>
      </c>
      <c r="E335">
        <v>1024</v>
      </c>
      <c r="F335">
        <f t="shared" si="21"/>
        <v>2.001953125</v>
      </c>
      <c r="I335" s="2">
        <f>('L-Values'!E335*'D(Ti_Cherniak) Times'!$F335*0.000001)^2/(4*'D(Ti_Cherniak) Times'!$C335)/(365.35*24*3600)</f>
        <v>560.96672949390586</v>
      </c>
      <c r="J335" s="2">
        <f>('L-Values'!F335*'D(Ti_Cherniak) Times'!$F335*0.000001)^2/(4*'D(Ti_Cherniak) Times'!$C335)/(365.35*24*3600)</f>
        <v>424.29933134194056</v>
      </c>
      <c r="K335" s="2">
        <f>('L-Values'!G335*'D(Ti_Cherniak) Times'!$F335*0.000001)^2/(4*'D(Ti_Cherniak) Times'!$C335)/(365.35*24*3600)</f>
        <v>92.455861126115408</v>
      </c>
      <c r="L335" s="2">
        <f>('L-Values'!H335*'D(Ti_Cherniak) Times'!$F335*0.000001)^2/(4*'D(Ti_Cherniak) Times'!$C335)/(365.35*24*3600)</f>
        <v>167.60621333604368</v>
      </c>
      <c r="M335" s="2">
        <f>('L-Values'!I335*'D(Ti_Cherniak) Times'!$F335*0.000001)^2/(4*'D(Ti_Cherniak) Times'!$C335)/(365.35*24*3600)</f>
        <v>267.74941149806648</v>
      </c>
      <c r="N335" s="2">
        <f>('L-Values'!J335*'D(Ti_Cherniak) Times'!$F335*0.000001)^2/(4*'D(Ti_Cherniak) Times'!$C335)/(365.35*24*3600)</f>
        <v>623.7542984254394</v>
      </c>
      <c r="O335" s="2">
        <f>('L-Values'!K335*'D(Ti_Cherniak) Times'!$F335*0.000001)^2/(4*'D(Ti_Cherniak) Times'!$C335)/(365.35*24*3600)</f>
        <v>53.654996777608034</v>
      </c>
      <c r="P335" s="2">
        <f>('L-Values'!L335*'D(Ti_Cherniak) Times'!$F335*0.000001)^2/(4*'D(Ti_Cherniak) Times'!$C335)/(365.35*24*3600)</f>
        <v>326.24819165101013</v>
      </c>
      <c r="Q335" s="2">
        <f>('L-Values'!M335*'D(Ti_Cherniak) Times'!$F335*0.000001)^2/(4*'D(Ti_Cherniak) Times'!$C335)/(365.35*24*3600)</f>
        <v>529.64075464825987</v>
      </c>
      <c r="R335" s="2">
        <f>('L-Values'!N335*'D(Ti_Cherniak) Times'!$F335*0.000001)^2/(4*'D(Ti_Cherniak) Times'!$C335)/(365.35*24*3600)</f>
        <v>319.67437723342982</v>
      </c>
      <c r="S335" s="2">
        <f>('L-Values'!O335*'D(Ti_Cherniak) Times'!$F335*0.000001)^2/(4*'D(Ti_Cherniak) Times'!$C335)/(365.35*24*3600)</f>
        <v>48.45897844826704</v>
      </c>
      <c r="T335" s="2"/>
      <c r="U335" s="2">
        <f>('L-Values'!Q335*'D(Ti_Cherniak) Times'!$F335*0.000001)^2/(4*'D(Ti_Cherniak) Times'!$C335)/(365.35*24*3600)</f>
        <v>391.77655528610853</v>
      </c>
      <c r="V335" s="2">
        <f>('L-Values'!R335*'D(Ti_Cherniak) Times'!$F335*0.000001)^2/(4*'D(Ti_Cherniak) Times'!$C335)/(365.35*24*3600)</f>
        <v>272.02498304436773</v>
      </c>
      <c r="W335" s="2">
        <f>('L-Values'!S335*'D(Ti_Cherniak) Times'!$F335*0.000001)^2/(4*'D(Ti_Cherniak) Times'!$C335)/(365.35*24*3600)</f>
        <v>319.67437723342982</v>
      </c>
      <c r="X335" s="2"/>
      <c r="Y335" s="2">
        <f>('L-Values'!U335*'D(Ti_Cherniak) Times'!$F335*0.000001)^2/(4*'D(Ti_Cherniak) Times'!$C335)/(365.35*24*3600)</f>
        <v>361.16097093906234</v>
      </c>
      <c r="Z335" s="2">
        <f>('L-Values'!V335*'D(Ti_Cherniak) Times'!$F335*0.000001)^2/(4*'D(Ti_Cherniak) Times'!$C335)/(365.35*24*3600)</f>
        <v>405.65935112707541</v>
      </c>
      <c r="AA335" s="2">
        <f>('L-Values'!W335*'D(Ti_Cherniak) Times'!$F335*0.000001)^2/(4*'D(Ti_Cherniak) Times'!$C335)/(365.35*24*3600)</f>
        <v>2.589129094765164</v>
      </c>
      <c r="AB335" s="2">
        <f>('L-Values'!X335*'D(Ti_Cherniak) Times'!$F335*0.000001)^2/(4*'D(Ti_Cherniak) Times'!$C335)/(365.35*24*3600)</f>
        <v>3040.7231694529387</v>
      </c>
      <c r="AC335" s="2">
        <f t="shared" si="22"/>
        <v>403.07022203231026</v>
      </c>
      <c r="AD335" s="2">
        <f t="shared" si="23"/>
        <v>2635.0638183258634</v>
      </c>
    </row>
    <row r="336" spans="1:30" x14ac:dyDescent="0.2">
      <c r="A336" t="str">
        <f>'L-Values'!A336</f>
        <v>CGI015-qtz10-CL-fit-3-offset</v>
      </c>
      <c r="B336">
        <v>750</v>
      </c>
      <c r="C336">
        <f t="shared" si="20"/>
        <v>8.0537892000481889E-22</v>
      </c>
      <c r="D336">
        <v>2050</v>
      </c>
      <c r="E336">
        <v>1024</v>
      </c>
      <c r="F336">
        <f t="shared" si="21"/>
        <v>2.001953125</v>
      </c>
      <c r="I336" s="2">
        <f>('L-Values'!E336*'D(Ti_Cherniak) Times'!$F336*0.000001)^2/(4*'D(Ti_Cherniak) Times'!$C336)/(365.35*24*3600)</f>
        <v>306.47078095699499</v>
      </c>
      <c r="J336" s="2">
        <f>('L-Values'!F336*'D(Ti_Cherniak) Times'!$F336*0.000001)^2/(4*'D(Ti_Cherniak) Times'!$C336)/(365.35*24*3600)</f>
        <v>229.51767941473372</v>
      </c>
      <c r="K336" s="2">
        <f>('L-Values'!G336*'D(Ti_Cherniak) Times'!$F336*0.000001)^2/(4*'D(Ti_Cherniak) Times'!$C336)/(365.35*24*3600)</f>
        <v>252.15543963978885</v>
      </c>
      <c r="L336" s="2">
        <f>('L-Values'!H336*'D(Ti_Cherniak) Times'!$F336*0.000001)^2/(4*'D(Ti_Cherniak) Times'!$C336)/(365.35*24*3600)</f>
        <v>322.82850368815457</v>
      </c>
      <c r="M336" s="2">
        <f>('L-Values'!I336*'D(Ti_Cherniak) Times'!$F336*0.000001)^2/(4*'D(Ti_Cherniak) Times'!$C336)/(365.35*24*3600)</f>
        <v>376.21694400017111</v>
      </c>
      <c r="N336" s="2">
        <f>('L-Values'!J336*'D(Ti_Cherniak) Times'!$F336*0.000001)^2/(4*'D(Ti_Cherniak) Times'!$C336)/(365.35*24*3600)</f>
        <v>356.51707343840411</v>
      </c>
      <c r="O336" s="2">
        <f>('L-Values'!K336*'D(Ti_Cherniak) Times'!$F336*0.000001)^2/(4*'D(Ti_Cherniak) Times'!$C336)/(365.35*24*3600)</f>
        <v>460.17658126073633</v>
      </c>
      <c r="P336" s="2">
        <f>('L-Values'!L336*'D(Ti_Cherniak) Times'!$F336*0.000001)^2/(4*'D(Ti_Cherniak) Times'!$C336)/(365.35*24*3600)</f>
        <v>23.623252709812697</v>
      </c>
      <c r="Q336" s="2">
        <f>('L-Values'!M336*'D(Ti_Cherniak) Times'!$F336*0.000001)^2/(4*'D(Ti_Cherniak) Times'!$C336)/(365.35*24*3600)</f>
        <v>0</v>
      </c>
      <c r="R336" s="2">
        <f>('L-Values'!N336*'D(Ti_Cherniak) Times'!$F336*0.000001)^2/(4*'D(Ti_Cherniak) Times'!$C336)/(365.35*24*3600)</f>
        <v>398.17253720049138</v>
      </c>
      <c r="S336" s="2">
        <f>('L-Values'!O336*'D(Ti_Cherniak) Times'!$F336*0.000001)^2/(4*'D(Ti_Cherniak) Times'!$C336)/(365.35*24*3600)</f>
        <v>469.20048465395365</v>
      </c>
      <c r="T336" s="2"/>
      <c r="U336" s="2">
        <f>('L-Values'!Q336*'D(Ti_Cherniak) Times'!$F336*0.000001)^2/(4*'D(Ti_Cherniak) Times'!$C336)/(365.35*24*3600)</f>
        <v>364.84463015337485</v>
      </c>
      <c r="V336" s="2">
        <f>('L-Values'!R336*'D(Ti_Cherniak) Times'!$F336*0.000001)^2/(4*'D(Ti_Cherniak) Times'!$C336)/(365.35*24*3600)</f>
        <v>298.28174809071123</v>
      </c>
      <c r="W336" s="2">
        <f>('L-Values'!S336*'D(Ti_Cherniak) Times'!$F336*0.000001)^2/(4*'D(Ti_Cherniak) Times'!$C336)/(365.35*24*3600)</f>
        <v>339.46383410005456</v>
      </c>
      <c r="X336" s="2"/>
      <c r="Y336" s="2">
        <f>('L-Values'!U336*'D(Ti_Cherniak) Times'!$F336*0.000001)^2/(4*'D(Ti_Cherniak) Times'!$C336)/(365.35*24*3600)</f>
        <v>314.29425069991129</v>
      </c>
      <c r="Z336" s="2">
        <f>('L-Values'!V336*'D(Ti_Cherniak) Times'!$F336*0.000001)^2/(4*'D(Ti_Cherniak) Times'!$C336)/(365.35*24*3600)</f>
        <v>316.87732541442665</v>
      </c>
      <c r="AA336" s="2">
        <f>('L-Values'!W336*'D(Ti_Cherniak) Times'!$F336*0.000001)^2/(4*'D(Ti_Cherniak) Times'!$C336)/(365.35*24*3600)</f>
        <v>3.8262909273653007</v>
      </c>
      <c r="AB336" s="2">
        <f>('L-Values'!X336*'D(Ti_Cherniak) Times'!$F336*0.000001)^2/(4*'D(Ti_Cherniak) Times'!$C336)/(365.35*24*3600)</f>
        <v>1636.402653993599</v>
      </c>
      <c r="AC336" s="2">
        <f t="shared" si="22"/>
        <v>313.05103448706137</v>
      </c>
      <c r="AD336" s="2">
        <f t="shared" si="23"/>
        <v>1319.5253285791723</v>
      </c>
    </row>
    <row r="337" spans="1:30" x14ac:dyDescent="0.2">
      <c r="A337" t="str">
        <f>'L-Values'!A337</f>
        <v>CGI015-qtz10-CL-fit-4-offset</v>
      </c>
      <c r="B337">
        <v>750</v>
      </c>
      <c r="C337">
        <f t="shared" si="20"/>
        <v>8.0537892000481889E-22</v>
      </c>
      <c r="D337">
        <v>2050</v>
      </c>
      <c r="E337">
        <v>1024</v>
      </c>
      <c r="F337">
        <f t="shared" si="21"/>
        <v>2.001953125</v>
      </c>
      <c r="I337" s="2">
        <f>('L-Values'!E337*'D(Ti_Cherniak) Times'!$F337*0.000001)^2/(4*'D(Ti_Cherniak) Times'!$C337)/(365.35*24*3600)</f>
        <v>118.90677796575299</v>
      </c>
      <c r="J337" s="2">
        <f>('L-Values'!F337*'D(Ti_Cherniak) Times'!$F337*0.000001)^2/(4*'D(Ti_Cherniak) Times'!$C337)/(365.35*24*3600)</f>
        <v>38.432023632721389</v>
      </c>
      <c r="K337" s="2">
        <f>('L-Values'!G337*'D(Ti_Cherniak) Times'!$F337*0.000001)^2/(4*'D(Ti_Cherniak) Times'!$C337)/(365.35*24*3600)</f>
        <v>18.605370086337206</v>
      </c>
      <c r="L337" s="2">
        <f>('L-Values'!H337*'D(Ti_Cherniak) Times'!$F337*0.000001)^2/(4*'D(Ti_Cherniak) Times'!$C337)/(365.35*24*3600)</f>
        <v>118.65049257781081</v>
      </c>
      <c r="M337" s="2">
        <f>('L-Values'!I337*'D(Ti_Cherniak) Times'!$F337*0.000001)^2/(4*'D(Ti_Cherniak) Times'!$C337)/(365.35*24*3600)</f>
        <v>37.877275742115934</v>
      </c>
      <c r="N337" s="2">
        <f>('L-Values'!J337*'D(Ti_Cherniak) Times'!$F337*0.000001)^2/(4*'D(Ti_Cherniak) Times'!$C337)/(365.35*24*3600)</f>
        <v>149.9805241013014</v>
      </c>
      <c r="O337" s="2">
        <f>('L-Values'!K337*'D(Ti_Cherniak) Times'!$F337*0.000001)^2/(4*'D(Ti_Cherniak) Times'!$C337)/(365.35*24*3600)</f>
        <v>144.11767593434269</v>
      </c>
      <c r="P337" s="2">
        <f>('L-Values'!L337*'D(Ti_Cherniak) Times'!$F337*0.000001)^2/(4*'D(Ti_Cherniak) Times'!$C337)/(365.35*24*3600)</f>
        <v>204.52812169189664</v>
      </c>
      <c r="Q337" s="2">
        <f>('L-Values'!M337*'D(Ti_Cherniak) Times'!$F337*0.000001)^2/(4*'D(Ti_Cherniak) Times'!$C337)/(365.35*24*3600)</f>
        <v>268.76278444768741</v>
      </c>
      <c r="R337" s="2">
        <f>('L-Values'!N337*'D(Ti_Cherniak) Times'!$F337*0.000001)^2/(4*'D(Ti_Cherniak) Times'!$C337)/(365.35*24*3600)</f>
        <v>143.36947417575678</v>
      </c>
      <c r="S337" s="2">
        <f>('L-Values'!O337*'D(Ti_Cherniak) Times'!$F337*0.000001)^2/(4*'D(Ti_Cherniak) Times'!$C337)/(365.35*24*3600)</f>
        <v>151.67428678578088</v>
      </c>
      <c r="T337" s="2"/>
      <c r="U337" s="2">
        <f>('L-Values'!Q337*'D(Ti_Cherniak) Times'!$F337*0.000001)^2/(4*'D(Ti_Cherniak) Times'!$C337)/(365.35*24*3600)</f>
        <v>140.41602122895776</v>
      </c>
      <c r="V337" s="2">
        <f>('L-Values'!R337*'D(Ti_Cherniak) Times'!$F337*0.000001)^2/(4*'D(Ti_Cherniak) Times'!$C337)/(365.35*24*3600)</f>
        <v>114.4909871969417</v>
      </c>
      <c r="W337" s="2">
        <f>('L-Values'!S337*'D(Ti_Cherniak) Times'!$F337*0.000001)^2/(4*'D(Ti_Cherniak) Times'!$C337)/(365.35*24*3600)</f>
        <v>143.36947417575678</v>
      </c>
      <c r="X337" s="2"/>
      <c r="Y337" s="2">
        <f>('L-Values'!U337*'D(Ti_Cherniak) Times'!$F337*0.000001)^2/(4*'D(Ti_Cherniak) Times'!$C337)/(365.35*24*3600)</f>
        <v>115.49075916268565</v>
      </c>
      <c r="Z337" s="2">
        <f>('L-Values'!V337*'D(Ti_Cherniak) Times'!$F337*0.000001)^2/(4*'D(Ti_Cherniak) Times'!$C337)/(365.35*24*3600)</f>
        <v>112.26256061778402</v>
      </c>
      <c r="AA337" s="2">
        <f>('L-Values'!W337*'D(Ti_Cherniak) Times'!$F337*0.000001)^2/(4*'D(Ti_Cherniak) Times'!$C337)/(365.35*24*3600)</f>
        <v>7.4874233574815774</v>
      </c>
      <c r="AB337" s="2">
        <f>('L-Values'!X337*'D(Ti_Cherniak) Times'!$F337*0.000001)^2/(4*'D(Ti_Cherniak) Times'!$C337)/(365.35*24*3600)</f>
        <v>326.51308677954978</v>
      </c>
      <c r="AC337" s="2">
        <f t="shared" si="22"/>
        <v>104.77513726030244</v>
      </c>
      <c r="AD337" s="2">
        <f t="shared" si="23"/>
        <v>214.25052616176578</v>
      </c>
    </row>
    <row r="338" spans="1:30" x14ac:dyDescent="0.2">
      <c r="A338" t="str">
        <f>'L-Values'!A338</f>
        <v>CGI015-qtz10-CL-fit-5-offset</v>
      </c>
      <c r="B338">
        <v>750</v>
      </c>
      <c r="C338">
        <f t="shared" si="20"/>
        <v>8.0537892000481889E-22</v>
      </c>
      <c r="D338">
        <v>2050</v>
      </c>
      <c r="E338">
        <v>1024</v>
      </c>
      <c r="F338">
        <f t="shared" si="21"/>
        <v>2.001953125</v>
      </c>
      <c r="I338" s="2">
        <f>('L-Values'!E338*'D(Ti_Cherniak) Times'!$F338*0.000001)^2/(4*'D(Ti_Cherniak) Times'!$C338)/(365.35*24*3600)</f>
        <v>84.94398317966052</v>
      </c>
      <c r="J338" s="2">
        <f>('L-Values'!F338*'D(Ti_Cherniak) Times'!$F338*0.000001)^2/(4*'D(Ti_Cherniak) Times'!$C338)/(365.35*24*3600)</f>
        <v>86.509697119624121</v>
      </c>
      <c r="K338" s="2">
        <f>('L-Values'!G338*'D(Ti_Cherniak) Times'!$F338*0.000001)^2/(4*'D(Ti_Cherniak) Times'!$C338)/(365.35*24*3600)</f>
        <v>106.77089874535761</v>
      </c>
      <c r="L338" s="2">
        <f>('L-Values'!H338*'D(Ti_Cherniak) Times'!$F338*0.000001)^2/(4*'D(Ti_Cherniak) Times'!$C338)/(365.35*24*3600)</f>
        <v>276.10819086260517</v>
      </c>
      <c r="M338" s="2">
        <f>('L-Values'!I338*'D(Ti_Cherniak) Times'!$F338*0.000001)^2/(4*'D(Ti_Cherniak) Times'!$C338)/(365.35*24*3600)</f>
        <v>202.8453112167534</v>
      </c>
      <c r="N338" s="2">
        <f>('L-Values'!J338*'D(Ti_Cherniak) Times'!$F338*0.000001)^2/(4*'D(Ti_Cherniak) Times'!$C338)/(365.35*24*3600)</f>
        <v>235.54488260823209</v>
      </c>
      <c r="O338" s="2">
        <f>('L-Values'!K338*'D(Ti_Cherniak) Times'!$F338*0.000001)^2/(4*'D(Ti_Cherniak) Times'!$C338)/(365.35*24*3600)</f>
        <v>225.10063740997657</v>
      </c>
      <c r="P338" s="2">
        <f>('L-Values'!L338*'D(Ti_Cherniak) Times'!$F338*0.000001)^2/(4*'D(Ti_Cherniak) Times'!$C338)/(365.35*24*3600)</f>
        <v>485.11108115239466</v>
      </c>
      <c r="Q338" s="2">
        <f>('L-Values'!M338*'D(Ti_Cherniak) Times'!$F338*0.000001)^2/(4*'D(Ti_Cherniak) Times'!$C338)/(365.35*24*3600)</f>
        <v>370.54352787140613</v>
      </c>
      <c r="R338" s="2">
        <f>('L-Values'!N338*'D(Ti_Cherniak) Times'!$F338*0.000001)^2/(4*'D(Ti_Cherniak) Times'!$C338)/(365.35*24*3600)</f>
        <v>301.77558489609606</v>
      </c>
      <c r="S338" s="2">
        <f>('L-Values'!O338*'D(Ti_Cherniak) Times'!$F338*0.000001)^2/(4*'D(Ti_Cherniak) Times'!$C338)/(365.35*24*3600)</f>
        <v>276.43122861105434</v>
      </c>
      <c r="T338" s="2"/>
      <c r="U338" s="2">
        <f>('L-Values'!Q338*'D(Ti_Cherniak) Times'!$F338*0.000001)^2/(4*'D(Ti_Cherniak) Times'!$C338)/(365.35*24*3600)</f>
        <v>218.6463771756421</v>
      </c>
      <c r="V338" s="2">
        <f>('L-Values'!R338*'D(Ti_Cherniak) Times'!$F338*0.000001)^2/(4*'D(Ti_Cherniak) Times'!$C338)/(365.35*24*3600)</f>
        <v>225.90889849852965</v>
      </c>
      <c r="W338" s="2">
        <f>('L-Values'!S338*'D(Ti_Cherniak) Times'!$F338*0.000001)^2/(4*'D(Ti_Cherniak) Times'!$C338)/(365.35*24*3600)</f>
        <v>235.54488260823209</v>
      </c>
      <c r="X338" s="2"/>
      <c r="Y338" s="2">
        <f>('L-Values'!U338*'D(Ti_Cherniak) Times'!$F338*0.000001)^2/(4*'D(Ti_Cherniak) Times'!$C338)/(365.35*24*3600)</f>
        <v>226.62505252469711</v>
      </c>
      <c r="Z338" s="2">
        <f>('L-Values'!V338*'D(Ti_Cherniak) Times'!$F338*0.000001)^2/(4*'D(Ti_Cherniak) Times'!$C338)/(365.35*24*3600)</f>
        <v>233.93031511172941</v>
      </c>
      <c r="AA338" s="2">
        <f>('L-Values'!W338*'D(Ti_Cherniak) Times'!$F338*0.000001)^2/(4*'D(Ti_Cherniak) Times'!$C338)/(365.35*24*3600)</f>
        <v>28.378414164805196</v>
      </c>
      <c r="AB338" s="2">
        <f>('L-Values'!X338*'D(Ti_Cherniak) Times'!$F338*0.000001)^2/(4*'D(Ti_Cherniak) Times'!$C338)/(365.35*24*3600)</f>
        <v>703.26399828459034</v>
      </c>
      <c r="AC338" s="2">
        <f t="shared" si="22"/>
        <v>205.55190094692421</v>
      </c>
      <c r="AD338" s="2">
        <f t="shared" si="23"/>
        <v>469.3336831728609</v>
      </c>
    </row>
    <row r="339" spans="1:30" x14ac:dyDescent="0.2">
      <c r="A339" t="str">
        <f>'L-Values'!A339</f>
        <v>CGI015-qtz10-CL-fit-6-offset</v>
      </c>
      <c r="B339">
        <v>750</v>
      </c>
      <c r="C339">
        <f t="shared" si="20"/>
        <v>8.0537892000481889E-22</v>
      </c>
      <c r="D339">
        <v>2050</v>
      </c>
      <c r="E339">
        <v>1024</v>
      </c>
      <c r="F339">
        <f t="shared" si="21"/>
        <v>2.001953125</v>
      </c>
      <c r="I339" s="2">
        <f>('L-Values'!E339*'D(Ti_Cherniak) Times'!$F339*0.000001)^2/(4*'D(Ti_Cherniak) Times'!$C339)/(365.35*24*3600)</f>
        <v>51.302437012007587</v>
      </c>
      <c r="J339" s="2">
        <f>('L-Values'!F339*'D(Ti_Cherniak) Times'!$F339*0.000001)^2/(4*'D(Ti_Cherniak) Times'!$C339)/(365.35*24*3600)</f>
        <v>107.70693053490639</v>
      </c>
      <c r="K339" s="2">
        <f>('L-Values'!G339*'D(Ti_Cherniak) Times'!$F339*0.000001)^2/(4*'D(Ti_Cherniak) Times'!$C339)/(365.35*24*3600)</f>
        <v>73.820224874577391</v>
      </c>
      <c r="L339" s="2">
        <f>('L-Values'!H339*'D(Ti_Cherniak) Times'!$F339*0.000001)^2/(4*'D(Ti_Cherniak) Times'!$C339)/(365.35*24*3600)</f>
        <v>59.16168586829275</v>
      </c>
      <c r="M339" s="2">
        <f>('L-Values'!I339*'D(Ti_Cherniak) Times'!$F339*0.000001)^2/(4*'D(Ti_Cherniak) Times'!$C339)/(365.35*24*3600)</f>
        <v>65.066030768559457</v>
      </c>
      <c r="N339" s="2">
        <f>('L-Values'!J339*'D(Ti_Cherniak) Times'!$F339*0.000001)^2/(4*'D(Ti_Cherniak) Times'!$C339)/(365.35*24*3600)</f>
        <v>45.103605916441111</v>
      </c>
      <c r="O339" s="2">
        <f>('L-Values'!K339*'D(Ti_Cherniak) Times'!$F339*0.000001)^2/(4*'D(Ti_Cherniak) Times'!$C339)/(365.35*24*3600)</f>
        <v>60.864169598775028</v>
      </c>
      <c r="P339" s="2">
        <f>('L-Values'!L339*'D(Ti_Cherniak) Times'!$F339*0.000001)^2/(4*'D(Ti_Cherniak) Times'!$C339)/(365.35*24*3600)</f>
        <v>86.781500049497524</v>
      </c>
      <c r="Q339" s="2">
        <f>('L-Values'!M339*'D(Ti_Cherniak) Times'!$F339*0.000001)^2/(4*'D(Ti_Cherniak) Times'!$C339)/(365.35*24*3600)</f>
        <v>52.503512112422754</v>
      </c>
      <c r="R339" s="2">
        <f>('L-Values'!N339*'D(Ti_Cherniak) Times'!$F339*0.000001)^2/(4*'D(Ti_Cherniak) Times'!$C339)/(365.35*24*3600)</f>
        <v>60.900060091399588</v>
      </c>
      <c r="S339" s="2">
        <f>('L-Values'!O339*'D(Ti_Cherniak) Times'!$F339*0.000001)^2/(4*'D(Ti_Cherniak) Times'!$C339)/(365.35*24*3600)</f>
        <v>47.274398000235145</v>
      </c>
      <c r="T339" s="2"/>
      <c r="U339" s="2">
        <f>('L-Values'!Q339*'D(Ti_Cherniak) Times'!$F339*0.000001)^2/(4*'D(Ti_Cherniak) Times'!$C339)/(365.35*24*3600)</f>
        <v>62.659060477785012</v>
      </c>
      <c r="V339" s="2">
        <f>('L-Values'!R339*'D(Ti_Cherniak) Times'!$F339*0.000001)^2/(4*'D(Ti_Cherniak) Times'!$C339)/(365.35*24*3600)</f>
        <v>63.490761652220257</v>
      </c>
      <c r="W339" s="2">
        <f>('L-Values'!S339*'D(Ti_Cherniak) Times'!$F339*0.000001)^2/(4*'D(Ti_Cherniak) Times'!$C339)/(365.35*24*3600)</f>
        <v>60.864169598775028</v>
      </c>
      <c r="X339" s="2"/>
      <c r="Y339" s="2">
        <f>('L-Values'!U339*'D(Ti_Cherniak) Times'!$F339*0.000001)^2/(4*'D(Ti_Cherniak) Times'!$C339)/(365.35*24*3600)</f>
        <v>57.634277599294606</v>
      </c>
      <c r="Z339" s="2">
        <f>('L-Values'!V339*'D(Ti_Cherniak) Times'!$F339*0.000001)^2/(4*'D(Ti_Cherniak) Times'!$C339)/(365.35*24*3600)</f>
        <v>51.702385663574923</v>
      </c>
      <c r="AA339" s="2">
        <f>('L-Values'!W339*'D(Ti_Cherniak) Times'!$F339*0.000001)^2/(4*'D(Ti_Cherniak) Times'!$C339)/(365.35*24*3600)</f>
        <v>1.7946473064484858</v>
      </c>
      <c r="AB339" s="2">
        <f>('L-Values'!X339*'D(Ti_Cherniak) Times'!$F339*0.000001)^2/(4*'D(Ti_Cherniak) Times'!$C339)/(365.35*24*3600)</f>
        <v>175.4579690709088</v>
      </c>
      <c r="AC339" s="2">
        <f t="shared" si="22"/>
        <v>49.907738357126433</v>
      </c>
      <c r="AD339" s="2">
        <f t="shared" si="23"/>
        <v>123.75558340733389</v>
      </c>
    </row>
    <row r="340" spans="1:30" x14ac:dyDescent="0.2">
      <c r="A340" t="str">
        <f>'L-Values'!A340</f>
        <v>CGI015-qtz10-CL-fit-7-offset</v>
      </c>
      <c r="B340">
        <v>750</v>
      </c>
      <c r="C340">
        <f t="shared" si="20"/>
        <v>8.0537892000481889E-22</v>
      </c>
      <c r="D340">
        <v>2050</v>
      </c>
      <c r="E340">
        <v>1024</v>
      </c>
      <c r="F340">
        <f t="shared" si="21"/>
        <v>2.001953125</v>
      </c>
      <c r="I340" s="2">
        <f>('L-Values'!E340*'D(Ti_Cherniak) Times'!$F340*0.000001)^2/(4*'D(Ti_Cherniak) Times'!$C340)/(365.35*24*3600)</f>
        <v>1.7475035360870128</v>
      </c>
      <c r="J340" s="2">
        <f>('L-Values'!F340*'D(Ti_Cherniak) Times'!$F340*0.000001)^2/(4*'D(Ti_Cherniak) Times'!$C340)/(365.35*24*3600)</f>
        <v>2.172676991440861</v>
      </c>
      <c r="K340" s="2">
        <f>('L-Values'!G340*'D(Ti_Cherniak) Times'!$F340*0.000001)^2/(4*'D(Ti_Cherniak) Times'!$C340)/(365.35*24*3600)</f>
        <v>1.5231374718135369</v>
      </c>
      <c r="L340" s="2">
        <f>('L-Values'!H340*'D(Ti_Cherniak) Times'!$F340*0.000001)^2/(4*'D(Ti_Cherniak) Times'!$C340)/(365.35*24*3600)</f>
        <v>1.0911530307705117</v>
      </c>
      <c r="M340" s="2">
        <f>('L-Values'!I340*'D(Ti_Cherniak) Times'!$F340*0.000001)^2/(4*'D(Ti_Cherniak) Times'!$C340)/(365.35*24*3600)</f>
        <v>14.766356579626462</v>
      </c>
      <c r="N340" s="2">
        <f>('L-Values'!J340*'D(Ti_Cherniak) Times'!$F340*0.000001)^2/(4*'D(Ti_Cherniak) Times'!$C340)/(365.35*24*3600)</f>
        <v>0.20273657444269688</v>
      </c>
      <c r="O340" s="2">
        <f>('L-Values'!K340*'D(Ti_Cherniak) Times'!$F340*0.000001)^2/(4*'D(Ti_Cherniak) Times'!$C340)/(365.35*24*3600)</f>
        <v>1.7851488292767401</v>
      </c>
      <c r="P340" s="2">
        <f>('L-Values'!L340*'D(Ti_Cherniak) Times'!$F340*0.000001)^2/(4*'D(Ti_Cherniak) Times'!$C340)/(365.35*24*3600)</f>
        <v>1.4927882923833808</v>
      </c>
      <c r="Q340" s="2">
        <f>('L-Values'!M340*'D(Ti_Cherniak) Times'!$F340*0.000001)^2/(4*'D(Ti_Cherniak) Times'!$C340)/(365.35*24*3600)</f>
        <v>1.5367574462600588</v>
      </c>
      <c r="R340" s="2">
        <f>('L-Values'!N340*'D(Ti_Cherniak) Times'!$F340*0.000001)^2/(4*'D(Ti_Cherniak) Times'!$C340)/(365.35*24*3600)</f>
        <v>16.975496600105711</v>
      </c>
      <c r="S340" s="2">
        <f>('L-Values'!O340*'D(Ti_Cherniak) Times'!$F340*0.000001)^2/(4*'D(Ti_Cherniak) Times'!$C340)/(365.35*24*3600)</f>
        <v>0.54313272418709768</v>
      </c>
      <c r="T340" s="2"/>
      <c r="U340" s="2">
        <f>('L-Values'!Q340*'D(Ti_Cherniak) Times'!$F340*0.000001)^2/(4*'D(Ti_Cherniak) Times'!$C340)/(365.35*24*3600)</f>
        <v>1.6355571097478634</v>
      </c>
      <c r="V340" s="2">
        <f>('L-Values'!R340*'D(Ti_Cherniak) Times'!$F340*0.000001)^2/(4*'D(Ti_Cherniak) Times'!$C340)/(365.35*24*3600)</f>
        <v>2.6843230778389415</v>
      </c>
      <c r="W340" s="2">
        <f>('L-Values'!S340*'D(Ti_Cherniak) Times'!$F340*0.000001)^2/(4*'D(Ti_Cherniak) Times'!$C340)/(365.35*24*3600)</f>
        <v>1.5367574462600588</v>
      </c>
      <c r="X340" s="2"/>
      <c r="Y340" s="2">
        <f>('L-Values'!U340*'D(Ti_Cherniak) Times'!$F340*0.000001)^2/(4*'D(Ti_Cherniak) Times'!$C340)/(365.35*24*3600)</f>
        <v>2.4175572786151522</v>
      </c>
      <c r="Z340" s="2">
        <f>('L-Values'!V340*'D(Ti_Cherniak) Times'!$F340*0.000001)^2/(4*'D(Ti_Cherniak) Times'!$C340)/(365.35*24*3600)</f>
        <v>8.7177907108329276</v>
      </c>
      <c r="AA340" s="2">
        <f>('L-Values'!W340*'D(Ti_Cherniak) Times'!$F340*0.000001)^2/(4*'D(Ti_Cherniak) Times'!$C340)/(365.35*24*3600)</f>
        <v>1.3191160052923412E-5</v>
      </c>
      <c r="AB340" s="2">
        <f>('L-Values'!X340*'D(Ti_Cherniak) Times'!$F340*0.000001)^2/(4*'D(Ti_Cherniak) Times'!$C340)/(365.35*24*3600)</f>
        <v>293.85195805426389</v>
      </c>
      <c r="AC340" s="2">
        <f t="shared" si="22"/>
        <v>8.7177775196728753</v>
      </c>
      <c r="AD340" s="2">
        <f t="shared" si="23"/>
        <v>285.13416734343099</v>
      </c>
    </row>
    <row r="341" spans="1:30" x14ac:dyDescent="0.2">
      <c r="A341" t="str">
        <f>'L-Values'!A341</f>
        <v>CGI015-qtz11-CL-fit-1-offset</v>
      </c>
      <c r="B341">
        <v>750</v>
      </c>
      <c r="C341">
        <f t="shared" si="20"/>
        <v>8.0537892000481889E-22</v>
      </c>
      <c r="D341">
        <v>1700</v>
      </c>
      <c r="E341">
        <v>1024</v>
      </c>
      <c r="F341">
        <f t="shared" si="21"/>
        <v>1.66015625</v>
      </c>
      <c r="I341" s="2">
        <f>('L-Values'!E341*'D(Ti_Cherniak) Times'!$F341*0.000001)^2/(4*'D(Ti_Cherniak) Times'!$C341)/(365.35*24*3600)</f>
        <v>1146.4024990521918</v>
      </c>
      <c r="J341" s="2">
        <f>('L-Values'!F341*'D(Ti_Cherniak) Times'!$F341*0.000001)^2/(4*'D(Ti_Cherniak) Times'!$C341)/(365.35*24*3600)</f>
        <v>1017.1051015523145</v>
      </c>
      <c r="K341" s="2">
        <f>('L-Values'!G341*'D(Ti_Cherniak) Times'!$F341*0.000001)^2/(4*'D(Ti_Cherniak) Times'!$C341)/(365.35*24*3600)</f>
        <v>1084.8790086411716</v>
      </c>
      <c r="L341" s="2">
        <f>('L-Values'!H341*'D(Ti_Cherniak) Times'!$F341*0.000001)^2/(4*'D(Ti_Cherniak) Times'!$C341)/(365.35*24*3600)</f>
        <v>967.90133511356419</v>
      </c>
      <c r="M341" s="2">
        <f>('L-Values'!I341*'D(Ti_Cherniak) Times'!$F341*0.000001)^2/(4*'D(Ti_Cherniak) Times'!$C341)/(365.35*24*3600)</f>
        <v>1017.2880141117265</v>
      </c>
      <c r="N341" s="2">
        <f>('L-Values'!J341*'D(Ti_Cherniak) Times'!$F341*0.000001)^2/(4*'D(Ti_Cherniak) Times'!$C341)/(365.35*24*3600)</f>
        <v>935.20977702346681</v>
      </c>
      <c r="O341" s="2">
        <f>('L-Values'!K341*'D(Ti_Cherniak) Times'!$F341*0.000001)^2/(4*'D(Ti_Cherniak) Times'!$C341)/(365.35*24*3600)</f>
        <v>981.29162864852037</v>
      </c>
      <c r="P341" s="2">
        <f>('L-Values'!L341*'D(Ti_Cherniak) Times'!$F341*0.000001)^2/(4*'D(Ti_Cherniak) Times'!$C341)/(365.35*24*3600)</f>
        <v>1246.7216136583313</v>
      </c>
      <c r="Q341" s="2">
        <f>('L-Values'!M341*'D(Ti_Cherniak) Times'!$F341*0.000001)^2/(4*'D(Ti_Cherniak) Times'!$C341)/(365.35*24*3600)</f>
        <v>1368.1828429541627</v>
      </c>
      <c r="R341" s="2">
        <f>('L-Values'!N341*'D(Ti_Cherniak) Times'!$F341*0.000001)^2/(4*'D(Ti_Cherniak) Times'!$C341)/(365.35*24*3600)</f>
        <v>1221.5298557128856</v>
      </c>
      <c r="S341" s="2">
        <f>('L-Values'!O341*'D(Ti_Cherniak) Times'!$F341*0.000001)^2/(4*'D(Ti_Cherniak) Times'!$C341)/(365.35*24*3600)</f>
        <v>1512.9497566615471</v>
      </c>
      <c r="T341" s="2"/>
      <c r="U341" s="2">
        <f>('L-Values'!Q341*'D(Ti_Cherniak) Times'!$F341*0.000001)^2/(4*'D(Ti_Cherniak) Times'!$C341)/(365.35*24*3600)</f>
        <v>1126.0528443668074</v>
      </c>
      <c r="V341" s="2">
        <f>('L-Values'!R341*'D(Ti_Cherniak) Times'!$F341*0.000001)^2/(4*'D(Ti_Cherniak) Times'!$C341)/(365.35*24*3600)</f>
        <v>1129.8517364423449</v>
      </c>
      <c r="W341" s="2">
        <f>('L-Values'!S341*'D(Ti_Cherniak) Times'!$F341*0.000001)^2/(4*'D(Ti_Cherniak) Times'!$C341)/(365.35*24*3600)</f>
        <v>1084.8790086411716</v>
      </c>
      <c r="X341" s="2"/>
      <c r="Y341" s="2">
        <f>('L-Values'!U341*'D(Ti_Cherniak) Times'!$F341*0.000001)^2/(4*'D(Ti_Cherniak) Times'!$C341)/(365.35*24*3600)</f>
        <v>1114.5101025993877</v>
      </c>
      <c r="Z341" s="2">
        <f>('L-Values'!V341*'D(Ti_Cherniak) Times'!$F341*0.000001)^2/(4*'D(Ti_Cherniak) Times'!$C341)/(365.35*24*3600)</f>
        <v>1109.8033303897603</v>
      </c>
      <c r="AA341" s="2">
        <f>('L-Values'!W341*'D(Ti_Cherniak) Times'!$F341*0.000001)^2/(4*'D(Ti_Cherniak) Times'!$C341)/(365.35*24*3600)</f>
        <v>864.32823857723872</v>
      </c>
      <c r="AB341" s="2">
        <f>('L-Values'!X341*'D(Ti_Cherniak) Times'!$F341*0.000001)^2/(4*'D(Ti_Cherniak) Times'!$C341)/(365.35*24*3600)</f>
        <v>1375.3034002650381</v>
      </c>
      <c r="AC341" s="2">
        <f t="shared" si="22"/>
        <v>245.47509181252155</v>
      </c>
      <c r="AD341" s="2">
        <f t="shared" si="23"/>
        <v>265.50006987527786</v>
      </c>
    </row>
    <row r="342" spans="1:30" x14ac:dyDescent="0.2">
      <c r="A342" t="str">
        <f>'L-Values'!A342</f>
        <v>CGI015-qtz11-CL-fit-2-offset</v>
      </c>
      <c r="B342">
        <v>750</v>
      </c>
      <c r="C342">
        <f t="shared" si="20"/>
        <v>8.0537892000481889E-22</v>
      </c>
      <c r="D342">
        <v>1700</v>
      </c>
      <c r="E342">
        <v>1024</v>
      </c>
      <c r="F342">
        <f t="shared" si="21"/>
        <v>1.66015625</v>
      </c>
      <c r="I342" s="2">
        <f>('L-Values'!E342*'D(Ti_Cherniak) Times'!$F342*0.000001)^2/(4*'D(Ti_Cherniak) Times'!$C342)/(365.35*24*3600)</f>
        <v>1259.2636164154558</v>
      </c>
      <c r="J342" s="2">
        <f>('L-Values'!F342*'D(Ti_Cherniak) Times'!$F342*0.000001)^2/(4*'D(Ti_Cherniak) Times'!$C342)/(365.35*24*3600)</f>
        <v>1142.6087528899075</v>
      </c>
      <c r="K342" s="2">
        <f>('L-Values'!G342*'D(Ti_Cherniak) Times'!$F342*0.000001)^2/(4*'D(Ti_Cherniak) Times'!$C342)/(365.35*24*3600)</f>
        <v>893.58207030706751</v>
      </c>
      <c r="L342" s="2">
        <f>('L-Values'!H342*'D(Ti_Cherniak) Times'!$F342*0.000001)^2/(4*'D(Ti_Cherniak) Times'!$C342)/(365.35*24*3600)</f>
        <v>1109.3333036005438</v>
      </c>
      <c r="M342" s="2">
        <f>('L-Values'!I342*'D(Ti_Cherniak) Times'!$F342*0.000001)^2/(4*'D(Ti_Cherniak) Times'!$C342)/(365.35*24*3600)</f>
        <v>946.57405683996649</v>
      </c>
      <c r="N342" s="2">
        <f>('L-Values'!J342*'D(Ti_Cherniak) Times'!$F342*0.000001)^2/(4*'D(Ti_Cherniak) Times'!$C342)/(365.35*24*3600)</f>
        <v>1044.7721929314935</v>
      </c>
      <c r="O342" s="2">
        <f>('L-Values'!K342*'D(Ti_Cherniak) Times'!$F342*0.000001)^2/(4*'D(Ti_Cherniak) Times'!$C342)/(365.35*24*3600)</f>
        <v>871.73400642337458</v>
      </c>
      <c r="P342" s="2">
        <f>('L-Values'!L342*'D(Ti_Cherniak) Times'!$F342*0.000001)^2/(4*'D(Ti_Cherniak) Times'!$C342)/(365.35*24*3600)</f>
        <v>726.23402459806482</v>
      </c>
      <c r="Q342" s="2">
        <f>('L-Values'!M342*'D(Ti_Cherniak) Times'!$F342*0.000001)^2/(4*'D(Ti_Cherniak) Times'!$C342)/(365.35*24*3600)</f>
        <v>1002.8175683920349</v>
      </c>
      <c r="R342" s="2">
        <f>('L-Values'!N342*'D(Ti_Cherniak) Times'!$F342*0.000001)^2/(4*'D(Ti_Cherniak) Times'!$C342)/(365.35*24*3600)</f>
        <v>548.44298566836062</v>
      </c>
      <c r="S342" s="2">
        <f>('L-Values'!O342*'D(Ti_Cherniak) Times'!$F342*0.000001)^2/(4*'D(Ti_Cherniak) Times'!$C342)/(365.35*24*3600)</f>
        <v>721.26947693845341</v>
      </c>
      <c r="T342" s="2"/>
      <c r="U342" s="2">
        <f>('L-Values'!Q342*'D(Ti_Cherniak) Times'!$F342*0.000001)^2/(4*'D(Ti_Cherniak) Times'!$C342)/(365.35*24*3600)</f>
        <v>946.57484109550182</v>
      </c>
      <c r="V342" s="2">
        <f>('L-Values'!R342*'D(Ti_Cherniak) Times'!$F342*0.000001)^2/(4*'D(Ti_Cherniak) Times'!$C342)/(365.35*24*3600)</f>
        <v>921.91710097156579</v>
      </c>
      <c r="W342" s="2">
        <f>('L-Values'!S342*'D(Ti_Cherniak) Times'!$F342*0.000001)^2/(4*'D(Ti_Cherniak) Times'!$C342)/(365.35*24*3600)</f>
        <v>946.57405683996649</v>
      </c>
      <c r="X342" s="2"/>
      <c r="Y342" s="2">
        <f>('L-Values'!U342*'D(Ti_Cherniak) Times'!$F342*0.000001)^2/(4*'D(Ti_Cherniak) Times'!$C342)/(365.35*24*3600)</f>
        <v>936.97922223763146</v>
      </c>
      <c r="Z342" s="2">
        <f>('L-Values'!V342*'D(Ti_Cherniak) Times'!$F342*0.000001)^2/(4*'D(Ti_Cherniak) Times'!$C342)/(365.35*24*3600)</f>
        <v>957.46525227920449</v>
      </c>
      <c r="AA342" s="2">
        <f>('L-Values'!W342*'D(Ti_Cherniak) Times'!$F342*0.000001)^2/(4*'D(Ti_Cherniak) Times'!$C342)/(365.35*24*3600)</f>
        <v>523.34457046054411</v>
      </c>
      <c r="AB342" s="2">
        <f>('L-Values'!X342*'D(Ti_Cherniak) Times'!$F342*0.000001)^2/(4*'D(Ti_Cherniak) Times'!$C342)/(365.35*24*3600)</f>
        <v>1600.0503536223791</v>
      </c>
      <c r="AC342" s="2">
        <f t="shared" si="22"/>
        <v>434.12068181866039</v>
      </c>
      <c r="AD342" s="2">
        <f t="shared" si="23"/>
        <v>642.58510134317464</v>
      </c>
    </row>
    <row r="343" spans="1:30" x14ac:dyDescent="0.2">
      <c r="A343" t="str">
        <f>'L-Values'!A343</f>
        <v>CGI015-qtz11-CL-fit-3-offset</v>
      </c>
      <c r="B343">
        <v>750</v>
      </c>
      <c r="C343">
        <f t="shared" si="20"/>
        <v>8.0537892000481889E-22</v>
      </c>
      <c r="D343">
        <v>1700</v>
      </c>
      <c r="E343">
        <v>1024</v>
      </c>
      <c r="F343">
        <f t="shared" si="21"/>
        <v>1.66015625</v>
      </c>
      <c r="I343" s="2">
        <f>('L-Values'!E343*'D(Ti_Cherniak) Times'!$F343*0.000001)^2/(4*'D(Ti_Cherniak) Times'!$C343)/(365.35*24*3600)</f>
        <v>98.887603317003737</v>
      </c>
      <c r="J343" s="2">
        <f>('L-Values'!F343*'D(Ti_Cherniak) Times'!$F343*0.000001)^2/(4*'D(Ti_Cherniak) Times'!$C343)/(365.35*24*3600)</f>
        <v>4.1980463449064995</v>
      </c>
      <c r="K343" s="2">
        <f>('L-Values'!G343*'D(Ti_Cherniak) Times'!$F343*0.000001)^2/(4*'D(Ti_Cherniak) Times'!$C343)/(365.35*24*3600)</f>
        <v>94.142477141461313</v>
      </c>
      <c r="L343" s="2">
        <f>('L-Values'!H343*'D(Ti_Cherniak) Times'!$F343*0.000001)^2/(4*'D(Ti_Cherniak) Times'!$C343)/(365.35*24*3600)</f>
        <v>210.4939159473866</v>
      </c>
      <c r="M343" s="2">
        <f>('L-Values'!I343*'D(Ti_Cherniak) Times'!$F343*0.000001)^2/(4*'D(Ti_Cherniak) Times'!$C343)/(365.35*24*3600)</f>
        <v>103.22212916590522</v>
      </c>
      <c r="N343" s="2">
        <f>('L-Values'!J343*'D(Ti_Cherniak) Times'!$F343*0.000001)^2/(4*'D(Ti_Cherniak) Times'!$C343)/(365.35*24*3600)</f>
        <v>33.213715409621464</v>
      </c>
      <c r="O343" s="2">
        <f>('L-Values'!K343*'D(Ti_Cherniak) Times'!$F343*0.000001)^2/(4*'D(Ti_Cherniak) Times'!$C343)/(365.35*24*3600)</f>
        <v>101.16302970523934</v>
      </c>
      <c r="P343" s="2">
        <f>('L-Values'!L343*'D(Ti_Cherniak) Times'!$F343*0.000001)^2/(4*'D(Ti_Cherniak) Times'!$C343)/(365.35*24*3600)</f>
        <v>96.430027279851188</v>
      </c>
      <c r="Q343" s="2">
        <f>('L-Values'!M343*'D(Ti_Cherniak) Times'!$F343*0.000001)^2/(4*'D(Ti_Cherniak) Times'!$C343)/(365.35*24*3600)</f>
        <v>78.754057034421393</v>
      </c>
      <c r="R343" s="2">
        <f>('L-Values'!N343*'D(Ti_Cherniak) Times'!$F343*0.000001)^2/(4*'D(Ti_Cherniak) Times'!$C343)/(365.35*24*3600)</f>
        <v>129.11934908613387</v>
      </c>
      <c r="S343" s="2">
        <f>('L-Values'!O343*'D(Ti_Cherniak) Times'!$F343*0.000001)^2/(4*'D(Ti_Cherniak) Times'!$C343)/(365.35*24*3600)</f>
        <v>169.87943285295765</v>
      </c>
      <c r="T343" s="2"/>
      <c r="U343" s="2">
        <f>('L-Values'!Q343*'D(Ti_Cherniak) Times'!$F343*0.000001)^2/(4*'D(Ti_Cherniak) Times'!$C343)/(365.35*24*3600)</f>
        <v>83.775471542552268</v>
      </c>
      <c r="V343" s="2">
        <f>('L-Values'!R343*'D(Ti_Cherniak) Times'!$F343*0.000001)^2/(4*'D(Ti_Cherniak) Times'!$C343)/(365.35*24*3600)</f>
        <v>91.595819394362351</v>
      </c>
      <c r="W343" s="2">
        <f>('L-Values'!S343*'D(Ti_Cherniak) Times'!$F343*0.000001)^2/(4*'D(Ti_Cherniak) Times'!$C343)/(365.35*24*3600)</f>
        <v>98.887603317003737</v>
      </c>
      <c r="X343" s="2"/>
      <c r="Y343" s="2">
        <f>('L-Values'!U343*'D(Ti_Cherniak) Times'!$F343*0.000001)^2/(4*'D(Ti_Cherniak) Times'!$C343)/(365.35*24*3600)</f>
        <v>68.513698346795508</v>
      </c>
      <c r="Z343" s="2">
        <f>('L-Values'!V343*'D(Ti_Cherniak) Times'!$F343*0.000001)^2/(4*'D(Ti_Cherniak) Times'!$C343)/(365.35*24*3600)</f>
        <v>79.169880858517743</v>
      </c>
      <c r="AA343" s="2">
        <f>('L-Values'!W343*'D(Ti_Cherniak) Times'!$F343*0.000001)^2/(4*'D(Ti_Cherniak) Times'!$C343)/(365.35*24*3600)</f>
        <v>7.1282834544669411</v>
      </c>
      <c r="AB343" s="2">
        <f>('L-Values'!X343*'D(Ti_Cherniak) Times'!$F343*0.000001)^2/(4*'D(Ti_Cherniak) Times'!$C343)/(365.35*24*3600)</f>
        <v>297.67288629306478</v>
      </c>
      <c r="AC343" s="2">
        <f t="shared" si="22"/>
        <v>72.041597404050805</v>
      </c>
      <c r="AD343" s="2">
        <f t="shared" si="23"/>
        <v>218.50300543454705</v>
      </c>
    </row>
    <row r="344" spans="1:30" x14ac:dyDescent="0.2">
      <c r="A344" t="str">
        <f>'L-Values'!A344</f>
        <v>CGI015-qtz11-CL-fit-4-offset</v>
      </c>
      <c r="B344">
        <v>750</v>
      </c>
      <c r="C344">
        <f t="shared" si="20"/>
        <v>8.0537892000481889E-22</v>
      </c>
      <c r="D344">
        <v>1700</v>
      </c>
      <c r="E344">
        <v>1024</v>
      </c>
      <c r="F344">
        <f t="shared" si="21"/>
        <v>1.66015625</v>
      </c>
      <c r="I344" s="2">
        <f>('L-Values'!E344*'D(Ti_Cherniak) Times'!$F344*0.000001)^2/(4*'D(Ti_Cherniak) Times'!$C344)/(365.35*24*3600)</f>
        <v>68.439355577064873</v>
      </c>
      <c r="J344" s="2">
        <f>('L-Values'!F344*'D(Ti_Cherniak) Times'!$F344*0.000001)^2/(4*'D(Ti_Cherniak) Times'!$C344)/(365.35*24*3600)</f>
        <v>24.698802025273217</v>
      </c>
      <c r="K344" s="2">
        <f>('L-Values'!G344*'D(Ti_Cherniak) Times'!$F344*0.000001)^2/(4*'D(Ti_Cherniak) Times'!$C344)/(365.35*24*3600)</f>
        <v>72.415409345097814</v>
      </c>
      <c r="L344" s="2">
        <f>('L-Values'!H344*'D(Ti_Cherniak) Times'!$F344*0.000001)^2/(4*'D(Ti_Cherniak) Times'!$C344)/(365.35*24*3600)</f>
        <v>24.674368176553529</v>
      </c>
      <c r="M344" s="2">
        <f>('L-Values'!I344*'D(Ti_Cherniak) Times'!$F344*0.000001)^2/(4*'D(Ti_Cherniak) Times'!$C344)/(365.35*24*3600)</f>
        <v>0.86920676386986873</v>
      </c>
      <c r="N344" s="2">
        <f>('L-Values'!J344*'D(Ti_Cherniak) Times'!$F344*0.000001)^2/(4*'D(Ti_Cherniak) Times'!$C344)/(365.35*24*3600)</f>
        <v>75.182848568509286</v>
      </c>
      <c r="O344" s="2">
        <f>('L-Values'!K344*'D(Ti_Cherniak) Times'!$F344*0.000001)^2/(4*'D(Ti_Cherniak) Times'!$C344)/(365.35*24*3600)</f>
        <v>122.02114052474863</v>
      </c>
      <c r="P344" s="2">
        <f>('L-Values'!L344*'D(Ti_Cherniak) Times'!$F344*0.000001)^2/(4*'D(Ti_Cherniak) Times'!$C344)/(365.35*24*3600)</f>
        <v>7.3514766109340031E-5</v>
      </c>
      <c r="Q344" s="2">
        <f>('L-Values'!M344*'D(Ti_Cherniak) Times'!$F344*0.000001)^2/(4*'D(Ti_Cherniak) Times'!$C344)/(365.35*24*3600)</f>
        <v>128.03216015194795</v>
      </c>
      <c r="R344" s="2">
        <f>('L-Values'!N344*'D(Ti_Cherniak) Times'!$F344*0.000001)^2/(4*'D(Ti_Cherniak) Times'!$C344)/(365.35*24*3600)</f>
        <v>0</v>
      </c>
      <c r="S344" s="2">
        <f>('L-Values'!O344*'D(Ti_Cherniak) Times'!$F344*0.000001)^2/(4*'D(Ti_Cherniak) Times'!$C344)/(365.35*24*3600)</f>
        <v>0</v>
      </c>
      <c r="T344" s="2"/>
      <c r="U344" s="2">
        <f>('L-Values'!Q344*'D(Ti_Cherniak) Times'!$F344*0.000001)^2/(4*'D(Ti_Cherniak) Times'!$C344)/(365.35*24*3600)</f>
        <v>88.37828430234282</v>
      </c>
      <c r="V344" s="2">
        <f>('L-Values'!R344*'D(Ti_Cherniak) Times'!$F344*0.000001)^2/(4*'D(Ti_Cherniak) Times'!$C344)/(365.35*24*3600)</f>
        <v>42.528933780675743</v>
      </c>
      <c r="W344" s="2">
        <f>('L-Values'!S344*'D(Ti_Cherniak) Times'!$F344*0.000001)^2/(4*'D(Ti_Cherniak) Times'!$C344)/(365.35*24*3600)</f>
        <v>68.439355577064873</v>
      </c>
      <c r="X344" s="2"/>
      <c r="Y344" s="2">
        <f>('L-Values'!U344*'D(Ti_Cherniak) Times'!$F344*0.000001)^2/(4*'D(Ti_Cherniak) Times'!$C344)/(365.35*24*3600)</f>
        <v>52.960590786444293</v>
      </c>
      <c r="Z344" s="2">
        <f>('L-Values'!V344*'D(Ti_Cherniak) Times'!$F344*0.000001)^2/(4*'D(Ti_Cherniak) Times'!$C344)/(365.35*24*3600)</f>
        <v>72.133891108542826</v>
      </c>
      <c r="AA344" s="2">
        <f>('L-Values'!W344*'D(Ti_Cherniak) Times'!$F344*0.000001)^2/(4*'D(Ti_Cherniak) Times'!$C344)/(365.35*24*3600)</f>
        <v>0.30287229950019101</v>
      </c>
      <c r="AB344" s="2">
        <f>('L-Values'!X344*'D(Ti_Cherniak) Times'!$F344*0.000001)^2/(4*'D(Ti_Cherniak) Times'!$C344)/(365.35*24*3600)</f>
        <v>1001.4862976191614</v>
      </c>
      <c r="AC344" s="2">
        <f t="shared" si="22"/>
        <v>71.831018809042632</v>
      </c>
      <c r="AD344" s="2">
        <f t="shared" si="23"/>
        <v>929.35240651061861</v>
      </c>
    </row>
    <row r="345" spans="1:30" x14ac:dyDescent="0.2">
      <c r="A345" t="str">
        <f>'L-Values'!A345</f>
        <v>CGI015-qtz11-CL-fit-5-offset</v>
      </c>
      <c r="B345">
        <v>750</v>
      </c>
      <c r="C345">
        <f t="shared" si="20"/>
        <v>8.0537892000481889E-22</v>
      </c>
      <c r="D345">
        <v>1700</v>
      </c>
      <c r="E345">
        <v>1024</v>
      </c>
      <c r="F345">
        <f t="shared" si="21"/>
        <v>1.66015625</v>
      </c>
      <c r="I345" s="2">
        <f>('L-Values'!E345*'D(Ti_Cherniak) Times'!$F345*0.000001)^2/(4*'D(Ti_Cherniak) Times'!$C345)/(365.35*24*3600)</f>
        <v>1.0240488462153399</v>
      </c>
      <c r="J345" s="2">
        <f>('L-Values'!F345*'D(Ti_Cherniak) Times'!$F345*0.000001)^2/(4*'D(Ti_Cherniak) Times'!$C345)/(365.35*24*3600)</f>
        <v>38.093418280515721</v>
      </c>
      <c r="K345" s="2">
        <f>('L-Values'!G345*'D(Ti_Cherniak) Times'!$F345*0.000001)^2/(4*'D(Ti_Cherniak) Times'!$C345)/(365.35*24*3600)</f>
        <v>0.98144948890622996</v>
      </c>
      <c r="L345" s="2">
        <f>('L-Values'!H345*'D(Ti_Cherniak) Times'!$F345*0.000001)^2/(4*'D(Ti_Cherniak) Times'!$C345)/(365.35*24*3600)</f>
        <v>7.1014784932915749</v>
      </c>
      <c r="M345" s="2">
        <f>('L-Values'!I345*'D(Ti_Cherniak) Times'!$F345*0.000001)^2/(4*'D(Ti_Cherniak) Times'!$C345)/(365.35*24*3600)</f>
        <v>103.16760130338054</v>
      </c>
      <c r="N345" s="2">
        <f>('L-Values'!J345*'D(Ti_Cherniak) Times'!$F345*0.000001)^2/(4*'D(Ti_Cherniak) Times'!$C345)/(365.35*24*3600)</f>
        <v>12.607864405124666</v>
      </c>
      <c r="O345" s="2">
        <f>('L-Values'!K345*'D(Ti_Cherniak) Times'!$F345*0.000001)^2/(4*'D(Ti_Cherniak) Times'!$C345)/(365.35*24*3600)</f>
        <v>221.2203975010554</v>
      </c>
      <c r="P345" s="2">
        <f>('L-Values'!L345*'D(Ti_Cherniak) Times'!$F345*0.000001)^2/(4*'D(Ti_Cherniak) Times'!$C345)/(365.35*24*3600)</f>
        <v>113.61265887121172</v>
      </c>
      <c r="Q345" s="2">
        <f>('L-Values'!M345*'D(Ti_Cherniak) Times'!$F345*0.000001)^2/(4*'D(Ti_Cherniak) Times'!$C345)/(365.35*24*3600)</f>
        <v>99.719524960532567</v>
      </c>
      <c r="R345" s="2">
        <f>('L-Values'!N345*'D(Ti_Cherniak) Times'!$F345*0.000001)^2/(4*'D(Ti_Cherniak) Times'!$C345)/(365.35*24*3600)</f>
        <v>54.784944287113419</v>
      </c>
      <c r="S345" s="2">
        <f>('L-Values'!O345*'D(Ti_Cherniak) Times'!$F345*0.000001)^2/(4*'D(Ti_Cherniak) Times'!$C345)/(365.35*24*3600)</f>
        <v>21.308588539418214</v>
      </c>
      <c r="T345" s="2"/>
      <c r="U345" s="2">
        <f>('L-Values'!Q345*'D(Ti_Cherniak) Times'!$F345*0.000001)^2/(4*'D(Ti_Cherniak) Times'!$C345)/(365.35*24*3600)</f>
        <v>37.743848041605432</v>
      </c>
      <c r="V345" s="2">
        <f>('L-Values'!R345*'D(Ti_Cherniak) Times'!$F345*0.000001)^2/(4*'D(Ti_Cherniak) Times'!$C345)/(365.35*24*3600)</f>
        <v>42.942475636986536</v>
      </c>
      <c r="W345" s="2">
        <f>('L-Values'!S345*'D(Ti_Cherniak) Times'!$F345*0.000001)^2/(4*'D(Ti_Cherniak) Times'!$C345)/(365.35*24*3600)</f>
        <v>38.093418280515721</v>
      </c>
      <c r="X345" s="2"/>
      <c r="Y345" s="2">
        <f>('L-Values'!U345*'D(Ti_Cherniak) Times'!$F345*0.000001)^2/(4*'D(Ti_Cherniak) Times'!$C345)/(365.35*24*3600)</f>
        <v>32.992743839530455</v>
      </c>
      <c r="Z345" s="2">
        <f>('L-Values'!V345*'D(Ti_Cherniak) Times'!$F345*0.000001)^2/(4*'D(Ti_Cherniak) Times'!$C345)/(365.35*24*3600)</f>
        <v>55.728689798252205</v>
      </c>
      <c r="AA345" s="2">
        <f>('L-Values'!W345*'D(Ti_Cherniak) Times'!$F345*0.000001)^2/(4*'D(Ti_Cherniak) Times'!$C345)/(365.35*24*3600)</f>
        <v>0.81011324326972067</v>
      </c>
      <c r="AB345" s="2">
        <f>('L-Values'!X345*'D(Ti_Cherniak) Times'!$F345*0.000001)^2/(4*'D(Ti_Cherniak) Times'!$C345)/(365.35*24*3600)</f>
        <v>195.77351076349282</v>
      </c>
      <c r="AC345" s="2">
        <f t="shared" si="22"/>
        <v>54.918576554982486</v>
      </c>
      <c r="AD345" s="2">
        <f t="shared" si="23"/>
        <v>140.0448209652406</v>
      </c>
    </row>
    <row r="346" spans="1:30" x14ac:dyDescent="0.2">
      <c r="A346" t="str">
        <f>'L-Values'!A346</f>
        <v>CGI015-qtz11-CL-fit-6-offset</v>
      </c>
      <c r="B346">
        <v>750</v>
      </c>
      <c r="C346">
        <f t="shared" si="20"/>
        <v>8.0537892000481889E-22</v>
      </c>
      <c r="D346">
        <v>1700</v>
      </c>
      <c r="E346">
        <v>1024</v>
      </c>
      <c r="F346">
        <f t="shared" si="21"/>
        <v>1.66015625</v>
      </c>
      <c r="I346" s="2">
        <f>('L-Values'!E346*'D(Ti_Cherniak) Times'!$F346*0.000001)^2/(4*'D(Ti_Cherniak) Times'!$C346)/(365.35*24*3600)</f>
        <v>569.84974381277095</v>
      </c>
      <c r="J346" s="2">
        <f>('L-Values'!F346*'D(Ti_Cherniak) Times'!$F346*0.000001)^2/(4*'D(Ti_Cherniak) Times'!$C346)/(365.35*24*3600)</f>
        <v>6.2241501320113644</v>
      </c>
      <c r="K346" s="2">
        <f>('L-Values'!G346*'D(Ti_Cherniak) Times'!$F346*0.000001)^2/(4*'D(Ti_Cherniak) Times'!$C346)/(365.35*24*3600)</f>
        <v>185.78529857482371</v>
      </c>
      <c r="L346" s="2">
        <f>('L-Values'!H346*'D(Ti_Cherniak) Times'!$F346*0.000001)^2/(4*'D(Ti_Cherniak) Times'!$C346)/(365.35*24*3600)</f>
        <v>19.92551052204783</v>
      </c>
      <c r="M346" s="2">
        <f>('L-Values'!I346*'D(Ti_Cherniak) Times'!$F346*0.000001)^2/(4*'D(Ti_Cherniak) Times'!$C346)/(365.35*24*3600)</f>
        <v>6.3376859146328544</v>
      </c>
      <c r="N346" s="2">
        <f>('L-Values'!J346*'D(Ti_Cherniak) Times'!$F346*0.000001)^2/(4*'D(Ti_Cherniak) Times'!$C346)/(365.35*24*3600)</f>
        <v>5.8425481466953455</v>
      </c>
      <c r="O346" s="2">
        <f>('L-Values'!K346*'D(Ti_Cherniak) Times'!$F346*0.000001)^2/(4*'D(Ti_Cherniak) Times'!$C346)/(365.35*24*3600)</f>
        <v>111.76823333679769</v>
      </c>
      <c r="P346" s="2">
        <f>('L-Values'!L346*'D(Ti_Cherniak) Times'!$F346*0.000001)^2/(4*'D(Ti_Cherniak) Times'!$C346)/(365.35*24*3600)</f>
        <v>107.80663548025835</v>
      </c>
      <c r="Q346" s="2">
        <f>('L-Values'!M346*'D(Ti_Cherniak) Times'!$F346*0.000001)^2/(4*'D(Ti_Cherniak) Times'!$C346)/(365.35*24*3600)</f>
        <v>64.933960597227184</v>
      </c>
      <c r="R346" s="2">
        <f>('L-Values'!N346*'D(Ti_Cherniak) Times'!$F346*0.000001)^2/(4*'D(Ti_Cherniak) Times'!$C346)/(365.35*24*3600)</f>
        <v>240.73181526499516</v>
      </c>
      <c r="S346" s="2">
        <f>('L-Values'!O346*'D(Ti_Cherniak) Times'!$F346*0.000001)^2/(4*'D(Ti_Cherniak) Times'!$C346)/(365.35*24*3600)</f>
        <v>197.44160697697049</v>
      </c>
      <c r="T346" s="2"/>
      <c r="U346" s="2">
        <f>('L-Values'!Q346*'D(Ti_Cherniak) Times'!$F346*0.000001)^2/(4*'D(Ti_Cherniak) Times'!$C346)/(365.35*24*3600)</f>
        <v>30.067720486265646</v>
      </c>
      <c r="V346" s="2">
        <f>('L-Values'!R346*'D(Ti_Cherniak) Times'!$F346*0.000001)^2/(4*'D(Ti_Cherniak) Times'!$C346)/(365.35*24*3600)</f>
        <v>96.352437977114263</v>
      </c>
      <c r="W346" s="2">
        <f>('L-Values'!S346*'D(Ti_Cherniak) Times'!$F346*0.000001)^2/(4*'D(Ti_Cherniak) Times'!$C346)/(365.35*24*3600)</f>
        <v>107.80663548025835</v>
      </c>
      <c r="X346" s="2"/>
      <c r="Y346" s="2">
        <f>('L-Values'!U346*'D(Ti_Cherniak) Times'!$F346*0.000001)^2/(4*'D(Ti_Cherniak) Times'!$C346)/(365.35*24*3600)</f>
        <v>95.848045374591052</v>
      </c>
      <c r="Z346" s="2">
        <f>('L-Values'!V346*'D(Ti_Cherniak) Times'!$F346*0.000001)^2/(4*'D(Ti_Cherniak) Times'!$C346)/(365.35*24*3600)</f>
        <v>135.66997327047625</v>
      </c>
      <c r="AA346" s="2">
        <f>('L-Values'!W346*'D(Ti_Cherniak) Times'!$F346*0.000001)^2/(4*'D(Ti_Cherniak) Times'!$C346)/(365.35*24*3600)</f>
        <v>0.16048481676565413</v>
      </c>
      <c r="AB346" s="2">
        <f>('L-Values'!X346*'D(Ti_Cherniak) Times'!$F346*0.000001)^2/(4*'D(Ti_Cherniak) Times'!$C346)/(365.35*24*3600)</f>
        <v>995.35703199394629</v>
      </c>
      <c r="AC346" s="2">
        <f t="shared" si="22"/>
        <v>135.50948845371059</v>
      </c>
      <c r="AD346" s="2">
        <f t="shared" si="23"/>
        <v>859.68705872347005</v>
      </c>
    </row>
    <row r="347" spans="1:30" x14ac:dyDescent="0.2">
      <c r="A347" t="str">
        <f>'L-Values'!A347</f>
        <v>CGI015-qtz11-CL-fit-7-offset</v>
      </c>
      <c r="B347">
        <v>750</v>
      </c>
      <c r="C347">
        <f t="shared" si="20"/>
        <v>8.0537892000481889E-22</v>
      </c>
      <c r="D347">
        <v>1700</v>
      </c>
      <c r="E347">
        <v>1024</v>
      </c>
      <c r="F347">
        <f t="shared" si="21"/>
        <v>1.66015625</v>
      </c>
      <c r="I347" s="2">
        <f>('L-Values'!E347*'D(Ti_Cherniak) Times'!$F347*0.000001)^2/(4*'D(Ti_Cherniak) Times'!$C347)/(365.35*24*3600)</f>
        <v>28.619228952471317</v>
      </c>
      <c r="J347" s="2">
        <f>('L-Values'!F347*'D(Ti_Cherniak) Times'!$F347*0.000001)^2/(4*'D(Ti_Cherniak) Times'!$C347)/(365.35*24*3600)</f>
        <v>19.966535191001174</v>
      </c>
      <c r="K347" s="2">
        <f>('L-Values'!G347*'D(Ti_Cherniak) Times'!$F347*0.000001)^2/(4*'D(Ti_Cherniak) Times'!$C347)/(365.35*24*3600)</f>
        <v>33.368346080989433</v>
      </c>
      <c r="L347" s="2">
        <f>('L-Values'!H347*'D(Ti_Cherniak) Times'!$F347*0.000001)^2/(4*'D(Ti_Cherniak) Times'!$C347)/(365.35*24*3600)</f>
        <v>19.832948707657483</v>
      </c>
      <c r="M347" s="2">
        <f>('L-Values'!I347*'D(Ti_Cherniak) Times'!$F347*0.000001)^2/(4*'D(Ti_Cherniak) Times'!$C347)/(365.35*24*3600)</f>
        <v>10.984883316283424</v>
      </c>
      <c r="N347" s="2">
        <f>('L-Values'!J347*'D(Ti_Cherniak) Times'!$F347*0.000001)^2/(4*'D(Ti_Cherniak) Times'!$C347)/(365.35*24*3600)</f>
        <v>7.9641008681059065</v>
      </c>
      <c r="O347" s="2">
        <f>('L-Values'!K347*'D(Ti_Cherniak) Times'!$F347*0.000001)^2/(4*'D(Ti_Cherniak) Times'!$C347)/(365.35*24*3600)</f>
        <v>15.490733033091685</v>
      </c>
      <c r="P347" s="2">
        <f>('L-Values'!L347*'D(Ti_Cherniak) Times'!$F347*0.000001)^2/(4*'D(Ti_Cherniak) Times'!$C347)/(365.35*24*3600)</f>
        <v>31.195595158066332</v>
      </c>
      <c r="Q347" s="2">
        <f>('L-Values'!M347*'D(Ti_Cherniak) Times'!$F347*0.000001)^2/(4*'D(Ti_Cherniak) Times'!$C347)/(365.35*24*3600)</f>
        <v>5.1519201419262375</v>
      </c>
      <c r="R347" s="2">
        <f>('L-Values'!N347*'D(Ti_Cherniak) Times'!$F347*0.000001)^2/(4*'D(Ti_Cherniak) Times'!$C347)/(365.35*24*3600)</f>
        <v>18.91228104117992</v>
      </c>
      <c r="S347" s="2">
        <f>('L-Values'!O347*'D(Ti_Cherniak) Times'!$F347*0.000001)^2/(4*'D(Ti_Cherniak) Times'!$C347)/(365.35*24*3600)</f>
        <v>13.51708581711266</v>
      </c>
      <c r="T347" s="2"/>
      <c r="U347" s="2">
        <f>('L-Values'!Q347*'D(Ti_Cherniak) Times'!$F347*0.000001)^2/(4*'D(Ti_Cherniak) Times'!$C347)/(365.35*24*3600)</f>
        <v>19.012855723653288</v>
      </c>
      <c r="V347" s="2">
        <f>('L-Values'!R347*'D(Ti_Cherniak) Times'!$F347*0.000001)^2/(4*'D(Ti_Cherniak) Times'!$C347)/(365.35*24*3600)</f>
        <v>17.488178918898594</v>
      </c>
      <c r="W347" s="2">
        <f>('L-Values'!S347*'D(Ti_Cherniak) Times'!$F347*0.000001)^2/(4*'D(Ti_Cherniak) Times'!$C347)/(365.35*24*3600)</f>
        <v>18.91228104117992</v>
      </c>
      <c r="X347" s="2"/>
      <c r="Y347" s="2">
        <f>('L-Values'!U347*'D(Ti_Cherniak) Times'!$F347*0.000001)^2/(4*'D(Ti_Cherniak) Times'!$C347)/(365.35*24*3600)</f>
        <v>17.134863468840088</v>
      </c>
      <c r="Z347" s="2">
        <f>('L-Values'!V347*'D(Ti_Cherniak) Times'!$F347*0.000001)^2/(4*'D(Ti_Cherniak) Times'!$C347)/(365.35*24*3600)</f>
        <v>19.085497857626311</v>
      </c>
      <c r="AA347" s="2">
        <f>('L-Values'!W347*'D(Ti_Cherniak) Times'!$F347*0.000001)^2/(4*'D(Ti_Cherniak) Times'!$C347)/(365.35*24*3600)</f>
        <v>0.19422873066699509</v>
      </c>
      <c r="AB347" s="2">
        <f>('L-Values'!X347*'D(Ti_Cherniak) Times'!$F347*0.000001)^2/(4*'D(Ti_Cherniak) Times'!$C347)/(365.35*24*3600)</f>
        <v>103.20412669165428</v>
      </c>
      <c r="AC347" s="2">
        <f t="shared" si="22"/>
        <v>18.891269126959315</v>
      </c>
      <c r="AD347" s="2">
        <f t="shared" si="23"/>
        <v>84.118628834027973</v>
      </c>
    </row>
    <row r="348" spans="1:30" x14ac:dyDescent="0.2">
      <c r="A348" t="str">
        <f>'L-Values'!A348</f>
        <v>CGI015-qtz12-CL-fit-1-offset</v>
      </c>
      <c r="B348">
        <v>750</v>
      </c>
      <c r="C348">
        <f t="shared" si="20"/>
        <v>8.0537892000481889E-22</v>
      </c>
      <c r="D348">
        <v>2300</v>
      </c>
      <c r="E348">
        <v>1024</v>
      </c>
      <c r="F348">
        <f t="shared" si="21"/>
        <v>2.24609375</v>
      </c>
      <c r="I348" s="2">
        <f>('L-Values'!E348*'D(Ti_Cherniak) Times'!$F348*0.000001)^2/(4*'D(Ti_Cherniak) Times'!$C348)/(365.35*24*3600)</f>
        <v>1391.0086055201771</v>
      </c>
      <c r="J348" s="2">
        <f>('L-Values'!F348*'D(Ti_Cherniak) Times'!$F348*0.000001)^2/(4*'D(Ti_Cherniak) Times'!$C348)/(365.35*24*3600)</f>
        <v>2200.9770783561084</v>
      </c>
      <c r="K348" s="2">
        <f>('L-Values'!G348*'D(Ti_Cherniak) Times'!$F348*0.000001)^2/(4*'D(Ti_Cherniak) Times'!$C348)/(365.35*24*3600)</f>
        <v>1217.0496699759699</v>
      </c>
      <c r="L348" s="2">
        <f>('L-Values'!H348*'D(Ti_Cherniak) Times'!$F348*0.000001)^2/(4*'D(Ti_Cherniak) Times'!$C348)/(365.35*24*3600)</f>
        <v>1862.5855697361878</v>
      </c>
      <c r="M348" s="2">
        <f>('L-Values'!I348*'D(Ti_Cherniak) Times'!$F348*0.000001)^2/(4*'D(Ti_Cherniak) Times'!$C348)/(365.35*24*3600)</f>
        <v>2063.1450598936462</v>
      </c>
      <c r="N348" s="2">
        <f>('L-Values'!J348*'D(Ti_Cherniak) Times'!$F348*0.000001)^2/(4*'D(Ti_Cherniak) Times'!$C348)/(365.35*24*3600)</f>
        <v>1320.5539516403437</v>
      </c>
      <c r="O348" s="2">
        <f>('L-Values'!K348*'D(Ti_Cherniak) Times'!$F348*0.000001)^2/(4*'D(Ti_Cherniak) Times'!$C348)/(365.35*24*3600)</f>
        <v>2216.0579859443842</v>
      </c>
      <c r="P348" s="2">
        <f>('L-Values'!L348*'D(Ti_Cherniak) Times'!$F348*0.000001)^2/(4*'D(Ti_Cherniak) Times'!$C348)/(365.35*24*3600)</f>
        <v>1404.9100826018141</v>
      </c>
      <c r="Q348" s="2">
        <f>('L-Values'!M348*'D(Ti_Cherniak) Times'!$F348*0.000001)^2/(4*'D(Ti_Cherniak) Times'!$C348)/(365.35*24*3600)</f>
        <v>1425.2534711209657</v>
      </c>
      <c r="R348" s="2">
        <f>('L-Values'!N348*'D(Ti_Cherniak) Times'!$F348*0.000001)^2/(4*'D(Ti_Cherniak) Times'!$C348)/(365.35*24*3600)</f>
        <v>1960.6640013052136</v>
      </c>
      <c r="S348" s="2">
        <f>('L-Values'!O348*'D(Ti_Cherniak) Times'!$F348*0.000001)^2/(4*'D(Ti_Cherniak) Times'!$C348)/(365.35*24*3600)</f>
        <v>1997.3576717434262</v>
      </c>
      <c r="T348" s="2"/>
      <c r="U348" s="2">
        <f>('L-Values'!Q348*'D(Ti_Cherniak) Times'!$F348*0.000001)^2/(4*'D(Ti_Cherniak) Times'!$C348)/(365.35*24*3600)</f>
        <v>1694.9287706721768</v>
      </c>
      <c r="V348" s="2">
        <f>('L-Values'!R348*'D(Ti_Cherniak) Times'!$F348*0.000001)^2/(4*'D(Ti_Cherniak) Times'!$C348)/(365.35*24*3600)</f>
        <v>1713.1838986596633</v>
      </c>
      <c r="W348" s="2">
        <f>('L-Values'!S348*'D(Ti_Cherniak) Times'!$F348*0.000001)^2/(4*'D(Ti_Cherniak) Times'!$C348)/(365.35*24*3600)</f>
        <v>1862.5855697361878</v>
      </c>
      <c r="X348" s="2"/>
      <c r="Y348" s="2">
        <f>('L-Values'!U348*'D(Ti_Cherniak) Times'!$F348*0.000001)^2/(4*'D(Ti_Cherniak) Times'!$C348)/(365.35*24*3600)</f>
        <v>1700.3512698927229</v>
      </c>
      <c r="Z348" s="2">
        <f>('L-Values'!V348*'D(Ti_Cherniak) Times'!$F348*0.000001)^2/(4*'D(Ti_Cherniak) Times'!$C348)/(365.35*24*3600)</f>
        <v>1705.4504948488798</v>
      </c>
      <c r="AA348" s="2">
        <f>('L-Values'!W348*'D(Ti_Cherniak) Times'!$F348*0.000001)^2/(4*'D(Ti_Cherniak) Times'!$C348)/(365.35*24*3600)</f>
        <v>1012.4675523557148</v>
      </c>
      <c r="AB348" s="2">
        <f>('L-Values'!X348*'D(Ti_Cherniak) Times'!$F348*0.000001)^2/(4*'D(Ti_Cherniak) Times'!$C348)/(365.35*24*3600)</f>
        <v>2558.3331081489418</v>
      </c>
      <c r="AC348" s="2">
        <f t="shared" si="22"/>
        <v>692.98294249316496</v>
      </c>
      <c r="AD348" s="2">
        <f t="shared" si="23"/>
        <v>852.88261330006208</v>
      </c>
    </row>
    <row r="349" spans="1:30" x14ac:dyDescent="0.2">
      <c r="A349" t="str">
        <f>'L-Values'!A349</f>
        <v>CGI015-qtz12-CL-fit-2-offset</v>
      </c>
      <c r="B349">
        <v>750</v>
      </c>
      <c r="C349">
        <f t="shared" si="20"/>
        <v>8.0537892000481889E-22</v>
      </c>
      <c r="D349">
        <v>2300</v>
      </c>
      <c r="E349">
        <v>1024</v>
      </c>
      <c r="F349">
        <f t="shared" si="21"/>
        <v>2.24609375</v>
      </c>
      <c r="I349" s="2">
        <f>('L-Values'!E349*'D(Ti_Cherniak) Times'!$F349*0.000001)^2/(4*'D(Ti_Cherniak) Times'!$C349)/(365.35*24*3600)</f>
        <v>820.46574748010369</v>
      </c>
      <c r="J349" s="2">
        <f>('L-Values'!F349*'D(Ti_Cherniak) Times'!$F349*0.000001)^2/(4*'D(Ti_Cherniak) Times'!$C349)/(365.35*24*3600)</f>
        <v>255.35978302585397</v>
      </c>
      <c r="K349" s="2">
        <f>('L-Values'!G349*'D(Ti_Cherniak) Times'!$F349*0.000001)^2/(4*'D(Ti_Cherniak) Times'!$C349)/(365.35*24*3600)</f>
        <v>1.4464368762392399</v>
      </c>
      <c r="L349" s="2">
        <f>('L-Values'!H349*'D(Ti_Cherniak) Times'!$F349*0.000001)^2/(4*'D(Ti_Cherniak) Times'!$C349)/(365.35*24*3600)</f>
        <v>2.6080473832271429</v>
      </c>
      <c r="M349" s="2">
        <f>('L-Values'!I349*'D(Ti_Cherniak) Times'!$F349*0.000001)^2/(4*'D(Ti_Cherniak) Times'!$C349)/(365.35*24*3600)</f>
        <v>22.375863478719872</v>
      </c>
      <c r="N349" s="2">
        <f>('L-Values'!J349*'D(Ti_Cherniak) Times'!$F349*0.000001)^2/(4*'D(Ti_Cherniak) Times'!$C349)/(365.35*24*3600)</f>
        <v>178.37090124466138</v>
      </c>
      <c r="O349" s="2">
        <f>('L-Values'!K349*'D(Ti_Cherniak) Times'!$F349*0.000001)^2/(4*'D(Ti_Cherniak) Times'!$C349)/(365.35*24*3600)</f>
        <v>1496.0705793961642</v>
      </c>
      <c r="P349" s="2">
        <f>('L-Values'!L349*'D(Ti_Cherniak) Times'!$F349*0.000001)^2/(4*'D(Ti_Cherniak) Times'!$C349)/(365.35*24*3600)</f>
        <v>11.793323887331489</v>
      </c>
      <c r="Q349" s="2">
        <f>('L-Values'!M349*'D(Ti_Cherniak) Times'!$F349*0.000001)^2/(4*'D(Ti_Cherniak) Times'!$C349)/(365.35*24*3600)</f>
        <v>1016.069831795505</v>
      </c>
      <c r="R349" s="2">
        <f>('L-Values'!N349*'D(Ti_Cherniak) Times'!$F349*0.000001)^2/(4*'D(Ti_Cherniak) Times'!$C349)/(365.35*24*3600)</f>
        <v>9.7339550686725804</v>
      </c>
      <c r="S349" s="2">
        <f>('L-Values'!O349*'D(Ti_Cherniak) Times'!$F349*0.000001)^2/(4*'D(Ti_Cherniak) Times'!$C349)/(365.35*24*3600)</f>
        <v>1214.5708534893226</v>
      </c>
      <c r="T349" s="2"/>
      <c r="U349" s="2">
        <f>('L-Values'!Q349*'D(Ti_Cherniak) Times'!$F349*0.000001)^2/(4*'D(Ti_Cherniak) Times'!$C349)/(365.35*24*3600)</f>
        <v>400.73392672207348</v>
      </c>
      <c r="V349" s="2">
        <f>('L-Values'!R349*'D(Ti_Cherniak) Times'!$F349*0.000001)^2/(4*'D(Ti_Cherniak) Times'!$C349)/(365.35*24*3600)</f>
        <v>260.34389708323727</v>
      </c>
      <c r="W349" s="2">
        <f>('L-Values'!S349*'D(Ti_Cherniak) Times'!$F349*0.000001)^2/(4*'D(Ti_Cherniak) Times'!$C349)/(365.35*24*3600)</f>
        <v>178.37090124466138</v>
      </c>
      <c r="X349" s="2"/>
      <c r="Y349" s="2">
        <f>('L-Values'!U349*'D(Ti_Cherniak) Times'!$F349*0.000001)^2/(4*'D(Ti_Cherniak) Times'!$C349)/(365.35*24*3600)</f>
        <v>289.9965088998058</v>
      </c>
      <c r="Z349" s="2">
        <f>('L-Values'!V349*'D(Ti_Cherniak) Times'!$F349*0.000001)^2/(4*'D(Ti_Cherniak) Times'!$C349)/(365.35*24*3600)</f>
        <v>372.3247546563673</v>
      </c>
      <c r="AA349" s="2">
        <f>('L-Values'!W349*'D(Ti_Cherniak) Times'!$F349*0.000001)^2/(4*'D(Ti_Cherniak) Times'!$C349)/(365.35*24*3600)</f>
        <v>0.21016496728319958</v>
      </c>
      <c r="AB349" s="2">
        <f>('L-Values'!X349*'D(Ti_Cherniak) Times'!$F349*0.000001)^2/(4*'D(Ti_Cherniak) Times'!$C349)/(365.35*24*3600)</f>
        <v>2489.7751586645954</v>
      </c>
      <c r="AC349" s="2">
        <f t="shared" si="22"/>
        <v>372.11458968908408</v>
      </c>
      <c r="AD349" s="2">
        <f t="shared" si="23"/>
        <v>2117.4504040082284</v>
      </c>
    </row>
    <row r="350" spans="1:30" x14ac:dyDescent="0.2">
      <c r="A350" t="str">
        <f>'L-Values'!A350</f>
        <v>CGI015-qtz12-CL-fit-3-offset</v>
      </c>
      <c r="B350">
        <v>750</v>
      </c>
      <c r="C350">
        <f t="shared" si="20"/>
        <v>8.0537892000481889E-22</v>
      </c>
      <c r="D350">
        <v>2300</v>
      </c>
      <c r="E350">
        <v>1024</v>
      </c>
      <c r="F350">
        <f t="shared" si="21"/>
        <v>2.24609375</v>
      </c>
      <c r="I350" s="2">
        <f>('L-Values'!E350*'D(Ti_Cherniak) Times'!$F350*0.000001)^2/(4*'D(Ti_Cherniak) Times'!$C350)/(365.35*24*3600)</f>
        <v>1011.2008084391995</v>
      </c>
      <c r="J350" s="2">
        <f>('L-Values'!F350*'D(Ti_Cherniak) Times'!$F350*0.000001)^2/(4*'D(Ti_Cherniak) Times'!$C350)/(365.35*24*3600)</f>
        <v>73.979654303540158</v>
      </c>
      <c r="K350" s="2">
        <f>('L-Values'!G350*'D(Ti_Cherniak) Times'!$F350*0.000001)^2/(4*'D(Ti_Cherniak) Times'!$C350)/(365.35*24*3600)</f>
        <v>199.65645957822144</v>
      </c>
      <c r="L350" s="2">
        <f>('L-Values'!H350*'D(Ti_Cherniak) Times'!$F350*0.000001)^2/(4*'D(Ti_Cherniak) Times'!$C350)/(365.35*24*3600)</f>
        <v>267.69037837830189</v>
      </c>
      <c r="M350" s="2">
        <f>('L-Values'!I350*'D(Ti_Cherniak) Times'!$F350*0.000001)^2/(4*'D(Ti_Cherniak) Times'!$C350)/(365.35*24*3600)</f>
        <v>512.04027087870634</v>
      </c>
      <c r="N350" s="2">
        <f>('L-Values'!J350*'D(Ti_Cherniak) Times'!$F350*0.000001)^2/(4*'D(Ti_Cherniak) Times'!$C350)/(365.35*24*3600)</f>
        <v>309.85323478696694</v>
      </c>
      <c r="O350" s="2">
        <f>('L-Values'!K350*'D(Ti_Cherniak) Times'!$F350*0.000001)^2/(4*'D(Ti_Cherniak) Times'!$C350)/(365.35*24*3600)</f>
        <v>737.83336810033722</v>
      </c>
      <c r="P350" s="2">
        <f>('L-Values'!L350*'D(Ti_Cherniak) Times'!$F350*0.000001)^2/(4*'D(Ti_Cherniak) Times'!$C350)/(365.35*24*3600)</f>
        <v>636.89733121151062</v>
      </c>
      <c r="Q350" s="2">
        <f>('L-Values'!M350*'D(Ti_Cherniak) Times'!$F350*0.000001)^2/(4*'D(Ti_Cherniak) Times'!$C350)/(365.35*24*3600)</f>
        <v>606.24478627770225</v>
      </c>
      <c r="R350" s="2">
        <f>('L-Values'!N350*'D(Ti_Cherniak) Times'!$F350*0.000001)^2/(4*'D(Ti_Cherniak) Times'!$C350)/(365.35*24*3600)</f>
        <v>298.13378533303285</v>
      </c>
      <c r="S350" s="2">
        <f>('L-Values'!O350*'D(Ti_Cherniak) Times'!$F350*0.000001)^2/(4*'D(Ti_Cherniak) Times'!$C350)/(365.35*24*3600)</f>
        <v>678.63574169768799</v>
      </c>
      <c r="T350" s="2"/>
      <c r="U350" s="2">
        <f>('L-Values'!Q350*'D(Ti_Cherniak) Times'!$F350*0.000001)^2/(4*'D(Ti_Cherniak) Times'!$C350)/(365.35*24*3600)</f>
        <v>459.94677749956628</v>
      </c>
      <c r="V350" s="2">
        <f>('L-Values'!R350*'D(Ti_Cherniak) Times'!$F350*0.000001)^2/(4*'D(Ti_Cherniak) Times'!$C350)/(365.35*24*3600)</f>
        <v>442.76520299304758</v>
      </c>
      <c r="W350" s="2">
        <f>('L-Values'!S350*'D(Ti_Cherniak) Times'!$F350*0.000001)^2/(4*'D(Ti_Cherniak) Times'!$C350)/(365.35*24*3600)</f>
        <v>512.04027087870634</v>
      </c>
      <c r="X350" s="2"/>
      <c r="Y350" s="2">
        <f>('L-Values'!U350*'D(Ti_Cherniak) Times'!$F350*0.000001)^2/(4*'D(Ti_Cherniak) Times'!$C350)/(365.35*24*3600)</f>
        <v>459.75006021755081</v>
      </c>
      <c r="Z350" s="2">
        <f>('L-Values'!V350*'D(Ti_Cherniak) Times'!$F350*0.000001)^2/(4*'D(Ti_Cherniak) Times'!$C350)/(365.35*24*3600)</f>
        <v>447.38701102126066</v>
      </c>
      <c r="AA350" s="2">
        <f>('L-Values'!W350*'D(Ti_Cherniak) Times'!$F350*0.000001)^2/(4*'D(Ti_Cherniak) Times'!$C350)/(365.35*24*3600)</f>
        <v>115.19686987503088</v>
      </c>
      <c r="AB350" s="2">
        <f>('L-Values'!X350*'D(Ti_Cherniak) Times'!$F350*0.000001)^2/(4*'D(Ti_Cherniak) Times'!$C350)/(365.35*24*3600)</f>
        <v>1020.7103049030893</v>
      </c>
      <c r="AC350" s="2">
        <f t="shared" si="22"/>
        <v>332.19014114622979</v>
      </c>
      <c r="AD350" s="2">
        <f t="shared" si="23"/>
        <v>573.3232938818287</v>
      </c>
    </row>
    <row r="351" spans="1:30" x14ac:dyDescent="0.2">
      <c r="A351" t="str">
        <f>'L-Values'!A351</f>
        <v>CGI015-qtz12-CL-fit-4-offset</v>
      </c>
      <c r="B351">
        <v>750</v>
      </c>
      <c r="C351">
        <f t="shared" si="20"/>
        <v>8.0537892000481889E-22</v>
      </c>
      <c r="D351">
        <v>2300</v>
      </c>
      <c r="E351">
        <v>1024</v>
      </c>
      <c r="F351">
        <f t="shared" si="21"/>
        <v>2.24609375</v>
      </c>
      <c r="I351" s="2">
        <f>('L-Values'!E351*'D(Ti_Cherniak) Times'!$F351*0.000001)^2/(4*'D(Ti_Cherniak) Times'!$C351)/(365.35*24*3600)</f>
        <v>71.131346427156473</v>
      </c>
      <c r="J351" s="2">
        <f>('L-Values'!F351*'D(Ti_Cherniak) Times'!$F351*0.000001)^2/(4*'D(Ti_Cherniak) Times'!$C351)/(365.35*24*3600)</f>
        <v>68.272502274643998</v>
      </c>
      <c r="K351" s="2">
        <f>('L-Values'!G351*'D(Ti_Cherniak) Times'!$F351*0.000001)^2/(4*'D(Ti_Cherniak) Times'!$C351)/(365.35*24*3600)</f>
        <v>63.650402232994118</v>
      </c>
      <c r="L351" s="2">
        <f>('L-Values'!H351*'D(Ti_Cherniak) Times'!$F351*0.000001)^2/(4*'D(Ti_Cherniak) Times'!$C351)/(365.35*24*3600)</f>
        <v>68.412494130561427</v>
      </c>
      <c r="M351" s="2">
        <f>('L-Values'!I351*'D(Ti_Cherniak) Times'!$F351*0.000001)^2/(4*'D(Ti_Cherniak) Times'!$C351)/(365.35*24*3600)</f>
        <v>54.931139177971744</v>
      </c>
      <c r="N351" s="2">
        <f>('L-Values'!J351*'D(Ti_Cherniak) Times'!$F351*0.000001)^2/(4*'D(Ti_Cherniak) Times'!$C351)/(365.35*24*3600)</f>
        <v>79.617553040689131</v>
      </c>
      <c r="O351" s="2">
        <f>('L-Values'!K351*'D(Ti_Cherniak) Times'!$F351*0.000001)^2/(4*'D(Ti_Cherniak) Times'!$C351)/(365.35*24*3600)</f>
        <v>55.383118227043774</v>
      </c>
      <c r="P351" s="2">
        <f>('L-Values'!L351*'D(Ti_Cherniak) Times'!$F351*0.000001)^2/(4*'D(Ti_Cherniak) Times'!$C351)/(365.35*24*3600)</f>
        <v>72.086521960320781</v>
      </c>
      <c r="Q351" s="2">
        <f>('L-Values'!M351*'D(Ti_Cherniak) Times'!$F351*0.000001)^2/(4*'D(Ti_Cherniak) Times'!$C351)/(365.35*24*3600)</f>
        <v>64.15533552947781</v>
      </c>
      <c r="R351" s="2">
        <f>('L-Values'!N351*'D(Ti_Cherniak) Times'!$F351*0.000001)^2/(4*'D(Ti_Cherniak) Times'!$C351)/(365.35*24*3600)</f>
        <v>90.6164551328052</v>
      </c>
      <c r="S351" s="2">
        <f>('L-Values'!O351*'D(Ti_Cherniak) Times'!$F351*0.000001)^2/(4*'D(Ti_Cherniak) Times'!$C351)/(365.35*24*3600)</f>
        <v>63.45283539476835</v>
      </c>
      <c r="T351" s="2"/>
      <c r="U351" s="2">
        <f>('L-Values'!Q351*'D(Ti_Cherniak) Times'!$F351*0.000001)^2/(4*'D(Ti_Cherniak) Times'!$C351)/(365.35*24*3600)</f>
        <v>72.729946596488361</v>
      </c>
      <c r="V351" s="2">
        <f>('L-Values'!R351*'D(Ti_Cherniak) Times'!$F351*0.000001)^2/(4*'D(Ti_Cherniak) Times'!$C351)/(365.35*24*3600)</f>
        <v>67.998681706791047</v>
      </c>
      <c r="W351" s="2">
        <f>('L-Values'!S351*'D(Ti_Cherniak) Times'!$F351*0.000001)^2/(4*'D(Ti_Cherniak) Times'!$C351)/(365.35*24*3600)</f>
        <v>68.272502274643998</v>
      </c>
      <c r="X351" s="2"/>
      <c r="Y351" s="2">
        <f>('L-Values'!U351*'D(Ti_Cherniak) Times'!$F351*0.000001)^2/(4*'D(Ti_Cherniak) Times'!$C351)/(365.35*24*3600)</f>
        <v>60.613785717272862</v>
      </c>
      <c r="Z351" s="2">
        <f>('L-Values'!V351*'D(Ti_Cherniak) Times'!$F351*0.000001)^2/(4*'D(Ti_Cherniak) Times'!$C351)/(365.35*24*3600)</f>
        <v>56.520457705949738</v>
      </c>
      <c r="AA351" s="2">
        <f>('L-Values'!W351*'D(Ti_Cherniak) Times'!$F351*0.000001)^2/(4*'D(Ti_Cherniak) Times'!$C351)/(365.35*24*3600)</f>
        <v>2.7605906367795958</v>
      </c>
      <c r="AB351" s="2">
        <f>('L-Values'!X351*'D(Ti_Cherniak) Times'!$F351*0.000001)^2/(4*'D(Ti_Cherniak) Times'!$C351)/(365.35*24*3600)</f>
        <v>146.09670442769402</v>
      </c>
      <c r="AC351" s="2">
        <f t="shared" si="22"/>
        <v>53.759867069170141</v>
      </c>
      <c r="AD351" s="2">
        <f t="shared" si="23"/>
        <v>89.576246721744283</v>
      </c>
    </row>
    <row r="352" spans="1:30" x14ac:dyDescent="0.2">
      <c r="A352" t="str">
        <f>'L-Values'!A352</f>
        <v>CGI015-qtz12-CL-fit-5-offset</v>
      </c>
      <c r="B352">
        <v>750</v>
      </c>
      <c r="C352">
        <f t="shared" si="20"/>
        <v>8.0537892000481889E-22</v>
      </c>
      <c r="D352">
        <v>2300</v>
      </c>
      <c r="E352">
        <v>1024</v>
      </c>
      <c r="F352">
        <f t="shared" si="21"/>
        <v>2.24609375</v>
      </c>
      <c r="I352" s="2">
        <f>('L-Values'!E352*'D(Ti_Cherniak) Times'!$F352*0.000001)^2/(4*'D(Ti_Cherniak) Times'!$C352)/(365.35*24*3600)</f>
        <v>127.02252923533412</v>
      </c>
      <c r="J352" s="2">
        <f>('L-Values'!F352*'D(Ti_Cherniak) Times'!$F352*0.000001)^2/(4*'D(Ti_Cherniak) Times'!$C352)/(365.35*24*3600)</f>
        <v>105.0870815543164</v>
      </c>
      <c r="K352" s="2">
        <f>('L-Values'!G352*'D(Ti_Cherniak) Times'!$F352*0.000001)^2/(4*'D(Ti_Cherniak) Times'!$C352)/(365.35*24*3600)</f>
        <v>101.86332428022396</v>
      </c>
      <c r="L352" s="2">
        <f>('L-Values'!H352*'D(Ti_Cherniak) Times'!$F352*0.000001)^2/(4*'D(Ti_Cherniak) Times'!$C352)/(365.35*24*3600)</f>
        <v>131.51180107690612</v>
      </c>
      <c r="M352" s="2">
        <f>('L-Values'!I352*'D(Ti_Cherniak) Times'!$F352*0.000001)^2/(4*'D(Ti_Cherniak) Times'!$C352)/(365.35*24*3600)</f>
        <v>187.85208256157441</v>
      </c>
      <c r="N352" s="2">
        <f>('L-Values'!J352*'D(Ti_Cherniak) Times'!$F352*0.000001)^2/(4*'D(Ti_Cherniak) Times'!$C352)/(365.35*24*3600)</f>
        <v>247.66459162226721</v>
      </c>
      <c r="O352" s="2">
        <f>('L-Values'!K352*'D(Ti_Cherniak) Times'!$F352*0.000001)^2/(4*'D(Ti_Cherniak) Times'!$C352)/(365.35*24*3600)</f>
        <v>141.38067951764359</v>
      </c>
      <c r="P352" s="2">
        <f>('L-Values'!L352*'D(Ti_Cherniak) Times'!$F352*0.000001)^2/(4*'D(Ti_Cherniak) Times'!$C352)/(365.35*24*3600)</f>
        <v>21.619037770689115</v>
      </c>
      <c r="Q352" s="2">
        <f>('L-Values'!M352*'D(Ti_Cherniak) Times'!$F352*0.000001)^2/(4*'D(Ti_Cherniak) Times'!$C352)/(365.35*24*3600)</f>
        <v>92.518589521077828</v>
      </c>
      <c r="R352" s="2">
        <f>('L-Values'!N352*'D(Ti_Cherniak) Times'!$F352*0.000001)^2/(4*'D(Ti_Cherniak) Times'!$C352)/(365.35*24*3600)</f>
        <v>165.03026888025022</v>
      </c>
      <c r="S352" s="2">
        <f>('L-Values'!O352*'D(Ti_Cherniak) Times'!$F352*0.000001)^2/(4*'D(Ti_Cherniak) Times'!$C352)/(365.35*24*3600)</f>
        <v>183.23222042778596</v>
      </c>
      <c r="T352" s="2"/>
      <c r="U352" s="2">
        <f>('L-Values'!Q352*'D(Ti_Cherniak) Times'!$F352*0.000001)^2/(4*'D(Ti_Cherniak) Times'!$C352)/(365.35*24*3600)</f>
        <v>151.57343938860512</v>
      </c>
      <c r="V352" s="2">
        <f>('L-Values'!R352*'D(Ti_Cherniak) Times'!$F352*0.000001)^2/(4*'D(Ti_Cherniak) Times'!$C352)/(365.35*24*3600)</f>
        <v>129.27046314476877</v>
      </c>
      <c r="W352" s="2">
        <f>('L-Values'!S352*'D(Ti_Cherniak) Times'!$F352*0.000001)^2/(4*'D(Ti_Cherniak) Times'!$C352)/(365.35*24*3600)</f>
        <v>131.51180107690612</v>
      </c>
      <c r="X352" s="2"/>
      <c r="Y352" s="2">
        <f>('L-Values'!U352*'D(Ti_Cherniak) Times'!$F352*0.000001)^2/(4*'D(Ti_Cherniak) Times'!$C352)/(365.35*24*3600)</f>
        <v>133.10771424920085</v>
      </c>
      <c r="Z352" s="2">
        <f>('L-Values'!V352*'D(Ti_Cherniak) Times'!$F352*0.000001)^2/(4*'D(Ti_Cherniak) Times'!$C352)/(365.35*24*3600)</f>
        <v>135.78607797587108</v>
      </c>
      <c r="AA352" s="2">
        <f>('L-Values'!W352*'D(Ti_Cherniak) Times'!$F352*0.000001)^2/(4*'D(Ti_Cherniak) Times'!$C352)/(365.35*24*3600)</f>
        <v>3.5088091418724168</v>
      </c>
      <c r="AB352" s="2">
        <f>('L-Values'!X352*'D(Ti_Cherniak) Times'!$F352*0.000001)^2/(4*'D(Ti_Cherniak) Times'!$C352)/(365.35*24*3600)</f>
        <v>391.5237210616063</v>
      </c>
      <c r="AC352" s="2">
        <f t="shared" si="22"/>
        <v>132.27726883399868</v>
      </c>
      <c r="AD352" s="2">
        <f t="shared" si="23"/>
        <v>255.73764308573521</v>
      </c>
    </row>
    <row r="353" spans="1:30" x14ac:dyDescent="0.2">
      <c r="A353" t="str">
        <f>'L-Values'!A353</f>
        <v>CGI018-qtz01-CL-fit-1-offset</v>
      </c>
      <c r="B353">
        <v>750</v>
      </c>
      <c r="C353">
        <f t="shared" si="20"/>
        <v>8.0537892000481889E-22</v>
      </c>
      <c r="D353">
        <v>1700</v>
      </c>
      <c r="E353">
        <v>1024</v>
      </c>
      <c r="F353">
        <f t="shared" si="21"/>
        <v>1.66015625</v>
      </c>
      <c r="I353" s="2">
        <f>('L-Values'!E353*'D(Ti_Cherniak) Times'!$F353*0.000001)^2/(4*'D(Ti_Cherniak) Times'!$C353)/(365.35*24*3600)</f>
        <v>2887.2378287643833</v>
      </c>
      <c r="J353" s="2">
        <f>('L-Values'!F353*'D(Ti_Cherniak) Times'!$F353*0.000001)^2/(4*'D(Ti_Cherniak) Times'!$C353)/(365.35*24*3600)</f>
        <v>3695.8134785885386</v>
      </c>
      <c r="K353" s="2">
        <f>('L-Values'!G353*'D(Ti_Cherniak) Times'!$F353*0.000001)^2/(4*'D(Ti_Cherniak) Times'!$C353)/(365.35*24*3600)</f>
        <v>3321.02333361518</v>
      </c>
      <c r="L353" s="2">
        <f>('L-Values'!H353*'D(Ti_Cherniak) Times'!$F353*0.000001)^2/(4*'D(Ti_Cherniak) Times'!$C353)/(365.35*24*3600)</f>
        <v>2512.1156243603232</v>
      </c>
      <c r="M353" s="2">
        <f>('L-Values'!I353*'D(Ti_Cherniak) Times'!$F353*0.000001)^2/(4*'D(Ti_Cherniak) Times'!$C353)/(365.35*24*3600)</f>
        <v>3513.4154425544907</v>
      </c>
      <c r="N353" s="2">
        <f>('L-Values'!J353*'D(Ti_Cherniak) Times'!$F353*0.000001)^2/(4*'D(Ti_Cherniak) Times'!$C353)/(365.35*24*3600)</f>
        <v>2242.4378885417095</v>
      </c>
      <c r="O353" s="2">
        <f>('L-Values'!K353*'D(Ti_Cherniak) Times'!$F353*0.000001)^2/(4*'D(Ti_Cherniak) Times'!$C353)/(365.35*24*3600)</f>
        <v>3496.3005987390634</v>
      </c>
      <c r="P353" s="2">
        <f>('L-Values'!L353*'D(Ti_Cherniak) Times'!$F353*0.000001)^2/(4*'D(Ti_Cherniak) Times'!$C353)/(365.35*24*3600)</f>
        <v>2390.5847629175237</v>
      </c>
      <c r="Q353" s="2">
        <f>('L-Values'!M353*'D(Ti_Cherniak) Times'!$F353*0.000001)^2/(4*'D(Ti_Cherniak) Times'!$C353)/(365.35*24*3600)</f>
        <v>2349.1060848243028</v>
      </c>
      <c r="R353" s="2">
        <f>('L-Values'!N353*'D(Ti_Cherniak) Times'!$F353*0.000001)^2/(4*'D(Ti_Cherniak) Times'!$C353)/(365.35*24*3600)</f>
        <v>2075.9964398811767</v>
      </c>
      <c r="S353" s="2">
        <f>('L-Values'!O353*'D(Ti_Cherniak) Times'!$F353*0.000001)^2/(4*'D(Ti_Cherniak) Times'!$C353)/(365.35*24*3600)</f>
        <v>3339.2545842329464</v>
      </c>
      <c r="T353" s="2"/>
      <c r="U353" s="2">
        <f>('L-Values'!Q353*'D(Ti_Cherniak) Times'!$F353*0.000001)^2/(4*'D(Ti_Cherniak) Times'!$C353)/(365.35*24*3600)</f>
        <v>2856.691886043237</v>
      </c>
      <c r="V353" s="2">
        <f>('L-Values'!R353*'D(Ti_Cherniak) Times'!$F353*0.000001)^2/(4*'D(Ti_Cherniak) Times'!$C353)/(365.35*24*3600)</f>
        <v>2864.625008426774</v>
      </c>
      <c r="W353" s="2">
        <f>('L-Values'!S353*'D(Ti_Cherniak) Times'!$F353*0.000001)^2/(4*'D(Ti_Cherniak) Times'!$C353)/(365.35*24*3600)</f>
        <v>2887.2378287643833</v>
      </c>
      <c r="X353" s="2"/>
      <c r="Y353" s="2">
        <f>('L-Values'!U353*'D(Ti_Cherniak) Times'!$F353*0.000001)^2/(4*'D(Ti_Cherniak) Times'!$C353)/(365.35*24*3600)</f>
        <v>2791.8000742214313</v>
      </c>
      <c r="Z353" s="2">
        <f>('L-Values'!V353*'D(Ti_Cherniak) Times'!$F353*0.000001)^2/(4*'D(Ti_Cherniak) Times'!$C353)/(365.35*24*3600)</f>
        <v>2868.2283424839989</v>
      </c>
      <c r="AA353" s="2">
        <f>('L-Values'!W353*'D(Ti_Cherniak) Times'!$F353*0.000001)^2/(4*'D(Ti_Cherniak) Times'!$C353)/(365.35*24*3600)</f>
        <v>1803.5105180642959</v>
      </c>
      <c r="AB353" s="2">
        <f>('L-Values'!X353*'D(Ti_Cherniak) Times'!$F353*0.000001)^2/(4*'D(Ti_Cherniak) Times'!$C353)/(365.35*24*3600)</f>
        <v>4411.3509641274513</v>
      </c>
      <c r="AC353" s="2">
        <f t="shared" si="22"/>
        <v>1064.717824419703</v>
      </c>
      <c r="AD353" s="2">
        <f t="shared" si="23"/>
        <v>1543.1226216434525</v>
      </c>
    </row>
    <row r="354" spans="1:30" x14ac:dyDescent="0.2">
      <c r="A354" t="str">
        <f>'L-Values'!A354</f>
        <v>CGI018-qtz01-CL-fit-2-offset</v>
      </c>
      <c r="B354">
        <v>750</v>
      </c>
      <c r="C354">
        <f t="shared" si="20"/>
        <v>8.0537892000481889E-22</v>
      </c>
      <c r="D354">
        <v>1700</v>
      </c>
      <c r="E354">
        <v>1024</v>
      </c>
      <c r="F354">
        <f t="shared" si="21"/>
        <v>1.66015625</v>
      </c>
      <c r="I354" s="2">
        <f>('L-Values'!E354*'D(Ti_Cherniak) Times'!$F354*0.000001)^2/(4*'D(Ti_Cherniak) Times'!$C354)/(365.35*24*3600)</f>
        <v>773.39317760177209</v>
      </c>
      <c r="J354" s="2">
        <f>('L-Values'!F354*'D(Ti_Cherniak) Times'!$F354*0.000001)^2/(4*'D(Ti_Cherniak) Times'!$C354)/(365.35*24*3600)</f>
        <v>660.85373360123504</v>
      </c>
      <c r="K354" s="2">
        <f>('L-Values'!G354*'D(Ti_Cherniak) Times'!$F354*0.000001)^2/(4*'D(Ti_Cherniak) Times'!$C354)/(365.35*24*3600)</f>
        <v>1129.2103711764419</v>
      </c>
      <c r="L354" s="2">
        <f>('L-Values'!H354*'D(Ti_Cherniak) Times'!$F354*0.000001)^2/(4*'D(Ti_Cherniak) Times'!$C354)/(365.35*24*3600)</f>
        <v>774.74131457531871</v>
      </c>
      <c r="M354" s="2">
        <f>('L-Values'!I354*'D(Ti_Cherniak) Times'!$F354*0.000001)^2/(4*'D(Ti_Cherniak) Times'!$C354)/(365.35*24*3600)</f>
        <v>934.15540536641811</v>
      </c>
      <c r="N354" s="2">
        <f>('L-Values'!J354*'D(Ti_Cherniak) Times'!$F354*0.000001)^2/(4*'D(Ti_Cherniak) Times'!$C354)/(365.35*24*3600)</f>
        <v>1532.2686752341322</v>
      </c>
      <c r="O354" s="2">
        <f>('L-Values'!K354*'D(Ti_Cherniak) Times'!$F354*0.000001)^2/(4*'D(Ti_Cherniak) Times'!$C354)/(365.35*24*3600)</f>
        <v>1360.5914260668928</v>
      </c>
      <c r="P354" s="2">
        <f>('L-Values'!L354*'D(Ti_Cherniak) Times'!$F354*0.000001)^2/(4*'D(Ti_Cherniak) Times'!$C354)/(365.35*24*3600)</f>
        <v>828.60378312902276</v>
      </c>
      <c r="Q354" s="2">
        <f>('L-Values'!M354*'D(Ti_Cherniak) Times'!$F354*0.000001)^2/(4*'D(Ti_Cherniak) Times'!$C354)/(365.35*24*3600)</f>
        <v>597.01142453509362</v>
      </c>
      <c r="R354" s="2">
        <f>('L-Values'!N354*'D(Ti_Cherniak) Times'!$F354*0.000001)^2/(4*'D(Ti_Cherniak) Times'!$C354)/(365.35*24*3600)</f>
        <v>1243.9491796006703</v>
      </c>
      <c r="S354" s="2">
        <f>('L-Values'!O354*'D(Ti_Cherniak) Times'!$F354*0.000001)^2/(4*'D(Ti_Cherniak) Times'!$C354)/(365.35*24*3600)</f>
        <v>553.25148171333308</v>
      </c>
      <c r="T354" s="2"/>
      <c r="U354" s="2">
        <f>('L-Values'!Q354*'D(Ti_Cherniak) Times'!$F354*0.000001)^2/(4*'D(Ti_Cherniak) Times'!$C354)/(365.35*24*3600)</f>
        <v>906.92514288452264</v>
      </c>
      <c r="V354" s="2">
        <f>('L-Values'!R354*'D(Ti_Cherniak) Times'!$F354*0.000001)^2/(4*'D(Ti_Cherniak) Times'!$C354)/(365.35*24*3600)</f>
        <v>919.52037053940626</v>
      </c>
      <c r="W354" s="2">
        <f>('L-Values'!S354*'D(Ti_Cherniak) Times'!$F354*0.000001)^2/(4*'D(Ti_Cherniak) Times'!$C354)/(365.35*24*3600)</f>
        <v>828.60378312902276</v>
      </c>
      <c r="X354" s="2"/>
      <c r="Y354" s="2">
        <f>('L-Values'!U354*'D(Ti_Cherniak) Times'!$F354*0.000001)^2/(4*'D(Ti_Cherniak) Times'!$C354)/(365.35*24*3600)</f>
        <v>908.59121929469495</v>
      </c>
      <c r="Z354" s="2">
        <f>('L-Values'!V354*'D(Ti_Cherniak) Times'!$F354*0.000001)^2/(4*'D(Ti_Cherniak) Times'!$C354)/(365.35*24*3600)</f>
        <v>905.03398288675714</v>
      </c>
      <c r="AA354" s="2">
        <f>('L-Values'!W354*'D(Ti_Cherniak) Times'!$F354*0.000001)^2/(4*'D(Ti_Cherniak) Times'!$C354)/(365.35*24*3600)</f>
        <v>502.40205656280699</v>
      </c>
      <c r="AB354" s="2">
        <f>('L-Values'!X354*'D(Ti_Cherniak) Times'!$F354*0.000001)^2/(4*'D(Ti_Cherniak) Times'!$C354)/(365.35*24*3600)</f>
        <v>1412.2963312127474</v>
      </c>
      <c r="AC354" s="2">
        <f t="shared" si="22"/>
        <v>402.63192632395015</v>
      </c>
      <c r="AD354" s="2">
        <f t="shared" si="23"/>
        <v>507.26234832599027</v>
      </c>
    </row>
    <row r="355" spans="1:30" x14ac:dyDescent="0.2">
      <c r="A355" t="str">
        <f>'L-Values'!A355</f>
        <v>CGI018-qtz01-CL-fit-3-offset</v>
      </c>
      <c r="B355">
        <v>750</v>
      </c>
      <c r="C355">
        <f t="shared" si="20"/>
        <v>8.0537892000481889E-22</v>
      </c>
      <c r="D355">
        <v>1700</v>
      </c>
      <c r="E355">
        <v>1024</v>
      </c>
      <c r="F355">
        <f t="shared" si="21"/>
        <v>1.66015625</v>
      </c>
      <c r="I355" s="2">
        <f>('L-Values'!E355*'D(Ti_Cherniak) Times'!$F355*0.000001)^2/(4*'D(Ti_Cherniak) Times'!$C355)/(365.35*24*3600)</f>
        <v>487.27324960496475</v>
      </c>
      <c r="J355" s="2">
        <f>('L-Values'!F355*'D(Ti_Cherniak) Times'!$F355*0.000001)^2/(4*'D(Ti_Cherniak) Times'!$C355)/(365.35*24*3600)</f>
        <v>496.69067259682311</v>
      </c>
      <c r="K355" s="2">
        <f>('L-Values'!G355*'D(Ti_Cherniak) Times'!$F355*0.000001)^2/(4*'D(Ti_Cherniak) Times'!$C355)/(365.35*24*3600)</f>
        <v>354.22450507111694</v>
      </c>
      <c r="L355" s="2">
        <f>('L-Values'!H355*'D(Ti_Cherniak) Times'!$F355*0.000001)^2/(4*'D(Ti_Cherniak) Times'!$C355)/(365.35*24*3600)</f>
        <v>594.06249961807941</v>
      </c>
      <c r="M355" s="2">
        <f>('L-Values'!I355*'D(Ti_Cherniak) Times'!$F355*0.000001)^2/(4*'D(Ti_Cherniak) Times'!$C355)/(365.35*24*3600)</f>
        <v>327.6457644816162</v>
      </c>
      <c r="N355" s="2">
        <f>('L-Values'!J355*'D(Ti_Cherniak) Times'!$F355*0.000001)^2/(4*'D(Ti_Cherniak) Times'!$C355)/(365.35*24*3600)</f>
        <v>469.71811377664335</v>
      </c>
      <c r="O355" s="2">
        <f>('L-Values'!K355*'D(Ti_Cherniak) Times'!$F355*0.000001)^2/(4*'D(Ti_Cherniak) Times'!$C355)/(365.35*24*3600)</f>
        <v>540.59014415108436</v>
      </c>
      <c r="P355" s="2">
        <f>('L-Values'!L355*'D(Ti_Cherniak) Times'!$F355*0.000001)^2/(4*'D(Ti_Cherniak) Times'!$C355)/(365.35*24*3600)</f>
        <v>759.04804164281518</v>
      </c>
      <c r="Q355" s="2">
        <f>('L-Values'!M355*'D(Ti_Cherniak) Times'!$F355*0.000001)^2/(4*'D(Ti_Cherniak) Times'!$C355)/(365.35*24*3600)</f>
        <v>522.37103711797295</v>
      </c>
      <c r="R355" s="2">
        <f>('L-Values'!N355*'D(Ti_Cherniak) Times'!$F355*0.000001)^2/(4*'D(Ti_Cherniak) Times'!$C355)/(365.35*24*3600)</f>
        <v>342.42430342429708</v>
      </c>
      <c r="S355" s="2">
        <f>('L-Values'!O355*'D(Ti_Cherniak) Times'!$F355*0.000001)^2/(4*'D(Ti_Cherniak) Times'!$C355)/(365.35*24*3600)</f>
        <v>446.04163515827202</v>
      </c>
      <c r="T355" s="2"/>
      <c r="U355" s="2">
        <f>('L-Values'!Q355*'D(Ti_Cherniak) Times'!$F355*0.000001)^2/(4*'D(Ti_Cherniak) Times'!$C355)/(365.35*24*3600)</f>
        <v>477.22926223726063</v>
      </c>
      <c r="V355" s="2">
        <f>('L-Values'!R355*'D(Ti_Cherniak) Times'!$F355*0.000001)^2/(4*'D(Ti_Cherniak) Times'!$C355)/(365.35*24*3600)</f>
        <v>478.45720522116602</v>
      </c>
      <c r="W355" s="2">
        <f>('L-Values'!S355*'D(Ti_Cherniak) Times'!$F355*0.000001)^2/(4*'D(Ti_Cherniak) Times'!$C355)/(365.35*24*3600)</f>
        <v>487.27324960496475</v>
      </c>
      <c r="X355" s="2"/>
      <c r="Y355" s="2">
        <f>('L-Values'!U355*'D(Ti_Cherniak) Times'!$F355*0.000001)^2/(4*'D(Ti_Cherniak) Times'!$C355)/(365.35*24*3600)</f>
        <v>478.10862995043908</v>
      </c>
      <c r="Z355" s="2">
        <f>('L-Values'!V355*'D(Ti_Cherniak) Times'!$F355*0.000001)^2/(4*'D(Ti_Cherniak) Times'!$C355)/(365.35*24*3600)</f>
        <v>473.64947930365952</v>
      </c>
      <c r="AA355" s="2">
        <f>('L-Values'!W355*'D(Ti_Cherniak) Times'!$F355*0.000001)^2/(4*'D(Ti_Cherniak) Times'!$C355)/(365.35*24*3600)</f>
        <v>246.3331590774842</v>
      </c>
      <c r="AB355" s="2">
        <f>('L-Values'!X355*'D(Ti_Cherniak) Times'!$F355*0.000001)^2/(4*'D(Ti_Cherniak) Times'!$C355)/(365.35*24*3600)</f>
        <v>724.65042725620083</v>
      </c>
      <c r="AC355" s="2">
        <f t="shared" si="22"/>
        <v>227.31632022617532</v>
      </c>
      <c r="AD355" s="2">
        <f t="shared" si="23"/>
        <v>251.00094795254131</v>
      </c>
    </row>
    <row r="356" spans="1:30" x14ac:dyDescent="0.2">
      <c r="A356" t="str">
        <f>'L-Values'!A356</f>
        <v>CGI018-qtz01-CL-fit-4-offset</v>
      </c>
      <c r="B356">
        <v>750</v>
      </c>
      <c r="C356">
        <f t="shared" si="20"/>
        <v>8.0537892000481889E-22</v>
      </c>
      <c r="D356">
        <v>1700</v>
      </c>
      <c r="E356">
        <v>1024</v>
      </c>
      <c r="F356">
        <f t="shared" si="21"/>
        <v>1.66015625</v>
      </c>
      <c r="I356" s="2">
        <f>('L-Values'!E356*'D(Ti_Cherniak) Times'!$F356*0.000001)^2/(4*'D(Ti_Cherniak) Times'!$C356)/(365.35*24*3600)</f>
        <v>216.93988183553986</v>
      </c>
      <c r="J356" s="2">
        <f>('L-Values'!F356*'D(Ti_Cherniak) Times'!$F356*0.000001)^2/(4*'D(Ti_Cherniak) Times'!$C356)/(365.35*24*3600)</f>
        <v>192.2580958589615</v>
      </c>
      <c r="K356" s="2">
        <f>('L-Values'!G356*'D(Ti_Cherniak) Times'!$F356*0.000001)^2/(4*'D(Ti_Cherniak) Times'!$C356)/(365.35*24*3600)</f>
        <v>241.88488153861664</v>
      </c>
      <c r="L356" s="2">
        <f>('L-Values'!H356*'D(Ti_Cherniak) Times'!$F356*0.000001)^2/(4*'D(Ti_Cherniak) Times'!$C356)/(365.35*24*3600)</f>
        <v>152.14634354449507</v>
      </c>
      <c r="M356" s="2">
        <f>('L-Values'!I356*'D(Ti_Cherniak) Times'!$F356*0.000001)^2/(4*'D(Ti_Cherniak) Times'!$C356)/(365.35*24*3600)</f>
        <v>248.89637995255077</v>
      </c>
      <c r="N356" s="2">
        <f>('L-Values'!J356*'D(Ti_Cherniak) Times'!$F356*0.000001)^2/(4*'D(Ti_Cherniak) Times'!$C356)/(365.35*24*3600)</f>
        <v>166.43501212861284</v>
      </c>
      <c r="O356" s="2">
        <f>('L-Values'!K356*'D(Ti_Cherniak) Times'!$F356*0.000001)^2/(4*'D(Ti_Cherniak) Times'!$C356)/(365.35*24*3600)</f>
        <v>156.71224402024191</v>
      </c>
      <c r="P356" s="2">
        <f>('L-Values'!L356*'D(Ti_Cherniak) Times'!$F356*0.000001)^2/(4*'D(Ti_Cherniak) Times'!$C356)/(365.35*24*3600)</f>
        <v>224.37309900159266</v>
      </c>
      <c r="Q356" s="2">
        <f>('L-Values'!M356*'D(Ti_Cherniak) Times'!$F356*0.000001)^2/(4*'D(Ti_Cherniak) Times'!$C356)/(365.35*24*3600)</f>
        <v>466.94433710146023</v>
      </c>
      <c r="R356" s="2">
        <f>('L-Values'!N356*'D(Ti_Cherniak) Times'!$F356*0.000001)^2/(4*'D(Ti_Cherniak) Times'!$C356)/(365.35*24*3600)</f>
        <v>345.29944750856794</v>
      </c>
      <c r="S356" s="2">
        <f>('L-Values'!O356*'D(Ti_Cherniak) Times'!$F356*0.000001)^2/(4*'D(Ti_Cherniak) Times'!$C356)/(365.35*24*3600)</f>
        <v>440.07120909790251</v>
      </c>
      <c r="T356" s="2"/>
      <c r="U356" s="2">
        <f>('L-Values'!Q356*'D(Ti_Cherniak) Times'!$F356*0.000001)^2/(4*'D(Ti_Cherniak) Times'!$C356)/(365.35*24*3600)</f>
        <v>256.57592719048216</v>
      </c>
      <c r="V356" s="2">
        <f>('L-Values'!R356*'D(Ti_Cherniak) Times'!$F356*0.000001)^2/(4*'D(Ti_Cherniak) Times'!$C356)/(365.35*24*3600)</f>
        <v>249.71468018708399</v>
      </c>
      <c r="W356" s="2">
        <f>('L-Values'!S356*'D(Ti_Cherniak) Times'!$F356*0.000001)^2/(4*'D(Ti_Cherniak) Times'!$C356)/(365.35*24*3600)</f>
        <v>224.37309900159266</v>
      </c>
      <c r="X356" s="2"/>
      <c r="Y356" s="2">
        <f>('L-Values'!U356*'D(Ti_Cherniak) Times'!$F356*0.000001)^2/(4*'D(Ti_Cherniak) Times'!$C356)/(365.35*24*3600)</f>
        <v>254.78309448543251</v>
      </c>
      <c r="Z356" s="2">
        <f>('L-Values'!V356*'D(Ti_Cherniak) Times'!$F356*0.000001)^2/(4*'D(Ti_Cherniak) Times'!$C356)/(365.35*24*3600)</f>
        <v>265.41581724040049</v>
      </c>
      <c r="AA356" s="2">
        <f>('L-Values'!W356*'D(Ti_Cherniak) Times'!$F356*0.000001)^2/(4*'D(Ti_Cherniak) Times'!$C356)/(365.35*24*3600)</f>
        <v>97.019427081955186</v>
      </c>
      <c r="AB356" s="2">
        <f>('L-Values'!X356*'D(Ti_Cherniak) Times'!$F356*0.000001)^2/(4*'D(Ti_Cherniak) Times'!$C356)/(365.35*24*3600)</f>
        <v>583.32242668411072</v>
      </c>
      <c r="AC356" s="2">
        <f t="shared" si="22"/>
        <v>168.39639015844529</v>
      </c>
      <c r="AD356" s="2">
        <f t="shared" si="23"/>
        <v>317.90660944371024</v>
      </c>
    </row>
    <row r="357" spans="1:30" x14ac:dyDescent="0.2">
      <c r="A357" t="str">
        <f>'L-Values'!A357</f>
        <v>CGI018-qtz01-CL-fit-5-offset</v>
      </c>
      <c r="B357">
        <v>750</v>
      </c>
      <c r="C357">
        <f t="shared" si="20"/>
        <v>8.0537892000481889E-22</v>
      </c>
      <c r="D357">
        <v>1700</v>
      </c>
      <c r="E357">
        <v>1024</v>
      </c>
      <c r="F357">
        <f t="shared" si="21"/>
        <v>1.66015625</v>
      </c>
      <c r="I357" s="2">
        <f>('L-Values'!E357*'D(Ti_Cherniak) Times'!$F357*0.000001)^2/(4*'D(Ti_Cherniak) Times'!$C357)/(365.35*24*3600)</f>
        <v>199.59361143282825</v>
      </c>
      <c r="J357" s="2">
        <f>('L-Values'!F357*'D(Ti_Cherniak) Times'!$F357*0.000001)^2/(4*'D(Ti_Cherniak) Times'!$C357)/(365.35*24*3600)</f>
        <v>103.55025353287226</v>
      </c>
      <c r="K357" s="2">
        <f>('L-Values'!G357*'D(Ti_Cherniak) Times'!$F357*0.000001)^2/(4*'D(Ti_Cherniak) Times'!$C357)/(365.35*24*3600)</f>
        <v>112.54385486615401</v>
      </c>
      <c r="L357" s="2">
        <f>('L-Values'!H357*'D(Ti_Cherniak) Times'!$F357*0.000001)^2/(4*'D(Ti_Cherniak) Times'!$C357)/(365.35*24*3600)</f>
        <v>102.4167811067765</v>
      </c>
      <c r="M357" s="2">
        <f>('L-Values'!I357*'D(Ti_Cherniak) Times'!$F357*0.000001)^2/(4*'D(Ti_Cherniak) Times'!$C357)/(365.35*24*3600)</f>
        <v>115.66514481260778</v>
      </c>
      <c r="N357" s="2">
        <f>('L-Values'!J357*'D(Ti_Cherniak) Times'!$F357*0.000001)^2/(4*'D(Ti_Cherniak) Times'!$C357)/(365.35*24*3600)</f>
        <v>164.83005118840211</v>
      </c>
      <c r="O357" s="2">
        <f>('L-Values'!K357*'D(Ti_Cherniak) Times'!$F357*0.000001)^2/(4*'D(Ti_Cherniak) Times'!$C357)/(365.35*24*3600)</f>
        <v>159.34018995696718</v>
      </c>
      <c r="P357" s="2">
        <f>('L-Values'!L357*'D(Ti_Cherniak) Times'!$F357*0.000001)^2/(4*'D(Ti_Cherniak) Times'!$C357)/(365.35*24*3600)</f>
        <v>83.019920830228557</v>
      </c>
      <c r="Q357" s="2">
        <f>('L-Values'!M357*'D(Ti_Cherniak) Times'!$F357*0.000001)^2/(4*'D(Ti_Cherniak) Times'!$C357)/(365.35*24*3600)</f>
        <v>159.69247731214207</v>
      </c>
      <c r="R357" s="2">
        <f>('L-Values'!N357*'D(Ti_Cherniak) Times'!$F357*0.000001)^2/(4*'D(Ti_Cherniak) Times'!$C357)/(365.35*24*3600)</f>
        <v>114.04600768677719</v>
      </c>
      <c r="S357" s="2">
        <f>('L-Values'!O357*'D(Ti_Cherniak) Times'!$F357*0.000001)^2/(4*'D(Ti_Cherniak) Times'!$C357)/(365.35*24*3600)</f>
        <v>241.88657017583182</v>
      </c>
      <c r="T357" s="2"/>
      <c r="U357" s="2">
        <f>('L-Values'!Q357*'D(Ti_Cherniak) Times'!$F357*0.000001)^2/(4*'D(Ti_Cherniak) Times'!$C357)/(365.35*24*3600)</f>
        <v>139.93326363134511</v>
      </c>
      <c r="V357" s="2">
        <f>('L-Values'!R357*'D(Ti_Cherniak) Times'!$F357*0.000001)^2/(4*'D(Ti_Cherniak) Times'!$C357)/(365.35*24*3600)</f>
        <v>138.01831007907975</v>
      </c>
      <c r="W357" s="2">
        <f>('L-Values'!S357*'D(Ti_Cherniak) Times'!$F357*0.000001)^2/(4*'D(Ti_Cherniak) Times'!$C357)/(365.35*24*3600)</f>
        <v>115.66514481260778</v>
      </c>
      <c r="X357" s="2"/>
      <c r="Y357" s="2">
        <f>('L-Values'!U357*'D(Ti_Cherniak) Times'!$F357*0.000001)^2/(4*'D(Ti_Cherniak) Times'!$C357)/(365.35*24*3600)</f>
        <v>130.51647357219375</v>
      </c>
      <c r="Z357" s="2">
        <f>('L-Values'!V357*'D(Ti_Cherniak) Times'!$F357*0.000001)^2/(4*'D(Ti_Cherniak) Times'!$C357)/(365.35*24*3600)</f>
        <v>129.56402925504884</v>
      </c>
      <c r="AA357" s="2">
        <f>('L-Values'!W357*'D(Ti_Cherniak) Times'!$F357*0.000001)^2/(4*'D(Ti_Cherniak) Times'!$C357)/(365.35*24*3600)</f>
        <v>57.616421769509458</v>
      </c>
      <c r="AB357" s="2">
        <f>('L-Values'!X357*'D(Ti_Cherniak) Times'!$F357*0.000001)^2/(4*'D(Ti_Cherniak) Times'!$C357)/(365.35*24*3600)</f>
        <v>255.52430705768208</v>
      </c>
      <c r="AC357" s="2">
        <f t="shared" si="22"/>
        <v>71.947607485539379</v>
      </c>
      <c r="AD357" s="2">
        <f t="shared" si="23"/>
        <v>125.96027780263324</v>
      </c>
    </row>
    <row r="358" spans="1:30" x14ac:dyDescent="0.2">
      <c r="A358" t="str">
        <f>'L-Values'!A358</f>
        <v>CGI018-qtz02-CL-fit-1-offset</v>
      </c>
      <c r="B358">
        <v>750</v>
      </c>
      <c r="C358">
        <f t="shared" si="20"/>
        <v>8.0537892000481889E-22</v>
      </c>
      <c r="D358">
        <v>1750</v>
      </c>
      <c r="E358">
        <v>1024</v>
      </c>
      <c r="F358">
        <f t="shared" si="21"/>
        <v>1.708984375</v>
      </c>
      <c r="I358" s="2">
        <f>('L-Values'!E358*'D(Ti_Cherniak) Times'!$F358*0.000001)^2/(4*'D(Ti_Cherniak) Times'!$C358)/(365.35*24*3600)</f>
        <v>914.68060391821314</v>
      </c>
      <c r="J358" s="2">
        <f>('L-Values'!F358*'D(Ti_Cherniak) Times'!$F358*0.000001)^2/(4*'D(Ti_Cherniak) Times'!$C358)/(365.35*24*3600)</f>
        <v>1577.4343339536106</v>
      </c>
      <c r="K358" s="2">
        <f>('L-Values'!G358*'D(Ti_Cherniak) Times'!$F358*0.000001)^2/(4*'D(Ti_Cherniak) Times'!$C358)/(365.35*24*3600)</f>
        <v>1479.9188419145069</v>
      </c>
      <c r="L358" s="2">
        <f>('L-Values'!H358*'D(Ti_Cherniak) Times'!$F358*0.000001)^2/(4*'D(Ti_Cherniak) Times'!$C358)/(365.35*24*3600)</f>
        <v>1098.8437175658034</v>
      </c>
      <c r="M358" s="2">
        <f>('L-Values'!I358*'D(Ti_Cherniak) Times'!$F358*0.000001)^2/(4*'D(Ti_Cherniak) Times'!$C358)/(365.35*24*3600)</f>
        <v>1559.9236904138611</v>
      </c>
      <c r="N358" s="2">
        <f>('L-Values'!J358*'D(Ti_Cherniak) Times'!$F358*0.000001)^2/(4*'D(Ti_Cherniak) Times'!$C358)/(365.35*24*3600)</f>
        <v>649.73516814561572</v>
      </c>
      <c r="O358" s="2">
        <f>('L-Values'!K358*'D(Ti_Cherniak) Times'!$F358*0.000001)^2/(4*'D(Ti_Cherniak) Times'!$C358)/(365.35*24*3600)</f>
        <v>1037.7797696275884</v>
      </c>
      <c r="P358" s="2">
        <f>('L-Values'!L358*'D(Ti_Cherniak) Times'!$F358*0.000001)^2/(4*'D(Ti_Cherniak) Times'!$C358)/(365.35*24*3600)</f>
        <v>1579.8444545178766</v>
      </c>
      <c r="Q358" s="2">
        <f>('L-Values'!M358*'D(Ti_Cherniak) Times'!$F358*0.000001)^2/(4*'D(Ti_Cherniak) Times'!$C358)/(365.35*24*3600)</f>
        <v>969.62316035055142</v>
      </c>
      <c r="R358" s="2">
        <f>('L-Values'!N358*'D(Ti_Cherniak) Times'!$F358*0.000001)^2/(4*'D(Ti_Cherniak) Times'!$C358)/(365.35*24*3600)</f>
        <v>1075.9303847122326</v>
      </c>
      <c r="S358" s="2">
        <f>('L-Values'!O358*'D(Ti_Cherniak) Times'!$F358*0.000001)^2/(4*'D(Ti_Cherniak) Times'!$C358)/(365.35*24*3600)</f>
        <v>3204.1724018092714</v>
      </c>
      <c r="T358" s="2"/>
      <c r="U358" s="2">
        <f>('L-Values'!Q358*'D(Ti_Cherniak) Times'!$F358*0.000001)^2/(4*'D(Ti_Cherniak) Times'!$C358)/(365.35*24*3600)</f>
        <v>1236.7548229719346</v>
      </c>
      <c r="V358" s="2">
        <f>('L-Values'!R358*'D(Ti_Cherniak) Times'!$F358*0.000001)^2/(4*'D(Ti_Cherniak) Times'!$C358)/(365.35*24*3600)</f>
        <v>1316.1877322301086</v>
      </c>
      <c r="W358" s="2">
        <f>('L-Values'!S358*'D(Ti_Cherniak) Times'!$F358*0.000001)^2/(4*'D(Ti_Cherniak) Times'!$C358)/(365.35*24*3600)</f>
        <v>1098.8437175658034</v>
      </c>
      <c r="X358" s="2"/>
      <c r="Y358" s="2">
        <f>('L-Values'!U358*'D(Ti_Cherniak) Times'!$F358*0.000001)^2/(4*'D(Ti_Cherniak) Times'!$C358)/(365.35*24*3600)</f>
        <v>1204.7777279457002</v>
      </c>
      <c r="Z358" s="2">
        <f>('L-Values'!V358*'D(Ti_Cherniak) Times'!$F358*0.000001)^2/(4*'D(Ti_Cherniak) Times'!$C358)/(365.35*24*3600)</f>
        <v>1236.2093184561515</v>
      </c>
      <c r="AA358" s="2">
        <f>('L-Values'!W358*'D(Ti_Cherniak) Times'!$F358*0.000001)^2/(4*'D(Ti_Cherniak) Times'!$C358)/(365.35*24*3600)</f>
        <v>444.6701754637005</v>
      </c>
      <c r="AB358" s="2">
        <f>('L-Values'!X358*'D(Ti_Cherniak) Times'!$F358*0.000001)^2/(4*'D(Ti_Cherniak) Times'!$C358)/(365.35*24*3600)</f>
        <v>2832.8486817158382</v>
      </c>
      <c r="AC358" s="2">
        <f t="shared" si="22"/>
        <v>791.53914299245105</v>
      </c>
      <c r="AD358" s="2">
        <f t="shared" si="23"/>
        <v>1596.6393632596867</v>
      </c>
    </row>
    <row r="359" spans="1:30" x14ac:dyDescent="0.2">
      <c r="A359" t="str">
        <f>'L-Values'!A359</f>
        <v>CGI018-qtz02-CL-fit-2-offset</v>
      </c>
      <c r="B359">
        <v>750</v>
      </c>
      <c r="C359">
        <f t="shared" si="20"/>
        <v>8.0537892000481889E-22</v>
      </c>
      <c r="D359">
        <v>1750</v>
      </c>
      <c r="E359">
        <v>1024</v>
      </c>
      <c r="F359">
        <f t="shared" si="21"/>
        <v>1.708984375</v>
      </c>
      <c r="I359" s="2">
        <f>('L-Values'!E359*'D(Ti_Cherniak) Times'!$F359*0.000001)^2/(4*'D(Ti_Cherniak) Times'!$C359)/(365.35*24*3600)</f>
        <v>1739.4341472808528</v>
      </c>
      <c r="J359" s="2">
        <f>('L-Values'!F359*'D(Ti_Cherniak) Times'!$F359*0.000001)^2/(4*'D(Ti_Cherniak) Times'!$C359)/(365.35*24*3600)</f>
        <v>1392.1924588336285</v>
      </c>
      <c r="K359" s="2">
        <f>('L-Values'!G359*'D(Ti_Cherniak) Times'!$F359*0.000001)^2/(4*'D(Ti_Cherniak) Times'!$C359)/(365.35*24*3600)</f>
        <v>1871.9661428153538</v>
      </c>
      <c r="L359" s="2">
        <f>('L-Values'!H359*'D(Ti_Cherniak) Times'!$F359*0.000001)^2/(4*'D(Ti_Cherniak) Times'!$C359)/(365.35*24*3600)</f>
        <v>1204.7662542481939</v>
      </c>
      <c r="M359" s="2">
        <f>('L-Values'!I359*'D(Ti_Cherniak) Times'!$F359*0.000001)^2/(4*'D(Ti_Cherniak) Times'!$C359)/(365.35*24*3600)</f>
        <v>1332.8643426270769</v>
      </c>
      <c r="N359" s="2">
        <f>('L-Values'!J359*'D(Ti_Cherniak) Times'!$F359*0.000001)^2/(4*'D(Ti_Cherniak) Times'!$C359)/(365.35*24*3600)</f>
        <v>869.50758972173185</v>
      </c>
      <c r="O359" s="2">
        <f>('L-Values'!K359*'D(Ti_Cherniak) Times'!$F359*0.000001)^2/(4*'D(Ti_Cherniak) Times'!$C359)/(365.35*24*3600)</f>
        <v>710.6656849367323</v>
      </c>
      <c r="P359" s="2">
        <f>('L-Values'!L359*'D(Ti_Cherniak) Times'!$F359*0.000001)^2/(4*'D(Ti_Cherniak) Times'!$C359)/(365.35*24*3600)</f>
        <v>856.08059768459759</v>
      </c>
      <c r="Q359" s="2">
        <f>('L-Values'!M359*'D(Ti_Cherniak) Times'!$F359*0.000001)^2/(4*'D(Ti_Cherniak) Times'!$C359)/(365.35*24*3600)</f>
        <v>783.25357201097472</v>
      </c>
      <c r="R359" s="2">
        <f>('L-Values'!N359*'D(Ti_Cherniak) Times'!$F359*0.000001)^2/(4*'D(Ti_Cherniak) Times'!$C359)/(365.35*24*3600)</f>
        <v>1029.8055822667775</v>
      </c>
      <c r="S359" s="2">
        <f>('L-Values'!O359*'D(Ti_Cherniak) Times'!$F359*0.000001)^2/(4*'D(Ti_Cherniak) Times'!$C359)/(365.35*24*3600)</f>
        <v>1171.2204039152414</v>
      </c>
      <c r="T359" s="2"/>
      <c r="U359" s="2">
        <f>('L-Values'!Q359*'D(Ti_Cherniak) Times'!$F359*0.000001)^2/(4*'D(Ti_Cherniak) Times'!$C359)/(365.35*24*3600)</f>
        <v>1062.391813634099</v>
      </c>
      <c r="V359" s="2">
        <f>('L-Values'!R359*'D(Ti_Cherniak) Times'!$F359*0.000001)^2/(4*'D(Ti_Cherniak) Times'!$C359)/(365.35*24*3600)</f>
        <v>1151.1087710625002</v>
      </c>
      <c r="W359" s="2">
        <f>('L-Values'!S359*'D(Ti_Cherniak) Times'!$F359*0.000001)^2/(4*'D(Ti_Cherniak) Times'!$C359)/(365.35*24*3600)</f>
        <v>1171.2204039152414</v>
      </c>
      <c r="X359" s="2"/>
      <c r="Y359" s="2">
        <f>('L-Values'!U359*'D(Ti_Cherniak) Times'!$F359*0.000001)^2/(4*'D(Ti_Cherniak) Times'!$C359)/(365.35*24*3600)</f>
        <v>1052.5184032731408</v>
      </c>
      <c r="Z359" s="2">
        <f>('L-Values'!V359*'D(Ti_Cherniak) Times'!$F359*0.000001)^2/(4*'D(Ti_Cherniak) Times'!$C359)/(365.35*24*3600)</f>
        <v>1113.1140734621447</v>
      </c>
      <c r="AA359" s="2">
        <f>('L-Values'!W359*'D(Ti_Cherniak) Times'!$F359*0.000001)^2/(4*'D(Ti_Cherniak) Times'!$C359)/(365.35*24*3600)</f>
        <v>630.04329539377807</v>
      </c>
      <c r="AB359" s="2">
        <f>('L-Values'!X359*'D(Ti_Cherniak) Times'!$F359*0.000001)^2/(4*'D(Ti_Cherniak) Times'!$C359)/(365.35*24*3600)</f>
        <v>2163.1881190187132</v>
      </c>
      <c r="AC359" s="2">
        <f t="shared" si="22"/>
        <v>483.07077806836662</v>
      </c>
      <c r="AD359" s="2">
        <f t="shared" si="23"/>
        <v>1050.0740455565685</v>
      </c>
    </row>
    <row r="360" spans="1:30" x14ac:dyDescent="0.2">
      <c r="A360" t="str">
        <f>'L-Values'!A360</f>
        <v>CGI018-qtz02-CL-fit-3-offset</v>
      </c>
      <c r="B360">
        <v>750</v>
      </c>
      <c r="C360">
        <f t="shared" si="20"/>
        <v>8.0537892000481889E-22</v>
      </c>
      <c r="D360">
        <v>1750</v>
      </c>
      <c r="E360">
        <v>1024</v>
      </c>
      <c r="F360">
        <f t="shared" si="21"/>
        <v>1.708984375</v>
      </c>
      <c r="I360" s="2">
        <f>('L-Values'!E360*'D(Ti_Cherniak) Times'!$F360*0.000001)^2/(4*'D(Ti_Cherniak) Times'!$C360)/(365.35*24*3600)</f>
        <v>276.88591907174577</v>
      </c>
      <c r="J360" s="2">
        <f>('L-Values'!F360*'D(Ti_Cherniak) Times'!$F360*0.000001)^2/(4*'D(Ti_Cherniak) Times'!$C360)/(365.35*24*3600)</f>
        <v>502.27484018891806</v>
      </c>
      <c r="K360" s="2">
        <f>('L-Values'!G360*'D(Ti_Cherniak) Times'!$F360*0.000001)^2/(4*'D(Ti_Cherniak) Times'!$C360)/(365.35*24*3600)</f>
        <v>340.00027003006335</v>
      </c>
      <c r="L360" s="2">
        <f>('L-Values'!H360*'D(Ti_Cherniak) Times'!$F360*0.000001)^2/(4*'D(Ti_Cherniak) Times'!$C360)/(365.35*24*3600)</f>
        <v>494.04176090696558</v>
      </c>
      <c r="M360" s="2">
        <f>('L-Values'!I360*'D(Ti_Cherniak) Times'!$F360*0.000001)^2/(4*'D(Ti_Cherniak) Times'!$C360)/(365.35*24*3600)</f>
        <v>240.36780168853545</v>
      </c>
      <c r="N360" s="2">
        <f>('L-Values'!J360*'D(Ti_Cherniak) Times'!$F360*0.000001)^2/(4*'D(Ti_Cherniak) Times'!$C360)/(365.35*24*3600)</f>
        <v>500.11157417498623</v>
      </c>
      <c r="O360" s="2">
        <f>('L-Values'!K360*'D(Ti_Cherniak) Times'!$F360*0.000001)^2/(4*'D(Ti_Cherniak) Times'!$C360)/(365.35*24*3600)</f>
        <v>311.37177360328201</v>
      </c>
      <c r="P360" s="2">
        <f>('L-Values'!L360*'D(Ti_Cherniak) Times'!$F360*0.000001)^2/(4*'D(Ti_Cherniak) Times'!$C360)/(365.35*24*3600)</f>
        <v>447.90964853898589</v>
      </c>
      <c r="Q360" s="2">
        <f>('L-Values'!M360*'D(Ti_Cherniak) Times'!$F360*0.000001)^2/(4*'D(Ti_Cherniak) Times'!$C360)/(365.35*24*3600)</f>
        <v>441.53702535713052</v>
      </c>
      <c r="R360" s="2">
        <f>('L-Values'!N360*'D(Ti_Cherniak) Times'!$F360*0.000001)^2/(4*'D(Ti_Cherniak) Times'!$C360)/(365.35*24*3600)</f>
        <v>508.51146779392116</v>
      </c>
      <c r="S360" s="2">
        <f>('L-Values'!O360*'D(Ti_Cherniak) Times'!$F360*0.000001)^2/(4*'D(Ti_Cherniak) Times'!$C360)/(365.35*24*3600)</f>
        <v>364.91734069002632</v>
      </c>
      <c r="T360" s="2"/>
      <c r="U360" s="2">
        <f>('L-Values'!Q360*'D(Ti_Cherniak) Times'!$F360*0.000001)^2/(4*'D(Ti_Cherniak) Times'!$C360)/(365.35*24*3600)</f>
        <v>398.98729755223275</v>
      </c>
      <c r="V360" s="2">
        <f>('L-Values'!R360*'D(Ti_Cherniak) Times'!$F360*0.000001)^2/(4*'D(Ti_Cherniak) Times'!$C360)/(365.35*24*3600)</f>
        <v>396.5887427563768</v>
      </c>
      <c r="W360" s="2">
        <f>('L-Values'!S360*'D(Ti_Cherniak) Times'!$F360*0.000001)^2/(4*'D(Ti_Cherniak) Times'!$C360)/(365.35*24*3600)</f>
        <v>441.53702535713052</v>
      </c>
      <c r="X360" s="2"/>
      <c r="Y360" s="2">
        <f>('L-Values'!U360*'D(Ti_Cherniak) Times'!$F360*0.000001)^2/(4*'D(Ti_Cherniak) Times'!$C360)/(365.35*24*3600)</f>
        <v>397.50404093419309</v>
      </c>
      <c r="Z360" s="2">
        <f>('L-Values'!V360*'D(Ti_Cherniak) Times'!$F360*0.000001)^2/(4*'D(Ti_Cherniak) Times'!$C360)/(365.35*24*3600)</f>
        <v>387.95258458534505</v>
      </c>
      <c r="AA360" s="2">
        <f>('L-Values'!W360*'D(Ti_Cherniak) Times'!$F360*0.000001)^2/(4*'D(Ti_Cherniak) Times'!$C360)/(365.35*24*3600)</f>
        <v>196.56900921250315</v>
      </c>
      <c r="AB360" s="2">
        <f>('L-Values'!X360*'D(Ti_Cherniak) Times'!$F360*0.000001)^2/(4*'D(Ti_Cherniak) Times'!$C360)/(365.35*24*3600)</f>
        <v>642.89136978006343</v>
      </c>
      <c r="AC360" s="2">
        <f t="shared" si="22"/>
        <v>191.3835753728419</v>
      </c>
      <c r="AD360" s="2">
        <f t="shared" si="23"/>
        <v>254.93878519471838</v>
      </c>
    </row>
    <row r="361" spans="1:30" x14ac:dyDescent="0.2">
      <c r="A361" t="str">
        <f>'L-Values'!A361</f>
        <v>CGI018-qtz02-CL-fit-4-offset</v>
      </c>
      <c r="B361">
        <v>750</v>
      </c>
      <c r="C361">
        <f t="shared" si="20"/>
        <v>8.0537892000481889E-22</v>
      </c>
      <c r="D361">
        <v>1750</v>
      </c>
      <c r="E361">
        <v>1024</v>
      </c>
      <c r="F361">
        <f t="shared" si="21"/>
        <v>1.708984375</v>
      </c>
      <c r="I361" s="2">
        <f>('L-Values'!E361*'D(Ti_Cherniak) Times'!$F361*0.000001)^2/(4*'D(Ti_Cherniak) Times'!$C361)/(365.35*24*3600)</f>
        <v>134.96506617070816</v>
      </c>
      <c r="J361" s="2">
        <f>('L-Values'!F361*'D(Ti_Cherniak) Times'!$F361*0.000001)^2/(4*'D(Ti_Cherniak) Times'!$C361)/(365.35*24*3600)</f>
        <v>275.76416010977982</v>
      </c>
      <c r="K361" s="2">
        <f>('L-Values'!G361*'D(Ti_Cherniak) Times'!$F361*0.000001)^2/(4*'D(Ti_Cherniak) Times'!$C361)/(365.35*24*3600)</f>
        <v>166.46794345935947</v>
      </c>
      <c r="L361" s="2">
        <f>('L-Values'!H361*'D(Ti_Cherniak) Times'!$F361*0.000001)^2/(4*'D(Ti_Cherniak) Times'!$C361)/(365.35*24*3600)</f>
        <v>200.71846523535919</v>
      </c>
      <c r="M361" s="2">
        <f>('L-Values'!I361*'D(Ti_Cherniak) Times'!$F361*0.000001)^2/(4*'D(Ti_Cherniak) Times'!$C361)/(365.35*24*3600)</f>
        <v>154.56479669875995</v>
      </c>
      <c r="N361" s="2">
        <f>('L-Values'!J361*'D(Ti_Cherniak) Times'!$F361*0.000001)^2/(4*'D(Ti_Cherniak) Times'!$C361)/(365.35*24*3600)</f>
        <v>170.75748062986068</v>
      </c>
      <c r="O361" s="2">
        <f>('L-Values'!K361*'D(Ti_Cherniak) Times'!$F361*0.000001)^2/(4*'D(Ti_Cherniak) Times'!$C361)/(365.35*24*3600)</f>
        <v>251.78451340168274</v>
      </c>
      <c r="P361" s="2">
        <f>('L-Values'!L361*'D(Ti_Cherniak) Times'!$F361*0.000001)^2/(4*'D(Ti_Cherniak) Times'!$C361)/(365.35*24*3600)</f>
        <v>199.89413588131191</v>
      </c>
      <c r="Q361" s="2">
        <f>('L-Values'!M361*'D(Ti_Cherniak) Times'!$F361*0.000001)^2/(4*'D(Ti_Cherniak) Times'!$C361)/(365.35*24*3600)</f>
        <v>392.14710706735849</v>
      </c>
      <c r="R361" s="2">
        <f>('L-Values'!N361*'D(Ti_Cherniak) Times'!$F361*0.000001)^2/(4*'D(Ti_Cherniak) Times'!$C361)/(365.35*24*3600)</f>
        <v>190.06002421282753</v>
      </c>
      <c r="S361" s="2">
        <f>('L-Values'!O361*'D(Ti_Cherniak) Times'!$F361*0.000001)^2/(4*'D(Ti_Cherniak) Times'!$C361)/(365.35*24*3600)</f>
        <v>326.66638046104032</v>
      </c>
      <c r="T361" s="2"/>
      <c r="U361" s="2">
        <f>('L-Values'!Q361*'D(Ti_Cherniak) Times'!$F361*0.000001)^2/(4*'D(Ti_Cherniak) Times'!$C361)/(365.35*24*3600)</f>
        <v>218.85387168192045</v>
      </c>
      <c r="V361" s="2">
        <f>('L-Values'!R361*'D(Ti_Cherniak) Times'!$F361*0.000001)^2/(4*'D(Ti_Cherniak) Times'!$C361)/(365.35*24*3600)</f>
        <v>218.1317954962656</v>
      </c>
      <c r="W361" s="2">
        <f>('L-Values'!S361*'D(Ti_Cherniak) Times'!$F361*0.000001)^2/(4*'D(Ti_Cherniak) Times'!$C361)/(365.35*24*3600)</f>
        <v>199.89413588131191</v>
      </c>
      <c r="X361" s="2"/>
      <c r="Y361" s="2">
        <f>('L-Values'!U361*'D(Ti_Cherniak) Times'!$F361*0.000001)^2/(4*'D(Ti_Cherniak) Times'!$C361)/(365.35*24*3600)</f>
        <v>210.95601911068337</v>
      </c>
      <c r="Z361" s="2">
        <f>('L-Values'!V361*'D(Ti_Cherniak) Times'!$F361*0.000001)^2/(4*'D(Ti_Cherniak) Times'!$C361)/(365.35*24*3600)</f>
        <v>214.78530446998528</v>
      </c>
      <c r="AA361" s="2">
        <f>('L-Values'!W361*'D(Ti_Cherniak) Times'!$F361*0.000001)^2/(4*'D(Ti_Cherniak) Times'!$C361)/(365.35*24*3600)</f>
        <v>82.667759145054049</v>
      </c>
      <c r="AB361" s="2">
        <f>('L-Values'!X361*'D(Ti_Cherniak) Times'!$F361*0.000001)^2/(4*'D(Ti_Cherniak) Times'!$C361)/(365.35*24*3600)</f>
        <v>402.80833036473092</v>
      </c>
      <c r="AC361" s="2">
        <f t="shared" si="22"/>
        <v>132.11754532493123</v>
      </c>
      <c r="AD361" s="2">
        <f t="shared" si="23"/>
        <v>188.02302589474564</v>
      </c>
    </row>
    <row r="362" spans="1:30" x14ac:dyDescent="0.2">
      <c r="A362" t="str">
        <f>'L-Values'!A362</f>
        <v>CGI018-qtz02-CL-fit-5-offset</v>
      </c>
      <c r="B362">
        <v>750</v>
      </c>
      <c r="C362">
        <f t="shared" si="20"/>
        <v>8.0537892000481889E-22</v>
      </c>
      <c r="D362">
        <v>1750</v>
      </c>
      <c r="E362">
        <v>1024</v>
      </c>
      <c r="F362">
        <f t="shared" si="21"/>
        <v>1.708984375</v>
      </c>
      <c r="I362" s="2">
        <f>('L-Values'!E362*'D(Ti_Cherniak) Times'!$F362*0.000001)^2/(4*'D(Ti_Cherniak) Times'!$C362)/(365.35*24*3600)</f>
        <v>39.272458991940233</v>
      </c>
      <c r="J362" s="2">
        <f>('L-Values'!F362*'D(Ti_Cherniak) Times'!$F362*0.000001)^2/(4*'D(Ti_Cherniak) Times'!$C362)/(365.35*24*3600)</f>
        <v>34.709739047731958</v>
      </c>
      <c r="K362" s="2">
        <f>('L-Values'!G362*'D(Ti_Cherniak) Times'!$F362*0.000001)^2/(4*'D(Ti_Cherniak) Times'!$C362)/(365.35*24*3600)</f>
        <v>42.399335041322352</v>
      </c>
      <c r="L362" s="2">
        <f>('L-Values'!H362*'D(Ti_Cherniak) Times'!$F362*0.000001)^2/(4*'D(Ti_Cherniak) Times'!$C362)/(365.35*24*3600)</f>
        <v>37.768893862639018</v>
      </c>
      <c r="M362" s="2">
        <f>('L-Values'!I362*'D(Ti_Cherniak) Times'!$F362*0.000001)^2/(4*'D(Ti_Cherniak) Times'!$C362)/(365.35*24*3600)</f>
        <v>51.146336697020949</v>
      </c>
      <c r="N362" s="2">
        <f>('L-Values'!J362*'D(Ti_Cherniak) Times'!$F362*0.000001)^2/(4*'D(Ti_Cherniak) Times'!$C362)/(365.35*24*3600)</f>
        <v>78.748975828226008</v>
      </c>
      <c r="O362" s="2">
        <f>('L-Values'!K362*'D(Ti_Cherniak) Times'!$F362*0.000001)^2/(4*'D(Ti_Cherniak) Times'!$C362)/(365.35*24*3600)</f>
        <v>61.266565977442291</v>
      </c>
      <c r="P362" s="2">
        <f>('L-Values'!L362*'D(Ti_Cherniak) Times'!$F362*0.000001)^2/(4*'D(Ti_Cherniak) Times'!$C362)/(365.35*24*3600)</f>
        <v>53.374364378042522</v>
      </c>
      <c r="Q362" s="2">
        <f>('L-Values'!M362*'D(Ti_Cherniak) Times'!$F362*0.000001)^2/(4*'D(Ti_Cherniak) Times'!$C362)/(365.35*24*3600)</f>
        <v>30.226630897024801</v>
      </c>
      <c r="R362" s="2">
        <f>('L-Values'!N362*'D(Ti_Cherniak) Times'!$F362*0.000001)^2/(4*'D(Ti_Cherniak) Times'!$C362)/(365.35*24*3600)</f>
        <v>45.270523469419054</v>
      </c>
      <c r="S362" s="2">
        <f>('L-Values'!O362*'D(Ti_Cherniak) Times'!$F362*0.000001)^2/(4*'D(Ti_Cherniak) Times'!$C362)/(365.35*24*3600)</f>
        <v>36.184729449486547</v>
      </c>
      <c r="T362" s="2"/>
      <c r="U362" s="2">
        <f>('L-Values'!Q362*'D(Ti_Cherniak) Times'!$F362*0.000001)^2/(4*'D(Ti_Cherniak) Times'!$C362)/(365.35*24*3600)</f>
        <v>53.022101916310582</v>
      </c>
      <c r="V362" s="2">
        <f>('L-Values'!R362*'D(Ti_Cherniak) Times'!$F362*0.000001)^2/(4*'D(Ti_Cherniak) Times'!$C362)/(365.35*24*3600)</f>
        <v>45.520508336332348</v>
      </c>
      <c r="W362" s="2">
        <f>('L-Values'!S362*'D(Ti_Cherniak) Times'!$F362*0.000001)^2/(4*'D(Ti_Cherniak) Times'!$C362)/(365.35*24*3600)</f>
        <v>42.399335041322352</v>
      </c>
      <c r="X362" s="2"/>
      <c r="Y362" s="2">
        <f>('L-Values'!U362*'D(Ti_Cherniak) Times'!$F362*0.000001)^2/(4*'D(Ti_Cherniak) Times'!$C362)/(365.35*24*3600)</f>
        <v>39.625330330071613</v>
      </c>
      <c r="Z362" s="2">
        <f>('L-Values'!V362*'D(Ti_Cherniak) Times'!$F362*0.000001)^2/(4*'D(Ti_Cherniak) Times'!$C362)/(365.35*24*3600)</f>
        <v>41.35252724542044</v>
      </c>
      <c r="AA362" s="2">
        <f>('L-Values'!W362*'D(Ti_Cherniak) Times'!$F362*0.000001)^2/(4*'D(Ti_Cherniak) Times'!$C362)/(365.35*24*3600)</f>
        <v>4.0917560668643702</v>
      </c>
      <c r="AB362" s="2">
        <f>('L-Values'!X362*'D(Ti_Cherniak) Times'!$F362*0.000001)^2/(4*'D(Ti_Cherniak) Times'!$C362)/(365.35*24*3600)</f>
        <v>128.86106255205419</v>
      </c>
      <c r="AC362" s="2">
        <f t="shared" si="22"/>
        <v>37.26077117855607</v>
      </c>
      <c r="AD362" s="2">
        <f t="shared" si="23"/>
        <v>87.508535306633746</v>
      </c>
    </row>
    <row r="363" spans="1:30" x14ac:dyDescent="0.2">
      <c r="A363" t="str">
        <f>'L-Values'!A363</f>
        <v>CGI018-qtz03-CL-fit-1-offset</v>
      </c>
      <c r="B363">
        <v>750</v>
      </c>
      <c r="C363">
        <f t="shared" si="20"/>
        <v>8.0537892000481889E-22</v>
      </c>
      <c r="D363">
        <v>2100</v>
      </c>
      <c r="E363">
        <v>1024</v>
      </c>
      <c r="F363">
        <f t="shared" si="21"/>
        <v>2.05078125</v>
      </c>
      <c r="I363" s="2">
        <f>('L-Values'!E363*'D(Ti_Cherniak) Times'!$F363*0.000001)^2/(4*'D(Ti_Cherniak) Times'!$C363)/(365.35*24*3600)</f>
        <v>316.7893572767623</v>
      </c>
      <c r="J363" s="2">
        <f>('L-Values'!F363*'D(Ti_Cherniak) Times'!$F363*0.000001)^2/(4*'D(Ti_Cherniak) Times'!$C363)/(365.35*24*3600)</f>
        <v>256.34754265123195</v>
      </c>
      <c r="K363" s="2">
        <f>('L-Values'!G363*'D(Ti_Cherniak) Times'!$F363*0.000001)^2/(4*'D(Ti_Cherniak) Times'!$C363)/(365.35*24*3600)</f>
        <v>265.23651072774749</v>
      </c>
      <c r="L363" s="2">
        <f>('L-Values'!H363*'D(Ti_Cherniak) Times'!$F363*0.000001)^2/(4*'D(Ti_Cherniak) Times'!$C363)/(365.35*24*3600)</f>
        <v>436.99168492652313</v>
      </c>
      <c r="M363" s="2">
        <f>('L-Values'!I363*'D(Ti_Cherniak) Times'!$F363*0.000001)^2/(4*'D(Ti_Cherniak) Times'!$C363)/(365.35*24*3600)</f>
        <v>609.87498087419874</v>
      </c>
      <c r="N363" s="2">
        <f>('L-Values'!J363*'D(Ti_Cherniak) Times'!$F363*0.000001)^2/(4*'D(Ti_Cherniak) Times'!$C363)/(365.35*24*3600)</f>
        <v>342.69520524308962</v>
      </c>
      <c r="O363" s="2">
        <f>('L-Values'!K363*'D(Ti_Cherniak) Times'!$F363*0.000001)^2/(4*'D(Ti_Cherniak) Times'!$C363)/(365.35*24*3600)</f>
        <v>332.17628355714555</v>
      </c>
      <c r="P363" s="2">
        <f>('L-Values'!L363*'D(Ti_Cherniak) Times'!$F363*0.000001)^2/(4*'D(Ti_Cherniak) Times'!$C363)/(365.35*24*3600)</f>
        <v>455.77771112393401</v>
      </c>
      <c r="Q363" s="2">
        <f>('L-Values'!M363*'D(Ti_Cherniak) Times'!$F363*0.000001)^2/(4*'D(Ti_Cherniak) Times'!$C363)/(365.35*24*3600)</f>
        <v>404.70930027945712</v>
      </c>
      <c r="R363" s="2">
        <f>('L-Values'!N363*'D(Ti_Cherniak) Times'!$F363*0.000001)^2/(4*'D(Ti_Cherniak) Times'!$C363)/(365.35*24*3600)</f>
        <v>375.90113919203185</v>
      </c>
      <c r="S363" s="2">
        <f>('L-Values'!O363*'D(Ti_Cherniak) Times'!$F363*0.000001)^2/(4*'D(Ti_Cherniak) Times'!$C363)/(365.35*24*3600)</f>
        <v>251.05065236666076</v>
      </c>
      <c r="T363" s="2"/>
      <c r="U363" s="2">
        <f>('L-Values'!Q363*'D(Ti_Cherniak) Times'!$F363*0.000001)^2/(4*'D(Ti_Cherniak) Times'!$C363)/(365.35*24*3600)</f>
        <v>365.12386709110245</v>
      </c>
      <c r="V363" s="2">
        <f>('L-Values'!R363*'D(Ti_Cherniak) Times'!$F363*0.000001)^2/(4*'D(Ti_Cherniak) Times'!$C363)/(365.35*24*3600)</f>
        <v>361.45728676316151</v>
      </c>
      <c r="W363" s="2">
        <f>('L-Values'!S363*'D(Ti_Cherniak) Times'!$F363*0.000001)^2/(4*'D(Ti_Cherniak) Times'!$C363)/(365.35*24*3600)</f>
        <v>342.69520524308962</v>
      </c>
      <c r="X363" s="2"/>
      <c r="Y363" s="2">
        <f>('L-Values'!U363*'D(Ti_Cherniak) Times'!$F363*0.000001)^2/(4*'D(Ti_Cherniak) Times'!$C363)/(365.35*24*3600)</f>
        <v>348.74907289232908</v>
      </c>
      <c r="Z363" s="2">
        <f>('L-Values'!V363*'D(Ti_Cherniak) Times'!$F363*0.000001)^2/(4*'D(Ti_Cherniak) Times'!$C363)/(365.35*24*3600)</f>
        <v>352.24403428528302</v>
      </c>
      <c r="AA363" s="2">
        <f>('L-Values'!W363*'D(Ti_Cherniak) Times'!$F363*0.000001)^2/(4*'D(Ti_Cherniak) Times'!$C363)/(365.35*24*3600)</f>
        <v>192.08452350468008</v>
      </c>
      <c r="AB363" s="2">
        <f>('L-Values'!X363*'D(Ti_Cherniak) Times'!$F363*0.000001)^2/(4*'D(Ti_Cherniak) Times'!$C363)/(365.35*24*3600)</f>
        <v>549.75005540130906</v>
      </c>
      <c r="AC363" s="2">
        <f t="shared" si="22"/>
        <v>160.15951078060294</v>
      </c>
      <c r="AD363" s="2">
        <f t="shared" si="23"/>
        <v>197.50602111602603</v>
      </c>
    </row>
    <row r="364" spans="1:30" x14ac:dyDescent="0.2">
      <c r="A364" t="str">
        <f>'L-Values'!A364</f>
        <v>CGI018-qtz03-CL-fit-2-offset</v>
      </c>
      <c r="B364">
        <v>750</v>
      </c>
      <c r="C364">
        <f t="shared" si="20"/>
        <v>8.0537892000481889E-22</v>
      </c>
      <c r="D364">
        <v>2100</v>
      </c>
      <c r="E364">
        <v>1024</v>
      </c>
      <c r="F364">
        <f t="shared" si="21"/>
        <v>2.05078125</v>
      </c>
      <c r="I364" s="2">
        <f>('L-Values'!E364*'D(Ti_Cherniak) Times'!$F364*0.000001)^2/(4*'D(Ti_Cherniak) Times'!$C364)/(365.35*24*3600)</f>
        <v>5.2195669293865841E-2</v>
      </c>
      <c r="J364" s="2">
        <f>('L-Values'!F364*'D(Ti_Cherniak) Times'!$F364*0.000001)^2/(4*'D(Ti_Cherniak) Times'!$C364)/(365.35*24*3600)</f>
        <v>345.06041455783594</v>
      </c>
      <c r="K364" s="2">
        <f>('L-Values'!G364*'D(Ti_Cherniak) Times'!$F364*0.000001)^2/(4*'D(Ti_Cherniak) Times'!$C364)/(365.35*24*3600)</f>
        <v>49.819298274652724</v>
      </c>
      <c r="L364" s="2">
        <f>('L-Values'!H364*'D(Ti_Cherniak) Times'!$F364*0.000001)^2/(4*'D(Ti_Cherniak) Times'!$C364)/(365.35*24*3600)</f>
        <v>1208.1257194352154</v>
      </c>
      <c r="M364" s="2">
        <f>('L-Values'!I364*'D(Ti_Cherniak) Times'!$F364*0.000001)^2/(4*'D(Ti_Cherniak) Times'!$C364)/(365.35*24*3600)</f>
        <v>1289.3696811792317</v>
      </c>
      <c r="N364" s="2">
        <f>('L-Values'!J364*'D(Ti_Cherniak) Times'!$F364*0.000001)^2/(4*'D(Ti_Cherniak) Times'!$C364)/(365.35*24*3600)</f>
        <v>1439.0087967509478</v>
      </c>
      <c r="O364" s="2">
        <f>('L-Values'!K364*'D(Ti_Cherniak) Times'!$F364*0.000001)^2/(4*'D(Ti_Cherniak) Times'!$C364)/(365.35*24*3600)</f>
        <v>3235.8997306865967</v>
      </c>
      <c r="P364" s="2">
        <f>('L-Values'!L364*'D(Ti_Cherniak) Times'!$F364*0.000001)^2/(4*'D(Ti_Cherniak) Times'!$C364)/(365.35*24*3600)</f>
        <v>6001.176895118605</v>
      </c>
      <c r="Q364" s="2">
        <f>('L-Values'!M364*'D(Ti_Cherniak) Times'!$F364*0.000001)^2/(4*'D(Ti_Cherniak) Times'!$C364)/(365.35*24*3600)</f>
        <v>0</v>
      </c>
      <c r="R364" s="2">
        <f>('L-Values'!N364*'D(Ti_Cherniak) Times'!$F364*0.000001)^2/(4*'D(Ti_Cherniak) Times'!$C364)/(365.35*24*3600)</f>
        <v>0</v>
      </c>
      <c r="S364" s="2">
        <f>('L-Values'!O364*'D(Ti_Cherniak) Times'!$F364*0.000001)^2/(4*'D(Ti_Cherniak) Times'!$C364)/(365.35*24*3600)</f>
        <v>5289.695745874069</v>
      </c>
      <c r="T364" s="2"/>
      <c r="U364" s="2">
        <f>('L-Values'!Q364*'D(Ti_Cherniak) Times'!$F364*0.000001)^2/(4*'D(Ti_Cherniak) Times'!$C364)/(365.35*24*3600)</f>
        <v>2046.3840184570615</v>
      </c>
      <c r="V364" s="2">
        <f>('L-Values'!R364*'D(Ti_Cherniak) Times'!$F364*0.000001)^2/(4*'D(Ti_Cherniak) Times'!$C364)/(365.35*24*3600)</f>
        <v>1440.1623407880707</v>
      </c>
      <c r="W364" s="2">
        <f>('L-Values'!S364*'D(Ti_Cherniak) Times'!$F364*0.000001)^2/(4*'D(Ti_Cherniak) Times'!$C364)/(365.35*24*3600)</f>
        <v>1289.3696811792317</v>
      </c>
      <c r="X364" s="2"/>
      <c r="Y364" s="2">
        <f>('L-Values'!U364*'D(Ti_Cherniak) Times'!$F364*0.000001)^2/(4*'D(Ti_Cherniak) Times'!$C364)/(365.35*24*3600)</f>
        <v>1974.8164503250848</v>
      </c>
      <c r="Z364" s="2">
        <f>('L-Values'!V364*'D(Ti_Cherniak) Times'!$F364*0.000001)^2/(4*'D(Ti_Cherniak) Times'!$C364)/(365.35*24*3600)</f>
        <v>2005.4961257122313</v>
      </c>
      <c r="AA364" s="2">
        <f>('L-Values'!W364*'D(Ti_Cherniak) Times'!$F364*0.000001)^2/(4*'D(Ti_Cherniak) Times'!$C364)/(365.35*24*3600)</f>
        <v>18.248997601925545</v>
      </c>
      <c r="AB364" s="2">
        <f>('L-Values'!X364*'D(Ti_Cherniak) Times'!$F364*0.000001)^2/(4*'D(Ti_Cherniak) Times'!$C364)/(365.35*24*3600)</f>
        <v>7848.0256830510189</v>
      </c>
      <c r="AC364" s="2">
        <f t="shared" si="22"/>
        <v>1987.2471281103058</v>
      </c>
      <c r="AD364" s="2">
        <f t="shared" si="23"/>
        <v>5842.5295573387875</v>
      </c>
    </row>
    <row r="365" spans="1:30" x14ac:dyDescent="0.2">
      <c r="A365" t="str">
        <f>'L-Values'!A365</f>
        <v>CGI018-qtz03-CL-fit-3-offset</v>
      </c>
      <c r="B365">
        <v>750</v>
      </c>
      <c r="C365">
        <f t="shared" si="20"/>
        <v>8.0537892000481889E-22</v>
      </c>
      <c r="D365">
        <v>2100</v>
      </c>
      <c r="E365">
        <v>1024</v>
      </c>
      <c r="F365">
        <f t="shared" si="21"/>
        <v>2.05078125</v>
      </c>
      <c r="I365" s="2">
        <f>('L-Values'!E365*'D(Ti_Cherniak) Times'!$F365*0.000001)^2/(4*'D(Ti_Cherniak) Times'!$C365)/(365.35*24*3600)</f>
        <v>455.00159870515824</v>
      </c>
      <c r="J365" s="2">
        <f>('L-Values'!F365*'D(Ti_Cherniak) Times'!$F365*0.000001)^2/(4*'D(Ti_Cherniak) Times'!$C365)/(365.35*24*3600)</f>
        <v>233.87899758290089</v>
      </c>
      <c r="K365" s="2">
        <f>('L-Values'!G365*'D(Ti_Cherniak) Times'!$F365*0.000001)^2/(4*'D(Ti_Cherniak) Times'!$C365)/(365.35*24*3600)</f>
        <v>504.22314333618226</v>
      </c>
      <c r="L365" s="2">
        <f>('L-Values'!H365*'D(Ti_Cherniak) Times'!$F365*0.000001)^2/(4*'D(Ti_Cherniak) Times'!$C365)/(365.35*24*3600)</f>
        <v>369.96272488544884</v>
      </c>
      <c r="M365" s="2">
        <f>('L-Values'!I365*'D(Ti_Cherniak) Times'!$F365*0.000001)^2/(4*'D(Ti_Cherniak) Times'!$C365)/(365.35*24*3600)</f>
        <v>304.11252274294122</v>
      </c>
      <c r="N365" s="2">
        <f>('L-Values'!J365*'D(Ti_Cherniak) Times'!$F365*0.000001)^2/(4*'D(Ti_Cherniak) Times'!$C365)/(365.35*24*3600)</f>
        <v>284.10836291005177</v>
      </c>
      <c r="O365" s="2">
        <f>('L-Values'!K365*'D(Ti_Cherniak) Times'!$F365*0.000001)^2/(4*'D(Ti_Cherniak) Times'!$C365)/(365.35*24*3600)</f>
        <v>231.19983509367981</v>
      </c>
      <c r="P365" s="2">
        <f>('L-Values'!L365*'D(Ti_Cherniak) Times'!$F365*0.000001)^2/(4*'D(Ti_Cherniak) Times'!$C365)/(365.35*24*3600)</f>
        <v>284.03886096509888</v>
      </c>
      <c r="Q365" s="2">
        <f>('L-Values'!M365*'D(Ti_Cherniak) Times'!$F365*0.000001)^2/(4*'D(Ti_Cherniak) Times'!$C365)/(365.35*24*3600)</f>
        <v>217.00956267174357</v>
      </c>
      <c r="R365" s="2">
        <f>('L-Values'!N365*'D(Ti_Cherniak) Times'!$F365*0.000001)^2/(4*'D(Ti_Cherniak) Times'!$C365)/(365.35*24*3600)</f>
        <v>373.66407717642369</v>
      </c>
      <c r="S365" s="2">
        <f>('L-Values'!O365*'D(Ti_Cherniak) Times'!$F365*0.000001)^2/(4*'D(Ti_Cherniak) Times'!$C365)/(365.35*24*3600)</f>
        <v>332.93219516541507</v>
      </c>
      <c r="T365" s="2"/>
      <c r="U365" s="2">
        <f>('L-Values'!Q365*'D(Ti_Cherniak) Times'!$F365*0.000001)^2/(4*'D(Ti_Cherniak) Times'!$C365)/(365.35*24*3600)</f>
        <v>323.02872647689566</v>
      </c>
      <c r="V365" s="2">
        <f>('L-Values'!R365*'D(Ti_Cherniak) Times'!$F365*0.000001)^2/(4*'D(Ti_Cherniak) Times'!$C365)/(365.35*24*3600)</f>
        <v>320.65189318787122</v>
      </c>
      <c r="W365" s="2">
        <f>('L-Values'!S365*'D(Ti_Cherniak) Times'!$F365*0.000001)^2/(4*'D(Ti_Cherniak) Times'!$C365)/(365.35*24*3600)</f>
        <v>304.11252274294122</v>
      </c>
      <c r="X365" s="2"/>
      <c r="Y365" s="2">
        <f>('L-Values'!U365*'D(Ti_Cherniak) Times'!$F365*0.000001)^2/(4*'D(Ti_Cherniak) Times'!$C365)/(365.35*24*3600)</f>
        <v>326.24297807749304</v>
      </c>
      <c r="Z365" s="2">
        <f>('L-Values'!V365*'D(Ti_Cherniak) Times'!$F365*0.000001)^2/(4*'D(Ti_Cherniak) Times'!$C365)/(365.35*24*3600)</f>
        <v>331.11546757391943</v>
      </c>
      <c r="AA365" s="2">
        <f>('L-Values'!W365*'D(Ti_Cherniak) Times'!$F365*0.000001)^2/(4*'D(Ti_Cherniak) Times'!$C365)/(365.35*24*3600)</f>
        <v>159.06351388810614</v>
      </c>
      <c r="AB365" s="2">
        <f>('L-Values'!X365*'D(Ti_Cherniak) Times'!$F365*0.000001)^2/(4*'D(Ti_Cherniak) Times'!$C365)/(365.35*24*3600)</f>
        <v>629.37027731028934</v>
      </c>
      <c r="AC365" s="2">
        <f t="shared" si="22"/>
        <v>172.05195368581329</v>
      </c>
      <c r="AD365" s="2">
        <f t="shared" si="23"/>
        <v>298.25480973636991</v>
      </c>
    </row>
    <row r="366" spans="1:30" x14ac:dyDescent="0.2">
      <c r="A366" t="str">
        <f>'L-Values'!A366</f>
        <v>CGI018-qtz03-CL-fit-4-offset</v>
      </c>
      <c r="B366">
        <v>750</v>
      </c>
      <c r="C366">
        <f t="shared" si="20"/>
        <v>8.0537892000481889E-22</v>
      </c>
      <c r="D366">
        <v>2100</v>
      </c>
      <c r="E366">
        <v>1024</v>
      </c>
      <c r="F366">
        <f t="shared" si="21"/>
        <v>2.05078125</v>
      </c>
      <c r="I366" s="2">
        <f>('L-Values'!E366*'D(Ti_Cherniak) Times'!$F366*0.000001)^2/(4*'D(Ti_Cherniak) Times'!$C366)/(365.35*24*3600)</f>
        <v>73.797335911388103</v>
      </c>
      <c r="J366" s="2">
        <f>('L-Values'!F366*'D(Ti_Cherniak) Times'!$F366*0.000001)^2/(4*'D(Ti_Cherniak) Times'!$C366)/(365.35*24*3600)</f>
        <v>121.59450064593484</v>
      </c>
      <c r="K366" s="2">
        <f>('L-Values'!G366*'D(Ti_Cherniak) Times'!$F366*0.000001)^2/(4*'D(Ti_Cherniak) Times'!$C366)/(365.35*24*3600)</f>
        <v>63.654713714338016</v>
      </c>
      <c r="L366" s="2">
        <f>('L-Values'!H366*'D(Ti_Cherniak) Times'!$F366*0.000001)^2/(4*'D(Ti_Cherniak) Times'!$C366)/(365.35*24*3600)</f>
        <v>121.64664822729449</v>
      </c>
      <c r="M366" s="2">
        <f>('L-Values'!I366*'D(Ti_Cherniak) Times'!$F366*0.000001)^2/(4*'D(Ti_Cherniak) Times'!$C366)/(365.35*24*3600)</f>
        <v>191.5764386153599</v>
      </c>
      <c r="N366" s="2">
        <f>('L-Values'!J366*'D(Ti_Cherniak) Times'!$F366*0.000001)^2/(4*'D(Ti_Cherniak) Times'!$C366)/(365.35*24*3600)</f>
        <v>191.2794377797436</v>
      </c>
      <c r="O366" s="2">
        <f>('L-Values'!K366*'D(Ti_Cherniak) Times'!$F366*0.000001)^2/(4*'D(Ti_Cherniak) Times'!$C366)/(365.35*24*3600)</f>
        <v>305.61790158138865</v>
      </c>
      <c r="P366" s="2">
        <f>('L-Values'!L366*'D(Ti_Cherniak) Times'!$F366*0.000001)^2/(4*'D(Ti_Cherniak) Times'!$C366)/(365.35*24*3600)</f>
        <v>357.65036881640208</v>
      </c>
      <c r="Q366" s="2">
        <f>('L-Values'!M366*'D(Ti_Cherniak) Times'!$F366*0.000001)^2/(4*'D(Ti_Cherniak) Times'!$C366)/(365.35*24*3600)</f>
        <v>459.3795573204535</v>
      </c>
      <c r="R366" s="2">
        <f>('L-Values'!N366*'D(Ti_Cherniak) Times'!$F366*0.000001)^2/(4*'D(Ti_Cherniak) Times'!$C366)/(365.35*24*3600)</f>
        <v>223.35429353905965</v>
      </c>
      <c r="S366" s="2">
        <f>('L-Values'!O366*'D(Ti_Cherniak) Times'!$F366*0.000001)^2/(4*'D(Ti_Cherniak) Times'!$C366)/(365.35*24*3600)</f>
        <v>361.13310844636482</v>
      </c>
      <c r="T366" s="2"/>
      <c r="U366" s="2">
        <f>('L-Values'!Q366*'D(Ti_Cherniak) Times'!$F366*0.000001)^2/(4*'D(Ti_Cherniak) Times'!$C366)/(365.35*24*3600)</f>
        <v>223.50165854038204</v>
      </c>
      <c r="V366" s="2">
        <f>('L-Values'!R366*'D(Ti_Cherniak) Times'!$F366*0.000001)^2/(4*'D(Ti_Cherniak) Times'!$C366)/(365.35*24*3600)</f>
        <v>206.50220452831874</v>
      </c>
      <c r="W366" s="2">
        <f>('L-Values'!S366*'D(Ti_Cherniak) Times'!$F366*0.000001)^2/(4*'D(Ti_Cherniak) Times'!$C366)/(365.35*24*3600)</f>
        <v>191.5764386153599</v>
      </c>
      <c r="X366" s="2"/>
      <c r="Y366" s="2">
        <f>('L-Values'!U366*'D(Ti_Cherniak) Times'!$F366*0.000001)^2/(4*'D(Ti_Cherniak) Times'!$C366)/(365.35*24*3600)</f>
        <v>230.14575171727694</v>
      </c>
      <c r="Z366" s="2">
        <f>('L-Values'!V366*'D(Ti_Cherniak) Times'!$F366*0.000001)^2/(4*'D(Ti_Cherniak) Times'!$C366)/(365.35*24*3600)</f>
        <v>277.06541987785084</v>
      </c>
      <c r="AA366" s="2">
        <f>('L-Values'!W366*'D(Ti_Cherniak) Times'!$F366*0.000001)^2/(4*'D(Ti_Cherniak) Times'!$C366)/(365.35*24*3600)</f>
        <v>49.396019142597886</v>
      </c>
      <c r="AB366" s="2">
        <f>('L-Values'!X366*'D(Ti_Cherniak) Times'!$F366*0.000001)^2/(4*'D(Ti_Cherniak) Times'!$C366)/(365.35*24*3600)</f>
        <v>1024.8959467235081</v>
      </c>
      <c r="AC366" s="2">
        <f t="shared" si="22"/>
        <v>227.66940073525296</v>
      </c>
      <c r="AD366" s="2">
        <f t="shared" si="23"/>
        <v>747.83052684565723</v>
      </c>
    </row>
    <row r="367" spans="1:30" x14ac:dyDescent="0.2">
      <c r="A367" t="str">
        <f>'L-Values'!A367</f>
        <v>CGI018-qtz04-CL-fit-1-offset</v>
      </c>
      <c r="B367">
        <v>750</v>
      </c>
      <c r="C367">
        <f t="shared" si="20"/>
        <v>8.0537892000481889E-22</v>
      </c>
      <c r="D367">
        <v>1900</v>
      </c>
      <c r="E367">
        <v>1024</v>
      </c>
      <c r="F367">
        <f t="shared" si="21"/>
        <v>1.85546875</v>
      </c>
      <c r="I367" s="2">
        <f>('L-Values'!E367*'D(Ti_Cherniak) Times'!$F367*0.000001)^2/(4*'D(Ti_Cherniak) Times'!$C367)/(365.35*24*3600)</f>
        <v>560.75260813530247</v>
      </c>
      <c r="J367" s="2">
        <f>('L-Values'!F367*'D(Ti_Cherniak) Times'!$F367*0.000001)^2/(4*'D(Ti_Cherniak) Times'!$C367)/(365.35*24*3600)</f>
        <v>488.10319250306225</v>
      </c>
      <c r="K367" s="2">
        <f>('L-Values'!G367*'D(Ti_Cherniak) Times'!$F367*0.000001)^2/(4*'D(Ti_Cherniak) Times'!$C367)/(365.35*24*3600)</f>
        <v>339.60275509528589</v>
      </c>
      <c r="L367" s="2">
        <f>('L-Values'!H367*'D(Ti_Cherniak) Times'!$F367*0.000001)^2/(4*'D(Ti_Cherniak) Times'!$C367)/(365.35*24*3600)</f>
        <v>198.70949403703094</v>
      </c>
      <c r="M367" s="2">
        <f>('L-Values'!I367*'D(Ti_Cherniak) Times'!$F367*0.000001)^2/(4*'D(Ti_Cherniak) Times'!$C367)/(365.35*24*3600)</f>
        <v>374.23643835216905</v>
      </c>
      <c r="N367" s="2">
        <f>('L-Values'!J367*'D(Ti_Cherniak) Times'!$F367*0.000001)^2/(4*'D(Ti_Cherniak) Times'!$C367)/(365.35*24*3600)</f>
        <v>256.7044347061817</v>
      </c>
      <c r="O367" s="2">
        <f>('L-Values'!K367*'D(Ti_Cherniak) Times'!$F367*0.000001)^2/(4*'D(Ti_Cherniak) Times'!$C367)/(365.35*24*3600)</f>
        <v>196.62813226730012</v>
      </c>
      <c r="P367" s="2">
        <f>('L-Values'!L367*'D(Ti_Cherniak) Times'!$F367*0.000001)^2/(4*'D(Ti_Cherniak) Times'!$C367)/(365.35*24*3600)</f>
        <v>752.89075699269404</v>
      </c>
      <c r="Q367" s="2">
        <f>('L-Values'!M367*'D(Ti_Cherniak) Times'!$F367*0.000001)^2/(4*'D(Ti_Cherniak) Times'!$C367)/(365.35*24*3600)</f>
        <v>446.14027738578966</v>
      </c>
      <c r="R367" s="2">
        <f>('L-Values'!N367*'D(Ti_Cherniak) Times'!$F367*0.000001)^2/(4*'D(Ti_Cherniak) Times'!$C367)/(365.35*24*3600)</f>
        <v>606.87123178210265</v>
      </c>
      <c r="S367" s="2">
        <f>('L-Values'!O367*'D(Ti_Cherniak) Times'!$F367*0.000001)^2/(4*'D(Ti_Cherniak) Times'!$C367)/(365.35*24*3600)</f>
        <v>256.8742889637378</v>
      </c>
      <c r="T367" s="2"/>
      <c r="U367" s="2">
        <f>('L-Values'!Q367*'D(Ti_Cherniak) Times'!$F367*0.000001)^2/(4*'D(Ti_Cherniak) Times'!$C367)/(365.35*24*3600)</f>
        <v>419.15047924817583</v>
      </c>
      <c r="V367" s="2">
        <f>('L-Values'!R367*'D(Ti_Cherniak) Times'!$F367*0.000001)^2/(4*'D(Ti_Cherniak) Times'!$C367)/(365.35*24*3600)</f>
        <v>388.84459230480911</v>
      </c>
      <c r="W367" s="2">
        <f>('L-Values'!S367*'D(Ti_Cherniak) Times'!$F367*0.000001)^2/(4*'D(Ti_Cherniak) Times'!$C367)/(365.35*24*3600)</f>
        <v>374.23643835216905</v>
      </c>
      <c r="X367" s="2"/>
      <c r="Y367" s="2">
        <f>('L-Values'!U367*'D(Ti_Cherniak) Times'!$F367*0.000001)^2/(4*'D(Ti_Cherniak) Times'!$C367)/(365.35*24*3600)</f>
        <v>403.92639652688968</v>
      </c>
      <c r="Z367" s="2">
        <f>('L-Values'!V367*'D(Ti_Cherniak) Times'!$F367*0.000001)^2/(4*'D(Ti_Cherniak) Times'!$C367)/(365.35*24*3600)</f>
        <v>403.05504540635479</v>
      </c>
      <c r="AA367" s="2">
        <f>('L-Values'!W367*'D(Ti_Cherniak) Times'!$F367*0.000001)^2/(4*'D(Ti_Cherniak) Times'!$C367)/(365.35*24*3600)</f>
        <v>63.940134874477941</v>
      </c>
      <c r="AB367" s="2">
        <f>('L-Values'!X367*'D(Ti_Cherniak) Times'!$F367*0.000001)^2/(4*'D(Ti_Cherniak) Times'!$C367)/(365.35*24*3600)</f>
        <v>909.63298201462646</v>
      </c>
      <c r="AC367" s="2">
        <f t="shared" si="22"/>
        <v>339.11491053187683</v>
      </c>
      <c r="AD367" s="2">
        <f t="shared" si="23"/>
        <v>506.57793660827167</v>
      </c>
    </row>
    <row r="368" spans="1:30" x14ac:dyDescent="0.2">
      <c r="A368" t="str">
        <f>'L-Values'!A368</f>
        <v>CGI018-qtz04-CL-fit-2-offset</v>
      </c>
      <c r="B368">
        <v>750</v>
      </c>
      <c r="C368">
        <f t="shared" si="20"/>
        <v>8.0537892000481889E-22</v>
      </c>
      <c r="D368">
        <v>1900</v>
      </c>
      <c r="E368">
        <v>1024</v>
      </c>
      <c r="F368">
        <f t="shared" si="21"/>
        <v>1.85546875</v>
      </c>
      <c r="I368" s="2">
        <f>('L-Values'!E368*'D(Ti_Cherniak) Times'!$F368*0.000001)^2/(4*'D(Ti_Cherniak) Times'!$C368)/(365.35*24*3600)</f>
        <v>0</v>
      </c>
      <c r="J368" s="2">
        <f>('L-Values'!F368*'D(Ti_Cherniak) Times'!$F368*0.000001)^2/(4*'D(Ti_Cherniak) Times'!$C368)/(365.35*24*3600)</f>
        <v>326.55498042435534</v>
      </c>
      <c r="K368" s="2">
        <f>('L-Values'!G368*'D(Ti_Cherniak) Times'!$F368*0.000001)^2/(4*'D(Ti_Cherniak) Times'!$C368)/(365.35*24*3600)</f>
        <v>555.49063464202004</v>
      </c>
      <c r="L368" s="2">
        <f>('L-Values'!H368*'D(Ti_Cherniak) Times'!$F368*0.000001)^2/(4*'D(Ti_Cherniak) Times'!$C368)/(365.35*24*3600)</f>
        <v>601.60576101523236</v>
      </c>
      <c r="M368" s="2">
        <f>('L-Values'!I368*'D(Ti_Cherniak) Times'!$F368*0.000001)^2/(4*'D(Ti_Cherniak) Times'!$C368)/(365.35*24*3600)</f>
        <v>381.32907843870498</v>
      </c>
      <c r="N368" s="2">
        <f>('L-Values'!J368*'D(Ti_Cherniak) Times'!$F368*0.000001)^2/(4*'D(Ti_Cherniak) Times'!$C368)/(365.35*24*3600)</f>
        <v>688.49575166399222</v>
      </c>
      <c r="O368" s="2">
        <f>('L-Values'!K368*'D(Ti_Cherniak) Times'!$F368*0.000001)^2/(4*'D(Ti_Cherniak) Times'!$C368)/(365.35*24*3600)</f>
        <v>229.80217127796394</v>
      </c>
      <c r="P368" s="2">
        <f>('L-Values'!L368*'D(Ti_Cherniak) Times'!$F368*0.000001)^2/(4*'D(Ti_Cherniak) Times'!$C368)/(365.35*24*3600)</f>
        <v>541.3336448823693</v>
      </c>
      <c r="Q368" s="2">
        <f>('L-Values'!M368*'D(Ti_Cherniak) Times'!$F368*0.000001)^2/(4*'D(Ti_Cherniak) Times'!$C368)/(365.35*24*3600)</f>
        <v>428.88682717917754</v>
      </c>
      <c r="R368" s="2">
        <f>('L-Values'!N368*'D(Ti_Cherniak) Times'!$F368*0.000001)^2/(4*'D(Ti_Cherniak) Times'!$C368)/(365.35*24*3600)</f>
        <v>903.31184012411643</v>
      </c>
      <c r="S368" s="2">
        <f>('L-Values'!O368*'D(Ti_Cherniak) Times'!$F368*0.000001)^2/(4*'D(Ti_Cherniak) Times'!$C368)/(365.35*24*3600)</f>
        <v>145.0642850399455</v>
      </c>
      <c r="T368" s="2"/>
      <c r="U368" s="2">
        <f>('L-Values'!Q368*'D(Ti_Cherniak) Times'!$F368*0.000001)^2/(4*'D(Ti_Cherniak) Times'!$C368)/(365.35*24*3600)</f>
        <v>449.38247790946338</v>
      </c>
      <c r="V368" s="2">
        <f>('L-Values'!R368*'D(Ti_Cherniak) Times'!$F368*0.000001)^2/(4*'D(Ti_Cherniak) Times'!$C368)/(365.35*24*3600)</f>
        <v>454.41015775483214</v>
      </c>
      <c r="W368" s="2">
        <f>('L-Values'!S368*'D(Ti_Cherniak) Times'!$F368*0.000001)^2/(4*'D(Ti_Cherniak) Times'!$C368)/(365.35*24*3600)</f>
        <v>483.47568033777287</v>
      </c>
      <c r="X368" s="2"/>
      <c r="Y368" s="2">
        <f>('L-Values'!U368*'D(Ti_Cherniak) Times'!$F368*0.000001)^2/(4*'D(Ti_Cherniak) Times'!$C368)/(365.35*24*3600)</f>
        <v>444.78299839958078</v>
      </c>
      <c r="Z368" s="2">
        <f>('L-Values'!V368*'D(Ti_Cherniak) Times'!$F368*0.000001)^2/(4*'D(Ti_Cherniak) Times'!$C368)/(365.35*24*3600)</f>
        <v>473.65353297934951</v>
      </c>
      <c r="AA368" s="2">
        <f>('L-Values'!W368*'D(Ti_Cherniak) Times'!$F368*0.000001)^2/(4*'D(Ti_Cherniak) Times'!$C368)/(365.35*24*3600)</f>
        <v>96.912262230314198</v>
      </c>
      <c r="AB368" s="2">
        <f>('L-Values'!X368*'D(Ti_Cherniak) Times'!$F368*0.000001)^2/(4*'D(Ti_Cherniak) Times'!$C368)/(365.35*24*3600)</f>
        <v>1606.0493206229851</v>
      </c>
      <c r="AC368" s="2">
        <f t="shared" si="22"/>
        <v>376.74127074903532</v>
      </c>
      <c r="AD368" s="2">
        <f t="shared" si="23"/>
        <v>1132.3957876436357</v>
      </c>
    </row>
    <row r="369" spans="1:30" x14ac:dyDescent="0.2">
      <c r="A369" t="str">
        <f>'L-Values'!A369</f>
        <v>CGI018-qtz04-CL-fit-3-offset</v>
      </c>
      <c r="B369">
        <v>750</v>
      </c>
      <c r="C369">
        <f t="shared" si="20"/>
        <v>8.0537892000481889E-22</v>
      </c>
      <c r="D369">
        <v>1900</v>
      </c>
      <c r="E369">
        <v>1024</v>
      </c>
      <c r="F369">
        <f t="shared" si="21"/>
        <v>1.85546875</v>
      </c>
      <c r="I369" s="2">
        <f>('L-Values'!E369*'D(Ti_Cherniak) Times'!$F369*0.000001)^2/(4*'D(Ti_Cherniak) Times'!$C369)/(365.35*24*3600)</f>
        <v>186.85164477563148</v>
      </c>
      <c r="J369" s="2">
        <f>('L-Values'!F369*'D(Ti_Cherniak) Times'!$F369*0.000001)^2/(4*'D(Ti_Cherniak) Times'!$C369)/(365.35*24*3600)</f>
        <v>53.068891655687956</v>
      </c>
      <c r="K369" s="2">
        <f>('L-Values'!G369*'D(Ti_Cherniak) Times'!$F369*0.000001)^2/(4*'D(Ti_Cherniak) Times'!$C369)/(365.35*24*3600)</f>
        <v>107.45030753211192</v>
      </c>
      <c r="L369" s="2">
        <f>('L-Values'!H369*'D(Ti_Cherniak) Times'!$F369*0.000001)^2/(4*'D(Ti_Cherniak) Times'!$C369)/(365.35*24*3600)</f>
        <v>136.91823457227099</v>
      </c>
      <c r="M369" s="2">
        <f>('L-Values'!I369*'D(Ti_Cherniak) Times'!$F369*0.000001)^2/(4*'D(Ti_Cherniak) Times'!$C369)/(365.35*24*3600)</f>
        <v>121.73931759112848</v>
      </c>
      <c r="N369" s="2">
        <f>('L-Values'!J369*'D(Ti_Cherniak) Times'!$F369*0.000001)^2/(4*'D(Ti_Cherniak) Times'!$C369)/(365.35*24*3600)</f>
        <v>82.04412673896185</v>
      </c>
      <c r="O369" s="2">
        <f>('L-Values'!K369*'D(Ti_Cherniak) Times'!$F369*0.000001)^2/(4*'D(Ti_Cherniak) Times'!$C369)/(365.35*24*3600)</f>
        <v>102.6094388884173</v>
      </c>
      <c r="P369" s="2">
        <f>('L-Values'!L369*'D(Ti_Cherniak) Times'!$F369*0.000001)^2/(4*'D(Ti_Cherniak) Times'!$C369)/(365.35*24*3600)</f>
        <v>102.64778299069734</v>
      </c>
      <c r="Q369" s="2">
        <f>('L-Values'!M369*'D(Ti_Cherniak) Times'!$F369*0.000001)^2/(4*'D(Ti_Cherniak) Times'!$C369)/(365.35*24*3600)</f>
        <v>99.584709390221036</v>
      </c>
      <c r="R369" s="2">
        <f>('L-Values'!N369*'D(Ti_Cherniak) Times'!$F369*0.000001)^2/(4*'D(Ti_Cherniak) Times'!$C369)/(365.35*24*3600)</f>
        <v>134.06479237767596</v>
      </c>
      <c r="S369" s="2">
        <f>('L-Values'!O369*'D(Ti_Cherniak) Times'!$F369*0.000001)^2/(4*'D(Ti_Cherniak) Times'!$C369)/(365.35*24*3600)</f>
        <v>199.16899758196513</v>
      </c>
      <c r="T369" s="2"/>
      <c r="U369" s="2">
        <f>('L-Values'!Q369*'D(Ti_Cherniak) Times'!$F369*0.000001)^2/(4*'D(Ti_Cherniak) Times'!$C369)/(365.35*24*3600)</f>
        <v>123.0270656840375</v>
      </c>
      <c r="V369" s="2">
        <f>('L-Values'!R369*'D(Ti_Cherniak) Times'!$F369*0.000001)^2/(4*'D(Ti_Cherniak) Times'!$C369)/(365.35*24*3600)</f>
        <v>117.12029693260246</v>
      </c>
      <c r="W369" s="2">
        <f>('L-Values'!S369*'D(Ti_Cherniak) Times'!$F369*0.000001)^2/(4*'D(Ti_Cherniak) Times'!$C369)/(365.35*24*3600)</f>
        <v>107.45030753211192</v>
      </c>
      <c r="X369" s="2"/>
      <c r="Y369" s="2">
        <f>('L-Values'!U369*'D(Ti_Cherniak) Times'!$F369*0.000001)^2/(4*'D(Ti_Cherniak) Times'!$C369)/(365.35*24*3600)</f>
        <v>119.60241716840061</v>
      </c>
      <c r="Z369" s="2">
        <f>('L-Values'!V369*'D(Ti_Cherniak) Times'!$F369*0.000001)^2/(4*'D(Ti_Cherniak) Times'!$C369)/(365.35*24*3600)</f>
        <v>115.18383210165655</v>
      </c>
      <c r="AA369" s="2">
        <f>('L-Values'!W369*'D(Ti_Cherniak) Times'!$F369*0.000001)^2/(4*'D(Ti_Cherniak) Times'!$C369)/(365.35*24*3600)</f>
        <v>24.948605145207203</v>
      </c>
      <c r="AB369" s="2">
        <f>('L-Values'!X369*'D(Ti_Cherniak) Times'!$F369*0.000001)^2/(4*'D(Ti_Cherniak) Times'!$C369)/(365.35*24*3600)</f>
        <v>235.34115571478071</v>
      </c>
      <c r="AC369" s="2">
        <f t="shared" si="22"/>
        <v>90.235226956449338</v>
      </c>
      <c r="AD369" s="2">
        <f t="shared" si="23"/>
        <v>120.15732361312416</v>
      </c>
    </row>
    <row r="370" spans="1:30" x14ac:dyDescent="0.2">
      <c r="A370" t="str">
        <f>'L-Values'!A370</f>
        <v>CGI018-qtz04-CL-fit-4-offset</v>
      </c>
      <c r="B370">
        <v>750</v>
      </c>
      <c r="C370">
        <f t="shared" si="20"/>
        <v>8.0537892000481889E-22</v>
      </c>
      <c r="D370">
        <v>1900</v>
      </c>
      <c r="E370">
        <v>1024</v>
      </c>
      <c r="F370">
        <f t="shared" si="21"/>
        <v>1.85546875</v>
      </c>
      <c r="I370" s="2">
        <f>('L-Values'!E370*'D(Ti_Cherniak) Times'!$F370*0.000001)^2/(4*'D(Ti_Cherniak) Times'!$C370)/(365.35*24*3600)</f>
        <v>205.7520336958865</v>
      </c>
      <c r="J370" s="2">
        <f>('L-Values'!F370*'D(Ti_Cherniak) Times'!$F370*0.000001)^2/(4*'D(Ti_Cherniak) Times'!$C370)/(365.35*24*3600)</f>
        <v>169.10461564164584</v>
      </c>
      <c r="K370" s="2">
        <f>('L-Values'!G370*'D(Ti_Cherniak) Times'!$F370*0.000001)^2/(4*'D(Ti_Cherniak) Times'!$C370)/(365.35*24*3600)</f>
        <v>146.02882733702228</v>
      </c>
      <c r="L370" s="2">
        <f>('L-Values'!H370*'D(Ti_Cherniak) Times'!$F370*0.000001)^2/(4*'D(Ti_Cherniak) Times'!$C370)/(365.35*24*3600)</f>
        <v>0</v>
      </c>
      <c r="M370" s="2">
        <f>('L-Values'!I370*'D(Ti_Cherniak) Times'!$F370*0.000001)^2/(4*'D(Ti_Cherniak) Times'!$C370)/(365.35*24*3600)</f>
        <v>211.96438879851863</v>
      </c>
      <c r="N370" s="2">
        <f>('L-Values'!J370*'D(Ti_Cherniak) Times'!$F370*0.000001)^2/(4*'D(Ti_Cherniak) Times'!$C370)/(365.35*24*3600)</f>
        <v>146.33495862045137</v>
      </c>
      <c r="O370" s="2">
        <f>('L-Values'!K370*'D(Ti_Cherniak) Times'!$F370*0.000001)^2/(4*'D(Ti_Cherniak) Times'!$C370)/(365.35*24*3600)</f>
        <v>191.36232191601999</v>
      </c>
      <c r="P370" s="2">
        <f>('L-Values'!L370*'D(Ti_Cherniak) Times'!$F370*0.000001)^2/(4*'D(Ti_Cherniak) Times'!$C370)/(365.35*24*3600)</f>
        <v>198.50762095707844</v>
      </c>
      <c r="Q370" s="2">
        <f>('L-Values'!M370*'D(Ti_Cherniak) Times'!$F370*0.000001)^2/(4*'D(Ti_Cherniak) Times'!$C370)/(365.35*24*3600)</f>
        <v>55.545966144321014</v>
      </c>
      <c r="R370" s="2">
        <f>('L-Values'!N370*'D(Ti_Cherniak) Times'!$F370*0.000001)^2/(4*'D(Ti_Cherniak) Times'!$C370)/(365.35*24*3600)</f>
        <v>183.47881968080031</v>
      </c>
      <c r="S370" s="2">
        <f>('L-Values'!O370*'D(Ti_Cherniak) Times'!$F370*0.000001)^2/(4*'D(Ti_Cherniak) Times'!$C370)/(365.35*24*3600)</f>
        <v>101.80137488766324</v>
      </c>
      <c r="T370" s="2"/>
      <c r="U370" s="2">
        <f>('L-Values'!Q370*'D(Ti_Cherniak) Times'!$F370*0.000001)^2/(4*'D(Ti_Cherniak) Times'!$C370)/(365.35*24*3600)</f>
        <v>165.12876782625986</v>
      </c>
      <c r="V370" s="2">
        <f>('L-Values'!R370*'D(Ti_Cherniak) Times'!$F370*0.000001)^2/(4*'D(Ti_Cherniak) Times'!$C370)/(365.35*24*3600)</f>
        <v>156.49731198555685</v>
      </c>
      <c r="W370" s="2">
        <f>('L-Values'!S370*'D(Ti_Cherniak) Times'!$F370*0.000001)^2/(4*'D(Ti_Cherniak) Times'!$C370)/(365.35*24*3600)</f>
        <v>176.21843583461509</v>
      </c>
      <c r="X370" s="2"/>
      <c r="Y370" s="2">
        <f>('L-Values'!U370*'D(Ti_Cherniak) Times'!$F370*0.000001)^2/(4*'D(Ti_Cherniak) Times'!$C370)/(365.35*24*3600)</f>
        <v>162.09508788792715</v>
      </c>
      <c r="Z370" s="2">
        <f>('L-Values'!V370*'D(Ti_Cherniak) Times'!$F370*0.000001)^2/(4*'D(Ti_Cherniak) Times'!$C370)/(365.35*24*3600)</f>
        <v>166.10413200513409</v>
      </c>
      <c r="AA370" s="2">
        <f>('L-Values'!W370*'D(Ti_Cherniak) Times'!$F370*0.000001)^2/(4*'D(Ti_Cherniak) Times'!$C370)/(365.35*24*3600)</f>
        <v>24.762887394772008</v>
      </c>
      <c r="AB370" s="2">
        <f>('L-Values'!X370*'D(Ti_Cherniak) Times'!$F370*0.000001)^2/(4*'D(Ti_Cherniak) Times'!$C370)/(365.35*24*3600)</f>
        <v>522.71448284194651</v>
      </c>
      <c r="AC370" s="2">
        <f t="shared" si="22"/>
        <v>141.34124461036208</v>
      </c>
      <c r="AD370" s="2">
        <f t="shared" si="23"/>
        <v>356.61035083681242</v>
      </c>
    </row>
    <row r="371" spans="1:30" x14ac:dyDescent="0.2">
      <c r="A371" t="str">
        <f>'L-Values'!A371</f>
        <v>CGI018-qtz05-CL-fit-1-offset</v>
      </c>
      <c r="B371">
        <v>750</v>
      </c>
      <c r="C371">
        <f t="shared" si="20"/>
        <v>8.0537892000481889E-22</v>
      </c>
      <c r="D371">
        <v>1600</v>
      </c>
      <c r="E371">
        <v>1024</v>
      </c>
      <c r="F371">
        <f t="shared" si="21"/>
        <v>1.5625</v>
      </c>
      <c r="I371" s="2">
        <f>('L-Values'!E371*'D(Ti_Cherniak) Times'!$F371*0.000001)^2/(4*'D(Ti_Cherniak) Times'!$C371)/(365.35*24*3600)</f>
        <v>1.5735228771332963</v>
      </c>
      <c r="J371" s="2">
        <f>('L-Values'!F371*'D(Ti_Cherniak) Times'!$F371*0.000001)^2/(4*'D(Ti_Cherniak) Times'!$C371)/(365.35*24*3600)</f>
        <v>1.3410443298270389</v>
      </c>
      <c r="K371" s="2">
        <f>('L-Values'!G371*'D(Ti_Cherniak) Times'!$F371*0.000001)^2/(4*'D(Ti_Cherniak) Times'!$C371)/(365.35*24*3600)</f>
        <v>3.9532368404810982E-2</v>
      </c>
      <c r="L371" s="2">
        <f>('L-Values'!H371*'D(Ti_Cherniak) Times'!$F371*0.000001)^2/(4*'D(Ti_Cherniak) Times'!$C371)/(365.35*24*3600)</f>
        <v>1.149712722002507</v>
      </c>
      <c r="M371" s="2">
        <f>('L-Values'!I371*'D(Ti_Cherniak) Times'!$F371*0.000001)^2/(4*'D(Ti_Cherniak) Times'!$C371)/(365.35*24*3600)</f>
        <v>58.913872633555265</v>
      </c>
      <c r="N371" s="2">
        <f>('L-Values'!J371*'D(Ti_Cherniak) Times'!$F371*0.000001)^2/(4*'D(Ti_Cherniak) Times'!$C371)/(365.35*24*3600)</f>
        <v>1.2555826283976563</v>
      </c>
      <c r="O371" s="2">
        <f>('L-Values'!K371*'D(Ti_Cherniak) Times'!$F371*0.000001)^2/(4*'D(Ti_Cherniak) Times'!$C371)/(365.35*24*3600)</f>
        <v>3.6714608065058387</v>
      </c>
      <c r="P371" s="2">
        <f>('L-Values'!L371*'D(Ti_Cherniak) Times'!$F371*0.000001)^2/(4*'D(Ti_Cherniak) Times'!$C371)/(365.35*24*3600)</f>
        <v>56.767072267541046</v>
      </c>
      <c r="Q371" s="2">
        <f>('L-Values'!M371*'D(Ti_Cherniak) Times'!$F371*0.000001)^2/(4*'D(Ti_Cherniak) Times'!$C371)/(365.35*24*3600)</f>
        <v>218.62166435578675</v>
      </c>
      <c r="R371" s="2">
        <f>('L-Values'!N371*'D(Ti_Cherniak) Times'!$F371*0.000001)^2/(4*'D(Ti_Cherniak) Times'!$C371)/(365.35*24*3600)</f>
        <v>3.6360636352558067</v>
      </c>
      <c r="S371" s="2">
        <f>('L-Values'!O371*'D(Ti_Cherniak) Times'!$F371*0.000001)^2/(4*'D(Ti_Cherniak) Times'!$C371)/(365.35*24*3600)</f>
        <v>193.12710818338587</v>
      </c>
      <c r="T371" s="2"/>
      <c r="U371" s="2">
        <f>('L-Values'!Q371*'D(Ti_Cherniak) Times'!$F371*0.000001)^2/(4*'D(Ti_Cherniak) Times'!$C371)/(365.35*24*3600)</f>
        <v>118.35843157492049</v>
      </c>
      <c r="V371" s="2">
        <f>('L-Values'!R371*'D(Ti_Cherniak) Times'!$F371*0.000001)^2/(4*'D(Ti_Cherniak) Times'!$C371)/(365.35*24*3600)</f>
        <v>22.796109195342655</v>
      </c>
      <c r="W371" s="2">
        <f>('L-Values'!S371*'D(Ti_Cherniak) Times'!$F371*0.000001)^2/(4*'D(Ti_Cherniak) Times'!$C371)/(365.35*24*3600)</f>
        <v>3.6360636352558067</v>
      </c>
      <c r="X371" s="2"/>
      <c r="Y371" s="2">
        <f>('L-Values'!U371*'D(Ti_Cherniak) Times'!$F371*0.000001)^2/(4*'D(Ti_Cherniak) Times'!$C371)/(365.35*24*3600)</f>
        <v>53.488076692691664</v>
      </c>
      <c r="Z371" s="2">
        <f>('L-Values'!V371*'D(Ti_Cherniak) Times'!$F371*0.000001)^2/(4*'D(Ti_Cherniak) Times'!$C371)/(365.35*24*3600)</f>
        <v>237.53147434716533</v>
      </c>
      <c r="AA371" s="2">
        <f>('L-Values'!W371*'D(Ti_Cherniak) Times'!$F371*0.000001)^2/(4*'D(Ti_Cherniak) Times'!$C371)/(365.35*24*3600)</f>
        <v>2.8742992317590061E-11</v>
      </c>
      <c r="AB371" s="2">
        <f>('L-Values'!X371*'D(Ti_Cherniak) Times'!$F371*0.000001)^2/(4*'D(Ti_Cherniak) Times'!$C371)/(365.35*24*3600)</f>
        <v>18972.673030547452</v>
      </c>
      <c r="AC371" s="2">
        <f t="shared" si="22"/>
        <v>237.53147434713659</v>
      </c>
      <c r="AD371" s="2">
        <f t="shared" si="23"/>
        <v>18735.141556200288</v>
      </c>
    </row>
    <row r="372" spans="1:30" x14ac:dyDescent="0.2">
      <c r="A372" t="str">
        <f>'L-Values'!A372</f>
        <v>CGI018-qtz05-CL-fit-2-offset</v>
      </c>
      <c r="B372">
        <v>750</v>
      </c>
      <c r="C372">
        <f t="shared" si="20"/>
        <v>8.0537892000481889E-22</v>
      </c>
      <c r="D372">
        <v>1600</v>
      </c>
      <c r="E372">
        <v>1024</v>
      </c>
      <c r="F372">
        <f t="shared" si="21"/>
        <v>1.5625</v>
      </c>
      <c r="I372" s="2">
        <f>('L-Values'!E372*'D(Ti_Cherniak) Times'!$F372*0.000001)^2/(4*'D(Ti_Cherniak) Times'!$C372)/(365.35*24*3600)</f>
        <v>479.5023356172444</v>
      </c>
      <c r="J372" s="2">
        <f>('L-Values'!F372*'D(Ti_Cherniak) Times'!$F372*0.000001)^2/(4*'D(Ti_Cherniak) Times'!$C372)/(365.35*24*3600)</f>
        <v>290.01130593209467</v>
      </c>
      <c r="K372" s="2">
        <f>('L-Values'!G372*'D(Ti_Cherniak) Times'!$F372*0.000001)^2/(4*'D(Ti_Cherniak) Times'!$C372)/(365.35*24*3600)</f>
        <v>317.6919646971084</v>
      </c>
      <c r="L372" s="2">
        <f>('L-Values'!H372*'D(Ti_Cherniak) Times'!$F372*0.000001)^2/(4*'D(Ti_Cherniak) Times'!$C372)/(365.35*24*3600)</f>
        <v>316.54260777475554</v>
      </c>
      <c r="M372" s="2">
        <f>('L-Values'!I372*'D(Ti_Cherniak) Times'!$F372*0.000001)^2/(4*'D(Ti_Cherniak) Times'!$C372)/(365.35*24*3600)</f>
        <v>201.38315136150618</v>
      </c>
      <c r="N372" s="2">
        <f>('L-Values'!J372*'D(Ti_Cherniak) Times'!$F372*0.000001)^2/(4*'D(Ti_Cherniak) Times'!$C372)/(365.35*24*3600)</f>
        <v>233.93537511453246</v>
      </c>
      <c r="O372" s="2">
        <f>('L-Values'!K372*'D(Ti_Cherniak) Times'!$F372*0.000001)^2/(4*'D(Ti_Cherniak) Times'!$C372)/(365.35*24*3600)</f>
        <v>171.57235661148508</v>
      </c>
      <c r="P372" s="2">
        <f>('L-Values'!L372*'D(Ti_Cherniak) Times'!$F372*0.000001)^2/(4*'D(Ti_Cherniak) Times'!$C372)/(365.35*24*3600)</f>
        <v>252.6645989793447</v>
      </c>
      <c r="Q372" s="2">
        <f>('L-Values'!M372*'D(Ti_Cherniak) Times'!$F372*0.000001)^2/(4*'D(Ti_Cherniak) Times'!$C372)/(365.35*24*3600)</f>
        <v>167.42530976153867</v>
      </c>
      <c r="R372" s="2">
        <f>('L-Values'!N372*'D(Ti_Cherniak) Times'!$F372*0.000001)^2/(4*'D(Ti_Cherniak) Times'!$C372)/(365.35*24*3600)</f>
        <v>461.12454904971747</v>
      </c>
      <c r="S372" s="2">
        <f>('L-Values'!O372*'D(Ti_Cherniak) Times'!$F372*0.000001)^2/(4*'D(Ti_Cherniak) Times'!$C372)/(365.35*24*3600)</f>
        <v>459.93190767528819</v>
      </c>
      <c r="T372" s="2"/>
      <c r="U372" s="2">
        <f>('L-Values'!Q372*'D(Ti_Cherniak) Times'!$F372*0.000001)^2/(4*'D(Ti_Cherniak) Times'!$C372)/(365.35*24*3600)</f>
        <v>293.46824622186608</v>
      </c>
      <c r="V372" s="2">
        <f>('L-Values'!R372*'D(Ti_Cherniak) Times'!$F372*0.000001)^2/(4*'D(Ti_Cherniak) Times'!$C372)/(365.35*24*3600)</f>
        <v>294.84585233647181</v>
      </c>
      <c r="W372" s="2">
        <f>('L-Values'!S372*'D(Ti_Cherniak) Times'!$F372*0.000001)^2/(4*'D(Ti_Cherniak) Times'!$C372)/(365.35*24*3600)</f>
        <v>290.01130593209467</v>
      </c>
      <c r="X372" s="2"/>
      <c r="Y372" s="2">
        <f>('L-Values'!U372*'D(Ti_Cherniak) Times'!$F372*0.000001)^2/(4*'D(Ti_Cherniak) Times'!$C372)/(365.35*24*3600)</f>
        <v>288.00343192541715</v>
      </c>
      <c r="Z372" s="2">
        <f>('L-Values'!V372*'D(Ti_Cherniak) Times'!$F372*0.000001)^2/(4*'D(Ti_Cherniak) Times'!$C372)/(365.35*24*3600)</f>
        <v>296.99746156234585</v>
      </c>
      <c r="AA372" s="2">
        <f>('L-Values'!W372*'D(Ti_Cherniak) Times'!$F372*0.000001)^2/(4*'D(Ti_Cherniak) Times'!$C372)/(365.35*24*3600)</f>
        <v>52.090192136802877</v>
      </c>
      <c r="AB372" s="2">
        <f>('L-Values'!X372*'D(Ti_Cherniak) Times'!$F372*0.000001)^2/(4*'D(Ti_Cherniak) Times'!$C372)/(365.35*24*3600)</f>
        <v>848.71244454340444</v>
      </c>
      <c r="AC372" s="2">
        <f t="shared" si="22"/>
        <v>244.90726942554298</v>
      </c>
      <c r="AD372" s="2">
        <f t="shared" si="23"/>
        <v>551.7149829810586</v>
      </c>
    </row>
    <row r="373" spans="1:30" x14ac:dyDescent="0.2">
      <c r="A373" t="str">
        <f>'L-Values'!A373</f>
        <v>CGI018-qtz05-CL-fit-3-offset</v>
      </c>
      <c r="B373">
        <v>750</v>
      </c>
      <c r="C373">
        <f t="shared" si="20"/>
        <v>8.0537892000481889E-22</v>
      </c>
      <c r="D373">
        <v>1600</v>
      </c>
      <c r="E373">
        <v>1024</v>
      </c>
      <c r="F373">
        <f t="shared" si="21"/>
        <v>1.5625</v>
      </c>
      <c r="I373" s="2">
        <f>('L-Values'!E373*'D(Ti_Cherniak) Times'!$F373*0.000001)^2/(4*'D(Ti_Cherniak) Times'!$C373)/(365.35*24*3600)</f>
        <v>357.94789185252455</v>
      </c>
      <c r="J373" s="2">
        <f>('L-Values'!F373*'D(Ti_Cherniak) Times'!$F373*0.000001)^2/(4*'D(Ti_Cherniak) Times'!$C373)/(365.35*24*3600)</f>
        <v>231.10266982454266</v>
      </c>
      <c r="K373" s="2">
        <f>('L-Values'!G373*'D(Ti_Cherniak) Times'!$F373*0.000001)^2/(4*'D(Ti_Cherniak) Times'!$C373)/(365.35*24*3600)</f>
        <v>239.40980338072168</v>
      </c>
      <c r="L373" s="2">
        <f>('L-Values'!H373*'D(Ti_Cherniak) Times'!$F373*0.000001)^2/(4*'D(Ti_Cherniak) Times'!$C373)/(365.35*24*3600)</f>
        <v>77.201979972288854</v>
      </c>
      <c r="M373" s="2">
        <f>('L-Values'!I373*'D(Ti_Cherniak) Times'!$F373*0.000001)^2/(4*'D(Ti_Cherniak) Times'!$C373)/(365.35*24*3600)</f>
        <v>159.14204985633617</v>
      </c>
      <c r="N373" s="2">
        <f>('L-Values'!J373*'D(Ti_Cherniak) Times'!$F373*0.000001)^2/(4*'D(Ti_Cherniak) Times'!$C373)/(365.35*24*3600)</f>
        <v>135.65812095632691</v>
      </c>
      <c r="O373" s="2">
        <f>('L-Values'!K373*'D(Ti_Cherniak) Times'!$F373*0.000001)^2/(4*'D(Ti_Cherniak) Times'!$C373)/(365.35*24*3600)</f>
        <v>257.48708826500746</v>
      </c>
      <c r="P373" s="2">
        <f>('L-Values'!L373*'D(Ti_Cherniak) Times'!$F373*0.000001)^2/(4*'D(Ti_Cherniak) Times'!$C373)/(365.35*24*3600)</f>
        <v>232.53500919914242</v>
      </c>
      <c r="Q373" s="2">
        <f>('L-Values'!M373*'D(Ti_Cherniak) Times'!$F373*0.000001)^2/(4*'D(Ti_Cherniak) Times'!$C373)/(365.35*24*3600)</f>
        <v>219.44368300687677</v>
      </c>
      <c r="R373" s="2">
        <f>('L-Values'!N373*'D(Ti_Cherniak) Times'!$F373*0.000001)^2/(4*'D(Ti_Cherniak) Times'!$C373)/(365.35*24*3600)</f>
        <v>404.03267788666511</v>
      </c>
      <c r="S373" s="2">
        <f>('L-Values'!O373*'D(Ti_Cherniak) Times'!$F373*0.000001)^2/(4*'D(Ti_Cherniak) Times'!$C373)/(365.35*24*3600)</f>
        <v>229.17059159757557</v>
      </c>
      <c r="T373" s="2"/>
      <c r="U373" s="2">
        <f>('L-Values'!Q373*'D(Ti_Cherniak) Times'!$F373*0.000001)^2/(4*'D(Ti_Cherniak) Times'!$C373)/(365.35*24*3600)</f>
        <v>250.53086779905061</v>
      </c>
      <c r="V373" s="2">
        <f>('L-Values'!R373*'D(Ti_Cherniak) Times'!$F373*0.000001)^2/(4*'D(Ti_Cherniak) Times'!$C373)/(365.35*24*3600)</f>
        <v>222.25762405174288</v>
      </c>
      <c r="W373" s="2">
        <f>('L-Values'!S373*'D(Ti_Cherniak) Times'!$F373*0.000001)^2/(4*'D(Ti_Cherniak) Times'!$C373)/(365.35*24*3600)</f>
        <v>231.10266982454266</v>
      </c>
      <c r="X373" s="2"/>
      <c r="Y373" s="2">
        <f>('L-Values'!U373*'D(Ti_Cherniak) Times'!$F373*0.000001)^2/(4*'D(Ti_Cherniak) Times'!$C373)/(365.35*24*3600)</f>
        <v>245.82951748798419</v>
      </c>
      <c r="Z373" s="2">
        <f>('L-Values'!V373*'D(Ti_Cherniak) Times'!$F373*0.000001)^2/(4*'D(Ti_Cherniak) Times'!$C373)/(365.35*24*3600)</f>
        <v>243.67982676204986</v>
      </c>
      <c r="AA373" s="2">
        <f>('L-Values'!W373*'D(Ti_Cherniak) Times'!$F373*0.000001)^2/(4*'D(Ti_Cherniak) Times'!$C373)/(365.35*24*3600)</f>
        <v>16.55249189689118</v>
      </c>
      <c r="AB373" s="2">
        <f>('L-Values'!X373*'D(Ti_Cherniak) Times'!$F373*0.000001)^2/(4*'D(Ti_Cherniak) Times'!$C373)/(365.35*24*3600)</f>
        <v>630.46458515716768</v>
      </c>
      <c r="AC373" s="2">
        <f t="shared" si="22"/>
        <v>227.12733486515867</v>
      </c>
      <c r="AD373" s="2">
        <f t="shared" si="23"/>
        <v>386.78475839511782</v>
      </c>
    </row>
    <row r="374" spans="1:30" x14ac:dyDescent="0.2">
      <c r="A374" t="str">
        <f>'L-Values'!A374</f>
        <v>CGI018-qtz05-CL-fit-4-offset</v>
      </c>
      <c r="B374">
        <v>750</v>
      </c>
      <c r="C374">
        <f t="shared" si="20"/>
        <v>8.0537892000481889E-22</v>
      </c>
      <c r="D374">
        <v>1600</v>
      </c>
      <c r="E374">
        <v>1024</v>
      </c>
      <c r="F374">
        <f t="shared" si="21"/>
        <v>1.5625</v>
      </c>
      <c r="I374" s="2">
        <f>('L-Values'!E374*'D(Ti_Cherniak) Times'!$F374*0.000001)^2/(4*'D(Ti_Cherniak) Times'!$C374)/(365.35*24*3600)</f>
        <v>307.41172360722356</v>
      </c>
      <c r="J374" s="2">
        <f>('L-Values'!F374*'D(Ti_Cherniak) Times'!$F374*0.000001)^2/(4*'D(Ti_Cherniak) Times'!$C374)/(365.35*24*3600)</f>
        <v>308.93045981510312</v>
      </c>
      <c r="K374" s="2">
        <f>('L-Values'!G374*'D(Ti_Cherniak) Times'!$F374*0.000001)^2/(4*'D(Ti_Cherniak) Times'!$C374)/(365.35*24*3600)</f>
        <v>374.09409209197611</v>
      </c>
      <c r="L374" s="2">
        <f>('L-Values'!H374*'D(Ti_Cherniak) Times'!$F374*0.000001)^2/(4*'D(Ti_Cherniak) Times'!$C374)/(365.35*24*3600)</f>
        <v>407.91131007374008</v>
      </c>
      <c r="M374" s="2">
        <f>('L-Values'!I374*'D(Ti_Cherniak) Times'!$F374*0.000001)^2/(4*'D(Ti_Cherniak) Times'!$C374)/(365.35*24*3600)</f>
        <v>378.59914794748107</v>
      </c>
      <c r="N374" s="2">
        <f>('L-Values'!J374*'D(Ti_Cherniak) Times'!$F374*0.000001)^2/(4*'D(Ti_Cherniak) Times'!$C374)/(365.35*24*3600)</f>
        <v>304.42088154355179</v>
      </c>
      <c r="O374" s="2">
        <f>('L-Values'!K374*'D(Ti_Cherniak) Times'!$F374*0.000001)^2/(4*'D(Ti_Cherniak) Times'!$C374)/(365.35*24*3600)</f>
        <v>505.94225864814956</v>
      </c>
      <c r="P374" s="2">
        <f>('L-Values'!L374*'D(Ti_Cherniak) Times'!$F374*0.000001)^2/(4*'D(Ti_Cherniak) Times'!$C374)/(365.35*24*3600)</f>
        <v>435.72481111175523</v>
      </c>
      <c r="Q374" s="2">
        <f>('L-Values'!M374*'D(Ti_Cherniak) Times'!$F374*0.000001)^2/(4*'D(Ti_Cherniak) Times'!$C374)/(365.35*24*3600)</f>
        <v>224.0434586910348</v>
      </c>
      <c r="R374" s="2">
        <f>('L-Values'!N374*'D(Ti_Cherniak) Times'!$F374*0.000001)^2/(4*'D(Ti_Cherniak) Times'!$C374)/(365.35*24*3600)</f>
        <v>204.22839699005863</v>
      </c>
      <c r="S374" s="2">
        <f>('L-Values'!O374*'D(Ti_Cherniak) Times'!$F374*0.000001)^2/(4*'D(Ti_Cherniak) Times'!$C374)/(365.35*24*3600)</f>
        <v>279.17067778392584</v>
      </c>
      <c r="T374" s="2"/>
      <c r="U374" s="2">
        <f>('L-Values'!Q374*'D(Ti_Cherniak) Times'!$F374*0.000001)^2/(4*'D(Ti_Cherniak) Times'!$C374)/(365.35*24*3600)</f>
        <v>325.26363188117483</v>
      </c>
      <c r="V374" s="2">
        <f>('L-Values'!R374*'D(Ti_Cherniak) Times'!$F374*0.000001)^2/(4*'D(Ti_Cherniak) Times'!$C374)/(365.35*24*3600)</f>
        <v>333.51959041762086</v>
      </c>
      <c r="W374" s="2">
        <f>('L-Values'!S374*'D(Ti_Cherniak) Times'!$F374*0.000001)^2/(4*'D(Ti_Cherniak) Times'!$C374)/(365.35*24*3600)</f>
        <v>308.93045981510312</v>
      </c>
      <c r="X374" s="2"/>
      <c r="Y374" s="2">
        <f>('L-Values'!U374*'D(Ti_Cherniak) Times'!$F374*0.000001)^2/(4*'D(Ti_Cherniak) Times'!$C374)/(365.35*24*3600)</f>
        <v>313.36945612780966</v>
      </c>
      <c r="Z374" s="2">
        <f>('L-Values'!V374*'D(Ti_Cherniak) Times'!$F374*0.000001)^2/(4*'D(Ti_Cherniak) Times'!$C374)/(365.35*24*3600)</f>
        <v>313.30408572888734</v>
      </c>
      <c r="AA374" s="2">
        <f>('L-Values'!W374*'D(Ti_Cherniak) Times'!$F374*0.000001)^2/(4*'D(Ti_Cherniak) Times'!$C374)/(365.35*24*3600)</f>
        <v>167.08090288826952</v>
      </c>
      <c r="AB374" s="2">
        <f>('L-Values'!X374*'D(Ti_Cherniak) Times'!$F374*0.000001)^2/(4*'D(Ti_Cherniak) Times'!$C374)/(365.35*24*3600)</f>
        <v>510.47236796563476</v>
      </c>
      <c r="AC374" s="2">
        <f t="shared" si="22"/>
        <v>146.22318284061782</v>
      </c>
      <c r="AD374" s="2">
        <f t="shared" si="23"/>
        <v>197.16828223674742</v>
      </c>
    </row>
    <row r="375" spans="1:30" x14ac:dyDescent="0.2">
      <c r="A375" t="str">
        <f>'L-Values'!A375</f>
        <v>CGI018-qtz05-CL-fit-5-offset</v>
      </c>
      <c r="B375">
        <v>750</v>
      </c>
      <c r="C375">
        <f t="shared" si="20"/>
        <v>8.0537892000481889E-22</v>
      </c>
      <c r="D375">
        <v>1600</v>
      </c>
      <c r="E375">
        <v>1024</v>
      </c>
      <c r="F375">
        <f t="shared" si="21"/>
        <v>1.5625</v>
      </c>
      <c r="I375" s="2">
        <f>('L-Values'!E375*'D(Ti_Cherniak) Times'!$F375*0.000001)^2/(4*'D(Ti_Cherniak) Times'!$C375)/(365.35*24*3600)</f>
        <v>23.545371314144489</v>
      </c>
      <c r="J375" s="2">
        <f>('L-Values'!F375*'D(Ti_Cherniak) Times'!$F375*0.000001)^2/(4*'D(Ti_Cherniak) Times'!$C375)/(365.35*24*3600)</f>
        <v>148.42504607683131</v>
      </c>
      <c r="K375" s="2">
        <f>('L-Values'!G375*'D(Ti_Cherniak) Times'!$F375*0.000001)^2/(4*'D(Ti_Cherniak) Times'!$C375)/(365.35*24*3600)</f>
        <v>222.08136838694199</v>
      </c>
      <c r="L375" s="2">
        <f>('L-Values'!H375*'D(Ti_Cherniak) Times'!$F375*0.000001)^2/(4*'D(Ti_Cherniak) Times'!$C375)/(365.35*24*3600)</f>
        <v>263.7867341718312</v>
      </c>
      <c r="M375" s="2">
        <f>('L-Values'!I375*'D(Ti_Cherniak) Times'!$F375*0.000001)^2/(4*'D(Ti_Cherniak) Times'!$C375)/(365.35*24*3600)</f>
        <v>137.87360359332968</v>
      </c>
      <c r="N375" s="2">
        <f>('L-Values'!J375*'D(Ti_Cherniak) Times'!$F375*0.000001)^2/(4*'D(Ti_Cherniak) Times'!$C375)/(365.35*24*3600)</f>
        <v>38.776969036179253</v>
      </c>
      <c r="O375" s="2">
        <f>('L-Values'!K375*'D(Ti_Cherniak) Times'!$F375*0.000001)^2/(4*'D(Ti_Cherniak) Times'!$C375)/(365.35*24*3600)</f>
        <v>83.663965869083867</v>
      </c>
      <c r="P375" s="2">
        <f>('L-Values'!L375*'D(Ti_Cherniak) Times'!$F375*0.000001)^2/(4*'D(Ti_Cherniak) Times'!$C375)/(365.35*24*3600)</f>
        <v>117.76697986151535</v>
      </c>
      <c r="Q375" s="2">
        <f>('L-Values'!M375*'D(Ti_Cherniak) Times'!$F375*0.000001)^2/(4*'D(Ti_Cherniak) Times'!$C375)/(365.35*24*3600)</f>
        <v>113.1003271132396</v>
      </c>
      <c r="R375" s="2">
        <f>('L-Values'!N375*'D(Ti_Cherniak) Times'!$F375*0.000001)^2/(4*'D(Ti_Cherniak) Times'!$C375)/(365.35*24*3600)</f>
        <v>287.99987277158584</v>
      </c>
      <c r="S375" s="2">
        <f>('L-Values'!O375*'D(Ti_Cherniak) Times'!$F375*0.000001)^2/(4*'D(Ti_Cherniak) Times'!$C375)/(365.35*24*3600)</f>
        <v>334.60642356309842</v>
      </c>
      <c r="T375" s="2"/>
      <c r="U375" s="2">
        <f>('L-Values'!Q375*'D(Ti_Cherniak) Times'!$F375*0.000001)^2/(4*'D(Ti_Cherniak) Times'!$C375)/(365.35*24*3600)</f>
        <v>146.29526996592779</v>
      </c>
      <c r="V375" s="2">
        <f>('L-Values'!R375*'D(Ti_Cherniak) Times'!$F375*0.000001)^2/(4*'D(Ti_Cherniak) Times'!$C375)/(365.35*24*3600)</f>
        <v>144.09785981568456</v>
      </c>
      <c r="W375" s="2">
        <f>('L-Values'!S375*'D(Ti_Cherniak) Times'!$F375*0.000001)^2/(4*'D(Ti_Cherniak) Times'!$C375)/(365.35*24*3600)</f>
        <v>137.87360359332968</v>
      </c>
      <c r="X375" s="2"/>
      <c r="Y375" s="2">
        <f>('L-Values'!U375*'D(Ti_Cherniak) Times'!$F375*0.000001)^2/(4*'D(Ti_Cherniak) Times'!$C375)/(365.35*24*3600)</f>
        <v>143.63061887618943</v>
      </c>
      <c r="Z375" s="2">
        <f>('L-Values'!V375*'D(Ti_Cherniak) Times'!$F375*0.000001)^2/(4*'D(Ti_Cherniak) Times'!$C375)/(365.35*24*3600)</f>
        <v>190.34370165371448</v>
      </c>
      <c r="AA375" s="2">
        <f>('L-Values'!W375*'D(Ti_Cherniak) Times'!$F375*0.000001)^2/(4*'D(Ti_Cherniak) Times'!$C375)/(365.35*24*3600)</f>
        <v>21.35284455924786</v>
      </c>
      <c r="AB375" s="2">
        <f>('L-Values'!X375*'D(Ti_Cherniak) Times'!$F375*0.000001)^2/(4*'D(Ti_Cherniak) Times'!$C375)/(365.35*24*3600)</f>
        <v>1059.5122606177022</v>
      </c>
      <c r="AC375" s="2">
        <f t="shared" si="22"/>
        <v>168.99085709446661</v>
      </c>
      <c r="AD375" s="2">
        <f t="shared" si="23"/>
        <v>869.16855896398772</v>
      </c>
    </row>
    <row r="376" spans="1:30" x14ac:dyDescent="0.2">
      <c r="A376" t="str">
        <f>'L-Values'!A376</f>
        <v>CGI018-qtz05-CL-fit-6-offset</v>
      </c>
      <c r="B376">
        <v>750</v>
      </c>
      <c r="C376">
        <f t="shared" si="20"/>
        <v>8.0537892000481889E-22</v>
      </c>
      <c r="D376">
        <v>1600</v>
      </c>
      <c r="E376">
        <v>1024</v>
      </c>
      <c r="F376">
        <f t="shared" si="21"/>
        <v>1.5625</v>
      </c>
      <c r="I376" s="2">
        <f>('L-Values'!E376*'D(Ti_Cherniak) Times'!$F376*0.000001)^2/(4*'D(Ti_Cherniak) Times'!$C376)/(365.35*24*3600)</f>
        <v>20.934904142784024</v>
      </c>
      <c r="J376" s="2">
        <f>('L-Values'!F376*'D(Ti_Cherniak) Times'!$F376*0.000001)^2/(4*'D(Ti_Cherniak) Times'!$C376)/(365.35*24*3600)</f>
        <v>65.537463884118182</v>
      </c>
      <c r="K376" s="2">
        <f>('L-Values'!G376*'D(Ti_Cherniak) Times'!$F376*0.000001)^2/(4*'D(Ti_Cherniak) Times'!$C376)/(365.35*24*3600)</f>
        <v>41.983708665372312</v>
      </c>
      <c r="L376" s="2">
        <f>('L-Values'!H376*'D(Ti_Cherniak) Times'!$F376*0.000001)^2/(4*'D(Ti_Cherniak) Times'!$C376)/(365.35*24*3600)</f>
        <v>103.80037605623272</v>
      </c>
      <c r="M376" s="2">
        <f>('L-Values'!I376*'D(Ti_Cherniak) Times'!$F376*0.000001)^2/(4*'D(Ti_Cherniak) Times'!$C376)/(365.35*24*3600)</f>
        <v>48.0207505080893</v>
      </c>
      <c r="N376" s="2">
        <f>('L-Values'!J376*'D(Ti_Cherniak) Times'!$F376*0.000001)^2/(4*'D(Ti_Cherniak) Times'!$C376)/(365.35*24*3600)</f>
        <v>86.754982677040502</v>
      </c>
      <c r="O376" s="2">
        <f>('L-Values'!K376*'D(Ti_Cherniak) Times'!$F376*0.000001)^2/(4*'D(Ti_Cherniak) Times'!$C376)/(365.35*24*3600)</f>
        <v>116.45139544433172</v>
      </c>
      <c r="P376" s="2">
        <f>('L-Values'!L376*'D(Ti_Cherniak) Times'!$F376*0.000001)^2/(4*'D(Ti_Cherniak) Times'!$C376)/(365.35*24*3600)</f>
        <v>47.852728412014571</v>
      </c>
      <c r="Q376" s="2">
        <f>('L-Values'!M376*'D(Ti_Cherniak) Times'!$F376*0.000001)^2/(4*'D(Ti_Cherniak) Times'!$C376)/(365.35*24*3600)</f>
        <v>56.912043979804942</v>
      </c>
      <c r="R376" s="2">
        <f>('L-Values'!N376*'D(Ti_Cherniak) Times'!$F376*0.000001)^2/(4*'D(Ti_Cherniak) Times'!$C376)/(365.35*24*3600)</f>
        <v>62.157526888298598</v>
      </c>
      <c r="S376" s="2">
        <f>('L-Values'!O376*'D(Ti_Cherniak) Times'!$F376*0.000001)^2/(4*'D(Ti_Cherniak) Times'!$C376)/(365.35*24*3600)</f>
        <v>36.938594797743185</v>
      </c>
      <c r="T376" s="2"/>
      <c r="U376" s="2">
        <f>('L-Values'!Q376*'D(Ti_Cherniak) Times'!$F376*0.000001)^2/(4*'D(Ti_Cherniak) Times'!$C376)/(365.35*24*3600)</f>
        <v>71.245374039786341</v>
      </c>
      <c r="V376" s="2">
        <f>('L-Values'!R376*'D(Ti_Cherniak) Times'!$F376*0.000001)^2/(4*'D(Ti_Cherniak) Times'!$C376)/(365.35*24*3600)</f>
        <v>59.426174378330096</v>
      </c>
      <c r="W376" s="2">
        <f>('L-Values'!S376*'D(Ti_Cherniak) Times'!$F376*0.000001)^2/(4*'D(Ti_Cherniak) Times'!$C376)/(365.35*24*3600)</f>
        <v>56.912043979804942</v>
      </c>
      <c r="X376" s="2"/>
      <c r="Y376" s="2">
        <f>('L-Values'!U376*'D(Ti_Cherniak) Times'!$F376*0.000001)^2/(4*'D(Ti_Cherniak) Times'!$C376)/(365.35*24*3600)</f>
        <v>43.911067956085432</v>
      </c>
      <c r="Z376" s="2">
        <f>('L-Values'!V376*'D(Ti_Cherniak) Times'!$F376*0.000001)^2/(4*'D(Ti_Cherniak) Times'!$C376)/(365.35*24*3600)</f>
        <v>41.546599090881728</v>
      </c>
      <c r="AA376" s="2">
        <f>('L-Values'!W376*'D(Ti_Cherniak) Times'!$F376*0.000001)^2/(4*'D(Ti_Cherniak) Times'!$C376)/(365.35*24*3600)</f>
        <v>1.1159506378734578</v>
      </c>
      <c r="AB376" s="2">
        <f>('L-Values'!X376*'D(Ti_Cherniak) Times'!$F376*0.000001)^2/(4*'D(Ti_Cherniak) Times'!$C376)/(365.35*24*3600)</f>
        <v>163.46638402340159</v>
      </c>
      <c r="AC376" s="2">
        <f t="shared" si="22"/>
        <v>40.430648453008267</v>
      </c>
      <c r="AD376" s="2">
        <f t="shared" si="23"/>
        <v>121.91978493251986</v>
      </c>
    </row>
    <row r="377" spans="1:30" x14ac:dyDescent="0.2">
      <c r="A377" t="str">
        <f>'L-Values'!A377</f>
        <v>CGI018-qtz05-CL-fit-7-offset</v>
      </c>
      <c r="B377">
        <v>750</v>
      </c>
      <c r="C377">
        <f t="shared" si="20"/>
        <v>8.0537892000481889E-22</v>
      </c>
      <c r="D377">
        <v>1600</v>
      </c>
      <c r="E377">
        <v>1024</v>
      </c>
      <c r="F377">
        <f t="shared" si="21"/>
        <v>1.5625</v>
      </c>
      <c r="I377" s="2">
        <f>('L-Values'!E377*'D(Ti_Cherniak) Times'!$F377*0.000001)^2/(4*'D(Ti_Cherniak) Times'!$C377)/(365.35*24*3600)</f>
        <v>3.0695150146083008</v>
      </c>
      <c r="J377" s="2">
        <f>('L-Values'!F377*'D(Ti_Cherniak) Times'!$F377*0.000001)^2/(4*'D(Ti_Cherniak) Times'!$C377)/(365.35*24*3600)</f>
        <v>2.1007994526696058E-4</v>
      </c>
      <c r="K377" s="2">
        <f>('L-Values'!G377*'D(Ti_Cherniak) Times'!$F377*0.000001)^2/(4*'D(Ti_Cherniak) Times'!$C377)/(365.35*24*3600)</f>
        <v>9.4210149008957314E-2</v>
      </c>
      <c r="L377" s="2">
        <f>('L-Values'!H377*'D(Ti_Cherniak) Times'!$F377*0.000001)^2/(4*'D(Ti_Cherniak) Times'!$C377)/(365.35*24*3600)</f>
        <v>21.542139776220584</v>
      </c>
      <c r="M377" s="2">
        <f>('L-Values'!I377*'D(Ti_Cherniak) Times'!$F377*0.000001)^2/(4*'D(Ti_Cherniak) Times'!$C377)/(365.35*24*3600)</f>
        <v>4.8072188107886656E-3</v>
      </c>
      <c r="N377" s="2">
        <f>('L-Values'!J377*'D(Ti_Cherniak) Times'!$F377*0.000001)^2/(4*'D(Ti_Cherniak) Times'!$C377)/(365.35*24*3600)</f>
        <v>25.016036907392941</v>
      </c>
      <c r="O377" s="2">
        <f>('L-Values'!K377*'D(Ti_Cherniak) Times'!$F377*0.000001)^2/(4*'D(Ti_Cherniak) Times'!$C377)/(365.35*24*3600)</f>
        <v>63.545586922247921</v>
      </c>
      <c r="P377" s="2">
        <f>('L-Values'!L377*'D(Ti_Cherniak) Times'!$F377*0.000001)^2/(4*'D(Ti_Cherniak) Times'!$C377)/(365.35*24*3600)</f>
        <v>72.496220280069139</v>
      </c>
      <c r="Q377" s="2">
        <f>('L-Values'!M377*'D(Ti_Cherniak) Times'!$F377*0.000001)^2/(4*'D(Ti_Cherniak) Times'!$C377)/(365.35*24*3600)</f>
        <v>17.529856439864314</v>
      </c>
      <c r="R377" s="2">
        <f>('L-Values'!N377*'D(Ti_Cherniak) Times'!$F377*0.000001)^2/(4*'D(Ti_Cherniak) Times'!$C377)/(365.35*24*3600)</f>
        <v>4.5101142291460823</v>
      </c>
      <c r="S377" s="2">
        <f>('L-Values'!O377*'D(Ti_Cherniak) Times'!$F377*0.000001)^2/(4*'D(Ti_Cherniak) Times'!$C377)/(365.35*24*3600)</f>
        <v>11.877800127939475</v>
      </c>
      <c r="T377" s="2"/>
      <c r="U377" s="2">
        <f>('L-Values'!Q377*'D(Ti_Cherniak) Times'!$F377*0.000001)^2/(4*'D(Ti_Cherniak) Times'!$C377)/(365.35*24*3600)</f>
        <v>12.361016429969846</v>
      </c>
      <c r="V377" s="2">
        <f>('L-Values'!R377*'D(Ti_Cherniak) Times'!$F377*0.000001)^2/(4*'D(Ti_Cherniak) Times'!$C377)/(365.35*24*3600)</f>
        <v>11.951937018262003</v>
      </c>
      <c r="W377" s="2">
        <f>('L-Values'!S377*'D(Ti_Cherniak) Times'!$F377*0.000001)^2/(4*'D(Ti_Cherniak) Times'!$C377)/(365.35*24*3600)</f>
        <v>11.877800127939475</v>
      </c>
      <c r="X377" s="2"/>
      <c r="Y377" s="2">
        <f>('L-Values'!U377*'D(Ti_Cherniak) Times'!$F377*0.000001)^2/(4*'D(Ti_Cherniak) Times'!$C377)/(365.35*24*3600)</f>
        <v>4.3663482766684947</v>
      </c>
      <c r="Z377" s="2">
        <f>('L-Values'!V377*'D(Ti_Cherniak) Times'!$F377*0.000001)^2/(4*'D(Ti_Cherniak) Times'!$C377)/(365.35*24*3600)</f>
        <v>13.013798813383355</v>
      </c>
      <c r="AA377" s="2">
        <f>('L-Values'!W377*'D(Ti_Cherniak) Times'!$F377*0.000001)^2/(4*'D(Ti_Cherniak) Times'!$C377)/(365.35*24*3600)</f>
        <v>1.2135138466232269E-3</v>
      </c>
      <c r="AB377" s="2">
        <f>('L-Values'!X377*'D(Ti_Cherniak) Times'!$F377*0.000001)^2/(4*'D(Ti_Cherniak) Times'!$C377)/(365.35*24*3600)</f>
        <v>99.285984669963042</v>
      </c>
      <c r="AC377" s="2">
        <f t="shared" si="22"/>
        <v>13.012585299536731</v>
      </c>
      <c r="AD377" s="2">
        <f t="shared" si="23"/>
        <v>86.272185856579682</v>
      </c>
    </row>
    <row r="378" spans="1:30" x14ac:dyDescent="0.2">
      <c r="A378" t="str">
        <f>'L-Values'!A378</f>
        <v>CGI018-qtz06-CL-fit-2-offset</v>
      </c>
      <c r="B378">
        <v>750</v>
      </c>
      <c r="C378">
        <f t="shared" si="20"/>
        <v>8.0537892000481889E-22</v>
      </c>
      <c r="D378">
        <v>1750</v>
      </c>
      <c r="E378">
        <v>1024</v>
      </c>
      <c r="F378">
        <f t="shared" si="21"/>
        <v>1.708984375</v>
      </c>
      <c r="I378" s="2">
        <f>('L-Values'!E378*'D(Ti_Cherniak) Times'!$F378*0.000001)^2/(4*'D(Ti_Cherniak) Times'!$C378)/(365.35*24*3600)</f>
        <v>135.25303801390035</v>
      </c>
      <c r="J378" s="2">
        <f>('L-Values'!F378*'D(Ti_Cherniak) Times'!$F378*0.000001)^2/(4*'D(Ti_Cherniak) Times'!$C378)/(365.35*24*3600)</f>
        <v>461.7479017358516</v>
      </c>
      <c r="K378" s="2">
        <f>('L-Values'!G378*'D(Ti_Cherniak) Times'!$F378*0.000001)^2/(4*'D(Ti_Cherniak) Times'!$C378)/(365.35*24*3600)</f>
        <v>803.16352626738774</v>
      </c>
      <c r="L378" s="2">
        <f>('L-Values'!H378*'D(Ti_Cherniak) Times'!$F378*0.000001)^2/(4*'D(Ti_Cherniak) Times'!$C378)/(365.35*24*3600)</f>
        <v>254.93751518155165</v>
      </c>
      <c r="M378" s="2">
        <f>('L-Values'!I378*'D(Ti_Cherniak) Times'!$F378*0.000001)^2/(4*'D(Ti_Cherniak) Times'!$C378)/(365.35*24*3600)</f>
        <v>173.86998461345712</v>
      </c>
      <c r="N378" s="2">
        <f>('L-Values'!J378*'D(Ti_Cherniak) Times'!$F378*0.000001)^2/(4*'D(Ti_Cherniak) Times'!$C378)/(365.35*24*3600)</f>
        <v>133.27833007844009</v>
      </c>
      <c r="O378" s="2">
        <f>('L-Values'!K378*'D(Ti_Cherniak) Times'!$F378*0.000001)^2/(4*'D(Ti_Cherniak) Times'!$C378)/(365.35*24*3600)</f>
        <v>105.69403599115429</v>
      </c>
      <c r="P378" s="2">
        <f>('L-Values'!L378*'D(Ti_Cherniak) Times'!$F378*0.000001)^2/(4*'D(Ti_Cherniak) Times'!$C378)/(365.35*24*3600)</f>
        <v>290.59884113064879</v>
      </c>
      <c r="Q378" s="2">
        <f>('L-Values'!M378*'D(Ti_Cherniak) Times'!$F378*0.000001)^2/(4*'D(Ti_Cherniak) Times'!$C378)/(365.35*24*3600)</f>
        <v>500.28117518096849</v>
      </c>
      <c r="R378" s="2">
        <f>('L-Values'!N378*'D(Ti_Cherniak) Times'!$F378*0.000001)^2/(4*'D(Ti_Cherniak) Times'!$C378)/(365.35*24*3600)</f>
        <v>297.81972420444617</v>
      </c>
      <c r="S378" s="2">
        <f>('L-Values'!O378*'D(Ti_Cherniak) Times'!$F378*0.000001)^2/(4*'D(Ti_Cherniak) Times'!$C378)/(365.35*24*3600)</f>
        <v>230.8522700524419</v>
      </c>
      <c r="T378" s="2"/>
      <c r="U378" s="2">
        <f>('L-Values'!Q378*'D(Ti_Cherniak) Times'!$F378*0.000001)^2/(4*'D(Ti_Cherniak) Times'!$C378)/(365.35*24*3600)</f>
        <v>242.89771996428212</v>
      </c>
      <c r="V378" s="2">
        <f>('L-Values'!R378*'D(Ti_Cherniak) Times'!$F378*0.000001)^2/(4*'D(Ti_Cherniak) Times'!$C378)/(365.35*24*3600)</f>
        <v>280.7197317298419</v>
      </c>
      <c r="W378" s="2">
        <f>('L-Values'!S378*'D(Ti_Cherniak) Times'!$F378*0.000001)^2/(4*'D(Ti_Cherniak) Times'!$C378)/(365.35*24*3600)</f>
        <v>254.93751518155165</v>
      </c>
      <c r="X378" s="2"/>
      <c r="Y378" s="2">
        <f>('L-Values'!U378*'D(Ti_Cherniak) Times'!$F378*0.000001)^2/(4*'D(Ti_Cherniak) Times'!$C378)/(365.35*24*3600)</f>
        <v>241.04484191612286</v>
      </c>
      <c r="Z378" s="2">
        <f>('L-Values'!V378*'D(Ti_Cherniak) Times'!$F378*0.000001)^2/(4*'D(Ti_Cherniak) Times'!$C378)/(365.35*24*3600)</f>
        <v>260.85851120227051</v>
      </c>
      <c r="AA378" s="2">
        <f>('L-Values'!W378*'D(Ti_Cherniak) Times'!$F378*0.000001)^2/(4*'D(Ti_Cherniak) Times'!$C378)/(365.35*24*3600)</f>
        <v>63.664239092342413</v>
      </c>
      <c r="AB378" s="2">
        <f>('L-Values'!X378*'D(Ti_Cherniak) Times'!$F378*0.000001)^2/(4*'D(Ti_Cherniak) Times'!$C378)/(365.35*24*3600)</f>
        <v>945.35276302835109</v>
      </c>
      <c r="AC378" s="2">
        <f t="shared" si="22"/>
        <v>197.19427210992808</v>
      </c>
      <c r="AD378" s="2">
        <f t="shared" si="23"/>
        <v>684.49425182608059</v>
      </c>
    </row>
    <row r="379" spans="1:30" x14ac:dyDescent="0.2">
      <c r="A379" t="str">
        <f>'L-Values'!A379</f>
        <v>CGI018-qtz06-CL-fit-3-offset</v>
      </c>
      <c r="B379">
        <v>750</v>
      </c>
      <c r="C379">
        <f t="shared" si="20"/>
        <v>8.0537892000481889E-22</v>
      </c>
      <c r="D379">
        <v>1750</v>
      </c>
      <c r="E379">
        <v>1024</v>
      </c>
      <c r="F379">
        <f t="shared" si="21"/>
        <v>1.708984375</v>
      </c>
      <c r="I379" s="2">
        <f>('L-Values'!E379*'D(Ti_Cherniak) Times'!$F379*0.000001)^2/(4*'D(Ti_Cherniak) Times'!$C379)/(365.35*24*3600)</f>
        <v>20.481252047182362</v>
      </c>
      <c r="J379" s="2">
        <f>('L-Values'!F379*'D(Ti_Cherniak) Times'!$F379*0.000001)^2/(4*'D(Ti_Cherniak) Times'!$C379)/(365.35*24*3600)</f>
        <v>81.776720290644619</v>
      </c>
      <c r="K379" s="2">
        <f>('L-Values'!G379*'D(Ti_Cherniak) Times'!$F379*0.000001)^2/(4*'D(Ti_Cherniak) Times'!$C379)/(365.35*24*3600)</f>
        <v>93.349337376055118</v>
      </c>
      <c r="L379" s="2">
        <f>('L-Values'!H379*'D(Ti_Cherniak) Times'!$F379*0.000001)^2/(4*'D(Ti_Cherniak) Times'!$C379)/(365.35*24*3600)</f>
        <v>105.31580912122087</v>
      </c>
      <c r="M379" s="2">
        <f>('L-Values'!I379*'D(Ti_Cherniak) Times'!$F379*0.000001)^2/(4*'D(Ti_Cherniak) Times'!$C379)/(365.35*24*3600)</f>
        <v>228.84213138769485</v>
      </c>
      <c r="N379" s="2">
        <f>('L-Values'!J379*'D(Ti_Cherniak) Times'!$F379*0.000001)^2/(4*'D(Ti_Cherniak) Times'!$C379)/(365.35*24*3600)</f>
        <v>45.608385354412682</v>
      </c>
      <c r="O379" s="2">
        <f>('L-Values'!K379*'D(Ti_Cherniak) Times'!$F379*0.000001)^2/(4*'D(Ti_Cherniak) Times'!$C379)/(365.35*24*3600)</f>
        <v>102.93927780156778</v>
      </c>
      <c r="P379" s="2">
        <f>('L-Values'!L379*'D(Ti_Cherniak) Times'!$F379*0.000001)^2/(4*'D(Ti_Cherniak) Times'!$C379)/(365.35*24*3600)</f>
        <v>139.13136399559153</v>
      </c>
      <c r="Q379" s="2">
        <f>('L-Values'!M379*'D(Ti_Cherniak) Times'!$F379*0.000001)^2/(4*'D(Ti_Cherniak) Times'!$C379)/(365.35*24*3600)</f>
        <v>117.44068851625974</v>
      </c>
      <c r="R379" s="2">
        <f>('L-Values'!N379*'D(Ti_Cherniak) Times'!$F379*0.000001)^2/(4*'D(Ti_Cherniak) Times'!$C379)/(365.35*24*3600)</f>
        <v>237.13213382152503</v>
      </c>
      <c r="S379" s="2">
        <f>('L-Values'!O379*'D(Ti_Cherniak) Times'!$F379*0.000001)^2/(4*'D(Ti_Cherniak) Times'!$C379)/(365.35*24*3600)</f>
        <v>51.117513787019199</v>
      </c>
      <c r="T379" s="2"/>
      <c r="U379" s="2">
        <f>('L-Values'!Q379*'D(Ti_Cherniak) Times'!$F379*0.000001)^2/(4*'D(Ti_Cherniak) Times'!$C379)/(365.35*24*3600)</f>
        <v>97.827051534876617</v>
      </c>
      <c r="V379" s="2">
        <f>('L-Values'!R379*'D(Ti_Cherniak) Times'!$F379*0.000001)^2/(4*'D(Ti_Cherniak) Times'!$C379)/(365.35*24*3600)</f>
        <v>101.27813007775192</v>
      </c>
      <c r="W379" s="2">
        <f>('L-Values'!S379*'D(Ti_Cherniak) Times'!$F379*0.000001)^2/(4*'D(Ti_Cherniak) Times'!$C379)/(365.35*24*3600)</f>
        <v>102.93927780156778</v>
      </c>
      <c r="X379" s="2"/>
      <c r="Y379" s="2">
        <f>('L-Values'!U379*'D(Ti_Cherniak) Times'!$F379*0.000001)^2/(4*'D(Ti_Cherniak) Times'!$C379)/(365.35*24*3600)</f>
        <v>101.52881275676405</v>
      </c>
      <c r="Z379" s="2">
        <f>('L-Values'!V379*'D(Ti_Cherniak) Times'!$F379*0.000001)^2/(4*'D(Ti_Cherniak) Times'!$C379)/(365.35*24*3600)</f>
        <v>102.60833053623224</v>
      </c>
      <c r="AA379" s="2">
        <f>('L-Values'!W379*'D(Ti_Cherniak) Times'!$F379*0.000001)^2/(4*'D(Ti_Cherniak) Times'!$C379)/(365.35*24*3600)</f>
        <v>17.074962496112985</v>
      </c>
      <c r="AB379" s="2">
        <f>('L-Values'!X379*'D(Ti_Cherniak) Times'!$F379*0.000001)^2/(4*'D(Ti_Cherniak) Times'!$C379)/(365.35*24*3600)</f>
        <v>247.08333039364132</v>
      </c>
      <c r="AC379" s="2">
        <f t="shared" si="22"/>
        <v>85.533368040119257</v>
      </c>
      <c r="AD379" s="2">
        <f t="shared" si="23"/>
        <v>144.47499985740907</v>
      </c>
    </row>
    <row r="380" spans="1:30" x14ac:dyDescent="0.2">
      <c r="A380" t="str">
        <f>'L-Values'!A380</f>
        <v>CGI018-qtz06-CL-fit-4-offset</v>
      </c>
      <c r="B380">
        <v>750</v>
      </c>
      <c r="C380">
        <f t="shared" si="20"/>
        <v>8.0537892000481889E-22</v>
      </c>
      <c r="D380">
        <v>1750</v>
      </c>
      <c r="E380">
        <v>1024</v>
      </c>
      <c r="F380">
        <f t="shared" si="21"/>
        <v>1.708984375</v>
      </c>
      <c r="I380" s="2">
        <f>('L-Values'!E380*'D(Ti_Cherniak) Times'!$F380*0.000001)^2/(4*'D(Ti_Cherniak) Times'!$C380)/(365.35*24*3600)</f>
        <v>37.959904403913377</v>
      </c>
      <c r="J380" s="2">
        <f>('L-Values'!F380*'D(Ti_Cherniak) Times'!$F380*0.000001)^2/(4*'D(Ti_Cherniak) Times'!$C380)/(365.35*24*3600)</f>
        <v>17.369714769726528</v>
      </c>
      <c r="K380" s="2">
        <f>('L-Values'!G380*'D(Ti_Cherniak) Times'!$F380*0.000001)^2/(4*'D(Ti_Cherniak) Times'!$C380)/(365.35*24*3600)</f>
        <v>49.368691893083692</v>
      </c>
      <c r="L380" s="2">
        <f>('L-Values'!H380*'D(Ti_Cherniak) Times'!$F380*0.000001)^2/(4*'D(Ti_Cherniak) Times'!$C380)/(365.35*24*3600)</f>
        <v>1.4930242040610384</v>
      </c>
      <c r="M380" s="2">
        <f>('L-Values'!I380*'D(Ti_Cherniak) Times'!$F380*0.000001)^2/(4*'D(Ti_Cherniak) Times'!$C380)/(365.35*24*3600)</f>
        <v>1.1379075131882153</v>
      </c>
      <c r="N380" s="2">
        <f>('L-Values'!J380*'D(Ti_Cherniak) Times'!$F380*0.000001)^2/(4*'D(Ti_Cherniak) Times'!$C380)/(365.35*24*3600)</f>
        <v>8.6936880914393697</v>
      </c>
      <c r="O380" s="2">
        <f>('L-Values'!K380*'D(Ti_Cherniak) Times'!$F380*0.000001)^2/(4*'D(Ti_Cherniak) Times'!$C380)/(365.35*24*3600)</f>
        <v>62.530104398679391</v>
      </c>
      <c r="P380" s="2">
        <f>('L-Values'!L380*'D(Ti_Cherniak) Times'!$F380*0.000001)^2/(4*'D(Ti_Cherniak) Times'!$C380)/(365.35*24*3600)</f>
        <v>58.853006987958921</v>
      </c>
      <c r="Q380" s="2">
        <f>('L-Values'!M380*'D(Ti_Cherniak) Times'!$F380*0.000001)^2/(4*'D(Ti_Cherniak) Times'!$C380)/(365.35*24*3600)</f>
        <v>99.011395834661656</v>
      </c>
      <c r="R380" s="2">
        <f>('L-Values'!N380*'D(Ti_Cherniak) Times'!$F380*0.000001)^2/(4*'D(Ti_Cherniak) Times'!$C380)/(365.35*24*3600)</f>
        <v>0.23653267569125486</v>
      </c>
      <c r="S380" s="2">
        <f>('L-Values'!O380*'D(Ti_Cherniak) Times'!$F380*0.000001)^2/(4*'D(Ti_Cherniak) Times'!$C380)/(365.35*24*3600)</f>
        <v>178.27116449156739</v>
      </c>
      <c r="T380" s="2"/>
      <c r="U380" s="2">
        <f>('L-Values'!Q380*'D(Ti_Cherniak) Times'!$F380*0.000001)^2/(4*'D(Ti_Cherniak) Times'!$C380)/(365.35*24*3600)</f>
        <v>26.98031397799825</v>
      </c>
      <c r="V380" s="2">
        <f>('L-Values'!R380*'D(Ti_Cherniak) Times'!$F380*0.000001)^2/(4*'D(Ti_Cherniak) Times'!$C380)/(365.35*24*3600)</f>
        <v>31.727675927739934</v>
      </c>
      <c r="W380" s="2">
        <f>('L-Values'!S380*'D(Ti_Cherniak) Times'!$F380*0.000001)^2/(4*'D(Ti_Cherniak) Times'!$C380)/(365.35*24*3600)</f>
        <v>37.959904403913377</v>
      </c>
      <c r="X380" s="2"/>
      <c r="Y380" s="2">
        <f>('L-Values'!U380*'D(Ti_Cherniak) Times'!$F380*0.000001)^2/(4*'D(Ti_Cherniak) Times'!$C380)/(365.35*24*3600)</f>
        <v>23.925968649760339</v>
      </c>
      <c r="Z380" s="2">
        <f>('L-Values'!V380*'D(Ti_Cherniak) Times'!$F380*0.000001)^2/(4*'D(Ti_Cherniak) Times'!$C380)/(365.35*24*3600)</f>
        <v>26.029852225532625</v>
      </c>
      <c r="AA380" s="2">
        <f>('L-Values'!W380*'D(Ti_Cherniak) Times'!$F380*0.000001)^2/(4*'D(Ti_Cherniak) Times'!$C380)/(365.35*24*3600)</f>
        <v>0.92994571760939715</v>
      </c>
      <c r="AB380" s="2">
        <f>('L-Values'!X380*'D(Ti_Cherniak) Times'!$F380*0.000001)^2/(4*'D(Ti_Cherniak) Times'!$C380)/(365.35*24*3600)</f>
        <v>223.0265933568507</v>
      </c>
      <c r="AC380" s="2">
        <f t="shared" si="22"/>
        <v>25.09990650792323</v>
      </c>
      <c r="AD380" s="2">
        <f t="shared" si="23"/>
        <v>196.99674113131806</v>
      </c>
    </row>
    <row r="381" spans="1:30" x14ac:dyDescent="0.2">
      <c r="A381" t="str">
        <f>'L-Values'!A381</f>
        <v>CGI018-qtz07-CL-fit-1-offset</v>
      </c>
      <c r="B381">
        <v>750</v>
      </c>
      <c r="C381">
        <f t="shared" si="20"/>
        <v>8.0537892000481889E-22</v>
      </c>
      <c r="D381">
        <v>1700</v>
      </c>
      <c r="E381">
        <v>1024</v>
      </c>
      <c r="F381">
        <f t="shared" si="21"/>
        <v>1.66015625</v>
      </c>
      <c r="I381" s="2">
        <f>('L-Values'!E381*'D(Ti_Cherniak) Times'!$F381*0.000001)^2/(4*'D(Ti_Cherniak) Times'!$C381)/(365.35*24*3600)</f>
        <v>278.23243259778474</v>
      </c>
      <c r="J381" s="2">
        <f>('L-Values'!F381*'D(Ti_Cherniak) Times'!$F381*0.000001)^2/(4*'D(Ti_Cherniak) Times'!$C381)/(365.35*24*3600)</f>
        <v>185.5638073206099</v>
      </c>
      <c r="K381" s="2">
        <f>('L-Values'!G381*'D(Ti_Cherniak) Times'!$F381*0.000001)^2/(4*'D(Ti_Cherniak) Times'!$C381)/(365.35*24*3600)</f>
        <v>507.95237602452727</v>
      </c>
      <c r="L381" s="2">
        <f>('L-Values'!H381*'D(Ti_Cherniak) Times'!$F381*0.000001)^2/(4*'D(Ti_Cherniak) Times'!$C381)/(365.35*24*3600)</f>
        <v>469.94234419751348</v>
      </c>
      <c r="M381" s="2">
        <f>('L-Values'!I381*'D(Ti_Cherniak) Times'!$F381*0.000001)^2/(4*'D(Ti_Cherniak) Times'!$C381)/(365.35*24*3600)</f>
        <v>156.27660806323496</v>
      </c>
      <c r="N381" s="2">
        <f>('L-Values'!J381*'D(Ti_Cherniak) Times'!$F381*0.000001)^2/(4*'D(Ti_Cherniak) Times'!$C381)/(365.35*24*3600)</f>
        <v>61.817301467224034</v>
      </c>
      <c r="O381" s="2">
        <f>('L-Values'!K381*'D(Ti_Cherniak) Times'!$F381*0.000001)^2/(4*'D(Ti_Cherniak) Times'!$C381)/(365.35*24*3600)</f>
        <v>629.44211482729804</v>
      </c>
      <c r="P381" s="2">
        <f>('L-Values'!L381*'D(Ti_Cherniak) Times'!$F381*0.000001)^2/(4*'D(Ti_Cherniak) Times'!$C381)/(365.35*24*3600)</f>
        <v>96.303761192529805</v>
      </c>
      <c r="Q381" s="2">
        <f>('L-Values'!M381*'D(Ti_Cherniak) Times'!$F381*0.000001)^2/(4*'D(Ti_Cherniak) Times'!$C381)/(365.35*24*3600)</f>
        <v>46.621474501686194</v>
      </c>
      <c r="R381" s="2">
        <f>('L-Values'!N381*'D(Ti_Cherniak) Times'!$F381*0.000001)^2/(4*'D(Ti_Cherniak) Times'!$C381)/(365.35*24*3600)</f>
        <v>482.72981050408026</v>
      </c>
      <c r="S381" s="2">
        <f>('L-Values'!O381*'D(Ti_Cherniak) Times'!$F381*0.000001)^2/(4*'D(Ti_Cherniak) Times'!$C381)/(365.35*24*3600)</f>
        <v>94.286394700767929</v>
      </c>
      <c r="T381" s="2"/>
      <c r="U381" s="2">
        <f>('L-Values'!Q381*'D(Ti_Cherniak) Times'!$F381*0.000001)^2/(4*'D(Ti_Cherniak) Times'!$C381)/(365.35*24*3600)</f>
        <v>277.85071499191446</v>
      </c>
      <c r="V381" s="2">
        <f>('L-Values'!R381*'D(Ti_Cherniak) Times'!$F381*0.000001)^2/(4*'D(Ti_Cherniak) Times'!$C381)/(365.35*24*3600)</f>
        <v>234.07122955979679</v>
      </c>
      <c r="W381" s="2">
        <f>('L-Values'!S381*'D(Ti_Cherniak) Times'!$F381*0.000001)^2/(4*'D(Ti_Cherniak) Times'!$C381)/(365.35*24*3600)</f>
        <v>185.5638073206099</v>
      </c>
      <c r="X381" s="2"/>
      <c r="Y381" s="2">
        <f>('L-Values'!U381*'D(Ti_Cherniak) Times'!$F381*0.000001)^2/(4*'D(Ti_Cherniak) Times'!$C381)/(365.35*24*3600)</f>
        <v>216.93576176766425</v>
      </c>
      <c r="Z381" s="2">
        <f>('L-Values'!V381*'D(Ti_Cherniak) Times'!$F381*0.000001)^2/(4*'D(Ti_Cherniak) Times'!$C381)/(365.35*24*3600)</f>
        <v>285.19357823071414</v>
      </c>
      <c r="AA381" s="2">
        <f>('L-Values'!W381*'D(Ti_Cherniak) Times'!$F381*0.000001)^2/(4*'D(Ti_Cherniak) Times'!$C381)/(365.35*24*3600)</f>
        <v>0.12529180847956067</v>
      </c>
      <c r="AB381" s="2">
        <f>('L-Values'!X381*'D(Ti_Cherniak) Times'!$F381*0.000001)^2/(4*'D(Ti_Cherniak) Times'!$C381)/(365.35*24*3600)</f>
        <v>1850.0776795901511</v>
      </c>
      <c r="AC381" s="2">
        <f t="shared" si="22"/>
        <v>285.06828642223456</v>
      </c>
      <c r="AD381" s="2">
        <f t="shared" si="23"/>
        <v>1564.884101359437</v>
      </c>
    </row>
    <row r="382" spans="1:30" x14ac:dyDescent="0.2">
      <c r="A382" t="str">
        <f>'L-Values'!A382</f>
        <v>CGI018-qtz07-CL-fit-2-offset</v>
      </c>
      <c r="B382">
        <v>750</v>
      </c>
      <c r="C382">
        <f t="shared" si="20"/>
        <v>8.0537892000481889E-22</v>
      </c>
      <c r="D382">
        <v>1700</v>
      </c>
      <c r="E382">
        <v>1024</v>
      </c>
      <c r="F382">
        <f t="shared" si="21"/>
        <v>1.66015625</v>
      </c>
      <c r="I382" s="2">
        <f>('L-Values'!E382*'D(Ti_Cherniak) Times'!$F382*0.000001)^2/(4*'D(Ti_Cherniak) Times'!$C382)/(365.35*24*3600)</f>
        <v>270.71565937765973</v>
      </c>
      <c r="J382" s="2">
        <f>('L-Values'!F382*'D(Ti_Cherniak) Times'!$F382*0.000001)^2/(4*'D(Ti_Cherniak) Times'!$C382)/(365.35*24*3600)</f>
        <v>303.66706971856985</v>
      </c>
      <c r="K382" s="2">
        <f>('L-Values'!G382*'D(Ti_Cherniak) Times'!$F382*0.000001)^2/(4*'D(Ti_Cherniak) Times'!$C382)/(365.35*24*3600)</f>
        <v>136.66311009186194</v>
      </c>
      <c r="L382" s="2">
        <f>('L-Values'!H382*'D(Ti_Cherniak) Times'!$F382*0.000001)^2/(4*'D(Ti_Cherniak) Times'!$C382)/(365.35*24*3600)</f>
        <v>142.24168257274596</v>
      </c>
      <c r="M382" s="2">
        <f>('L-Values'!I382*'D(Ti_Cherniak) Times'!$F382*0.000001)^2/(4*'D(Ti_Cherniak) Times'!$C382)/(365.35*24*3600)</f>
        <v>1212.3743680791795</v>
      </c>
      <c r="N382" s="2">
        <f>('L-Values'!J382*'D(Ti_Cherniak) Times'!$F382*0.000001)^2/(4*'D(Ti_Cherniak) Times'!$C382)/(365.35*24*3600)</f>
        <v>1.0737542521025996</v>
      </c>
      <c r="O382" s="2">
        <f>('L-Values'!K382*'D(Ti_Cherniak) Times'!$F382*0.000001)^2/(4*'D(Ti_Cherniak) Times'!$C382)/(365.35*24*3600)</f>
        <v>219.59088000902491</v>
      </c>
      <c r="P382" s="2">
        <f>('L-Values'!L382*'D(Ti_Cherniak) Times'!$F382*0.000001)^2/(4*'D(Ti_Cherniak) Times'!$C382)/(365.35*24*3600)</f>
        <v>560.07516708033313</v>
      </c>
      <c r="Q382" s="2">
        <f>('L-Values'!M382*'D(Ti_Cherniak) Times'!$F382*0.000001)^2/(4*'D(Ti_Cherniak) Times'!$C382)/(365.35*24*3600)</f>
        <v>321.03777863026789</v>
      </c>
      <c r="R382" s="2">
        <f>('L-Values'!N382*'D(Ti_Cherniak) Times'!$F382*0.000001)^2/(4*'D(Ti_Cherniak) Times'!$C382)/(365.35*24*3600)</f>
        <v>147.15144901424847</v>
      </c>
      <c r="S382" s="2">
        <f>('L-Values'!O382*'D(Ti_Cherniak) Times'!$F382*0.000001)^2/(4*'D(Ti_Cherniak) Times'!$C382)/(365.35*24*3600)</f>
        <v>218.79027241744009</v>
      </c>
      <c r="T382" s="2"/>
      <c r="U382" s="2">
        <f>('L-Values'!Q382*'D(Ti_Cherniak) Times'!$F382*0.000001)^2/(4*'D(Ti_Cherniak) Times'!$C382)/(365.35*24*3600)</f>
        <v>325.52138870804617</v>
      </c>
      <c r="V382" s="2">
        <f>('L-Values'!R382*'D(Ti_Cherniak) Times'!$F382*0.000001)^2/(4*'D(Ti_Cherniak) Times'!$C382)/(365.35*24*3600)</f>
        <v>257.96996684620268</v>
      </c>
      <c r="W382" s="2">
        <f>('L-Values'!S382*'D(Ti_Cherniak) Times'!$F382*0.000001)^2/(4*'D(Ti_Cherniak) Times'!$C382)/(365.35*24*3600)</f>
        <v>219.59088000902491</v>
      </c>
      <c r="X382" s="2"/>
      <c r="Y382" s="2">
        <f>('L-Values'!U382*'D(Ti_Cherniak) Times'!$F382*0.000001)^2/(4*'D(Ti_Cherniak) Times'!$C382)/(365.35*24*3600)</f>
        <v>300.8870708225196</v>
      </c>
      <c r="Z382" s="2">
        <f>('L-Values'!V382*'D(Ti_Cherniak) Times'!$F382*0.000001)^2/(4*'D(Ti_Cherniak) Times'!$C382)/(365.35*24*3600)</f>
        <v>319.96129120267636</v>
      </c>
      <c r="AA382" s="2">
        <f>('L-Values'!W382*'D(Ti_Cherniak) Times'!$F382*0.000001)^2/(4*'D(Ti_Cherniak) Times'!$C382)/(365.35*24*3600)</f>
        <v>36.125794730068634</v>
      </c>
      <c r="AB382" s="2">
        <f>('L-Values'!X382*'D(Ti_Cherniak) Times'!$F382*0.000001)^2/(4*'D(Ti_Cherniak) Times'!$C382)/(365.35*24*3600)</f>
        <v>956.32588139113523</v>
      </c>
      <c r="AC382" s="2">
        <f t="shared" si="22"/>
        <v>283.8354964726077</v>
      </c>
      <c r="AD382" s="2">
        <f t="shared" si="23"/>
        <v>636.36459018845881</v>
      </c>
    </row>
    <row r="383" spans="1:30" x14ac:dyDescent="0.2">
      <c r="A383" t="str">
        <f>'L-Values'!A383</f>
        <v>CGI018-qtz07-CL-fit-3-offset</v>
      </c>
      <c r="B383">
        <v>750</v>
      </c>
      <c r="C383">
        <f t="shared" si="20"/>
        <v>8.0537892000481889E-22</v>
      </c>
      <c r="D383">
        <v>1700</v>
      </c>
      <c r="E383">
        <v>1024</v>
      </c>
      <c r="F383">
        <f t="shared" si="21"/>
        <v>1.66015625</v>
      </c>
      <c r="I383" s="2">
        <f>('L-Values'!E383*'D(Ti_Cherniak) Times'!$F383*0.000001)^2/(4*'D(Ti_Cherniak) Times'!$C383)/(365.35*24*3600)</f>
        <v>48.787020609387952</v>
      </c>
      <c r="J383" s="2">
        <f>('L-Values'!F383*'D(Ti_Cherniak) Times'!$F383*0.000001)^2/(4*'D(Ti_Cherniak) Times'!$C383)/(365.35*24*3600)</f>
        <v>18.169643746430243</v>
      </c>
      <c r="K383" s="2">
        <f>('L-Values'!G383*'D(Ti_Cherniak) Times'!$F383*0.000001)^2/(4*'D(Ti_Cherniak) Times'!$C383)/(365.35*24*3600)</f>
        <v>32.382788262061148</v>
      </c>
      <c r="L383" s="2">
        <f>('L-Values'!H383*'D(Ti_Cherniak) Times'!$F383*0.000001)^2/(4*'D(Ti_Cherniak) Times'!$C383)/(365.35*24*3600)</f>
        <v>21.751505100332039</v>
      </c>
      <c r="M383" s="2">
        <f>('L-Values'!I383*'D(Ti_Cherniak) Times'!$F383*0.000001)^2/(4*'D(Ti_Cherniak) Times'!$C383)/(365.35*24*3600)</f>
        <v>2.2614307368650843E-2</v>
      </c>
      <c r="N383" s="2">
        <f>('L-Values'!J383*'D(Ti_Cherniak) Times'!$F383*0.000001)^2/(4*'D(Ti_Cherniak) Times'!$C383)/(365.35*24*3600)</f>
        <v>64.186814957854367</v>
      </c>
      <c r="O383" s="2">
        <f>('L-Values'!K383*'D(Ti_Cherniak) Times'!$F383*0.000001)^2/(4*'D(Ti_Cherniak) Times'!$C383)/(365.35*24*3600)</f>
        <v>365.06184799519281</v>
      </c>
      <c r="P383" s="2">
        <f>('L-Values'!L383*'D(Ti_Cherniak) Times'!$F383*0.000001)^2/(4*'D(Ti_Cherniak) Times'!$C383)/(365.35*24*3600)</f>
        <v>49.425220157853417</v>
      </c>
      <c r="Q383" s="2">
        <f>('L-Values'!M383*'D(Ti_Cherniak) Times'!$F383*0.000001)^2/(4*'D(Ti_Cherniak) Times'!$C383)/(365.35*24*3600)</f>
        <v>56.602893542595822</v>
      </c>
      <c r="R383" s="2">
        <f>('L-Values'!N383*'D(Ti_Cherniak) Times'!$F383*0.000001)^2/(4*'D(Ti_Cherniak) Times'!$C383)/(365.35*24*3600)</f>
        <v>22.956345494358068</v>
      </c>
      <c r="S383" s="2">
        <f>('L-Values'!O383*'D(Ti_Cherniak) Times'!$F383*0.000001)^2/(4*'D(Ti_Cherniak) Times'!$C383)/(365.35*24*3600)</f>
        <v>37.558792743957675</v>
      </c>
      <c r="T383" s="2"/>
      <c r="U383" s="2">
        <f>('L-Values'!Q383*'D(Ti_Cherniak) Times'!$F383*0.000001)^2/(4*'D(Ti_Cherniak) Times'!$C383)/(365.35*24*3600)</f>
        <v>35.087313801252336</v>
      </c>
      <c r="V383" s="2">
        <f>('L-Values'!R383*'D(Ti_Cherniak) Times'!$F383*0.000001)^2/(4*'D(Ti_Cherniak) Times'!$C383)/(365.35*24*3600)</f>
        <v>45.677977308262079</v>
      </c>
      <c r="W383" s="2">
        <f>('L-Values'!S383*'D(Ti_Cherniak) Times'!$F383*0.000001)^2/(4*'D(Ti_Cherniak) Times'!$C383)/(365.35*24*3600)</f>
        <v>37.558792743957675</v>
      </c>
      <c r="X383" s="2"/>
      <c r="Y383" s="2">
        <f>('L-Values'!U383*'D(Ti_Cherniak) Times'!$F383*0.000001)^2/(4*'D(Ti_Cherniak) Times'!$C383)/(365.35*24*3600)</f>
        <v>30.426029618810201</v>
      </c>
      <c r="Z383" s="2">
        <f>('L-Values'!V383*'D(Ti_Cherniak) Times'!$F383*0.000001)^2/(4*'D(Ti_Cherniak) Times'!$C383)/(365.35*24*3600)</f>
        <v>31.070039720086367</v>
      </c>
      <c r="AA383" s="2">
        <f>('L-Values'!W383*'D(Ti_Cherniak) Times'!$F383*0.000001)^2/(4*'D(Ti_Cherniak) Times'!$C383)/(365.35*24*3600)</f>
        <v>0.97595527185727815</v>
      </c>
      <c r="AB383" s="2">
        <f>('L-Values'!X383*'D(Ti_Cherniak) Times'!$F383*0.000001)^2/(4*'D(Ti_Cherniak) Times'!$C383)/(365.35*24*3600)</f>
        <v>95.55455062286083</v>
      </c>
      <c r="AC383" s="2">
        <f t="shared" si="22"/>
        <v>30.09408444822909</v>
      </c>
      <c r="AD383" s="2">
        <f t="shared" si="23"/>
        <v>64.48451090277446</v>
      </c>
    </row>
    <row r="384" spans="1:30" x14ac:dyDescent="0.2">
      <c r="A384" t="str">
        <f>'L-Values'!A384</f>
        <v>CGI018-qtz08-CL-fit-1-offset</v>
      </c>
      <c r="B384">
        <v>750</v>
      </c>
      <c r="C384">
        <f t="shared" si="20"/>
        <v>8.0537892000481889E-22</v>
      </c>
      <c r="D384">
        <v>2300</v>
      </c>
      <c r="E384">
        <v>1024</v>
      </c>
      <c r="F384">
        <f t="shared" si="21"/>
        <v>2.24609375</v>
      </c>
      <c r="I384" s="2">
        <f>('L-Values'!E384*'D(Ti_Cherniak) Times'!$F384*0.000001)^2/(4*'D(Ti_Cherniak) Times'!$C384)/(365.35*24*3600)</f>
        <v>4986.2650710891658</v>
      </c>
      <c r="J384" s="2">
        <f>('L-Values'!F384*'D(Ti_Cherniak) Times'!$F384*0.000001)^2/(4*'D(Ti_Cherniak) Times'!$C384)/(365.35*24*3600)</f>
        <v>4711.0676513276867</v>
      </c>
      <c r="K384" s="2">
        <f>('L-Values'!G384*'D(Ti_Cherniak) Times'!$F384*0.000001)^2/(4*'D(Ti_Cherniak) Times'!$C384)/(365.35*24*3600)</f>
        <v>4648.7785614846534</v>
      </c>
      <c r="L384" s="2">
        <f>('L-Values'!H384*'D(Ti_Cherniak) Times'!$F384*0.000001)^2/(4*'D(Ti_Cherniak) Times'!$C384)/(365.35*24*3600)</f>
        <v>5153.4220959987888</v>
      </c>
      <c r="M384" s="2">
        <f>('L-Values'!I384*'D(Ti_Cherniak) Times'!$F384*0.000001)^2/(4*'D(Ti_Cherniak) Times'!$C384)/(365.35*24*3600)</f>
        <v>4934.7228783311302</v>
      </c>
      <c r="N384" s="2">
        <f>('L-Values'!J384*'D(Ti_Cherniak) Times'!$F384*0.000001)^2/(4*'D(Ti_Cherniak) Times'!$C384)/(365.35*24*3600)</f>
        <v>5337.509978541053</v>
      </c>
      <c r="O384" s="2">
        <f>('L-Values'!K384*'D(Ti_Cherniak) Times'!$F384*0.000001)^2/(4*'D(Ti_Cherniak) Times'!$C384)/(365.35*24*3600)</f>
        <v>4189.7124641688224</v>
      </c>
      <c r="P384" s="2">
        <f>('L-Values'!L384*'D(Ti_Cherniak) Times'!$F384*0.000001)^2/(4*'D(Ti_Cherniak) Times'!$C384)/(365.35*24*3600)</f>
        <v>4511.4421090733531</v>
      </c>
      <c r="Q384" s="2">
        <f>('L-Values'!M384*'D(Ti_Cherniak) Times'!$F384*0.000001)^2/(4*'D(Ti_Cherniak) Times'!$C384)/(365.35*24*3600)</f>
        <v>4769.3705140875063</v>
      </c>
      <c r="R384" s="2">
        <f>('L-Values'!N384*'D(Ti_Cherniak) Times'!$F384*0.000001)^2/(4*'D(Ti_Cherniak) Times'!$C384)/(365.35*24*3600)</f>
        <v>6191.6540278540424</v>
      </c>
      <c r="S384" s="2">
        <f>('L-Values'!O384*'D(Ti_Cherniak) Times'!$F384*0.000001)^2/(4*'D(Ti_Cherniak) Times'!$C384)/(365.35*24*3600)</f>
        <v>6238.7031420180128</v>
      </c>
      <c r="T384" s="2"/>
      <c r="U384" s="2">
        <f>('L-Values'!Q384*'D(Ti_Cherniak) Times'!$F384*0.000001)^2/(4*'D(Ti_Cherniak) Times'!$C384)/(365.35*24*3600)</f>
        <v>5030.955759847956</v>
      </c>
      <c r="V384" s="2">
        <f>('L-Values'!R384*'D(Ti_Cherniak) Times'!$F384*0.000001)^2/(4*'D(Ti_Cherniak) Times'!$C384)/(365.35*24*3600)</f>
        <v>5042.9915440697732</v>
      </c>
      <c r="W384" s="2">
        <f>('L-Values'!S384*'D(Ti_Cherniak) Times'!$F384*0.000001)^2/(4*'D(Ti_Cherniak) Times'!$C384)/(365.35*24*3600)</f>
        <v>4934.7228783311302</v>
      </c>
      <c r="X384" s="2"/>
      <c r="Y384" s="2">
        <f>('L-Values'!U384*'D(Ti_Cherniak) Times'!$F384*0.000001)^2/(4*'D(Ti_Cherniak) Times'!$C384)/(365.35*24*3600)</f>
        <v>5047.4699803299445</v>
      </c>
      <c r="Z384" s="2">
        <f>('L-Values'!V384*'D(Ti_Cherniak) Times'!$F384*0.000001)^2/(4*'D(Ti_Cherniak) Times'!$C384)/(365.35*24*3600)</f>
        <v>4980.605176381122</v>
      </c>
      <c r="AA384" s="2">
        <f>('L-Values'!W384*'D(Ti_Cherniak) Times'!$F384*0.000001)^2/(4*'D(Ti_Cherniak) Times'!$C384)/(365.35*24*3600)</f>
        <v>3597.3761562014752</v>
      </c>
      <c r="AB384" s="2">
        <f>('L-Values'!X384*'D(Ti_Cherniak) Times'!$F384*0.000001)^2/(4*'D(Ti_Cherniak) Times'!$C384)/(365.35*24*3600)</f>
        <v>6720.2043200734715</v>
      </c>
      <c r="AC384" s="2">
        <f t="shared" si="22"/>
        <v>1383.2290201796468</v>
      </c>
      <c r="AD384" s="2">
        <f t="shared" si="23"/>
        <v>1739.5991436923496</v>
      </c>
    </row>
    <row r="385" spans="1:30" x14ac:dyDescent="0.2">
      <c r="A385" t="str">
        <f>'L-Values'!A385</f>
        <v>CGI018-qtz08-CL-fit-2-offset</v>
      </c>
      <c r="B385">
        <v>750</v>
      </c>
      <c r="C385">
        <f t="shared" si="20"/>
        <v>8.0537892000481889E-22</v>
      </c>
      <c r="D385">
        <v>2300</v>
      </c>
      <c r="E385">
        <v>1024</v>
      </c>
      <c r="F385">
        <f t="shared" si="21"/>
        <v>2.24609375</v>
      </c>
      <c r="I385" s="2">
        <f>('L-Values'!E385*'D(Ti_Cherniak) Times'!$F385*0.000001)^2/(4*'D(Ti_Cherniak) Times'!$C385)/(365.35*24*3600)</f>
        <v>644.67113125693709</v>
      </c>
      <c r="J385" s="2">
        <f>('L-Values'!F385*'D(Ti_Cherniak) Times'!$F385*0.000001)^2/(4*'D(Ti_Cherniak) Times'!$C385)/(365.35*24*3600)</f>
        <v>980.40772864407973</v>
      </c>
      <c r="K385" s="2">
        <f>('L-Values'!G385*'D(Ti_Cherniak) Times'!$F385*0.000001)^2/(4*'D(Ti_Cherniak) Times'!$C385)/(365.35*24*3600)</f>
        <v>1287.5179723326398</v>
      </c>
      <c r="L385" s="2">
        <f>('L-Values'!H385*'D(Ti_Cherniak) Times'!$F385*0.000001)^2/(4*'D(Ti_Cherniak) Times'!$C385)/(365.35*24*3600)</f>
        <v>569.92186094552244</v>
      </c>
      <c r="M385" s="2">
        <f>('L-Values'!I385*'D(Ti_Cherniak) Times'!$F385*0.000001)^2/(4*'D(Ti_Cherniak) Times'!$C385)/(365.35*24*3600)</f>
        <v>807.26539678856943</v>
      </c>
      <c r="N385" s="2">
        <f>('L-Values'!J385*'D(Ti_Cherniak) Times'!$F385*0.000001)^2/(4*'D(Ti_Cherniak) Times'!$C385)/(365.35*24*3600)</f>
        <v>1225.4909019303002</v>
      </c>
      <c r="O385" s="2">
        <f>('L-Values'!K385*'D(Ti_Cherniak) Times'!$F385*0.000001)^2/(4*'D(Ti_Cherniak) Times'!$C385)/(365.35*24*3600)</f>
        <v>776.78140708987792</v>
      </c>
      <c r="P385" s="2">
        <f>('L-Values'!L385*'D(Ti_Cherniak) Times'!$F385*0.000001)^2/(4*'D(Ti_Cherniak) Times'!$C385)/(365.35*24*3600)</f>
        <v>746.17000457767392</v>
      </c>
      <c r="Q385" s="2">
        <f>('L-Values'!M385*'D(Ti_Cherniak) Times'!$F385*0.000001)^2/(4*'D(Ti_Cherniak) Times'!$C385)/(365.35*24*3600)</f>
        <v>168.99612259318332</v>
      </c>
      <c r="R385" s="2">
        <f>('L-Values'!N385*'D(Ti_Cherniak) Times'!$F385*0.000001)^2/(4*'D(Ti_Cherniak) Times'!$C385)/(365.35*24*3600)</f>
        <v>617.16818987543184</v>
      </c>
      <c r="S385" s="2">
        <f>('L-Values'!O385*'D(Ti_Cherniak) Times'!$F385*0.000001)^2/(4*'D(Ti_Cherniak) Times'!$C385)/(365.35*24*3600)</f>
        <v>1004.9411046606831</v>
      </c>
      <c r="T385" s="2"/>
      <c r="U385" s="2">
        <f>('L-Values'!Q385*'D(Ti_Cherniak) Times'!$F385*0.000001)^2/(4*'D(Ti_Cherniak) Times'!$C385)/(365.35*24*3600)</f>
        <v>793.76436647508615</v>
      </c>
      <c r="V385" s="2">
        <f>('L-Values'!R385*'D(Ti_Cherniak) Times'!$F385*0.000001)^2/(4*'D(Ti_Cherniak) Times'!$C385)/(365.35*24*3600)</f>
        <v>766.8203871521448</v>
      </c>
      <c r="W385" s="2">
        <f>('L-Values'!S385*'D(Ti_Cherniak) Times'!$F385*0.000001)^2/(4*'D(Ti_Cherniak) Times'!$C385)/(365.35*24*3600)</f>
        <v>776.78140708987792</v>
      </c>
      <c r="X385" s="2"/>
      <c r="Y385" s="2">
        <f>('L-Values'!U385*'D(Ti_Cherniak) Times'!$F385*0.000001)^2/(4*'D(Ti_Cherniak) Times'!$C385)/(365.35*24*3600)</f>
        <v>823.64114681334638</v>
      </c>
      <c r="Z385" s="2">
        <f>('L-Values'!V385*'D(Ti_Cherniak) Times'!$F385*0.000001)^2/(4*'D(Ti_Cherniak) Times'!$C385)/(365.35*24*3600)</f>
        <v>855.3546389347656</v>
      </c>
      <c r="AA385" s="2">
        <f>('L-Values'!W385*'D(Ti_Cherniak) Times'!$F385*0.000001)^2/(4*'D(Ti_Cherniak) Times'!$C385)/(365.35*24*3600)</f>
        <v>210.73502014672587</v>
      </c>
      <c r="AB385" s="2">
        <f>('L-Values'!X385*'D(Ti_Cherniak) Times'!$F385*0.000001)^2/(4*'D(Ti_Cherniak) Times'!$C385)/(365.35*24*3600)</f>
        <v>1841.9180836895869</v>
      </c>
      <c r="AC385" s="2">
        <f t="shared" si="22"/>
        <v>644.6196187880397</v>
      </c>
      <c r="AD385" s="2">
        <f t="shared" si="23"/>
        <v>986.56344475482126</v>
      </c>
    </row>
    <row r="386" spans="1:30" x14ac:dyDescent="0.2">
      <c r="A386" t="str">
        <f>'L-Values'!A386</f>
        <v>CGI018-qtz08-CL-fit-3-offset</v>
      </c>
      <c r="B386">
        <v>750</v>
      </c>
      <c r="C386">
        <f t="shared" ref="C386:C412" si="24">0.00000007*EXP(-273/(0.00831451*(B386+273)))</f>
        <v>8.0537892000481889E-22</v>
      </c>
      <c r="D386">
        <v>2300</v>
      </c>
      <c r="E386">
        <v>1024</v>
      </c>
      <c r="F386">
        <f t="shared" ref="F386:F412" si="25">D386/E386</f>
        <v>2.24609375</v>
      </c>
      <c r="I386" s="2">
        <f>('L-Values'!E386*'D(Ti_Cherniak) Times'!$F386*0.000001)^2/(4*'D(Ti_Cherniak) Times'!$C386)/(365.35*24*3600)</f>
        <v>1961.7069071446654</v>
      </c>
      <c r="J386" s="2">
        <f>('L-Values'!F386*'D(Ti_Cherniak) Times'!$F386*0.000001)^2/(4*'D(Ti_Cherniak) Times'!$C386)/(365.35*24*3600)</f>
        <v>1504.6263628091212</v>
      </c>
      <c r="K386" s="2">
        <f>('L-Values'!G386*'D(Ti_Cherniak) Times'!$F386*0.000001)^2/(4*'D(Ti_Cherniak) Times'!$C386)/(365.35*24*3600)</f>
        <v>1462.0116365664139</v>
      </c>
      <c r="L386" s="2">
        <f>('L-Values'!H386*'D(Ti_Cherniak) Times'!$F386*0.000001)^2/(4*'D(Ti_Cherniak) Times'!$C386)/(365.35*24*3600)</f>
        <v>633.15263805352151</v>
      </c>
      <c r="M386" s="2">
        <f>('L-Values'!I386*'D(Ti_Cherniak) Times'!$F386*0.000001)^2/(4*'D(Ti_Cherniak) Times'!$C386)/(365.35*24*3600)</f>
        <v>998.13999629262059</v>
      </c>
      <c r="N386" s="2">
        <f>('L-Values'!J386*'D(Ti_Cherniak) Times'!$F386*0.000001)^2/(4*'D(Ti_Cherniak) Times'!$C386)/(365.35*24*3600)</f>
        <v>806.70294456153078</v>
      </c>
      <c r="O386" s="2">
        <f>('L-Values'!K386*'D(Ti_Cherniak) Times'!$F386*0.000001)^2/(4*'D(Ti_Cherniak) Times'!$C386)/(365.35*24*3600)</f>
        <v>1706.8281290919683</v>
      </c>
      <c r="P386" s="2">
        <f>('L-Values'!L386*'D(Ti_Cherniak) Times'!$F386*0.000001)^2/(4*'D(Ti_Cherniak) Times'!$C386)/(365.35*24*3600)</f>
        <v>1269.3873440820955</v>
      </c>
      <c r="Q386" s="2">
        <f>('L-Values'!M386*'D(Ti_Cherniak) Times'!$F386*0.000001)^2/(4*'D(Ti_Cherniak) Times'!$C386)/(365.35*24*3600)</f>
        <v>653.72466137636252</v>
      </c>
      <c r="R386" s="2">
        <f>('L-Values'!N386*'D(Ti_Cherniak) Times'!$F386*0.000001)^2/(4*'D(Ti_Cherniak) Times'!$C386)/(365.35*24*3600)</f>
        <v>456.71755704475697</v>
      </c>
      <c r="S386" s="2">
        <f>('L-Values'!O386*'D(Ti_Cherniak) Times'!$F386*0.000001)^2/(4*'D(Ti_Cherniak) Times'!$C386)/(365.35*24*3600)</f>
        <v>710.85169261080409</v>
      </c>
      <c r="T386" s="2"/>
      <c r="U386" s="2">
        <f>('L-Values'!Q386*'D(Ti_Cherniak) Times'!$F386*0.000001)^2/(4*'D(Ti_Cherniak) Times'!$C386)/(365.35*24*3600)</f>
        <v>969.89819355817531</v>
      </c>
      <c r="V386" s="2">
        <f>('L-Values'!R386*'D(Ti_Cherniak) Times'!$F386*0.000001)^2/(4*'D(Ti_Cherniak) Times'!$C386)/(365.35*24*3600)</f>
        <v>1053.405873605491</v>
      </c>
      <c r="W386" s="2">
        <f>('L-Values'!S386*'D(Ti_Cherniak) Times'!$F386*0.000001)^2/(4*'D(Ti_Cherniak) Times'!$C386)/(365.35*24*3600)</f>
        <v>998.13999629262059</v>
      </c>
      <c r="X386" s="2"/>
      <c r="Y386" s="2">
        <f>('L-Values'!U386*'D(Ti_Cherniak) Times'!$F386*0.000001)^2/(4*'D(Ti_Cherniak) Times'!$C386)/(365.35*24*3600)</f>
        <v>985.58471170865926</v>
      </c>
      <c r="Z386" s="2">
        <f>('L-Values'!V386*'D(Ti_Cherniak) Times'!$F386*0.000001)^2/(4*'D(Ti_Cherniak) Times'!$C386)/(365.35*24*3600)</f>
        <v>977.69695108329381</v>
      </c>
      <c r="AA386" s="2">
        <f>('L-Values'!W386*'D(Ti_Cherniak) Times'!$F386*0.000001)^2/(4*'D(Ti_Cherniak) Times'!$C386)/(365.35*24*3600)</f>
        <v>361.23121064051526</v>
      </c>
      <c r="AB386" s="2">
        <f>('L-Values'!X386*'D(Ti_Cherniak) Times'!$F386*0.000001)^2/(4*'D(Ti_Cherniak) Times'!$C386)/(365.35*24*3600)</f>
        <v>1852.5033339660481</v>
      </c>
      <c r="AC386" s="2">
        <f t="shared" ref="AC386:AC412" si="26">Z386-AA386</f>
        <v>616.4657404427785</v>
      </c>
      <c r="AD386" s="2">
        <f t="shared" ref="AD386:AD412" si="27">AB386-Z386</f>
        <v>874.80638288275429</v>
      </c>
    </row>
    <row r="387" spans="1:30" x14ac:dyDescent="0.2">
      <c r="A387" t="str">
        <f>'L-Values'!A387</f>
        <v>CGI018-qtz08-CL-fit-4-offset</v>
      </c>
      <c r="B387">
        <v>750</v>
      </c>
      <c r="C387">
        <f t="shared" si="24"/>
        <v>8.0537892000481889E-22</v>
      </c>
      <c r="D387">
        <v>2300</v>
      </c>
      <c r="E387">
        <v>1024</v>
      </c>
      <c r="F387">
        <f t="shared" si="25"/>
        <v>2.24609375</v>
      </c>
      <c r="I387" s="2">
        <f>('L-Values'!E387*'D(Ti_Cherniak) Times'!$F387*0.000001)^2/(4*'D(Ti_Cherniak) Times'!$C387)/(365.35*24*3600)</f>
        <v>663.27453135749215</v>
      </c>
      <c r="J387" s="2">
        <f>('L-Values'!F387*'D(Ti_Cherniak) Times'!$F387*0.000001)^2/(4*'D(Ti_Cherniak) Times'!$C387)/(365.35*24*3600)</f>
        <v>364.4919190447917</v>
      </c>
      <c r="K387" s="2">
        <f>('L-Values'!G387*'D(Ti_Cherniak) Times'!$F387*0.000001)^2/(4*'D(Ti_Cherniak) Times'!$C387)/(365.35*24*3600)</f>
        <v>183.87149945895825</v>
      </c>
      <c r="L387" s="2">
        <f>('L-Values'!H387*'D(Ti_Cherniak) Times'!$F387*0.000001)^2/(4*'D(Ti_Cherniak) Times'!$C387)/(365.35*24*3600)</f>
        <v>523.54442791156441</v>
      </c>
      <c r="M387" s="2">
        <f>('L-Values'!I387*'D(Ti_Cherniak) Times'!$F387*0.000001)^2/(4*'D(Ti_Cherniak) Times'!$C387)/(365.35*24*3600)</f>
        <v>1056.3157949471829</v>
      </c>
      <c r="N387" s="2">
        <f>('L-Values'!J387*'D(Ti_Cherniak) Times'!$F387*0.000001)^2/(4*'D(Ti_Cherniak) Times'!$C387)/(365.35*24*3600)</f>
        <v>33.160746937449382</v>
      </c>
      <c r="O387" s="2">
        <f>('L-Values'!K387*'D(Ti_Cherniak) Times'!$F387*0.000001)^2/(4*'D(Ti_Cherniak) Times'!$C387)/(365.35*24*3600)</f>
        <v>1185.3008064424021</v>
      </c>
      <c r="P387" s="2">
        <f>('L-Values'!L387*'D(Ti_Cherniak) Times'!$F387*0.000001)^2/(4*'D(Ti_Cherniak) Times'!$C387)/(365.35*24*3600)</f>
        <v>786.8229440829989</v>
      </c>
      <c r="Q387" s="2">
        <f>('L-Values'!M387*'D(Ti_Cherniak) Times'!$F387*0.000001)^2/(4*'D(Ti_Cherniak) Times'!$C387)/(365.35*24*3600)</f>
        <v>337.60855087643824</v>
      </c>
      <c r="R387" s="2">
        <f>('L-Values'!N387*'D(Ti_Cherniak) Times'!$F387*0.000001)^2/(4*'D(Ti_Cherniak) Times'!$C387)/(365.35*24*3600)</f>
        <v>1747.0731367597366</v>
      </c>
      <c r="S387" s="2">
        <f>('L-Values'!O387*'D(Ti_Cherniak) Times'!$F387*0.000001)^2/(4*'D(Ti_Cherniak) Times'!$C387)/(365.35*24*3600)</f>
        <v>935.26207482953566</v>
      </c>
      <c r="T387" s="2"/>
      <c r="U387" s="2">
        <f>('L-Values'!Q387*'D(Ti_Cherniak) Times'!$F387*0.000001)^2/(4*'D(Ti_Cherniak) Times'!$C387)/(365.35*24*3600)</f>
        <v>678.35440531358802</v>
      </c>
      <c r="V387" s="2">
        <f>('L-Values'!R387*'D(Ti_Cherniak) Times'!$F387*0.000001)^2/(4*'D(Ti_Cherniak) Times'!$C387)/(365.35*24*3600)</f>
        <v>614.94576972481002</v>
      </c>
      <c r="W387" s="2">
        <f>('L-Values'!S387*'D(Ti_Cherniak) Times'!$F387*0.000001)^2/(4*'D(Ti_Cherniak) Times'!$C387)/(365.35*24*3600)</f>
        <v>663.27453135749215</v>
      </c>
      <c r="X387" s="2"/>
      <c r="Y387" s="2">
        <f>('L-Values'!U387*'D(Ti_Cherniak) Times'!$F387*0.000001)^2/(4*'D(Ti_Cherniak) Times'!$C387)/(365.35*24*3600)</f>
        <v>654.95288725860564</v>
      </c>
      <c r="Z387" s="2">
        <f>('L-Values'!V387*'D(Ti_Cherniak) Times'!$F387*0.000001)^2/(4*'D(Ti_Cherniak) Times'!$C387)/(365.35*24*3600)</f>
        <v>663.18232271378884</v>
      </c>
      <c r="AA387" s="2">
        <f>('L-Values'!W387*'D(Ti_Cherniak) Times'!$F387*0.000001)^2/(4*'D(Ti_Cherniak) Times'!$C387)/(365.35*24*3600)</f>
        <v>120.97278685846456</v>
      </c>
      <c r="AB387" s="2">
        <f>('L-Values'!X387*'D(Ti_Cherniak) Times'!$F387*0.000001)^2/(4*'D(Ti_Cherniak) Times'!$C387)/(365.35*24*3600)</f>
        <v>1918.5159529299444</v>
      </c>
      <c r="AC387" s="2">
        <f t="shared" si="26"/>
        <v>542.20953585532425</v>
      </c>
      <c r="AD387" s="2">
        <f t="shared" si="27"/>
        <v>1255.3336302161556</v>
      </c>
    </row>
    <row r="388" spans="1:30" x14ac:dyDescent="0.2">
      <c r="A388" t="str">
        <f>'L-Values'!A388</f>
        <v>CGI018-qtz08-CL-fit-5-offset</v>
      </c>
      <c r="B388">
        <v>750</v>
      </c>
      <c r="C388">
        <f t="shared" si="24"/>
        <v>8.0537892000481889E-22</v>
      </c>
      <c r="D388">
        <v>2300</v>
      </c>
      <c r="E388">
        <v>1024</v>
      </c>
      <c r="F388">
        <f t="shared" si="25"/>
        <v>2.24609375</v>
      </c>
      <c r="I388" s="2">
        <f>('L-Values'!E388*'D(Ti_Cherniak) Times'!$F388*0.000001)^2/(4*'D(Ti_Cherniak) Times'!$C388)/(365.35*24*3600)</f>
        <v>885.77167505836599</v>
      </c>
      <c r="J388" s="2">
        <f>('L-Values'!F388*'D(Ti_Cherniak) Times'!$F388*0.000001)^2/(4*'D(Ti_Cherniak) Times'!$C388)/(365.35*24*3600)</f>
        <v>885.13113279651236</v>
      </c>
      <c r="K388" s="2">
        <f>('L-Values'!G388*'D(Ti_Cherniak) Times'!$F388*0.000001)^2/(4*'D(Ti_Cherniak) Times'!$C388)/(365.35*24*3600)</f>
        <v>1102.5597945947095</v>
      </c>
      <c r="L388" s="2">
        <f>('L-Values'!H388*'D(Ti_Cherniak) Times'!$F388*0.000001)^2/(4*'D(Ti_Cherniak) Times'!$C388)/(365.35*24*3600)</f>
        <v>1474.1477154395939</v>
      </c>
      <c r="M388" s="2">
        <f>('L-Values'!I388*'D(Ti_Cherniak) Times'!$F388*0.000001)^2/(4*'D(Ti_Cherniak) Times'!$C388)/(365.35*24*3600)</f>
        <v>1104.7311243941715</v>
      </c>
      <c r="N388" s="2">
        <f>('L-Values'!J388*'D(Ti_Cherniak) Times'!$F388*0.000001)^2/(4*'D(Ti_Cherniak) Times'!$C388)/(365.35*24*3600)</f>
        <v>1114.4199455409362</v>
      </c>
      <c r="O388" s="2">
        <f>('L-Values'!K388*'D(Ti_Cherniak) Times'!$F388*0.000001)^2/(4*'D(Ti_Cherniak) Times'!$C388)/(365.35*24*3600)</f>
        <v>1562.8353180302299</v>
      </c>
      <c r="P388" s="2">
        <f>('L-Values'!L388*'D(Ti_Cherniak) Times'!$F388*0.000001)^2/(4*'D(Ti_Cherniak) Times'!$C388)/(365.35*24*3600)</f>
        <v>1242.4219131584407</v>
      </c>
      <c r="Q388" s="2">
        <f>('L-Values'!M388*'D(Ti_Cherniak) Times'!$F388*0.000001)^2/(4*'D(Ti_Cherniak) Times'!$C388)/(365.35*24*3600)</f>
        <v>1412.5213112479723</v>
      </c>
      <c r="R388" s="2">
        <f>('L-Values'!N388*'D(Ti_Cherniak) Times'!$F388*0.000001)^2/(4*'D(Ti_Cherniak) Times'!$C388)/(365.35*24*3600)</f>
        <v>1403.7418848466266</v>
      </c>
      <c r="S388" s="2">
        <f>('L-Values'!O388*'D(Ti_Cherniak) Times'!$F388*0.000001)^2/(4*'D(Ti_Cherniak) Times'!$C388)/(365.35*24*3600)</f>
        <v>1338.8144420883441</v>
      </c>
      <c r="T388" s="2"/>
      <c r="U388" s="2">
        <f>('L-Values'!Q388*'D(Ti_Cherniak) Times'!$F388*0.000001)^2/(4*'D(Ti_Cherniak) Times'!$C388)/(365.35*24*3600)</f>
        <v>1213.2984399187708</v>
      </c>
      <c r="V388" s="2">
        <f>('L-Values'!R388*'D(Ti_Cherniak) Times'!$F388*0.000001)^2/(4*'D(Ti_Cherniak) Times'!$C388)/(365.35*24*3600)</f>
        <v>1219.6193644761304</v>
      </c>
      <c r="W388" s="2">
        <f>('L-Values'!S388*'D(Ti_Cherniak) Times'!$F388*0.000001)^2/(4*'D(Ti_Cherniak) Times'!$C388)/(365.35*24*3600)</f>
        <v>1242.4219131584407</v>
      </c>
      <c r="X388" s="2"/>
      <c r="Y388" s="2">
        <f>('L-Values'!U388*'D(Ti_Cherniak) Times'!$F388*0.000001)^2/(4*'D(Ti_Cherniak) Times'!$C388)/(365.35*24*3600)</f>
        <v>1210.9573500610677</v>
      </c>
      <c r="Z388" s="2">
        <f>('L-Values'!V388*'D(Ti_Cherniak) Times'!$F388*0.000001)^2/(4*'D(Ti_Cherniak) Times'!$C388)/(365.35*24*3600)</f>
        <v>1218.9936031234563</v>
      </c>
      <c r="AA388" s="2">
        <f>('L-Values'!W388*'D(Ti_Cherniak) Times'!$F388*0.000001)^2/(4*'D(Ti_Cherniak) Times'!$C388)/(365.35*24*3600)</f>
        <v>897.84274158831397</v>
      </c>
      <c r="AB388" s="2">
        <f>('L-Values'!X388*'D(Ti_Cherniak) Times'!$F388*0.000001)^2/(4*'D(Ti_Cherniak) Times'!$C388)/(365.35*24*3600)</f>
        <v>1691.1107719739991</v>
      </c>
      <c r="AC388" s="2">
        <f t="shared" si="26"/>
        <v>321.15086153514233</v>
      </c>
      <c r="AD388" s="2">
        <f t="shared" si="27"/>
        <v>472.11716885054284</v>
      </c>
    </row>
    <row r="389" spans="1:30" x14ac:dyDescent="0.2">
      <c r="A389" t="str">
        <f>'L-Values'!A389</f>
        <v>CGI018-qtz08-CL-fit-6-offset</v>
      </c>
      <c r="B389">
        <v>750</v>
      </c>
      <c r="C389">
        <f t="shared" si="24"/>
        <v>8.0537892000481889E-22</v>
      </c>
      <c r="D389">
        <v>2300</v>
      </c>
      <c r="E389">
        <v>1024</v>
      </c>
      <c r="F389">
        <f t="shared" si="25"/>
        <v>2.24609375</v>
      </c>
      <c r="I389" s="2">
        <f>('L-Values'!E389*'D(Ti_Cherniak) Times'!$F389*0.000001)^2/(4*'D(Ti_Cherniak) Times'!$C389)/(365.35*24*3600)</f>
        <v>158.56404710671711</v>
      </c>
      <c r="J389" s="2">
        <f>('L-Values'!F389*'D(Ti_Cherniak) Times'!$F389*0.000001)^2/(4*'D(Ti_Cherniak) Times'!$C389)/(365.35*24*3600)</f>
        <v>284.45133543960861</v>
      </c>
      <c r="K389" s="2">
        <f>('L-Values'!G389*'D(Ti_Cherniak) Times'!$F389*0.000001)^2/(4*'D(Ti_Cherniak) Times'!$C389)/(365.35*24*3600)</f>
        <v>280.99910675556185</v>
      </c>
      <c r="L389" s="2">
        <f>('L-Values'!H389*'D(Ti_Cherniak) Times'!$F389*0.000001)^2/(4*'D(Ti_Cherniak) Times'!$C389)/(365.35*24*3600)</f>
        <v>320.99919072611596</v>
      </c>
      <c r="M389" s="2">
        <f>('L-Values'!I389*'D(Ti_Cherniak) Times'!$F389*0.000001)^2/(4*'D(Ti_Cherniak) Times'!$C389)/(365.35*24*3600)</f>
        <v>183.21842624918546</v>
      </c>
      <c r="N389" s="2">
        <f>('L-Values'!J389*'D(Ti_Cherniak) Times'!$F389*0.000001)^2/(4*'D(Ti_Cherniak) Times'!$C389)/(365.35*24*3600)</f>
        <v>230.06090123081216</v>
      </c>
      <c r="O389" s="2">
        <f>('L-Values'!K389*'D(Ti_Cherniak) Times'!$F389*0.000001)^2/(4*'D(Ti_Cherniak) Times'!$C389)/(365.35*24*3600)</f>
        <v>203.52819987788752</v>
      </c>
      <c r="P389" s="2">
        <f>('L-Values'!L389*'D(Ti_Cherniak) Times'!$F389*0.000001)^2/(4*'D(Ti_Cherniak) Times'!$C389)/(365.35*24*3600)</f>
        <v>189.38128827450296</v>
      </c>
      <c r="Q389" s="2">
        <f>('L-Values'!M389*'D(Ti_Cherniak) Times'!$F389*0.000001)^2/(4*'D(Ti_Cherniak) Times'!$C389)/(365.35*24*3600)</f>
        <v>271.35029061691444</v>
      </c>
      <c r="R389" s="2">
        <f>('L-Values'!N389*'D(Ti_Cherniak) Times'!$F389*0.000001)^2/(4*'D(Ti_Cherniak) Times'!$C389)/(365.35*24*3600)</f>
        <v>183.95532150956441</v>
      </c>
      <c r="S389" s="2">
        <f>('L-Values'!O389*'D(Ti_Cherniak) Times'!$F389*0.000001)^2/(4*'D(Ti_Cherniak) Times'!$C389)/(365.35*24*3600)</f>
        <v>197.18986494901995</v>
      </c>
      <c r="T389" s="2"/>
      <c r="U389" s="2">
        <f>('L-Values'!Q389*'D(Ti_Cherniak) Times'!$F389*0.000001)^2/(4*'D(Ti_Cherniak) Times'!$C389)/(365.35*24*3600)</f>
        <v>224.769253369799</v>
      </c>
      <c r="V389" s="2">
        <f>('L-Values'!R389*'D(Ti_Cherniak) Times'!$F389*0.000001)^2/(4*'D(Ti_Cherniak) Times'!$C389)/(365.35*24*3600)</f>
        <v>224.85558576279468</v>
      </c>
      <c r="W389" s="2">
        <f>('L-Values'!S389*'D(Ti_Cherniak) Times'!$F389*0.000001)^2/(4*'D(Ti_Cherniak) Times'!$C389)/(365.35*24*3600)</f>
        <v>203.52819987788752</v>
      </c>
      <c r="X389" s="2"/>
      <c r="Y389" s="2">
        <f>('L-Values'!U389*'D(Ti_Cherniak) Times'!$F389*0.000001)^2/(4*'D(Ti_Cherniak) Times'!$C389)/(365.35*24*3600)</f>
        <v>219.4269212352682</v>
      </c>
      <c r="Z389" s="2">
        <f>('L-Values'!V389*'D(Ti_Cherniak) Times'!$F389*0.000001)^2/(4*'D(Ti_Cherniak) Times'!$C389)/(365.35*24*3600)</f>
        <v>219.70091765456931</v>
      </c>
      <c r="AA389" s="2">
        <f>('L-Values'!W389*'D(Ti_Cherniak) Times'!$F389*0.000001)^2/(4*'D(Ti_Cherniak) Times'!$C389)/(365.35*24*3600)</f>
        <v>120.95435198238334</v>
      </c>
      <c r="AB389" s="2">
        <f>('L-Values'!X389*'D(Ti_Cherniak) Times'!$F389*0.000001)^2/(4*'D(Ti_Cherniak) Times'!$C389)/(365.35*24*3600)</f>
        <v>358.16019082998702</v>
      </c>
      <c r="AC389" s="2">
        <f t="shared" si="26"/>
        <v>98.746565672185966</v>
      </c>
      <c r="AD389" s="2">
        <f t="shared" si="27"/>
        <v>138.45927317541771</v>
      </c>
    </row>
    <row r="390" spans="1:30" x14ac:dyDescent="0.2">
      <c r="A390" t="str">
        <f>'L-Values'!A390</f>
        <v>CGI018-qtz08-CL-fit-7-offset</v>
      </c>
      <c r="B390">
        <v>750</v>
      </c>
      <c r="C390">
        <f t="shared" si="24"/>
        <v>8.0537892000481889E-22</v>
      </c>
      <c r="D390">
        <v>2300</v>
      </c>
      <c r="E390">
        <v>1024</v>
      </c>
      <c r="F390">
        <f t="shared" si="25"/>
        <v>2.24609375</v>
      </c>
      <c r="I390" s="2">
        <f>('L-Values'!E390*'D(Ti_Cherniak) Times'!$F390*0.000001)^2/(4*'D(Ti_Cherniak) Times'!$C390)/(365.35*24*3600)</f>
        <v>27.311188403235473</v>
      </c>
      <c r="J390" s="2">
        <f>('L-Values'!F390*'D(Ti_Cherniak) Times'!$F390*0.000001)^2/(4*'D(Ti_Cherniak) Times'!$C390)/(365.35*24*3600)</f>
        <v>118.95907581744341</v>
      </c>
      <c r="K390" s="2">
        <f>('L-Values'!G390*'D(Ti_Cherniak) Times'!$F390*0.000001)^2/(4*'D(Ti_Cherniak) Times'!$C390)/(365.35*24*3600)</f>
        <v>50.787761118620807</v>
      </c>
      <c r="L390" s="2">
        <f>('L-Values'!H390*'D(Ti_Cherniak) Times'!$F390*0.000001)^2/(4*'D(Ti_Cherniak) Times'!$C390)/(365.35*24*3600)</f>
        <v>53.773236505421814</v>
      </c>
      <c r="M390" s="2">
        <f>('L-Values'!I390*'D(Ti_Cherniak) Times'!$F390*0.000001)^2/(4*'D(Ti_Cherniak) Times'!$C390)/(365.35*24*3600)</f>
        <v>137.46795072254085</v>
      </c>
      <c r="N390" s="2">
        <f>('L-Values'!J390*'D(Ti_Cherniak) Times'!$F390*0.000001)^2/(4*'D(Ti_Cherniak) Times'!$C390)/(365.35*24*3600)</f>
        <v>118.93174355568623</v>
      </c>
      <c r="O390" s="2">
        <f>('L-Values'!K390*'D(Ti_Cherniak) Times'!$F390*0.000001)^2/(4*'D(Ti_Cherniak) Times'!$C390)/(365.35*24*3600)</f>
        <v>18.310561999879301</v>
      </c>
      <c r="P390" s="2">
        <f>('L-Values'!L390*'D(Ti_Cherniak) Times'!$F390*0.000001)^2/(4*'D(Ti_Cherniak) Times'!$C390)/(365.35*24*3600)</f>
        <v>0.8363080485440505</v>
      </c>
      <c r="Q390" s="2">
        <f>('L-Values'!M390*'D(Ti_Cherniak) Times'!$F390*0.000001)^2/(4*'D(Ti_Cherniak) Times'!$C390)/(365.35*24*3600)</f>
        <v>28.142134963502386</v>
      </c>
      <c r="R390" s="2">
        <f>('L-Values'!N390*'D(Ti_Cherniak) Times'!$F390*0.000001)^2/(4*'D(Ti_Cherniak) Times'!$C390)/(365.35*24*3600)</f>
        <v>3.5665893424262309</v>
      </c>
      <c r="S390" s="2">
        <f>('L-Values'!O390*'D(Ti_Cherniak) Times'!$F390*0.000001)^2/(4*'D(Ti_Cherniak) Times'!$C390)/(365.35*24*3600)</f>
        <v>119.41895488081084</v>
      </c>
      <c r="T390" s="2"/>
      <c r="U390" s="2">
        <f>('L-Values'!Q390*'D(Ti_Cherniak) Times'!$F390*0.000001)^2/(4*'D(Ti_Cherniak) Times'!$C390)/(365.35*24*3600)</f>
        <v>53.83039074861302</v>
      </c>
      <c r="V390" s="2">
        <f>('L-Values'!R390*'D(Ti_Cherniak) Times'!$F390*0.000001)^2/(4*'D(Ti_Cherniak) Times'!$C390)/(365.35*24*3600)</f>
        <v>48.413281388701805</v>
      </c>
      <c r="W390" s="2">
        <f>('L-Values'!S390*'D(Ti_Cherniak) Times'!$F390*0.000001)^2/(4*'D(Ti_Cherniak) Times'!$C390)/(365.35*24*3600)</f>
        <v>50.787761118620807</v>
      </c>
      <c r="X390" s="2"/>
      <c r="Y390" s="2">
        <f>('L-Values'!U390*'D(Ti_Cherniak) Times'!$F390*0.000001)^2/(4*'D(Ti_Cherniak) Times'!$C390)/(365.35*24*3600)</f>
        <v>42.24082020808256</v>
      </c>
      <c r="Z390" s="2">
        <f>('L-Values'!V390*'D(Ti_Cherniak) Times'!$F390*0.000001)^2/(4*'D(Ti_Cherniak) Times'!$C390)/(365.35*24*3600)</f>
        <v>41.805626205283353</v>
      </c>
      <c r="AA390" s="2">
        <f>('L-Values'!W390*'D(Ti_Cherniak) Times'!$F390*0.000001)^2/(4*'D(Ti_Cherniak) Times'!$C390)/(365.35*24*3600)</f>
        <v>1.0664744418878946</v>
      </c>
      <c r="AB390" s="2">
        <f>('L-Values'!X390*'D(Ti_Cherniak) Times'!$F390*0.000001)^2/(4*'D(Ti_Cherniak) Times'!$C390)/(365.35*24*3600)</f>
        <v>181.57583692136376</v>
      </c>
      <c r="AC390" s="2">
        <f t="shared" si="26"/>
        <v>40.739151763395455</v>
      </c>
      <c r="AD390" s="2">
        <f t="shared" si="27"/>
        <v>139.77021071608041</v>
      </c>
    </row>
    <row r="391" spans="1:30" x14ac:dyDescent="0.2">
      <c r="A391" t="str">
        <f>'L-Values'!A391</f>
        <v>CGI018-qtz09-CL-fit-2-offset</v>
      </c>
      <c r="B391">
        <v>750</v>
      </c>
      <c r="C391">
        <f t="shared" si="24"/>
        <v>8.0537892000481889E-22</v>
      </c>
      <c r="D391">
        <v>2250</v>
      </c>
      <c r="E391">
        <v>1024</v>
      </c>
      <c r="F391">
        <f t="shared" si="25"/>
        <v>2.197265625</v>
      </c>
      <c r="I391" s="2">
        <f>('L-Values'!E391*'D(Ti_Cherniak) Times'!$F391*0.000001)^2/(4*'D(Ti_Cherniak) Times'!$C391)/(365.35*24*3600)</f>
        <v>1.0001654751772627E-3</v>
      </c>
      <c r="J391" s="2">
        <f>('L-Values'!F391*'D(Ti_Cherniak) Times'!$F391*0.000001)^2/(4*'D(Ti_Cherniak) Times'!$C391)/(365.35*24*3600)</f>
        <v>1.6642380907164067</v>
      </c>
      <c r="K391" s="2">
        <f>('L-Values'!G391*'D(Ti_Cherniak) Times'!$F391*0.000001)^2/(4*'D(Ti_Cherniak) Times'!$C391)/(365.35*24*3600)</f>
        <v>473.68582558256691</v>
      </c>
      <c r="L391" s="2">
        <f>('L-Values'!H391*'D(Ti_Cherniak) Times'!$F391*0.000001)^2/(4*'D(Ti_Cherniak) Times'!$C391)/(365.35*24*3600)</f>
        <v>725.15111397488783</v>
      </c>
      <c r="M391" s="2">
        <f>('L-Values'!I391*'D(Ti_Cherniak) Times'!$F391*0.000001)^2/(4*'D(Ti_Cherniak) Times'!$C391)/(365.35*24*3600)</f>
        <v>1180.6160659179423</v>
      </c>
      <c r="N391" s="2">
        <f>('L-Values'!J391*'D(Ti_Cherniak) Times'!$F391*0.000001)^2/(4*'D(Ti_Cherniak) Times'!$C391)/(365.35*24*3600)</f>
        <v>85.280907830273421</v>
      </c>
      <c r="O391" s="2">
        <f>('L-Values'!K391*'D(Ti_Cherniak) Times'!$F391*0.000001)^2/(4*'D(Ti_Cherniak) Times'!$C391)/(365.35*24*3600)</f>
        <v>104.27404326357087</v>
      </c>
      <c r="P391" s="2">
        <f>('L-Values'!L391*'D(Ti_Cherniak) Times'!$F391*0.000001)^2/(4*'D(Ti_Cherniak) Times'!$C391)/(365.35*24*3600)</f>
        <v>1.2520382563309427</v>
      </c>
      <c r="Q391" s="2">
        <f>('L-Values'!M391*'D(Ti_Cherniak) Times'!$F391*0.000001)^2/(4*'D(Ti_Cherniak) Times'!$C391)/(365.35*24*3600)</f>
        <v>39.356880983102386</v>
      </c>
      <c r="R391" s="2">
        <f>('L-Values'!N391*'D(Ti_Cherniak) Times'!$F391*0.000001)^2/(4*'D(Ti_Cherniak) Times'!$C391)/(365.35*24*3600)</f>
        <v>1234.5203326942226</v>
      </c>
      <c r="S391" s="2">
        <f>('L-Values'!O391*'D(Ti_Cherniak) Times'!$F391*0.000001)^2/(4*'D(Ti_Cherniak) Times'!$C391)/(365.35*24*3600)</f>
        <v>2664.2372966986768</v>
      </c>
      <c r="T391" s="2"/>
      <c r="U391" s="2">
        <f>('L-Values'!Q391*'D(Ti_Cherniak) Times'!$F391*0.000001)^2/(4*'D(Ti_Cherniak) Times'!$C391)/(365.35*24*3600)</f>
        <v>1090.3447184414806</v>
      </c>
      <c r="V391" s="2">
        <f>('L-Values'!R391*'D(Ti_Cherniak) Times'!$F391*0.000001)^2/(4*'D(Ti_Cherniak) Times'!$C391)/(365.35*24*3600)</f>
        <v>323.88678469459398</v>
      </c>
      <c r="W391" s="2">
        <f>('L-Values'!S391*'D(Ti_Cherniak) Times'!$F391*0.000001)^2/(4*'D(Ti_Cherniak) Times'!$C391)/(365.35*24*3600)</f>
        <v>104.27404326357087</v>
      </c>
      <c r="X391" s="2"/>
      <c r="Y391" s="2">
        <f>('L-Values'!U391*'D(Ti_Cherniak) Times'!$F391*0.000001)^2/(4*'D(Ti_Cherniak) Times'!$C391)/(365.35*24*3600)</f>
        <v>1042.7303729202097</v>
      </c>
      <c r="Z391" s="2">
        <f>('L-Values'!V391*'D(Ti_Cherniak) Times'!$F391*0.000001)^2/(4*'D(Ti_Cherniak) Times'!$C391)/(365.35*24*3600)</f>
        <v>1483.6561501457488</v>
      </c>
      <c r="AA391" s="2">
        <f>('L-Values'!W391*'D(Ti_Cherniak) Times'!$F391*0.000001)^2/(4*'D(Ti_Cherniak) Times'!$C391)/(365.35*24*3600)</f>
        <v>3.9684866667793514E-2</v>
      </c>
      <c r="AB391" s="2">
        <f>('L-Values'!X391*'D(Ti_Cherniak) Times'!$F391*0.000001)^2/(4*'D(Ti_Cherniak) Times'!$C391)/(365.35*24*3600)</f>
        <v>11312.618682814851</v>
      </c>
      <c r="AC391" s="2">
        <f t="shared" si="26"/>
        <v>1483.616465279081</v>
      </c>
      <c r="AD391" s="2">
        <f t="shared" si="27"/>
        <v>9828.9625326691021</v>
      </c>
    </row>
    <row r="392" spans="1:30" x14ac:dyDescent="0.2">
      <c r="A392" t="str">
        <f>'L-Values'!A392</f>
        <v>CGI018-qtz09-CL-fit-3-offset</v>
      </c>
      <c r="B392">
        <v>750</v>
      </c>
      <c r="C392">
        <f t="shared" si="24"/>
        <v>8.0537892000481889E-22</v>
      </c>
      <c r="D392">
        <v>2250</v>
      </c>
      <c r="E392">
        <v>1024</v>
      </c>
      <c r="F392">
        <f t="shared" si="25"/>
        <v>2.197265625</v>
      </c>
      <c r="I392" s="2">
        <f>('L-Values'!E392*'D(Ti_Cherniak) Times'!$F392*0.000001)^2/(4*'D(Ti_Cherniak) Times'!$C392)/(365.35*24*3600)</f>
        <v>331.98005373369068</v>
      </c>
      <c r="J392" s="2">
        <f>('L-Values'!F392*'D(Ti_Cherniak) Times'!$F392*0.000001)^2/(4*'D(Ti_Cherniak) Times'!$C392)/(365.35*24*3600)</f>
        <v>289.07991050960698</v>
      </c>
      <c r="K392" s="2">
        <f>('L-Values'!G392*'D(Ti_Cherniak) Times'!$F392*0.000001)^2/(4*'D(Ti_Cherniak) Times'!$C392)/(365.35*24*3600)</f>
        <v>134.44990656045491</v>
      </c>
      <c r="L392" s="2">
        <f>('L-Values'!H392*'D(Ti_Cherniak) Times'!$F392*0.000001)^2/(4*'D(Ti_Cherniak) Times'!$C392)/(365.35*24*3600)</f>
        <v>2.5501233224416928E-2</v>
      </c>
      <c r="M392" s="2">
        <f>('L-Values'!I392*'D(Ti_Cherniak) Times'!$F392*0.000001)^2/(4*'D(Ti_Cherniak) Times'!$C392)/(365.35*24*3600)</f>
        <v>8.2379595287660645E-2</v>
      </c>
      <c r="N392" s="2">
        <f>('L-Values'!J392*'D(Ti_Cherniak) Times'!$F392*0.000001)^2/(4*'D(Ti_Cherniak) Times'!$C392)/(365.35*24*3600)</f>
        <v>0.132003620343355</v>
      </c>
      <c r="O392" s="2">
        <f>('L-Values'!K392*'D(Ti_Cherniak) Times'!$F392*0.000001)^2/(4*'D(Ti_Cherniak) Times'!$C392)/(365.35*24*3600)</f>
        <v>0</v>
      </c>
      <c r="P392" s="2">
        <f>('L-Values'!L392*'D(Ti_Cherniak) Times'!$F392*0.000001)^2/(4*'D(Ti_Cherniak) Times'!$C392)/(365.35*24*3600)</f>
        <v>66.99218790716867</v>
      </c>
      <c r="Q392" s="2">
        <f>('L-Values'!M392*'D(Ti_Cherniak) Times'!$F392*0.000001)^2/(4*'D(Ti_Cherniak) Times'!$C392)/(365.35*24*3600)</f>
        <v>156.5877305186936</v>
      </c>
      <c r="R392" s="2">
        <f>('L-Values'!N392*'D(Ti_Cherniak) Times'!$F392*0.000001)^2/(4*'D(Ti_Cherniak) Times'!$C392)/(365.35*24*3600)</f>
        <v>134.78123519459217</v>
      </c>
      <c r="S392" s="2">
        <f>('L-Values'!O392*'D(Ti_Cherniak) Times'!$F392*0.000001)^2/(4*'D(Ti_Cherniak) Times'!$C392)/(365.35*24*3600)</f>
        <v>1536.0715663281023</v>
      </c>
      <c r="T392" s="2"/>
      <c r="U392" s="2">
        <f>('L-Values'!Q392*'D(Ti_Cherniak) Times'!$F392*0.000001)^2/(4*'D(Ti_Cherniak) Times'!$C392)/(365.35*24*3600)</f>
        <v>147.63032942288794</v>
      </c>
      <c r="V392" s="2">
        <f>('L-Values'!R392*'D(Ti_Cherniak) Times'!$F392*0.000001)^2/(4*'D(Ti_Cherniak) Times'!$C392)/(365.35*24*3600)</f>
        <v>141.91626811940284</v>
      </c>
      <c r="W392" s="2">
        <f>('L-Values'!S392*'D(Ti_Cherniak) Times'!$F392*0.000001)^2/(4*'D(Ti_Cherniak) Times'!$C392)/(365.35*24*3600)</f>
        <v>134.61551990890939</v>
      </c>
      <c r="X392" s="2"/>
      <c r="Y392" s="2">
        <f>('L-Values'!U392*'D(Ti_Cherniak) Times'!$F392*0.000001)^2/(4*'D(Ti_Cherniak) Times'!$C392)/(365.35*24*3600)</f>
        <v>155.99768173881085</v>
      </c>
      <c r="Z392" s="2">
        <f>('L-Values'!V392*'D(Ti_Cherniak) Times'!$F392*0.000001)^2/(4*'D(Ti_Cherniak) Times'!$C392)/(365.35*24*3600)</f>
        <v>813.71148345971756</v>
      </c>
      <c r="AA392" s="2">
        <f>('L-Values'!W392*'D(Ti_Cherniak) Times'!$F392*0.000001)^2/(4*'D(Ti_Cherniak) Times'!$C392)/(365.35*24*3600)</f>
        <v>7.6931959913847606E-3</v>
      </c>
      <c r="AB392" s="2">
        <f>('L-Values'!X392*'D(Ti_Cherniak) Times'!$F392*0.000001)^2/(4*'D(Ti_Cherniak) Times'!$C392)/(365.35*24*3600)</f>
        <v>72470.108113350434</v>
      </c>
      <c r="AC392" s="2">
        <f t="shared" si="26"/>
        <v>813.70379026372621</v>
      </c>
      <c r="AD392" s="2">
        <f t="shared" si="27"/>
        <v>71656.396629890718</v>
      </c>
    </row>
    <row r="393" spans="1:30" x14ac:dyDescent="0.2">
      <c r="A393" t="str">
        <f>'L-Values'!A393</f>
        <v>CGI018-qtz09-CL-fit-4-offset</v>
      </c>
      <c r="B393">
        <v>750</v>
      </c>
      <c r="C393">
        <f t="shared" si="24"/>
        <v>8.0537892000481889E-22</v>
      </c>
      <c r="D393">
        <v>2250</v>
      </c>
      <c r="E393">
        <v>1024</v>
      </c>
      <c r="F393">
        <f t="shared" si="25"/>
        <v>2.197265625</v>
      </c>
      <c r="I393" s="2">
        <f>('L-Values'!E393*'D(Ti_Cherniak) Times'!$F393*0.000001)^2/(4*'D(Ti_Cherniak) Times'!$C393)/(365.35*24*3600)</f>
        <v>0.31421733232180743</v>
      </c>
      <c r="J393" s="2">
        <f>('L-Values'!F393*'D(Ti_Cherniak) Times'!$F393*0.000001)^2/(4*'D(Ti_Cherniak) Times'!$C393)/(365.35*24*3600)</f>
        <v>4.4296185368720312E-14</v>
      </c>
      <c r="K393" s="2">
        <f>('L-Values'!G393*'D(Ti_Cherniak) Times'!$F393*0.000001)^2/(4*'D(Ti_Cherniak) Times'!$C393)/(365.35*24*3600)</f>
        <v>1.4436438473955056</v>
      </c>
      <c r="L393" s="2">
        <f>('L-Values'!H393*'D(Ti_Cherniak) Times'!$F393*0.000001)^2/(4*'D(Ti_Cherniak) Times'!$C393)/(365.35*24*3600)</f>
        <v>0.15799139201160334</v>
      </c>
      <c r="M393" s="2">
        <f>('L-Values'!I393*'D(Ti_Cherniak) Times'!$F393*0.000001)^2/(4*'D(Ti_Cherniak) Times'!$C393)/(365.35*24*3600)</f>
        <v>50.49469175850367</v>
      </c>
      <c r="N393" s="2">
        <f>('L-Values'!J393*'D(Ti_Cherniak) Times'!$F393*0.000001)^2/(4*'D(Ti_Cherniak) Times'!$C393)/(365.35*24*3600)</f>
        <v>17.311065731279154</v>
      </c>
      <c r="O393" s="2">
        <f>('L-Values'!K393*'D(Ti_Cherniak) Times'!$F393*0.000001)^2/(4*'D(Ti_Cherniak) Times'!$C393)/(365.35*24*3600)</f>
        <v>0.34605688170149784</v>
      </c>
      <c r="P393" s="2">
        <f>('L-Values'!L393*'D(Ti_Cherniak) Times'!$F393*0.000001)^2/(4*'D(Ti_Cherniak) Times'!$C393)/(365.35*24*3600)</f>
        <v>57.15939564788988</v>
      </c>
      <c r="Q393" s="2">
        <f>('L-Values'!M393*'D(Ti_Cherniak) Times'!$F393*0.000001)^2/(4*'D(Ti_Cherniak) Times'!$C393)/(365.35*24*3600)</f>
        <v>181.85874415975022</v>
      </c>
      <c r="R393" s="2">
        <f>('L-Values'!N393*'D(Ti_Cherniak) Times'!$F393*0.000001)^2/(4*'D(Ti_Cherniak) Times'!$C393)/(365.35*24*3600)</f>
        <v>579.51996584842891</v>
      </c>
      <c r="S393" s="2">
        <f>('L-Values'!O393*'D(Ti_Cherniak) Times'!$F393*0.000001)^2/(4*'D(Ti_Cherniak) Times'!$C393)/(365.35*24*3600)</f>
        <v>60.625820876946626</v>
      </c>
      <c r="T393" s="2"/>
      <c r="U393" s="2">
        <f>('L-Values'!Q393*'D(Ti_Cherniak) Times'!$F393*0.000001)^2/(4*'D(Ti_Cherniak) Times'!$C393)/(365.35*24*3600)</f>
        <v>38.908480157199577</v>
      </c>
      <c r="V393" s="2">
        <f>('L-Values'!R393*'D(Ti_Cherniak) Times'!$F393*0.000001)^2/(4*'D(Ti_Cherniak) Times'!$C393)/(365.35*24*3600)</f>
        <v>37.010408288537441</v>
      </c>
      <c r="W393" s="2">
        <f>('L-Values'!S393*'D(Ti_Cherniak) Times'!$F393*0.000001)^2/(4*'D(Ti_Cherniak) Times'!$C393)/(365.35*24*3600)</f>
        <v>17.311065731279154</v>
      </c>
      <c r="X393" s="2"/>
      <c r="Y393" s="2">
        <f>('L-Values'!U393*'D(Ti_Cherniak) Times'!$F393*0.000001)^2/(4*'D(Ti_Cherniak) Times'!$C393)/(365.35*24*3600)</f>
        <v>19.970103592843142</v>
      </c>
      <c r="Z393" s="2">
        <f>('L-Values'!V393*'D(Ti_Cherniak) Times'!$F393*0.000001)^2/(4*'D(Ti_Cherniak) Times'!$C393)/(365.35*24*3600)</f>
        <v>69.821252471727348</v>
      </c>
      <c r="AA393" s="2">
        <f>('L-Values'!W393*'D(Ti_Cherniak) Times'!$F393*0.000001)^2/(4*'D(Ti_Cherniak) Times'!$C393)/(365.35*24*3600)</f>
        <v>7.5700028799177492E-15</v>
      </c>
      <c r="AB393" s="2">
        <f>('L-Values'!X393*'D(Ti_Cherniak) Times'!$F393*0.000001)^2/(4*'D(Ti_Cherniak) Times'!$C393)/(365.35*24*3600)</f>
        <v>923.27161748882099</v>
      </c>
      <c r="AC393" s="2">
        <f t="shared" si="26"/>
        <v>69.821252471727334</v>
      </c>
      <c r="AD393" s="2">
        <f t="shared" si="27"/>
        <v>853.45036501709365</v>
      </c>
    </row>
    <row r="394" spans="1:30" x14ac:dyDescent="0.2">
      <c r="A394" t="str">
        <f>'L-Values'!A394</f>
        <v>CGI018-qtz10-CL-fit-1-offset</v>
      </c>
      <c r="B394">
        <v>750</v>
      </c>
      <c r="C394">
        <f t="shared" si="24"/>
        <v>8.0537892000481889E-22</v>
      </c>
      <c r="D394">
        <v>2600</v>
      </c>
      <c r="E394">
        <v>1024</v>
      </c>
      <c r="F394">
        <f t="shared" si="25"/>
        <v>2.5390625</v>
      </c>
      <c r="I394" s="2">
        <f>('L-Values'!E394*'D(Ti_Cherniak) Times'!$F394*0.000001)^2/(4*'D(Ti_Cherniak) Times'!$C394)/(365.35*24*3600)</f>
        <v>1189.3849410001283</v>
      </c>
      <c r="J394" s="2">
        <f>('L-Values'!F394*'D(Ti_Cherniak) Times'!$F394*0.000001)^2/(4*'D(Ti_Cherniak) Times'!$C394)/(365.35*24*3600)</f>
        <v>704.93032637759438</v>
      </c>
      <c r="K394" s="2">
        <f>('L-Values'!G394*'D(Ti_Cherniak) Times'!$F394*0.000001)^2/(4*'D(Ti_Cherniak) Times'!$C394)/(365.35*24*3600)</f>
        <v>608.86239627790349</v>
      </c>
      <c r="L394" s="2">
        <f>('L-Values'!H394*'D(Ti_Cherniak) Times'!$F394*0.000001)^2/(4*'D(Ti_Cherniak) Times'!$C394)/(365.35*24*3600)</f>
        <v>315.25111104012012</v>
      </c>
      <c r="M394" s="2">
        <f>('L-Values'!I394*'D(Ti_Cherniak) Times'!$F394*0.000001)^2/(4*'D(Ti_Cherniak) Times'!$C394)/(365.35*24*3600)</f>
        <v>978.13002059587234</v>
      </c>
      <c r="N394" s="2">
        <f>('L-Values'!J394*'D(Ti_Cherniak) Times'!$F394*0.000001)^2/(4*'D(Ti_Cherniak) Times'!$C394)/(365.35*24*3600)</f>
        <v>1431.6250953660419</v>
      </c>
      <c r="O394" s="2">
        <f>('L-Values'!K394*'D(Ti_Cherniak) Times'!$F394*0.000001)^2/(4*'D(Ti_Cherniak) Times'!$C394)/(365.35*24*3600)</f>
        <v>467.528542644558</v>
      </c>
      <c r="P394" s="2">
        <f>('L-Values'!L394*'D(Ti_Cherniak) Times'!$F394*0.000001)^2/(4*'D(Ti_Cherniak) Times'!$C394)/(365.35*24*3600)</f>
        <v>298.70347441936894</v>
      </c>
      <c r="Q394" s="2">
        <f>('L-Values'!M394*'D(Ti_Cherniak) Times'!$F394*0.000001)^2/(4*'D(Ti_Cherniak) Times'!$C394)/(365.35*24*3600)</f>
        <v>388.43611157919361</v>
      </c>
      <c r="R394" s="2">
        <f>('L-Values'!N394*'D(Ti_Cherniak) Times'!$F394*0.000001)^2/(4*'D(Ti_Cherniak) Times'!$C394)/(365.35*24*3600)</f>
        <v>352.05832744718174</v>
      </c>
      <c r="S394" s="2">
        <f>('L-Values'!O394*'D(Ti_Cherniak) Times'!$F394*0.000001)^2/(4*'D(Ti_Cherniak) Times'!$C394)/(365.35*24*3600)</f>
        <v>488.28625233856951</v>
      </c>
      <c r="T394" s="2"/>
      <c r="U394" s="2">
        <f>('L-Values'!Q394*'D(Ti_Cherniak) Times'!$F394*0.000001)^2/(4*'D(Ti_Cherniak) Times'!$C394)/(365.35*24*3600)</f>
        <v>580.77236939322017</v>
      </c>
      <c r="V394" s="2">
        <f>('L-Values'!R394*'D(Ti_Cherniak) Times'!$F394*0.000001)^2/(4*'D(Ti_Cherniak) Times'!$C394)/(365.35*24*3600)</f>
        <v>611.6852010535614</v>
      </c>
      <c r="W394" s="2">
        <f>('L-Values'!S394*'D(Ti_Cherniak) Times'!$F394*0.000001)^2/(4*'D(Ti_Cherniak) Times'!$C394)/(365.35*24*3600)</f>
        <v>488.28625233856951</v>
      </c>
      <c r="X394" s="2"/>
      <c r="Y394" s="2">
        <f>('L-Values'!U394*'D(Ti_Cherniak) Times'!$F394*0.000001)^2/(4*'D(Ti_Cherniak) Times'!$C394)/(365.35*24*3600)</f>
        <v>624.75156432354277</v>
      </c>
      <c r="Z394" s="2">
        <f>('L-Values'!V394*'D(Ti_Cherniak) Times'!$F394*0.000001)^2/(4*'D(Ti_Cherniak) Times'!$C394)/(365.35*24*3600)</f>
        <v>634.77940777801666</v>
      </c>
      <c r="AA394" s="2">
        <f>('L-Values'!W394*'D(Ti_Cherniak) Times'!$F394*0.000001)^2/(4*'D(Ti_Cherniak) Times'!$C394)/(365.35*24*3600)</f>
        <v>245.77423265886418</v>
      </c>
      <c r="AB394" s="2">
        <f>('L-Values'!X394*'D(Ti_Cherniak) Times'!$F394*0.000001)^2/(4*'D(Ti_Cherniak) Times'!$C394)/(365.35*24*3600)</f>
        <v>1413.9703329392123</v>
      </c>
      <c r="AC394" s="2">
        <f t="shared" si="26"/>
        <v>389.00517511915245</v>
      </c>
      <c r="AD394" s="2">
        <f t="shared" si="27"/>
        <v>779.19092516119565</v>
      </c>
    </row>
    <row r="395" spans="1:30" x14ac:dyDescent="0.2">
      <c r="A395" t="str">
        <f>'L-Values'!A395</f>
        <v>CGI018-qtz10-CL-fit-2-offset</v>
      </c>
      <c r="B395">
        <v>750</v>
      </c>
      <c r="C395">
        <f t="shared" si="24"/>
        <v>8.0537892000481889E-22</v>
      </c>
      <c r="D395">
        <v>2600</v>
      </c>
      <c r="E395">
        <v>1024</v>
      </c>
      <c r="F395">
        <f t="shared" si="25"/>
        <v>2.5390625</v>
      </c>
      <c r="I395" s="2">
        <f>('L-Values'!E395*'D(Ti_Cherniak) Times'!$F395*0.000001)^2/(4*'D(Ti_Cherniak) Times'!$C395)/(365.35*24*3600)</f>
        <v>399.55049694072147</v>
      </c>
      <c r="J395" s="2">
        <f>('L-Values'!F395*'D(Ti_Cherniak) Times'!$F395*0.000001)^2/(4*'D(Ti_Cherniak) Times'!$C395)/(365.35*24*3600)</f>
        <v>282.58419746556768</v>
      </c>
      <c r="K395" s="2">
        <f>('L-Values'!G395*'D(Ti_Cherniak) Times'!$F395*0.000001)^2/(4*'D(Ti_Cherniak) Times'!$C395)/(365.35*24*3600)</f>
        <v>233.64745159157235</v>
      </c>
      <c r="L395" s="2">
        <f>('L-Values'!H395*'D(Ti_Cherniak) Times'!$F395*0.000001)^2/(4*'D(Ti_Cherniak) Times'!$C395)/(365.35*24*3600)</f>
        <v>384.65952767786985</v>
      </c>
      <c r="M395" s="2">
        <f>('L-Values'!I395*'D(Ti_Cherniak) Times'!$F395*0.000001)^2/(4*'D(Ti_Cherniak) Times'!$C395)/(365.35*24*3600)</f>
        <v>377.51197740199245</v>
      </c>
      <c r="N395" s="2">
        <f>('L-Values'!J395*'D(Ti_Cherniak) Times'!$F395*0.000001)^2/(4*'D(Ti_Cherniak) Times'!$C395)/(365.35*24*3600)</f>
        <v>144.17797064391542</v>
      </c>
      <c r="O395" s="2">
        <f>('L-Values'!K395*'D(Ti_Cherniak) Times'!$F395*0.000001)^2/(4*'D(Ti_Cherniak) Times'!$C395)/(365.35*24*3600)</f>
        <v>474.38857239787347</v>
      </c>
      <c r="P395" s="2">
        <f>('L-Values'!L395*'D(Ti_Cherniak) Times'!$F395*0.000001)^2/(4*'D(Ti_Cherniak) Times'!$C395)/(365.35*24*3600)</f>
        <v>183.30225376590391</v>
      </c>
      <c r="Q395" s="2">
        <f>('L-Values'!M395*'D(Ti_Cherniak) Times'!$F395*0.000001)^2/(4*'D(Ti_Cherniak) Times'!$C395)/(365.35*24*3600)</f>
        <v>210.73496944343199</v>
      </c>
      <c r="R395" s="2">
        <f>('L-Values'!N395*'D(Ti_Cherniak) Times'!$F395*0.000001)^2/(4*'D(Ti_Cherniak) Times'!$C395)/(365.35*24*3600)</f>
        <v>555.03222183725472</v>
      </c>
      <c r="S395" s="2">
        <f>('L-Values'!O395*'D(Ti_Cherniak) Times'!$F395*0.000001)^2/(4*'D(Ti_Cherniak) Times'!$C395)/(365.35*24*3600)</f>
        <v>195.81310429846693</v>
      </c>
      <c r="T395" s="2"/>
      <c r="U395" s="2">
        <f>('L-Values'!Q395*'D(Ti_Cherniak) Times'!$F395*0.000001)^2/(4*'D(Ti_Cherniak) Times'!$C395)/(365.35*24*3600)</f>
        <v>316.25653142039482</v>
      </c>
      <c r="V395" s="2">
        <f>('L-Values'!R395*'D(Ti_Cherniak) Times'!$F395*0.000001)^2/(4*'D(Ti_Cherniak) Times'!$C395)/(365.35*24*3600)</f>
        <v>299.99149666357704</v>
      </c>
      <c r="W395" s="2">
        <f>('L-Values'!S395*'D(Ti_Cherniak) Times'!$F395*0.000001)^2/(4*'D(Ti_Cherniak) Times'!$C395)/(365.35*24*3600)</f>
        <v>282.58419746556768</v>
      </c>
      <c r="X395" s="2"/>
      <c r="Y395" s="2">
        <f>('L-Values'!U395*'D(Ti_Cherniak) Times'!$F395*0.000001)^2/(4*'D(Ti_Cherniak) Times'!$C395)/(365.35*24*3600)</f>
        <v>285.59479662202767</v>
      </c>
      <c r="Z395" s="2">
        <f>('L-Values'!V395*'D(Ti_Cherniak) Times'!$F395*0.000001)^2/(4*'D(Ti_Cherniak) Times'!$C395)/(365.35*24*3600)</f>
        <v>287.23160343724999</v>
      </c>
      <c r="AA395" s="2">
        <f>('L-Values'!W395*'D(Ti_Cherniak) Times'!$F395*0.000001)^2/(4*'D(Ti_Cherniak) Times'!$C395)/(365.35*24*3600)</f>
        <v>62.726264338520522</v>
      </c>
      <c r="AB395" s="2">
        <f>('L-Values'!X395*'D(Ti_Cherniak) Times'!$F395*0.000001)^2/(4*'D(Ti_Cherniak) Times'!$C395)/(365.35*24*3600)</f>
        <v>640.35824381269822</v>
      </c>
      <c r="AC395" s="2">
        <f t="shared" si="26"/>
        <v>224.50533909872945</v>
      </c>
      <c r="AD395" s="2">
        <f t="shared" si="27"/>
        <v>353.12664037544823</v>
      </c>
    </row>
    <row r="396" spans="1:30" x14ac:dyDescent="0.2">
      <c r="A396" t="str">
        <f>'L-Values'!A396</f>
        <v>CGI018-qtz10-CL-fit-3-offset</v>
      </c>
      <c r="B396">
        <v>750</v>
      </c>
      <c r="C396">
        <f t="shared" si="24"/>
        <v>8.0537892000481889E-22</v>
      </c>
      <c r="D396">
        <v>2600</v>
      </c>
      <c r="E396">
        <v>1024</v>
      </c>
      <c r="F396">
        <f t="shared" si="25"/>
        <v>2.5390625</v>
      </c>
      <c r="I396" s="2">
        <f>('L-Values'!E396*'D(Ti_Cherniak) Times'!$F396*0.000001)^2/(4*'D(Ti_Cherniak) Times'!$C396)/(365.35*24*3600)</f>
        <v>228.1255863925191</v>
      </c>
      <c r="J396" s="2">
        <f>('L-Values'!F396*'D(Ti_Cherniak) Times'!$F396*0.000001)^2/(4*'D(Ti_Cherniak) Times'!$C396)/(365.35*24*3600)</f>
        <v>146.43901087874349</v>
      </c>
      <c r="K396" s="2">
        <f>('L-Values'!G396*'D(Ti_Cherniak) Times'!$F396*0.000001)^2/(4*'D(Ti_Cherniak) Times'!$C396)/(365.35*24*3600)</f>
        <v>92.173591638164282</v>
      </c>
      <c r="L396" s="2">
        <f>('L-Values'!H396*'D(Ti_Cherniak) Times'!$F396*0.000001)^2/(4*'D(Ti_Cherniak) Times'!$C396)/(365.35*24*3600)</f>
        <v>89.264297398511673</v>
      </c>
      <c r="M396" s="2">
        <f>('L-Values'!I396*'D(Ti_Cherniak) Times'!$F396*0.000001)^2/(4*'D(Ti_Cherniak) Times'!$C396)/(365.35*24*3600)</f>
        <v>349.39535933889766</v>
      </c>
      <c r="N396" s="2">
        <f>('L-Values'!J396*'D(Ti_Cherniak) Times'!$F396*0.000001)^2/(4*'D(Ti_Cherniak) Times'!$C396)/(365.35*24*3600)</f>
        <v>145.12386445420279</v>
      </c>
      <c r="O396" s="2">
        <f>('L-Values'!K396*'D(Ti_Cherniak) Times'!$F396*0.000001)^2/(4*'D(Ti_Cherniak) Times'!$C396)/(365.35*24*3600)</f>
        <v>217.05889740922959</v>
      </c>
      <c r="P396" s="2">
        <f>('L-Values'!L396*'D(Ti_Cherniak) Times'!$F396*0.000001)^2/(4*'D(Ti_Cherniak) Times'!$C396)/(365.35*24*3600)</f>
        <v>429.72008850813103</v>
      </c>
      <c r="Q396" s="2">
        <f>('L-Values'!M396*'D(Ti_Cherniak) Times'!$F396*0.000001)^2/(4*'D(Ti_Cherniak) Times'!$C396)/(365.35*24*3600)</f>
        <v>82.107744234865748</v>
      </c>
      <c r="R396" s="2">
        <f>('L-Values'!N396*'D(Ti_Cherniak) Times'!$F396*0.000001)^2/(4*'D(Ti_Cherniak) Times'!$C396)/(365.35*24*3600)</f>
        <v>158.4281015759712</v>
      </c>
      <c r="S396" s="2">
        <f>('L-Values'!O396*'D(Ti_Cherniak) Times'!$F396*0.000001)^2/(4*'D(Ti_Cherniak) Times'!$C396)/(365.35*24*3600)</f>
        <v>180.53566034313434</v>
      </c>
      <c r="T396" s="2"/>
      <c r="U396" s="2">
        <f>('L-Values'!Q396*'D(Ti_Cherniak) Times'!$F396*0.000001)^2/(4*'D(Ti_Cherniak) Times'!$C396)/(365.35*24*3600)</f>
        <v>169.20157579569272</v>
      </c>
      <c r="V396" s="2">
        <f>('L-Values'!R396*'D(Ti_Cherniak) Times'!$F396*0.000001)^2/(4*'D(Ti_Cherniak) Times'!$C396)/(365.35*24*3600)</f>
        <v>179.90049576736251</v>
      </c>
      <c r="W396" s="2">
        <f>('L-Values'!S396*'D(Ti_Cherniak) Times'!$F396*0.000001)^2/(4*'D(Ti_Cherniak) Times'!$C396)/(365.35*24*3600)</f>
        <v>158.4281015759712</v>
      </c>
      <c r="X396" s="2"/>
      <c r="Y396" s="2">
        <f>('L-Values'!U396*'D(Ti_Cherniak) Times'!$F396*0.000001)^2/(4*'D(Ti_Cherniak) Times'!$C396)/(365.35*24*3600)</f>
        <v>162.08664147828631</v>
      </c>
      <c r="Z396" s="2">
        <f>('L-Values'!V396*'D(Ti_Cherniak) Times'!$F396*0.000001)^2/(4*'D(Ti_Cherniak) Times'!$C396)/(365.35*24*3600)</f>
        <v>164.47310246516571</v>
      </c>
      <c r="AA396" s="2">
        <f>('L-Values'!W396*'D(Ti_Cherniak) Times'!$F396*0.000001)^2/(4*'D(Ti_Cherniak) Times'!$C396)/(365.35*24*3600)</f>
        <v>4.7713629822546579</v>
      </c>
      <c r="AB396" s="2">
        <f>('L-Values'!X396*'D(Ti_Cherniak) Times'!$F396*0.000001)^2/(4*'D(Ti_Cherniak) Times'!$C396)/(365.35*24*3600)</f>
        <v>463.16650528187557</v>
      </c>
      <c r="AC396" s="2">
        <f t="shared" si="26"/>
        <v>159.70173948291105</v>
      </c>
      <c r="AD396" s="2">
        <f t="shared" si="27"/>
        <v>298.69340281670986</v>
      </c>
    </row>
    <row r="397" spans="1:30" x14ac:dyDescent="0.2">
      <c r="A397" t="str">
        <f>'L-Values'!A397</f>
        <v>CGI018-qtz10-CL-fit-4-offset</v>
      </c>
      <c r="B397">
        <v>750</v>
      </c>
      <c r="C397">
        <f t="shared" si="24"/>
        <v>8.0537892000481889E-22</v>
      </c>
      <c r="D397">
        <v>2600</v>
      </c>
      <c r="E397">
        <v>1024</v>
      </c>
      <c r="F397">
        <f t="shared" si="25"/>
        <v>2.5390625</v>
      </c>
      <c r="I397" s="2">
        <f>('L-Values'!E397*'D(Ti_Cherniak) Times'!$F397*0.000001)^2/(4*'D(Ti_Cherniak) Times'!$C397)/(365.35*24*3600)</f>
        <v>111.14302199322208</v>
      </c>
      <c r="J397" s="2">
        <f>('L-Values'!F397*'D(Ti_Cherniak) Times'!$F397*0.000001)^2/(4*'D(Ti_Cherniak) Times'!$C397)/(365.35*24*3600)</f>
        <v>129.24817701572519</v>
      </c>
      <c r="K397" s="2">
        <f>('L-Values'!G397*'D(Ti_Cherniak) Times'!$F397*0.000001)^2/(4*'D(Ti_Cherniak) Times'!$C397)/(365.35*24*3600)</f>
        <v>56.927055361997567</v>
      </c>
      <c r="L397" s="2">
        <f>('L-Values'!H397*'D(Ti_Cherniak) Times'!$F397*0.000001)^2/(4*'D(Ti_Cherniak) Times'!$C397)/(365.35*24*3600)</f>
        <v>72.349416454668912</v>
      </c>
      <c r="M397" s="2">
        <f>('L-Values'!I397*'D(Ti_Cherniak) Times'!$F397*0.000001)^2/(4*'D(Ti_Cherniak) Times'!$C397)/(365.35*24*3600)</f>
        <v>203.05097359653462</v>
      </c>
      <c r="N397" s="2">
        <f>('L-Values'!J397*'D(Ti_Cherniak) Times'!$F397*0.000001)^2/(4*'D(Ti_Cherniak) Times'!$C397)/(365.35*24*3600)</f>
        <v>261.73429022331374</v>
      </c>
      <c r="O397" s="2">
        <f>('L-Values'!K397*'D(Ti_Cherniak) Times'!$F397*0.000001)^2/(4*'D(Ti_Cherniak) Times'!$C397)/(365.35*24*3600)</f>
        <v>176.5887039502407</v>
      </c>
      <c r="P397" s="2">
        <f>('L-Values'!L397*'D(Ti_Cherniak) Times'!$F397*0.000001)^2/(4*'D(Ti_Cherniak) Times'!$C397)/(365.35*24*3600)</f>
        <v>150.2826893680857</v>
      </c>
      <c r="Q397" s="2">
        <f>('L-Values'!M397*'D(Ti_Cherniak) Times'!$F397*0.000001)^2/(4*'D(Ti_Cherniak) Times'!$C397)/(365.35*24*3600)</f>
        <v>143.14262535088815</v>
      </c>
      <c r="R397" s="2">
        <f>('L-Values'!N397*'D(Ti_Cherniak) Times'!$F397*0.000001)^2/(4*'D(Ti_Cherniak) Times'!$C397)/(365.35*24*3600)</f>
        <v>110.83807849703588</v>
      </c>
      <c r="S397" s="2">
        <f>('L-Values'!O397*'D(Ti_Cherniak) Times'!$F397*0.000001)^2/(4*'D(Ti_Cherniak) Times'!$C397)/(365.35*24*3600)</f>
        <v>0.29961065751512284</v>
      </c>
      <c r="T397" s="2"/>
      <c r="U397" s="2">
        <f>('L-Values'!Q397*'D(Ti_Cherniak) Times'!$F397*0.000001)^2/(4*'D(Ti_Cherniak) Times'!$C397)/(365.35*24*3600)</f>
        <v>135.54179583887964</v>
      </c>
      <c r="V397" s="2">
        <f>('L-Values'!R397*'D(Ti_Cherniak) Times'!$F397*0.000001)^2/(4*'D(Ti_Cherniak) Times'!$C397)/(365.35*24*3600)</f>
        <v>113.08781868833456</v>
      </c>
      <c r="W397" s="2">
        <f>('L-Values'!S397*'D(Ti_Cherniak) Times'!$F397*0.000001)^2/(4*'D(Ti_Cherniak) Times'!$C397)/(365.35*24*3600)</f>
        <v>129.24817701572519</v>
      </c>
      <c r="X397" s="2"/>
      <c r="Y397" s="2">
        <f>('L-Values'!U397*'D(Ti_Cherniak) Times'!$F397*0.000001)^2/(4*'D(Ti_Cherniak) Times'!$C397)/(365.35*24*3600)</f>
        <v>116.96414436878997</v>
      </c>
      <c r="Z397" s="2">
        <f>('L-Values'!V397*'D(Ti_Cherniak) Times'!$F397*0.000001)^2/(4*'D(Ti_Cherniak) Times'!$C397)/(365.35*24*3600)</f>
        <v>125.40223239793517</v>
      </c>
      <c r="AA397" s="2">
        <f>('L-Values'!W397*'D(Ti_Cherniak) Times'!$F397*0.000001)^2/(4*'D(Ti_Cherniak) Times'!$C397)/(365.35*24*3600)</f>
        <v>6.0054394883059805</v>
      </c>
      <c r="AB397" s="2">
        <f>('L-Values'!X397*'D(Ti_Cherniak) Times'!$F397*0.000001)^2/(4*'D(Ti_Cherniak) Times'!$C397)/(365.35*24*3600)</f>
        <v>446.06947499271189</v>
      </c>
      <c r="AC397" s="2">
        <f t="shared" si="26"/>
        <v>119.39679290962918</v>
      </c>
      <c r="AD397" s="2">
        <f t="shared" si="27"/>
        <v>320.66724259477672</v>
      </c>
    </row>
    <row r="398" spans="1:30" x14ac:dyDescent="0.2">
      <c r="A398" t="str">
        <f>'L-Values'!A398</f>
        <v>CGI018-qtz10-CL-fit-5-offset</v>
      </c>
      <c r="B398">
        <v>750</v>
      </c>
      <c r="C398">
        <f t="shared" si="24"/>
        <v>8.0537892000481889E-22</v>
      </c>
      <c r="D398">
        <v>2600</v>
      </c>
      <c r="E398">
        <v>1024</v>
      </c>
      <c r="F398">
        <f t="shared" si="25"/>
        <v>2.5390625</v>
      </c>
      <c r="I398" s="2">
        <f>('L-Values'!E398*'D(Ti_Cherniak) Times'!$F398*0.000001)^2/(4*'D(Ti_Cherniak) Times'!$C398)/(365.35*24*3600)</f>
        <v>87.704196743391606</v>
      </c>
      <c r="J398" s="2">
        <f>('L-Values'!F398*'D(Ti_Cherniak) Times'!$F398*0.000001)^2/(4*'D(Ti_Cherniak) Times'!$C398)/(365.35*24*3600)</f>
        <v>1.0356219563354833E-2</v>
      </c>
      <c r="K398" s="2">
        <f>('L-Values'!G398*'D(Ti_Cherniak) Times'!$F398*0.000001)^2/(4*'D(Ti_Cherniak) Times'!$C398)/(365.35*24*3600)</f>
        <v>48.956144371472433</v>
      </c>
      <c r="L398" s="2">
        <f>('L-Values'!H398*'D(Ti_Cherniak) Times'!$F398*0.000001)^2/(4*'D(Ti_Cherniak) Times'!$C398)/(365.35*24*3600)</f>
        <v>76.767238356446271</v>
      </c>
      <c r="M398" s="2">
        <f>('L-Values'!I398*'D(Ti_Cherniak) Times'!$F398*0.000001)^2/(4*'D(Ti_Cherniak) Times'!$C398)/(365.35*24*3600)</f>
        <v>63.94949586031472</v>
      </c>
      <c r="N398" s="2">
        <f>('L-Values'!J398*'D(Ti_Cherniak) Times'!$F398*0.000001)^2/(4*'D(Ti_Cherniak) Times'!$C398)/(365.35*24*3600)</f>
        <v>115.94174477832537</v>
      </c>
      <c r="O398" s="2">
        <f>('L-Values'!K398*'D(Ti_Cherniak) Times'!$F398*0.000001)^2/(4*'D(Ti_Cherniak) Times'!$C398)/(365.35*24*3600)</f>
        <v>47.896161959577803</v>
      </c>
      <c r="P398" s="2">
        <f>('L-Values'!L398*'D(Ti_Cherniak) Times'!$F398*0.000001)^2/(4*'D(Ti_Cherniak) Times'!$C398)/(365.35*24*3600)</f>
        <v>115.04226094110666</v>
      </c>
      <c r="Q398" s="2">
        <f>('L-Values'!M398*'D(Ti_Cherniak) Times'!$F398*0.000001)^2/(4*'D(Ti_Cherniak) Times'!$C398)/(365.35*24*3600)</f>
        <v>24.687633057554226</v>
      </c>
      <c r="R398" s="2">
        <f>('L-Values'!N398*'D(Ti_Cherniak) Times'!$F398*0.000001)^2/(4*'D(Ti_Cherniak) Times'!$C398)/(365.35*24*3600)</f>
        <v>109.38835931276151</v>
      </c>
      <c r="S398" s="2">
        <f>('L-Values'!O398*'D(Ti_Cherniak) Times'!$F398*0.000001)^2/(4*'D(Ti_Cherniak) Times'!$C398)/(365.35*24*3600)</f>
        <v>67.8490731756267</v>
      </c>
      <c r="T398" s="2"/>
      <c r="U398" s="2">
        <f>('L-Values'!Q398*'D(Ti_Cherniak) Times'!$F398*0.000001)^2/(4*'D(Ti_Cherniak) Times'!$C398)/(365.35*24*3600)</f>
        <v>77.670995797306716</v>
      </c>
      <c r="V398" s="2">
        <f>('L-Values'!R398*'D(Ti_Cherniak) Times'!$F398*0.000001)^2/(4*'D(Ti_Cherniak) Times'!$C398)/(365.35*24*3600)</f>
        <v>60.134291011780057</v>
      </c>
      <c r="W398" s="2">
        <f>('L-Values'!S398*'D(Ti_Cherniak) Times'!$F398*0.000001)^2/(4*'D(Ti_Cherniak) Times'!$C398)/(365.35*24*3600)</f>
        <v>67.8490731756267</v>
      </c>
      <c r="X398" s="2"/>
      <c r="Y398" s="2">
        <f>('L-Values'!U398*'D(Ti_Cherniak) Times'!$F398*0.000001)^2/(4*'D(Ti_Cherniak) Times'!$C398)/(365.35*24*3600)</f>
        <v>58.66009304804674</v>
      </c>
      <c r="Z398" s="2">
        <f>('L-Values'!V398*'D(Ti_Cherniak) Times'!$F398*0.000001)^2/(4*'D(Ti_Cherniak) Times'!$C398)/(365.35*24*3600)</f>
        <v>49.638423807021312</v>
      </c>
      <c r="AA398" s="2">
        <f>('L-Values'!W398*'D(Ti_Cherniak) Times'!$F398*0.000001)^2/(4*'D(Ti_Cherniak) Times'!$C398)/(365.35*24*3600)</f>
        <v>0.26008597106276787</v>
      </c>
      <c r="AB398" s="2">
        <f>('L-Values'!X398*'D(Ti_Cherniak) Times'!$F398*0.000001)^2/(4*'D(Ti_Cherniak) Times'!$C398)/(365.35*24*3600)</f>
        <v>152.81286961995556</v>
      </c>
      <c r="AC398" s="2">
        <f t="shared" si="26"/>
        <v>49.378337835958547</v>
      </c>
      <c r="AD398" s="2">
        <f t="shared" si="27"/>
        <v>103.17444581293425</v>
      </c>
    </row>
    <row r="399" spans="1:30" x14ac:dyDescent="0.2">
      <c r="A399" t="str">
        <f>'L-Values'!A399</f>
        <v>CGI018-qtz10-CL-fit-6-offset</v>
      </c>
      <c r="B399">
        <v>750</v>
      </c>
      <c r="C399">
        <f t="shared" si="24"/>
        <v>8.0537892000481889E-22</v>
      </c>
      <c r="D399">
        <v>2600</v>
      </c>
      <c r="E399">
        <v>1024</v>
      </c>
      <c r="F399">
        <f t="shared" si="25"/>
        <v>2.5390625</v>
      </c>
      <c r="I399" s="2">
        <f>('L-Values'!E399*'D(Ti_Cherniak) Times'!$F399*0.000001)^2/(4*'D(Ti_Cherniak) Times'!$C399)/(365.35*24*3600)</f>
        <v>148.83955785528693</v>
      </c>
      <c r="J399" s="2">
        <f>('L-Values'!F399*'D(Ti_Cherniak) Times'!$F399*0.000001)^2/(4*'D(Ti_Cherniak) Times'!$C399)/(365.35*24*3600)</f>
        <v>101.37755178806337</v>
      </c>
      <c r="K399" s="2">
        <f>('L-Values'!G399*'D(Ti_Cherniak) Times'!$F399*0.000001)^2/(4*'D(Ti_Cherniak) Times'!$C399)/(365.35*24*3600)</f>
        <v>96.435307265533396</v>
      </c>
      <c r="L399" s="2">
        <f>('L-Values'!H399*'D(Ti_Cherniak) Times'!$F399*0.000001)^2/(4*'D(Ti_Cherniak) Times'!$C399)/(365.35*24*3600)</f>
        <v>159.82821954657877</v>
      </c>
      <c r="M399" s="2">
        <f>('L-Values'!I399*'D(Ti_Cherniak) Times'!$F399*0.000001)^2/(4*'D(Ti_Cherniak) Times'!$C399)/(365.35*24*3600)</f>
        <v>165.12363488298726</v>
      </c>
      <c r="N399" s="2">
        <f>('L-Values'!J399*'D(Ti_Cherniak) Times'!$F399*0.000001)^2/(4*'D(Ti_Cherniak) Times'!$C399)/(365.35*24*3600)</f>
        <v>59.291467412225664</v>
      </c>
      <c r="O399" s="2">
        <f>('L-Values'!K399*'D(Ti_Cherniak) Times'!$F399*0.000001)^2/(4*'D(Ti_Cherniak) Times'!$C399)/(365.35*24*3600)</f>
        <v>86.65809539436448</v>
      </c>
      <c r="P399" s="2">
        <f>('L-Values'!L399*'D(Ti_Cherniak) Times'!$F399*0.000001)^2/(4*'D(Ti_Cherniak) Times'!$C399)/(365.35*24*3600)</f>
        <v>110.1286964306961</v>
      </c>
      <c r="Q399" s="2">
        <f>('L-Values'!M399*'D(Ti_Cherniak) Times'!$F399*0.000001)^2/(4*'D(Ti_Cherniak) Times'!$C399)/(365.35*24*3600)</f>
        <v>238.29362036616598</v>
      </c>
      <c r="R399" s="2">
        <f>('L-Values'!N399*'D(Ti_Cherniak) Times'!$F399*0.000001)^2/(4*'D(Ti_Cherniak) Times'!$C399)/(365.35*24*3600)</f>
        <v>110.23862494285227</v>
      </c>
      <c r="S399" s="2">
        <f>('L-Values'!O399*'D(Ti_Cherniak) Times'!$F399*0.000001)^2/(4*'D(Ti_Cherniak) Times'!$C399)/(365.35*24*3600)</f>
        <v>175.21990777607147</v>
      </c>
      <c r="T399" s="2"/>
      <c r="U399" s="2">
        <f>('L-Values'!Q399*'D(Ti_Cherniak) Times'!$F399*0.000001)^2/(4*'D(Ti_Cherniak) Times'!$C399)/(365.35*24*3600)</f>
        <v>122.08387983872757</v>
      </c>
      <c r="V399" s="2">
        <f>('L-Values'!R399*'D(Ti_Cherniak) Times'!$F399*0.000001)^2/(4*'D(Ti_Cherniak) Times'!$C399)/(365.35*24*3600)</f>
        <v>127.60325328713893</v>
      </c>
      <c r="W399" s="2">
        <f>('L-Values'!S399*'D(Ti_Cherniak) Times'!$F399*0.000001)^2/(4*'D(Ti_Cherniak) Times'!$C399)/(365.35*24*3600)</f>
        <v>110.23862494285227</v>
      </c>
      <c r="X399" s="2"/>
      <c r="Y399" s="2">
        <f>('L-Values'!U399*'D(Ti_Cherniak) Times'!$F399*0.000001)^2/(4*'D(Ti_Cherniak) Times'!$C399)/(365.35*24*3600)</f>
        <v>116.25842123475246</v>
      </c>
      <c r="Z399" s="2">
        <f>('L-Values'!V399*'D(Ti_Cherniak) Times'!$F399*0.000001)^2/(4*'D(Ti_Cherniak) Times'!$C399)/(365.35*24*3600)</f>
        <v>105.15936689892082</v>
      </c>
      <c r="AA399" s="2">
        <f>('L-Values'!W399*'D(Ti_Cherniak) Times'!$F399*0.000001)^2/(4*'D(Ti_Cherniak) Times'!$C399)/(365.35*24*3600)</f>
        <v>4.666063315185097</v>
      </c>
      <c r="AB399" s="2">
        <f>('L-Values'!X399*'D(Ti_Cherniak) Times'!$F399*0.000001)^2/(4*'D(Ti_Cherniak) Times'!$C399)/(365.35*24*3600)</f>
        <v>290.34772260398256</v>
      </c>
      <c r="AC399" s="2">
        <f t="shared" si="26"/>
        <v>100.49330358373572</v>
      </c>
      <c r="AD399" s="2">
        <f t="shared" si="27"/>
        <v>185.18835570506172</v>
      </c>
    </row>
    <row r="400" spans="1:30" x14ac:dyDescent="0.2">
      <c r="A400" t="str">
        <f>'L-Values'!A400</f>
        <v>CGI018-qtz11-CL-fit-1-offset</v>
      </c>
      <c r="B400">
        <v>750</v>
      </c>
      <c r="C400">
        <f t="shared" si="24"/>
        <v>8.0537892000481889E-22</v>
      </c>
      <c r="D400">
        <v>1250</v>
      </c>
      <c r="E400">
        <v>1024</v>
      </c>
      <c r="F400">
        <f t="shared" si="25"/>
        <v>1.220703125</v>
      </c>
      <c r="I400" s="2">
        <f>('L-Values'!E400*'D(Ti_Cherniak) Times'!$F400*0.000001)^2/(4*'D(Ti_Cherniak) Times'!$C400)/(365.35*24*3600)</f>
        <v>336.7945656208467</v>
      </c>
      <c r="J400" s="2">
        <f>('L-Values'!F400*'D(Ti_Cherniak) Times'!$F400*0.000001)^2/(4*'D(Ti_Cherniak) Times'!$C400)/(365.35*24*3600)</f>
        <v>198.70357374859535</v>
      </c>
      <c r="K400" s="2">
        <f>('L-Values'!G400*'D(Ti_Cherniak) Times'!$F400*0.000001)^2/(4*'D(Ti_Cherniak) Times'!$C400)/(365.35*24*3600)</f>
        <v>335.74337567696568</v>
      </c>
      <c r="L400" s="2">
        <f>('L-Values'!H400*'D(Ti_Cherniak) Times'!$F400*0.000001)^2/(4*'D(Ti_Cherniak) Times'!$C400)/(365.35*24*3600)</f>
        <v>402.02473844457859</v>
      </c>
      <c r="M400" s="2">
        <f>('L-Values'!I400*'D(Ti_Cherniak) Times'!$F400*0.000001)^2/(4*'D(Ti_Cherniak) Times'!$C400)/(365.35*24*3600)</f>
        <v>252.32909641631204</v>
      </c>
      <c r="N400" s="2">
        <f>('L-Values'!J400*'D(Ti_Cherniak) Times'!$F400*0.000001)^2/(4*'D(Ti_Cherniak) Times'!$C400)/(365.35*24*3600)</f>
        <v>237.14884376922302</v>
      </c>
      <c r="O400" s="2">
        <f>('L-Values'!K400*'D(Ti_Cherniak) Times'!$F400*0.000001)^2/(4*'D(Ti_Cherniak) Times'!$C400)/(365.35*24*3600)</f>
        <v>258.56009160009864</v>
      </c>
      <c r="P400" s="2">
        <f>('L-Values'!L400*'D(Ti_Cherniak) Times'!$F400*0.000001)^2/(4*'D(Ti_Cherniak) Times'!$C400)/(365.35*24*3600)</f>
        <v>296.47283213141037</v>
      </c>
      <c r="Q400" s="2">
        <f>('L-Values'!M400*'D(Ti_Cherniak) Times'!$F400*0.000001)^2/(4*'D(Ti_Cherniak) Times'!$C400)/(365.35*24*3600)</f>
        <v>294.5750763566586</v>
      </c>
      <c r="R400" s="2">
        <f>('L-Values'!N400*'D(Ti_Cherniak) Times'!$F400*0.000001)^2/(4*'D(Ti_Cherniak) Times'!$C400)/(365.35*24*3600)</f>
        <v>395.143797127021</v>
      </c>
      <c r="S400" s="2">
        <f>('L-Values'!O400*'D(Ti_Cherniak) Times'!$F400*0.000001)^2/(4*'D(Ti_Cherniak) Times'!$C400)/(365.35*24*3600)</f>
        <v>257.12916274331559</v>
      </c>
      <c r="T400" s="2"/>
      <c r="U400" s="2">
        <f>('L-Values'!Q400*'D(Ti_Cherniak) Times'!$F400*0.000001)^2/(4*'D(Ti_Cherniak) Times'!$C400)/(365.35*24*3600)</f>
        <v>293.819462691338</v>
      </c>
      <c r="V400" s="2">
        <f>('L-Values'!R400*'D(Ti_Cherniak) Times'!$F400*0.000001)^2/(4*'D(Ti_Cherniak) Times'!$C400)/(365.35*24*3600)</f>
        <v>293.59702337329202</v>
      </c>
      <c r="W400" s="2">
        <f>('L-Values'!S400*'D(Ti_Cherniak) Times'!$F400*0.000001)^2/(4*'D(Ti_Cherniak) Times'!$C400)/(365.35*24*3600)</f>
        <v>294.5750763566586</v>
      </c>
      <c r="X400" s="2"/>
      <c r="Y400" s="2">
        <f>('L-Values'!U400*'D(Ti_Cherniak) Times'!$F400*0.000001)^2/(4*'D(Ti_Cherniak) Times'!$C400)/(365.35*24*3600)</f>
        <v>292.98123249889301</v>
      </c>
      <c r="Z400" s="2">
        <f>('L-Values'!V400*'D(Ti_Cherniak) Times'!$F400*0.000001)^2/(4*'D(Ti_Cherniak) Times'!$C400)/(365.35*24*3600)</f>
        <v>287.50250966068234</v>
      </c>
      <c r="AA400" s="2">
        <f>('L-Values'!W400*'D(Ti_Cherniak) Times'!$F400*0.000001)^2/(4*'D(Ti_Cherniak) Times'!$C400)/(365.35*24*3600)</f>
        <v>169.16031207696523</v>
      </c>
      <c r="AB400" s="2">
        <f>('L-Values'!X400*'D(Ti_Cherniak) Times'!$F400*0.000001)^2/(4*'D(Ti_Cherniak) Times'!$C400)/(365.35*24*3600)</f>
        <v>411.16459540067632</v>
      </c>
      <c r="AC400" s="2">
        <f t="shared" si="26"/>
        <v>118.34219758371711</v>
      </c>
      <c r="AD400" s="2">
        <f t="shared" si="27"/>
        <v>123.66208573999398</v>
      </c>
    </row>
    <row r="401" spans="1:30" x14ac:dyDescent="0.2">
      <c r="A401" t="str">
        <f>'L-Values'!A401</f>
        <v>CGI018-qtz11-CL-fit-2-offset</v>
      </c>
      <c r="B401">
        <v>750</v>
      </c>
      <c r="C401">
        <f t="shared" si="24"/>
        <v>8.0537892000481889E-22</v>
      </c>
      <c r="D401">
        <v>1250</v>
      </c>
      <c r="E401">
        <v>1024</v>
      </c>
      <c r="F401">
        <f t="shared" si="25"/>
        <v>1.220703125</v>
      </c>
      <c r="I401" s="2">
        <f>('L-Values'!E401*'D(Ti_Cherniak) Times'!$F401*0.000001)^2/(4*'D(Ti_Cherniak) Times'!$C401)/(365.35*24*3600)</f>
        <v>5.4899678131810493E-2</v>
      </c>
      <c r="J401" s="2">
        <f>('L-Values'!F401*'D(Ti_Cherniak) Times'!$F401*0.000001)^2/(4*'D(Ti_Cherniak) Times'!$C401)/(365.35*24*3600)</f>
        <v>88.859839058219876</v>
      </c>
      <c r="K401" s="2">
        <f>('L-Values'!G401*'D(Ti_Cherniak) Times'!$F401*0.000001)^2/(4*'D(Ti_Cherniak) Times'!$C401)/(365.35*24*3600)</f>
        <v>621.94471434832553</v>
      </c>
      <c r="L401" s="2">
        <f>('L-Values'!H401*'D(Ti_Cherniak) Times'!$F401*0.000001)^2/(4*'D(Ti_Cherniak) Times'!$C401)/(365.35*24*3600)</f>
        <v>152.54767898531384</v>
      </c>
      <c r="M401" s="2">
        <f>('L-Values'!I401*'D(Ti_Cherniak) Times'!$F401*0.000001)^2/(4*'D(Ti_Cherniak) Times'!$C401)/(365.35*24*3600)</f>
        <v>30.820773483860172</v>
      </c>
      <c r="N401" s="2">
        <f>('L-Values'!J401*'D(Ti_Cherniak) Times'!$F401*0.000001)^2/(4*'D(Ti_Cherniak) Times'!$C401)/(365.35*24*3600)</f>
        <v>155.0235077290817</v>
      </c>
      <c r="O401" s="2">
        <f>('L-Values'!K401*'D(Ti_Cherniak) Times'!$F401*0.000001)^2/(4*'D(Ti_Cherniak) Times'!$C401)/(365.35*24*3600)</f>
        <v>561.5939998779404</v>
      </c>
      <c r="P401" s="2">
        <f>('L-Values'!L401*'D(Ti_Cherniak) Times'!$F401*0.000001)^2/(4*'D(Ti_Cherniak) Times'!$C401)/(365.35*24*3600)</f>
        <v>439.37295638145901</v>
      </c>
      <c r="Q401" s="2">
        <f>('L-Values'!M401*'D(Ti_Cherniak) Times'!$F401*0.000001)^2/(4*'D(Ti_Cherniak) Times'!$C401)/(365.35*24*3600)</f>
        <v>180.99365521143787</v>
      </c>
      <c r="R401" s="2">
        <f>('L-Values'!N401*'D(Ti_Cherniak) Times'!$F401*0.000001)^2/(4*'D(Ti_Cherniak) Times'!$C401)/(365.35*24*3600)</f>
        <v>104.52314561097334</v>
      </c>
      <c r="S401" s="2">
        <f>('L-Values'!O401*'D(Ti_Cherniak) Times'!$F401*0.000001)^2/(4*'D(Ti_Cherniak) Times'!$C401)/(365.35*24*3600)</f>
        <v>157.79259017136104</v>
      </c>
      <c r="T401" s="2"/>
      <c r="U401" s="2">
        <f>('L-Values'!Q401*'D(Ti_Cherniak) Times'!$F401*0.000001)^2/(4*'D(Ti_Cherniak) Times'!$C401)/(365.35*24*3600)</f>
        <v>196.78724997678555</v>
      </c>
      <c r="V401" s="2">
        <f>('L-Values'!R401*'D(Ti_Cherniak) Times'!$F401*0.000001)^2/(4*'D(Ti_Cherniak) Times'!$C401)/(365.35*24*3600)</f>
        <v>175.80585688342035</v>
      </c>
      <c r="W401" s="2">
        <f>('L-Values'!S401*'D(Ti_Cherniak) Times'!$F401*0.000001)^2/(4*'D(Ti_Cherniak) Times'!$C401)/(365.35*24*3600)</f>
        <v>155.0235077290817</v>
      </c>
      <c r="X401" s="2"/>
      <c r="Y401" s="2">
        <f>('L-Values'!U401*'D(Ti_Cherniak) Times'!$F401*0.000001)^2/(4*'D(Ti_Cherniak) Times'!$C401)/(365.35*24*3600)</f>
        <v>173.94009843447739</v>
      </c>
      <c r="Z401" s="2">
        <f>('L-Values'!V401*'D(Ti_Cherniak) Times'!$F401*0.000001)^2/(4*'D(Ti_Cherniak) Times'!$C401)/(365.35*24*3600)</f>
        <v>185.85831198904162</v>
      </c>
      <c r="AA401" s="2">
        <f>('L-Values'!W401*'D(Ti_Cherniak) Times'!$F401*0.000001)^2/(4*'D(Ti_Cherniak) Times'!$C401)/(365.35*24*3600)</f>
        <v>0.98412025620575405</v>
      </c>
      <c r="AB401" s="2">
        <f>('L-Values'!X401*'D(Ti_Cherniak) Times'!$F401*0.000001)^2/(4*'D(Ti_Cherniak) Times'!$C401)/(365.35*24*3600)</f>
        <v>1009.45580258859</v>
      </c>
      <c r="AC401" s="2">
        <f t="shared" si="26"/>
        <v>184.87419173283587</v>
      </c>
      <c r="AD401" s="2">
        <f t="shared" si="27"/>
        <v>823.59749059954834</v>
      </c>
    </row>
    <row r="402" spans="1:30" x14ac:dyDescent="0.2">
      <c r="A402" t="str">
        <f>'L-Values'!A402</f>
        <v>CGI018-qtz11-CL-fit-3-offset</v>
      </c>
      <c r="B402">
        <v>750</v>
      </c>
      <c r="C402">
        <f t="shared" si="24"/>
        <v>8.0537892000481889E-22</v>
      </c>
      <c r="D402">
        <v>1250</v>
      </c>
      <c r="E402">
        <v>1024</v>
      </c>
      <c r="F402">
        <f t="shared" si="25"/>
        <v>1.220703125</v>
      </c>
      <c r="I402" s="2">
        <f>('L-Values'!E402*'D(Ti_Cherniak) Times'!$F402*0.000001)^2/(4*'D(Ti_Cherniak) Times'!$C402)/(365.35*24*3600)</f>
        <v>63.926415864398251</v>
      </c>
      <c r="J402" s="2">
        <f>('L-Values'!F402*'D(Ti_Cherniak) Times'!$F402*0.000001)^2/(4*'D(Ti_Cherniak) Times'!$C402)/(365.35*24*3600)</f>
        <v>303.99243713602004</v>
      </c>
      <c r="K402" s="2">
        <f>('L-Values'!G402*'D(Ti_Cherniak) Times'!$F402*0.000001)^2/(4*'D(Ti_Cherniak) Times'!$C402)/(365.35*24*3600)</f>
        <v>62.631027383074219</v>
      </c>
      <c r="L402" s="2">
        <f>('L-Values'!H402*'D(Ti_Cherniak) Times'!$F402*0.000001)^2/(4*'D(Ti_Cherniak) Times'!$C402)/(365.35*24*3600)</f>
        <v>172.63038764977563</v>
      </c>
      <c r="M402" s="2">
        <f>('L-Values'!I402*'D(Ti_Cherniak) Times'!$F402*0.000001)^2/(4*'D(Ti_Cherniak) Times'!$C402)/(365.35*24*3600)</f>
        <v>1.2956938467152517</v>
      </c>
      <c r="N402" s="2">
        <f>('L-Values'!J402*'D(Ti_Cherniak) Times'!$F402*0.000001)^2/(4*'D(Ti_Cherniak) Times'!$C402)/(365.35*24*3600)</f>
        <v>0.96980676881354555</v>
      </c>
      <c r="O402" s="2">
        <f>('L-Values'!K402*'D(Ti_Cherniak) Times'!$F402*0.000001)^2/(4*'D(Ti_Cherniak) Times'!$C402)/(365.35*24*3600)</f>
        <v>62.150085236316855</v>
      </c>
      <c r="P402" s="2">
        <f>('L-Values'!L402*'D(Ti_Cherniak) Times'!$F402*0.000001)^2/(4*'D(Ti_Cherniak) Times'!$C402)/(365.35*24*3600)</f>
        <v>346.13693023028753</v>
      </c>
      <c r="Q402" s="2">
        <f>('L-Values'!M402*'D(Ti_Cherniak) Times'!$F402*0.000001)^2/(4*'D(Ti_Cherniak) Times'!$C402)/(365.35*24*3600)</f>
        <v>10.278570999873603</v>
      </c>
      <c r="R402" s="2">
        <f>('L-Values'!N402*'D(Ti_Cherniak) Times'!$F402*0.000001)^2/(4*'D(Ti_Cherniak) Times'!$C402)/(365.35*24*3600)</f>
        <v>39.85465132494538</v>
      </c>
      <c r="S402" s="2">
        <f>('L-Values'!O402*'D(Ti_Cherniak) Times'!$F402*0.000001)^2/(4*'D(Ti_Cherniak) Times'!$C402)/(365.35*24*3600)</f>
        <v>180.35439897696764</v>
      </c>
      <c r="T402" s="2"/>
      <c r="U402" s="2">
        <f>('L-Values'!Q402*'D(Ti_Cherniak) Times'!$F402*0.000001)^2/(4*'D(Ti_Cherniak) Times'!$C402)/(365.35*24*3600)</f>
        <v>96.375692887877022</v>
      </c>
      <c r="V402" s="2">
        <f>('L-Values'!R402*'D(Ti_Cherniak) Times'!$F402*0.000001)^2/(4*'D(Ti_Cherniak) Times'!$C402)/(365.35*24*3600)</f>
        <v>79.442685655724986</v>
      </c>
      <c r="W402" s="2">
        <f>('L-Values'!S402*'D(Ti_Cherniak) Times'!$F402*0.000001)^2/(4*'D(Ti_Cherniak) Times'!$C402)/(365.35*24*3600)</f>
        <v>62.631027383074219</v>
      </c>
      <c r="X402" s="2"/>
      <c r="Y402" s="2">
        <f>('L-Values'!U402*'D(Ti_Cherniak) Times'!$F402*0.000001)^2/(4*'D(Ti_Cherniak) Times'!$C402)/(365.35*24*3600)</f>
        <v>71.488475592384901</v>
      </c>
      <c r="Z402" s="2">
        <f>('L-Values'!V402*'D(Ti_Cherniak) Times'!$F402*0.000001)^2/(4*'D(Ti_Cherniak) Times'!$C402)/(365.35*24*3600)</f>
        <v>81.408127185930852</v>
      </c>
      <c r="AA402" s="2">
        <f>('L-Values'!W402*'D(Ti_Cherniak) Times'!$F402*0.000001)^2/(4*'D(Ti_Cherniak) Times'!$C402)/(365.35*24*3600)</f>
        <v>7.2591732344384716E-13</v>
      </c>
      <c r="AB402" s="2">
        <f>('L-Values'!X402*'D(Ti_Cherniak) Times'!$F402*0.000001)^2/(4*'D(Ti_Cherniak) Times'!$C402)/(365.35*24*3600)</f>
        <v>889.95952584337965</v>
      </c>
      <c r="AC402" s="2">
        <f t="shared" si="26"/>
        <v>81.408127185930127</v>
      </c>
      <c r="AD402" s="2">
        <f t="shared" si="27"/>
        <v>808.55139865744877</v>
      </c>
    </row>
    <row r="403" spans="1:30" x14ac:dyDescent="0.2">
      <c r="A403" t="str">
        <f>'L-Values'!A403</f>
        <v>CGI018-qtz11-CL-fit-4-offset</v>
      </c>
      <c r="B403">
        <v>750</v>
      </c>
      <c r="C403">
        <f t="shared" si="24"/>
        <v>8.0537892000481889E-22</v>
      </c>
      <c r="D403">
        <v>1250</v>
      </c>
      <c r="E403">
        <v>1024</v>
      </c>
      <c r="F403">
        <f t="shared" si="25"/>
        <v>1.220703125</v>
      </c>
      <c r="I403" s="2">
        <f>('L-Values'!E403*'D(Ti_Cherniak) Times'!$F403*0.000001)^2/(4*'D(Ti_Cherniak) Times'!$C403)/(365.35*24*3600)</f>
        <v>173.84215976650509</v>
      </c>
      <c r="J403" s="2">
        <f>('L-Values'!F403*'D(Ti_Cherniak) Times'!$F403*0.000001)^2/(4*'D(Ti_Cherniak) Times'!$C403)/(365.35*24*3600)</f>
        <v>175.8406312169428</v>
      </c>
      <c r="K403" s="2">
        <f>('L-Values'!G403*'D(Ti_Cherniak) Times'!$F403*0.000001)^2/(4*'D(Ti_Cherniak) Times'!$C403)/(365.35*24*3600)</f>
        <v>459.82088299333594</v>
      </c>
      <c r="L403" s="2">
        <f>('L-Values'!H403*'D(Ti_Cherniak) Times'!$F403*0.000001)^2/(4*'D(Ti_Cherniak) Times'!$C403)/(365.35*24*3600)</f>
        <v>242.91749977895716</v>
      </c>
      <c r="M403" s="2">
        <f>('L-Values'!I403*'D(Ti_Cherniak) Times'!$F403*0.000001)^2/(4*'D(Ti_Cherniak) Times'!$C403)/(365.35*24*3600)</f>
        <v>311.20620662853258</v>
      </c>
      <c r="N403" s="2">
        <f>('L-Values'!J403*'D(Ti_Cherniak) Times'!$F403*0.000001)^2/(4*'D(Ti_Cherniak) Times'!$C403)/(365.35*24*3600)</f>
        <v>22.182661434232632</v>
      </c>
      <c r="O403" s="2">
        <f>('L-Values'!K403*'D(Ti_Cherniak) Times'!$F403*0.000001)^2/(4*'D(Ti_Cherniak) Times'!$C403)/(365.35*24*3600)</f>
        <v>135.30751945005198</v>
      </c>
      <c r="P403" s="2">
        <f>('L-Values'!L403*'D(Ti_Cherniak) Times'!$F403*0.000001)^2/(4*'D(Ti_Cherniak) Times'!$C403)/(365.35*24*3600)</f>
        <v>437.01930942829631</v>
      </c>
      <c r="Q403" s="2">
        <f>('L-Values'!M403*'D(Ti_Cherniak) Times'!$F403*0.000001)^2/(4*'D(Ti_Cherniak) Times'!$C403)/(365.35*24*3600)</f>
        <v>209.48510698693815</v>
      </c>
      <c r="R403" s="2">
        <f>('L-Values'!N403*'D(Ti_Cherniak) Times'!$F403*0.000001)^2/(4*'D(Ti_Cherniak) Times'!$C403)/(365.35*24*3600)</f>
        <v>140.10762657128427</v>
      </c>
      <c r="S403" s="2">
        <f>('L-Values'!O403*'D(Ti_Cherniak) Times'!$F403*0.000001)^2/(4*'D(Ti_Cherniak) Times'!$C403)/(365.35*24*3600)</f>
        <v>384.13238789668941</v>
      </c>
      <c r="T403" s="2"/>
      <c r="U403" s="2">
        <f>('L-Values'!Q403*'D(Ti_Cherniak) Times'!$F403*0.000001)^2/(4*'D(Ti_Cherniak) Times'!$C403)/(365.35*24*3600)</f>
        <v>222.77049119782035</v>
      </c>
      <c r="V403" s="2">
        <f>('L-Values'!R403*'D(Ti_Cherniak) Times'!$F403*0.000001)^2/(4*'D(Ti_Cherniak) Times'!$C403)/(365.35*24*3600)</f>
        <v>223.01981820091353</v>
      </c>
      <c r="W403" s="2">
        <f>('L-Values'!S403*'D(Ti_Cherniak) Times'!$F403*0.000001)^2/(4*'D(Ti_Cherniak) Times'!$C403)/(365.35*24*3600)</f>
        <v>209.48510698693815</v>
      </c>
      <c r="X403" s="2"/>
      <c r="Y403" s="2">
        <f>('L-Values'!U403*'D(Ti_Cherniak) Times'!$F403*0.000001)^2/(4*'D(Ti_Cherniak) Times'!$C403)/(365.35*24*3600)</f>
        <v>209.07034453582685</v>
      </c>
      <c r="Z403" s="2">
        <f>('L-Values'!V403*'D(Ti_Cherniak) Times'!$F403*0.000001)^2/(4*'D(Ti_Cherniak) Times'!$C403)/(365.35*24*3600)</f>
        <v>240.50291270791087</v>
      </c>
      <c r="AA403" s="2">
        <f>('L-Values'!W403*'D(Ti_Cherniak) Times'!$F403*0.000001)^2/(4*'D(Ti_Cherniak) Times'!$C403)/(365.35*24*3600)</f>
        <v>73.545229756517273</v>
      </c>
      <c r="AB403" s="2">
        <f>('L-Values'!X403*'D(Ti_Cherniak) Times'!$F403*0.000001)^2/(4*'D(Ti_Cherniak) Times'!$C403)/(365.35*24*3600)</f>
        <v>922.98532539877397</v>
      </c>
      <c r="AC403" s="2">
        <f t="shared" si="26"/>
        <v>166.95768295139359</v>
      </c>
      <c r="AD403" s="2">
        <f t="shared" si="27"/>
        <v>682.48241269086316</v>
      </c>
    </row>
    <row r="404" spans="1:30" x14ac:dyDescent="0.2">
      <c r="A404" t="str">
        <f>'L-Values'!A404</f>
        <v>CGI018-qtz11-CL-fit-5-offset</v>
      </c>
      <c r="B404">
        <v>750</v>
      </c>
      <c r="C404">
        <f t="shared" si="24"/>
        <v>8.0537892000481889E-22</v>
      </c>
      <c r="D404">
        <v>1250</v>
      </c>
      <c r="E404">
        <v>1024</v>
      </c>
      <c r="F404">
        <f t="shared" si="25"/>
        <v>1.220703125</v>
      </c>
      <c r="I404" s="2">
        <f>('L-Values'!E404*'D(Ti_Cherniak) Times'!$F404*0.000001)^2/(4*'D(Ti_Cherniak) Times'!$C404)/(365.35*24*3600)</f>
        <v>3.245180935200683E-4</v>
      </c>
      <c r="J404" s="2">
        <f>('L-Values'!F404*'D(Ti_Cherniak) Times'!$F404*0.000001)^2/(4*'D(Ti_Cherniak) Times'!$C404)/(365.35*24*3600)</f>
        <v>142.96252389080664</v>
      </c>
      <c r="K404" s="2">
        <f>('L-Values'!G404*'D(Ti_Cherniak) Times'!$F404*0.000001)^2/(4*'D(Ti_Cherniak) Times'!$C404)/(365.35*24*3600)</f>
        <v>199.94904061568866</v>
      </c>
      <c r="L404" s="2">
        <f>('L-Values'!H404*'D(Ti_Cherniak) Times'!$F404*0.000001)^2/(4*'D(Ti_Cherniak) Times'!$C404)/(365.35*24*3600)</f>
        <v>141.14024879146649</v>
      </c>
      <c r="M404" s="2">
        <f>('L-Values'!I404*'D(Ti_Cherniak) Times'!$F404*0.000001)^2/(4*'D(Ti_Cherniak) Times'!$C404)/(365.35*24*3600)</f>
        <v>5.2026084141020537</v>
      </c>
      <c r="N404" s="2">
        <f>('L-Values'!J404*'D(Ti_Cherniak) Times'!$F404*0.000001)^2/(4*'D(Ti_Cherniak) Times'!$C404)/(365.35*24*3600)</f>
        <v>71.525276581666489</v>
      </c>
      <c r="O404" s="2">
        <f>('L-Values'!K404*'D(Ti_Cherniak) Times'!$F404*0.000001)^2/(4*'D(Ti_Cherniak) Times'!$C404)/(365.35*24*3600)</f>
        <v>108.7458644091348</v>
      </c>
      <c r="P404" s="2">
        <f>('L-Values'!L404*'D(Ti_Cherniak) Times'!$F404*0.000001)^2/(4*'D(Ti_Cherniak) Times'!$C404)/(365.35*24*3600)</f>
        <v>182.51660332574104</v>
      </c>
      <c r="Q404" s="2">
        <f>('L-Values'!M404*'D(Ti_Cherniak) Times'!$F404*0.000001)^2/(4*'D(Ti_Cherniak) Times'!$C404)/(365.35*24*3600)</f>
        <v>31.502349680908264</v>
      </c>
      <c r="R404" s="2">
        <f>('L-Values'!N404*'D(Ti_Cherniak) Times'!$F404*0.000001)^2/(4*'D(Ti_Cherniak) Times'!$C404)/(365.35*24*3600)</f>
        <v>176.4705778496446</v>
      </c>
      <c r="S404" s="2">
        <f>('L-Values'!O404*'D(Ti_Cherniak) Times'!$F404*0.000001)^2/(4*'D(Ti_Cherniak) Times'!$C404)/(365.35*24*3600)</f>
        <v>240.3117788502245</v>
      </c>
      <c r="T404" s="2"/>
      <c r="U404" s="2">
        <f>('L-Values'!Q404*'D(Ti_Cherniak) Times'!$F404*0.000001)^2/(4*'D(Ti_Cherniak) Times'!$C404)/(365.35*24*3600)</f>
        <v>108.23539483624101</v>
      </c>
      <c r="V404" s="2">
        <f>('L-Values'!R404*'D(Ti_Cherniak) Times'!$F404*0.000001)^2/(4*'D(Ti_Cherniak) Times'!$C404)/(365.35*24*3600)</f>
        <v>94.744354092579286</v>
      </c>
      <c r="W404" s="2">
        <f>('L-Values'!S404*'D(Ti_Cherniak) Times'!$F404*0.000001)^2/(4*'D(Ti_Cherniak) Times'!$C404)/(365.35*24*3600)</f>
        <v>141.14024879146649</v>
      </c>
      <c r="X404" s="2"/>
      <c r="Y404" s="2">
        <f>('L-Values'!U404*'D(Ti_Cherniak) Times'!$F404*0.000001)^2/(4*'D(Ti_Cherniak) Times'!$C404)/(365.35*24*3600)</f>
        <v>108.92305843270404</v>
      </c>
      <c r="Z404" s="2">
        <f>('L-Values'!V404*'D(Ti_Cherniak) Times'!$F404*0.000001)^2/(4*'D(Ti_Cherniak) Times'!$C404)/(365.35*24*3600)</f>
        <v>103.68190534978335</v>
      </c>
      <c r="AA404" s="2">
        <f>('L-Values'!W404*'D(Ti_Cherniak) Times'!$F404*0.000001)^2/(4*'D(Ti_Cherniak) Times'!$C404)/(365.35*24*3600)</f>
        <v>1.0049227644369629</v>
      </c>
      <c r="AB404" s="2">
        <f>('L-Values'!X404*'D(Ti_Cherniak) Times'!$F404*0.000001)^2/(4*'D(Ti_Cherniak) Times'!$C404)/(365.35*24*3600)</f>
        <v>395.47947421759608</v>
      </c>
      <c r="AC404" s="2">
        <f t="shared" si="26"/>
        <v>102.67698258534638</v>
      </c>
      <c r="AD404" s="2">
        <f t="shared" si="27"/>
        <v>291.79756886781274</v>
      </c>
    </row>
    <row r="405" spans="1:30" x14ac:dyDescent="0.2">
      <c r="A405" t="str">
        <f>'L-Values'!A405</f>
        <v>CGI018-qtz11-CL-fit-6-offset</v>
      </c>
      <c r="B405">
        <v>750</v>
      </c>
      <c r="C405">
        <f t="shared" si="24"/>
        <v>8.0537892000481889E-22</v>
      </c>
      <c r="D405">
        <v>1250</v>
      </c>
      <c r="E405">
        <v>1024</v>
      </c>
      <c r="F405">
        <f t="shared" si="25"/>
        <v>1.220703125</v>
      </c>
      <c r="I405" s="2">
        <f>('L-Values'!E405*'D(Ti_Cherniak) Times'!$F405*0.000001)^2/(4*'D(Ti_Cherniak) Times'!$C405)/(365.35*24*3600)</f>
        <v>0.89247067086344256</v>
      </c>
      <c r="J405" s="2">
        <f>('L-Values'!F405*'D(Ti_Cherniak) Times'!$F405*0.000001)^2/(4*'D(Ti_Cherniak) Times'!$C405)/(365.35*24*3600)</f>
        <v>159.61369359043127</v>
      </c>
      <c r="K405" s="2">
        <f>('L-Values'!G405*'D(Ti_Cherniak) Times'!$F405*0.000001)^2/(4*'D(Ti_Cherniak) Times'!$C405)/(365.35*24*3600)</f>
        <v>47.200494763211395</v>
      </c>
      <c r="L405" s="2">
        <f>('L-Values'!H405*'D(Ti_Cherniak) Times'!$F405*0.000001)^2/(4*'D(Ti_Cherniak) Times'!$C405)/(365.35*24*3600)</f>
        <v>279.66249370075769</v>
      </c>
      <c r="M405" s="2">
        <f>('L-Values'!I405*'D(Ti_Cherniak) Times'!$F405*0.000001)^2/(4*'D(Ti_Cherniak) Times'!$C405)/(365.35*24*3600)</f>
        <v>26.911120988218666</v>
      </c>
      <c r="N405" s="2">
        <f>('L-Values'!J405*'D(Ti_Cherniak) Times'!$F405*0.000001)^2/(4*'D(Ti_Cherniak) Times'!$C405)/(365.35*24*3600)</f>
        <v>0.56413180287520004</v>
      </c>
      <c r="O405" s="2">
        <f>('L-Values'!K405*'D(Ti_Cherniak) Times'!$F405*0.000001)^2/(4*'D(Ti_Cherniak) Times'!$C405)/(365.35*24*3600)</f>
        <v>0.42058172829810653</v>
      </c>
      <c r="P405" s="2">
        <f>('L-Values'!L405*'D(Ti_Cherniak) Times'!$F405*0.000001)^2/(4*'D(Ti_Cherniak) Times'!$C405)/(365.35*24*3600)</f>
        <v>56.955527686249631</v>
      </c>
      <c r="Q405" s="2">
        <f>('L-Values'!M405*'D(Ti_Cherniak) Times'!$F405*0.000001)^2/(4*'D(Ti_Cherniak) Times'!$C405)/(365.35*24*3600)</f>
        <v>42.622221781137071</v>
      </c>
      <c r="R405" s="2">
        <f>('L-Values'!N405*'D(Ti_Cherniak) Times'!$F405*0.000001)^2/(4*'D(Ti_Cherniak) Times'!$C405)/(365.35*24*3600)</f>
        <v>30.830700845425071</v>
      </c>
      <c r="S405" s="2">
        <f>('L-Values'!O405*'D(Ti_Cherniak) Times'!$F405*0.000001)^2/(4*'D(Ti_Cherniak) Times'!$C405)/(365.35*24*3600)</f>
        <v>89.770291389360892</v>
      </c>
      <c r="T405" s="2"/>
      <c r="U405" s="2">
        <f>('L-Values'!Q405*'D(Ti_Cherniak) Times'!$F405*0.000001)^2/(4*'D(Ti_Cherniak) Times'!$C405)/(365.35*24*3600)</f>
        <v>40.865878922028124</v>
      </c>
      <c r="V405" s="2">
        <f>('L-Values'!R405*'D(Ti_Cherniak) Times'!$F405*0.000001)^2/(4*'D(Ti_Cherniak) Times'!$C405)/(365.35*24*3600)</f>
        <v>43.874764724002411</v>
      </c>
      <c r="W405" s="2">
        <f>('L-Values'!S405*'D(Ti_Cherniak) Times'!$F405*0.000001)^2/(4*'D(Ti_Cherniak) Times'!$C405)/(365.35*24*3600)</f>
        <v>42.622221781137071</v>
      </c>
      <c r="X405" s="2"/>
      <c r="Y405" s="2">
        <f>('L-Values'!U405*'D(Ti_Cherniak) Times'!$F405*0.000001)^2/(4*'D(Ti_Cherniak) Times'!$C405)/(365.35*24*3600)</f>
        <v>27.453114332541976</v>
      </c>
      <c r="Z405" s="2">
        <f>('L-Values'!V405*'D(Ti_Cherniak) Times'!$F405*0.000001)^2/(4*'D(Ti_Cherniak) Times'!$C405)/(365.35*24*3600)</f>
        <v>79.196642810668649</v>
      </c>
      <c r="AA405" s="2">
        <f>('L-Values'!W405*'D(Ti_Cherniak) Times'!$F405*0.000001)^2/(4*'D(Ti_Cherniak) Times'!$C405)/(365.35*24*3600)</f>
        <v>5.5896909748405825E-2</v>
      </c>
      <c r="AB405" s="2">
        <f>('L-Values'!X405*'D(Ti_Cherniak) Times'!$F405*0.000001)^2/(4*'D(Ti_Cherniak) Times'!$C405)/(365.35*24*3600)</f>
        <v>696.51514945823499</v>
      </c>
      <c r="AC405" s="2">
        <f t="shared" si="26"/>
        <v>79.140745900920237</v>
      </c>
      <c r="AD405" s="2">
        <f t="shared" si="27"/>
        <v>617.31850664756632</v>
      </c>
    </row>
    <row r="406" spans="1:30" x14ac:dyDescent="0.2">
      <c r="A406" t="str">
        <f>'L-Values'!A406</f>
        <v>CGI018-qtz12-CL-fit-1-offset</v>
      </c>
      <c r="B406">
        <v>750</v>
      </c>
      <c r="C406">
        <f t="shared" si="24"/>
        <v>8.0537892000481889E-22</v>
      </c>
      <c r="D406">
        <v>1800</v>
      </c>
      <c r="E406">
        <v>1024</v>
      </c>
      <c r="F406">
        <f t="shared" si="25"/>
        <v>1.7578125</v>
      </c>
      <c r="I406" s="2">
        <f>('L-Values'!E406*'D(Ti_Cherniak) Times'!$F406*0.000001)^2/(4*'D(Ti_Cherniak) Times'!$C406)/(365.35*24*3600)</f>
        <v>848.31806470126901</v>
      </c>
      <c r="J406" s="2">
        <f>('L-Values'!F406*'D(Ti_Cherniak) Times'!$F406*0.000001)^2/(4*'D(Ti_Cherniak) Times'!$C406)/(365.35*24*3600)</f>
        <v>1099.2701002280069</v>
      </c>
      <c r="K406" s="2">
        <f>('L-Values'!G406*'D(Ti_Cherniak) Times'!$F406*0.000001)^2/(4*'D(Ti_Cherniak) Times'!$C406)/(365.35*24*3600)</f>
        <v>895.66161446880926</v>
      </c>
      <c r="L406" s="2">
        <f>('L-Values'!H406*'D(Ti_Cherniak) Times'!$F406*0.000001)^2/(4*'D(Ti_Cherniak) Times'!$C406)/(365.35*24*3600)</f>
        <v>482.9526086251945</v>
      </c>
      <c r="M406" s="2">
        <f>('L-Values'!I406*'D(Ti_Cherniak) Times'!$F406*0.000001)^2/(4*'D(Ti_Cherniak) Times'!$C406)/(365.35*24*3600)</f>
        <v>713.55174643817008</v>
      </c>
      <c r="N406" s="2">
        <f>('L-Values'!J406*'D(Ti_Cherniak) Times'!$F406*0.000001)^2/(4*'D(Ti_Cherniak) Times'!$C406)/(365.35*24*3600)</f>
        <v>1048.8827626859597</v>
      </c>
      <c r="O406" s="2">
        <f>('L-Values'!K406*'D(Ti_Cherniak) Times'!$F406*0.000001)^2/(4*'D(Ti_Cherniak) Times'!$C406)/(365.35*24*3600)</f>
        <v>1164.9256568989986</v>
      </c>
      <c r="P406" s="2">
        <f>('L-Values'!L406*'D(Ti_Cherniak) Times'!$F406*0.000001)^2/(4*'D(Ti_Cherniak) Times'!$C406)/(365.35*24*3600)</f>
        <v>1155.0045892560822</v>
      </c>
      <c r="Q406" s="2">
        <f>('L-Values'!M406*'D(Ti_Cherniak) Times'!$F406*0.000001)^2/(4*'D(Ti_Cherniak) Times'!$C406)/(365.35*24*3600)</f>
        <v>1253.7011108926483</v>
      </c>
      <c r="R406" s="2">
        <f>('L-Values'!N406*'D(Ti_Cherniak) Times'!$F406*0.000001)^2/(4*'D(Ti_Cherniak) Times'!$C406)/(365.35*24*3600)</f>
        <v>1250.6934598695698</v>
      </c>
      <c r="S406" s="2">
        <f>('L-Values'!O406*'D(Ti_Cherniak) Times'!$F406*0.000001)^2/(4*'D(Ti_Cherniak) Times'!$C406)/(365.35*24*3600)</f>
        <v>955.48222124410177</v>
      </c>
      <c r="T406" s="2"/>
      <c r="U406" s="2">
        <f>('L-Values'!Q406*'D(Ti_Cherniak) Times'!$F406*0.000001)^2/(4*'D(Ti_Cherniak) Times'!$C406)/(365.35*24*3600)</f>
        <v>983.42206752159586</v>
      </c>
      <c r="V406" s="2">
        <f>('L-Values'!R406*'D(Ti_Cherniak) Times'!$F406*0.000001)^2/(4*'D(Ti_Cherniak) Times'!$C406)/(365.35*24*3600)</f>
        <v>972.78098857443592</v>
      </c>
      <c r="W406" s="2">
        <f>('L-Values'!S406*'D(Ti_Cherniak) Times'!$F406*0.000001)^2/(4*'D(Ti_Cherniak) Times'!$C406)/(365.35*24*3600)</f>
        <v>1048.8827626859597</v>
      </c>
      <c r="X406" s="2"/>
      <c r="Y406" s="2">
        <f>('L-Values'!U406*'D(Ti_Cherniak) Times'!$F406*0.000001)^2/(4*'D(Ti_Cherniak) Times'!$C406)/(365.35*24*3600)</f>
        <v>979.86372504992835</v>
      </c>
      <c r="Z406" s="2">
        <f>('L-Values'!V406*'D(Ti_Cherniak) Times'!$F406*0.000001)^2/(4*'D(Ti_Cherniak) Times'!$C406)/(365.35*24*3600)</f>
        <v>995.58836975125314</v>
      </c>
      <c r="AA406" s="2">
        <f>('L-Values'!W406*'D(Ti_Cherniak) Times'!$F406*0.000001)^2/(4*'D(Ti_Cherniak) Times'!$C406)/(365.35*24*3600)</f>
        <v>660.87828294125734</v>
      </c>
      <c r="AB406" s="2">
        <f>('L-Values'!X406*'D(Ti_Cherniak) Times'!$F406*0.000001)^2/(4*'D(Ti_Cherniak) Times'!$C406)/(365.35*24*3600)</f>
        <v>1615.3359326018708</v>
      </c>
      <c r="AC406" s="2">
        <f t="shared" si="26"/>
        <v>334.7100868099958</v>
      </c>
      <c r="AD406" s="2">
        <f t="shared" si="27"/>
        <v>619.74756285061767</v>
      </c>
    </row>
    <row r="407" spans="1:30" x14ac:dyDescent="0.2">
      <c r="A407" t="str">
        <f>'L-Values'!A407</f>
        <v>CGI018-qtz12-CL-fit-2-offset</v>
      </c>
      <c r="B407">
        <v>750</v>
      </c>
      <c r="C407">
        <f t="shared" si="24"/>
        <v>8.0537892000481889E-22</v>
      </c>
      <c r="D407">
        <v>1800</v>
      </c>
      <c r="E407">
        <v>1024</v>
      </c>
      <c r="F407">
        <f t="shared" si="25"/>
        <v>1.7578125</v>
      </c>
      <c r="I407" s="2">
        <f>('L-Values'!E407*'D(Ti_Cherniak) Times'!$F407*0.000001)^2/(4*'D(Ti_Cherniak) Times'!$C407)/(365.35*24*3600)</f>
        <v>701.18330182335205</v>
      </c>
      <c r="J407" s="2">
        <f>('L-Values'!F407*'D(Ti_Cherniak) Times'!$F407*0.000001)^2/(4*'D(Ti_Cherniak) Times'!$C407)/(365.35*24*3600)</f>
        <v>125.09620801414597</v>
      </c>
      <c r="K407" s="2">
        <f>('L-Values'!G407*'D(Ti_Cherniak) Times'!$F407*0.000001)^2/(4*'D(Ti_Cherniak) Times'!$C407)/(365.35*24*3600)</f>
        <v>349.52655834935717</v>
      </c>
      <c r="L407" s="2">
        <f>('L-Values'!H407*'D(Ti_Cherniak) Times'!$F407*0.000001)^2/(4*'D(Ti_Cherniak) Times'!$C407)/(365.35*24*3600)</f>
        <v>423.70546675483348</v>
      </c>
      <c r="M407" s="2">
        <f>('L-Values'!I407*'D(Ti_Cherniak) Times'!$F407*0.000001)^2/(4*'D(Ti_Cherniak) Times'!$C407)/(365.35*24*3600)</f>
        <v>470.2230300229815</v>
      </c>
      <c r="N407" s="2">
        <f>('L-Values'!J407*'D(Ti_Cherniak) Times'!$F407*0.000001)^2/(4*'D(Ti_Cherniak) Times'!$C407)/(365.35*24*3600)</f>
        <v>818.80533425067551</v>
      </c>
      <c r="O407" s="2">
        <f>('L-Values'!K407*'D(Ti_Cherniak) Times'!$F407*0.000001)^2/(4*'D(Ti_Cherniak) Times'!$C407)/(365.35*24*3600)</f>
        <v>779.61619600968743</v>
      </c>
      <c r="P407" s="2">
        <f>('L-Values'!L407*'D(Ti_Cherniak) Times'!$F407*0.000001)^2/(4*'D(Ti_Cherniak) Times'!$C407)/(365.35*24*3600)</f>
        <v>1014.1882196709536</v>
      </c>
      <c r="Q407" s="2">
        <f>('L-Values'!M407*'D(Ti_Cherniak) Times'!$F407*0.000001)^2/(4*'D(Ti_Cherniak) Times'!$C407)/(365.35*24*3600)</f>
        <v>630.47157390233929</v>
      </c>
      <c r="R407" s="2">
        <f>('L-Values'!N407*'D(Ti_Cherniak) Times'!$F407*0.000001)^2/(4*'D(Ti_Cherniak) Times'!$C407)/(365.35*24*3600)</f>
        <v>451.62181458073422</v>
      </c>
      <c r="S407" s="2">
        <f>('L-Values'!O407*'D(Ti_Cherniak) Times'!$F407*0.000001)^2/(4*'D(Ti_Cherniak) Times'!$C407)/(365.35*24*3600)</f>
        <v>851.84408441860705</v>
      </c>
      <c r="T407" s="2"/>
      <c r="U407" s="2">
        <f>('L-Values'!Q407*'D(Ti_Cherniak) Times'!$F407*0.000001)^2/(4*'D(Ti_Cherniak) Times'!$C407)/(365.35*24*3600)</f>
        <v>594.46231621160587</v>
      </c>
      <c r="V407" s="2">
        <f>('L-Values'!R407*'D(Ti_Cherniak) Times'!$F407*0.000001)^2/(4*'D(Ti_Cherniak) Times'!$C407)/(365.35*24*3600)</f>
        <v>569.7271306268691</v>
      </c>
      <c r="W407" s="2">
        <f>('L-Values'!S407*'D(Ti_Cherniak) Times'!$F407*0.000001)^2/(4*'D(Ti_Cherniak) Times'!$C407)/(365.35*24*3600)</f>
        <v>630.47157390233929</v>
      </c>
      <c r="X407" s="2"/>
      <c r="Y407" s="2">
        <f>('L-Values'!U407*'D(Ti_Cherniak) Times'!$F407*0.000001)^2/(4*'D(Ti_Cherniak) Times'!$C407)/(365.35*24*3600)</f>
        <v>596.6801456571435</v>
      </c>
      <c r="Z407" s="2">
        <f>('L-Values'!V407*'D(Ti_Cherniak) Times'!$F407*0.000001)^2/(4*'D(Ti_Cherniak) Times'!$C407)/(365.35*24*3600)</f>
        <v>591.34699480645793</v>
      </c>
      <c r="AA407" s="2">
        <f>('L-Values'!W407*'D(Ti_Cherniak) Times'!$F407*0.000001)^2/(4*'D(Ti_Cherniak) Times'!$C407)/(365.35*24*3600)</f>
        <v>178.34696570861118</v>
      </c>
      <c r="AB407" s="2">
        <f>('L-Values'!X407*'D(Ti_Cherniak) Times'!$F407*0.000001)^2/(4*'D(Ti_Cherniak) Times'!$C407)/(365.35*24*3600)</f>
        <v>1360.9295260951533</v>
      </c>
      <c r="AC407" s="2">
        <f t="shared" si="26"/>
        <v>413.00002909784678</v>
      </c>
      <c r="AD407" s="2">
        <f t="shared" si="27"/>
        <v>769.58253128869535</v>
      </c>
    </row>
    <row r="408" spans="1:30" x14ac:dyDescent="0.2">
      <c r="A408" t="str">
        <f>'L-Values'!A408</f>
        <v>CGI018-qtz12-CL-fit-3-offset</v>
      </c>
      <c r="B408">
        <v>750</v>
      </c>
      <c r="C408">
        <f t="shared" si="24"/>
        <v>8.0537892000481889E-22</v>
      </c>
      <c r="D408">
        <v>1800</v>
      </c>
      <c r="E408">
        <v>1024</v>
      </c>
      <c r="F408">
        <f t="shared" si="25"/>
        <v>1.7578125</v>
      </c>
      <c r="I408" s="2">
        <f>('L-Values'!E408*'D(Ti_Cherniak) Times'!$F408*0.000001)^2/(4*'D(Ti_Cherniak) Times'!$C408)/(365.35*24*3600)</f>
        <v>287.97125590256718</v>
      </c>
      <c r="J408" s="2">
        <f>('L-Values'!F408*'D(Ti_Cherniak) Times'!$F408*0.000001)^2/(4*'D(Ti_Cherniak) Times'!$C408)/(365.35*24*3600)</f>
        <v>411.95874782866031</v>
      </c>
      <c r="K408" s="2">
        <f>('L-Values'!G408*'D(Ti_Cherniak) Times'!$F408*0.000001)^2/(4*'D(Ti_Cherniak) Times'!$C408)/(365.35*24*3600)</f>
        <v>68.455061977873598</v>
      </c>
      <c r="L408" s="2">
        <f>('L-Values'!H408*'D(Ti_Cherniak) Times'!$F408*0.000001)^2/(4*'D(Ti_Cherniak) Times'!$C408)/(365.35*24*3600)</f>
        <v>65.579090458368114</v>
      </c>
      <c r="M408" s="2">
        <f>('L-Values'!I408*'D(Ti_Cherniak) Times'!$F408*0.000001)^2/(4*'D(Ti_Cherniak) Times'!$C408)/(365.35*24*3600)</f>
        <v>464.15424821839417</v>
      </c>
      <c r="N408" s="2">
        <f>('L-Values'!J408*'D(Ti_Cherniak) Times'!$F408*0.000001)^2/(4*'D(Ti_Cherniak) Times'!$C408)/(365.35*24*3600)</f>
        <v>44.111082241834886</v>
      </c>
      <c r="O408" s="2">
        <f>('L-Values'!K408*'D(Ti_Cherniak) Times'!$F408*0.000001)^2/(4*'D(Ti_Cherniak) Times'!$C408)/(365.35*24*3600)</f>
        <v>37.372715987737379</v>
      </c>
      <c r="P408" s="2">
        <f>('L-Values'!L408*'D(Ti_Cherniak) Times'!$F408*0.000001)^2/(4*'D(Ti_Cherniak) Times'!$C408)/(365.35*24*3600)</f>
        <v>94.656997558465903</v>
      </c>
      <c r="Q408" s="2">
        <f>('L-Values'!M408*'D(Ti_Cherniak) Times'!$F408*0.000001)^2/(4*'D(Ti_Cherniak) Times'!$C408)/(365.35*24*3600)</f>
        <v>29.984698277626528</v>
      </c>
      <c r="R408" s="2">
        <f>('L-Values'!N408*'D(Ti_Cherniak) Times'!$F408*0.000001)^2/(4*'D(Ti_Cherniak) Times'!$C408)/(365.35*24*3600)</f>
        <v>92.589005111629717</v>
      </c>
      <c r="S408" s="2">
        <f>('L-Values'!O408*'D(Ti_Cherniak) Times'!$F408*0.000001)^2/(4*'D(Ti_Cherniak) Times'!$C408)/(365.35*24*3600)</f>
        <v>345.98023600593649</v>
      </c>
      <c r="T408" s="2"/>
      <c r="U408" s="2">
        <f>('L-Values'!Q408*'D(Ti_Cherniak) Times'!$F408*0.000001)^2/(4*'D(Ti_Cherniak) Times'!$C408)/(365.35*24*3600)</f>
        <v>167.27005796803357</v>
      </c>
      <c r="V408" s="2">
        <f>('L-Values'!R408*'D(Ti_Cherniak) Times'!$F408*0.000001)^2/(4*'D(Ti_Cherniak) Times'!$C408)/(365.35*24*3600)</f>
        <v>142.61871374721665</v>
      </c>
      <c r="W408" s="2">
        <f>('L-Values'!S408*'D(Ti_Cherniak) Times'!$F408*0.000001)^2/(4*'D(Ti_Cherniak) Times'!$C408)/(365.35*24*3600)</f>
        <v>92.589005111629717</v>
      </c>
      <c r="X408" s="2"/>
      <c r="Y408" s="2">
        <f>('L-Values'!U408*'D(Ti_Cherniak) Times'!$F408*0.000001)^2/(4*'D(Ti_Cherniak) Times'!$C408)/(365.35*24*3600)</f>
        <v>138.03280818660588</v>
      </c>
      <c r="Z408" s="2">
        <f>('L-Values'!V408*'D(Ti_Cherniak) Times'!$F408*0.000001)^2/(4*'D(Ti_Cherniak) Times'!$C408)/(365.35*24*3600)</f>
        <v>158.71494602082427</v>
      </c>
      <c r="AA408" s="2">
        <f>('L-Values'!W408*'D(Ti_Cherniak) Times'!$F408*0.000001)^2/(4*'D(Ti_Cherniak) Times'!$C408)/(365.35*24*3600)</f>
        <v>1.5527751898559137</v>
      </c>
      <c r="AB408" s="2">
        <f>('L-Values'!X408*'D(Ti_Cherniak) Times'!$F408*0.000001)^2/(4*'D(Ti_Cherniak) Times'!$C408)/(365.35*24*3600)</f>
        <v>957.75204709395837</v>
      </c>
      <c r="AC408" s="2">
        <f t="shared" si="26"/>
        <v>157.16217083096836</v>
      </c>
      <c r="AD408" s="2">
        <f t="shared" si="27"/>
        <v>799.03710107313407</v>
      </c>
    </row>
    <row r="409" spans="1:30" x14ac:dyDescent="0.2">
      <c r="A409" t="str">
        <f>'L-Values'!A409</f>
        <v>CGI018-qtz12-CL-fit-4-offset</v>
      </c>
      <c r="B409">
        <v>750</v>
      </c>
      <c r="C409">
        <f t="shared" si="24"/>
        <v>8.0537892000481889E-22</v>
      </c>
      <c r="D409">
        <v>1800</v>
      </c>
      <c r="E409">
        <v>1024</v>
      </c>
      <c r="F409">
        <f t="shared" si="25"/>
        <v>1.7578125</v>
      </c>
      <c r="I409" s="2">
        <f>('L-Values'!E409*'D(Ti_Cherniak) Times'!$F409*0.000001)^2/(4*'D(Ti_Cherniak) Times'!$C409)/(365.35*24*3600)</f>
        <v>224.74148869717945</v>
      </c>
      <c r="J409" s="2">
        <f>('L-Values'!F409*'D(Ti_Cherniak) Times'!$F409*0.000001)^2/(4*'D(Ti_Cherniak) Times'!$C409)/(365.35*24*3600)</f>
        <v>184.41142310782197</v>
      </c>
      <c r="K409" s="2">
        <f>('L-Values'!G409*'D(Ti_Cherniak) Times'!$F409*0.000001)^2/(4*'D(Ti_Cherniak) Times'!$C409)/(365.35*24*3600)</f>
        <v>176.74797983202427</v>
      </c>
      <c r="L409" s="2">
        <f>('L-Values'!H409*'D(Ti_Cherniak) Times'!$F409*0.000001)^2/(4*'D(Ti_Cherniak) Times'!$C409)/(365.35*24*3600)</f>
        <v>294.66140235797076</v>
      </c>
      <c r="M409" s="2">
        <f>('L-Values'!I409*'D(Ti_Cherniak) Times'!$F409*0.000001)^2/(4*'D(Ti_Cherniak) Times'!$C409)/(365.35*24*3600)</f>
        <v>233.15539725113072</v>
      </c>
      <c r="N409" s="2">
        <f>('L-Values'!J409*'D(Ti_Cherniak) Times'!$F409*0.000001)^2/(4*'D(Ti_Cherniak) Times'!$C409)/(365.35*24*3600)</f>
        <v>266.6524398613783</v>
      </c>
      <c r="O409" s="2">
        <f>('L-Values'!K409*'D(Ti_Cherniak) Times'!$F409*0.000001)^2/(4*'D(Ti_Cherniak) Times'!$C409)/(365.35*24*3600)</f>
        <v>243.0619565524301</v>
      </c>
      <c r="P409" s="2">
        <f>('L-Values'!L409*'D(Ti_Cherniak) Times'!$F409*0.000001)^2/(4*'D(Ti_Cherniak) Times'!$C409)/(365.35*24*3600)</f>
        <v>127.06170058356847</v>
      </c>
      <c r="Q409" s="2">
        <f>('L-Values'!M409*'D(Ti_Cherniak) Times'!$F409*0.000001)^2/(4*'D(Ti_Cherniak) Times'!$C409)/(365.35*24*3600)</f>
        <v>104.26079929515761</v>
      </c>
      <c r="R409" s="2">
        <f>('L-Values'!N409*'D(Ti_Cherniak) Times'!$F409*0.000001)^2/(4*'D(Ti_Cherniak) Times'!$C409)/(365.35*24*3600)</f>
        <v>128.04900016192366</v>
      </c>
      <c r="S409" s="2">
        <f>('L-Values'!O409*'D(Ti_Cherniak) Times'!$F409*0.000001)^2/(4*'D(Ti_Cherniak) Times'!$C409)/(365.35*24*3600)</f>
        <v>166.68309622659686</v>
      </c>
      <c r="T409" s="2"/>
      <c r="U409" s="2">
        <f>('L-Values'!Q409*'D(Ti_Cherniak) Times'!$F409*0.000001)^2/(4*'D(Ti_Cherniak) Times'!$C409)/(365.35*24*3600)</f>
        <v>197.21246845833355</v>
      </c>
      <c r="V409" s="2">
        <f>('L-Values'!R409*'D(Ti_Cherniak) Times'!$F409*0.000001)^2/(4*'D(Ti_Cherniak) Times'!$C409)/(365.35*24*3600)</f>
        <v>190.76724012576727</v>
      </c>
      <c r="W409" s="2">
        <f>('L-Values'!S409*'D(Ti_Cherniak) Times'!$F409*0.000001)^2/(4*'D(Ti_Cherniak) Times'!$C409)/(365.35*24*3600)</f>
        <v>184.41142310782197</v>
      </c>
      <c r="X409" s="2"/>
      <c r="Y409" s="2">
        <f>('L-Values'!U409*'D(Ti_Cherniak) Times'!$F409*0.000001)^2/(4*'D(Ti_Cherniak) Times'!$C409)/(365.35*24*3600)</f>
        <v>187.72471399522891</v>
      </c>
      <c r="Z409" s="2">
        <f>('L-Values'!V409*'D(Ti_Cherniak) Times'!$F409*0.000001)^2/(4*'D(Ti_Cherniak) Times'!$C409)/(365.35*24*3600)</f>
        <v>190.62924650633263</v>
      </c>
      <c r="AA409" s="2">
        <f>('L-Values'!W409*'D(Ti_Cherniak) Times'!$F409*0.000001)^2/(4*'D(Ti_Cherniak) Times'!$C409)/(365.35*24*3600)</f>
        <v>80.203017989936455</v>
      </c>
      <c r="AB409" s="2">
        <f>('L-Values'!X409*'D(Ti_Cherniak) Times'!$F409*0.000001)^2/(4*'D(Ti_Cherniak) Times'!$C409)/(365.35*24*3600)</f>
        <v>400.45672385183326</v>
      </c>
      <c r="AC409" s="2">
        <f t="shared" si="26"/>
        <v>110.42622851639618</v>
      </c>
      <c r="AD409" s="2">
        <f t="shared" si="27"/>
        <v>209.82747734550063</v>
      </c>
    </row>
    <row r="410" spans="1:30" x14ac:dyDescent="0.2">
      <c r="A410" t="str">
        <f>'L-Values'!A410</f>
        <v>CGI018-qtz12-CL-fit-5-offset</v>
      </c>
      <c r="B410">
        <v>750</v>
      </c>
      <c r="C410">
        <f t="shared" si="24"/>
        <v>8.0537892000481889E-22</v>
      </c>
      <c r="D410">
        <v>1800</v>
      </c>
      <c r="E410">
        <v>1024</v>
      </c>
      <c r="F410">
        <f t="shared" si="25"/>
        <v>1.7578125</v>
      </c>
      <c r="I410" s="2">
        <f>('L-Values'!E410*'D(Ti_Cherniak) Times'!$F410*0.000001)^2/(4*'D(Ti_Cherniak) Times'!$C410)/(365.35*24*3600)</f>
        <v>389.76234133576469</v>
      </c>
      <c r="J410" s="2">
        <f>('L-Values'!F410*'D(Ti_Cherniak) Times'!$F410*0.000001)^2/(4*'D(Ti_Cherniak) Times'!$C410)/(365.35*24*3600)</f>
        <v>432.85319472625935</v>
      </c>
      <c r="K410" s="2">
        <f>('L-Values'!G410*'D(Ti_Cherniak) Times'!$F410*0.000001)^2/(4*'D(Ti_Cherniak) Times'!$C410)/(365.35*24*3600)</f>
        <v>699.57446358383913</v>
      </c>
      <c r="L410" s="2">
        <f>('L-Values'!H410*'D(Ti_Cherniak) Times'!$F410*0.000001)^2/(4*'D(Ti_Cherniak) Times'!$C410)/(365.35*24*3600)</f>
        <v>273.24516205775859</v>
      </c>
      <c r="M410" s="2">
        <f>('L-Values'!I410*'D(Ti_Cherniak) Times'!$F410*0.000001)^2/(4*'D(Ti_Cherniak) Times'!$C410)/(365.35*24*3600)</f>
        <v>385.97237752272974</v>
      </c>
      <c r="N410" s="2">
        <f>('L-Values'!J410*'D(Ti_Cherniak) Times'!$F410*0.000001)^2/(4*'D(Ti_Cherniak) Times'!$C410)/(365.35*24*3600)</f>
        <v>331.70038655134437</v>
      </c>
      <c r="O410" s="2">
        <f>('L-Values'!K410*'D(Ti_Cherniak) Times'!$F410*0.000001)^2/(4*'D(Ti_Cherniak) Times'!$C410)/(365.35*24*3600)</f>
        <v>551.27036622787409</v>
      </c>
      <c r="P410" s="2">
        <f>('L-Values'!L410*'D(Ti_Cherniak) Times'!$F410*0.000001)^2/(4*'D(Ti_Cherniak) Times'!$C410)/(365.35*24*3600)</f>
        <v>421.64833956318523</v>
      </c>
      <c r="Q410" s="2">
        <f>('L-Values'!M410*'D(Ti_Cherniak) Times'!$F410*0.000001)^2/(4*'D(Ti_Cherniak) Times'!$C410)/(365.35*24*3600)</f>
        <v>169.17619846371741</v>
      </c>
      <c r="R410" s="2">
        <f>('L-Values'!N410*'D(Ti_Cherniak) Times'!$F410*0.000001)^2/(4*'D(Ti_Cherniak) Times'!$C410)/(365.35*24*3600)</f>
        <v>222.94546301652693</v>
      </c>
      <c r="S410" s="2">
        <f>('L-Values'!O410*'D(Ti_Cherniak) Times'!$F410*0.000001)^2/(4*'D(Ti_Cherniak) Times'!$C410)/(365.35*24*3600)</f>
        <v>287.61504290556996</v>
      </c>
      <c r="T410" s="2"/>
      <c r="U410" s="2">
        <f>('L-Values'!Q410*'D(Ti_Cherniak) Times'!$F410*0.000001)^2/(4*'D(Ti_Cherniak) Times'!$C410)/(365.35*24*3600)</f>
        <v>368.42243434637703</v>
      </c>
      <c r="V410" s="2">
        <f>('L-Values'!R410*'D(Ti_Cherniak) Times'!$F410*0.000001)^2/(4*'D(Ti_Cherniak) Times'!$C410)/(365.35*24*3600)</f>
        <v>365.49278503014256</v>
      </c>
      <c r="W410" s="2">
        <f>('L-Values'!S410*'D(Ti_Cherniak) Times'!$F410*0.000001)^2/(4*'D(Ti_Cherniak) Times'!$C410)/(365.35*24*3600)</f>
        <v>385.97237752272974</v>
      </c>
      <c r="X410" s="2"/>
      <c r="Y410" s="2">
        <f>('L-Values'!U410*'D(Ti_Cherniak) Times'!$F410*0.000001)^2/(4*'D(Ti_Cherniak) Times'!$C410)/(365.35*24*3600)</f>
        <v>362.40601633649811</v>
      </c>
      <c r="Z410" s="2">
        <f>('L-Values'!V410*'D(Ti_Cherniak) Times'!$F410*0.000001)^2/(4*'D(Ti_Cherniak) Times'!$C410)/(365.35*24*3600)</f>
        <v>372.32106642885441</v>
      </c>
      <c r="AA410" s="2">
        <f>('L-Values'!W410*'D(Ti_Cherniak) Times'!$F410*0.000001)^2/(4*'D(Ti_Cherniak) Times'!$C410)/(365.35*24*3600)</f>
        <v>186.90770353159411</v>
      </c>
      <c r="AB410" s="2">
        <f>('L-Values'!X410*'D(Ti_Cherniak) Times'!$F410*0.000001)^2/(4*'D(Ti_Cherniak) Times'!$C410)/(365.35*24*3600)</f>
        <v>627.24375878590217</v>
      </c>
      <c r="AC410" s="2">
        <f t="shared" si="26"/>
        <v>185.4133628972603</v>
      </c>
      <c r="AD410" s="2">
        <f t="shared" si="27"/>
        <v>254.92269235704777</v>
      </c>
    </row>
    <row r="411" spans="1:30" x14ac:dyDescent="0.2">
      <c r="A411" t="str">
        <f>'L-Values'!A411</f>
        <v>CGI018-qtz12-CL-fit-6-offset</v>
      </c>
      <c r="B411">
        <v>750</v>
      </c>
      <c r="C411">
        <f t="shared" si="24"/>
        <v>8.0537892000481889E-22</v>
      </c>
      <c r="D411">
        <v>1800</v>
      </c>
      <c r="E411">
        <v>1024</v>
      </c>
      <c r="F411">
        <f t="shared" si="25"/>
        <v>1.7578125</v>
      </c>
      <c r="I411" s="2">
        <f>('L-Values'!E411*'D(Ti_Cherniak) Times'!$F411*0.000001)^2/(4*'D(Ti_Cherniak) Times'!$C411)/(365.35*24*3600)</f>
        <v>96.560014824603314</v>
      </c>
      <c r="J411" s="2">
        <f>('L-Values'!F411*'D(Ti_Cherniak) Times'!$F411*0.000001)^2/(4*'D(Ti_Cherniak) Times'!$C411)/(365.35*24*3600)</f>
        <v>72.773588517840423</v>
      </c>
      <c r="K411" s="2">
        <f>('L-Values'!G411*'D(Ti_Cherniak) Times'!$F411*0.000001)^2/(4*'D(Ti_Cherniak) Times'!$C411)/(365.35*24*3600)</f>
        <v>43.235216593517954</v>
      </c>
      <c r="L411" s="2">
        <f>('L-Values'!H411*'D(Ti_Cherniak) Times'!$F411*0.000001)^2/(4*'D(Ti_Cherniak) Times'!$C411)/(365.35*24*3600)</f>
        <v>50.496049811800773</v>
      </c>
      <c r="M411" s="2">
        <f>('L-Values'!I411*'D(Ti_Cherniak) Times'!$F411*0.000001)^2/(4*'D(Ti_Cherniak) Times'!$C411)/(365.35*24*3600)</f>
        <v>112.67701834442205</v>
      </c>
      <c r="N411" s="2">
        <f>('L-Values'!J411*'D(Ti_Cherniak) Times'!$F411*0.000001)^2/(4*'D(Ti_Cherniak) Times'!$C411)/(365.35*24*3600)</f>
        <v>58.546225557556056</v>
      </c>
      <c r="O411" s="2">
        <f>('L-Values'!K411*'D(Ti_Cherniak) Times'!$F411*0.000001)^2/(4*'D(Ti_Cherniak) Times'!$C411)/(365.35*24*3600)</f>
        <v>182.37693070603441</v>
      </c>
      <c r="P411" s="2">
        <f>('L-Values'!L411*'D(Ti_Cherniak) Times'!$F411*0.000001)^2/(4*'D(Ti_Cherniak) Times'!$C411)/(365.35*24*3600)</f>
        <v>143.37085110659083</v>
      </c>
      <c r="Q411" s="2">
        <f>('L-Values'!M411*'D(Ti_Cherniak) Times'!$F411*0.000001)^2/(4*'D(Ti_Cherniak) Times'!$C411)/(365.35*24*3600)</f>
        <v>90.746160848053734</v>
      </c>
      <c r="R411" s="2">
        <f>('L-Values'!N411*'D(Ti_Cherniak) Times'!$F411*0.000001)^2/(4*'D(Ti_Cherniak) Times'!$C411)/(365.35*24*3600)</f>
        <v>42.936671223364087</v>
      </c>
      <c r="S411" s="2">
        <f>('L-Values'!O411*'D(Ti_Cherniak) Times'!$F411*0.000001)^2/(4*'D(Ti_Cherniak) Times'!$C411)/(365.35*24*3600)</f>
        <v>61.16553105130594</v>
      </c>
      <c r="T411" s="2"/>
      <c r="U411" s="2">
        <f>('L-Values'!Q411*'D(Ti_Cherniak) Times'!$F411*0.000001)^2/(4*'D(Ti_Cherniak) Times'!$C411)/(365.35*24*3600)</f>
        <v>79.240025239982202</v>
      </c>
      <c r="V411" s="2">
        <f>('L-Values'!R411*'D(Ti_Cherniak) Times'!$F411*0.000001)^2/(4*'D(Ti_Cherniak) Times'!$C411)/(365.35*24*3600)</f>
        <v>82.121692535887078</v>
      </c>
      <c r="W411" s="2">
        <f>('L-Values'!S411*'D(Ti_Cherniak) Times'!$F411*0.000001)^2/(4*'D(Ti_Cherniak) Times'!$C411)/(365.35*24*3600)</f>
        <v>72.773588517840423</v>
      </c>
      <c r="X411" s="2"/>
      <c r="Y411" s="2">
        <f>('L-Values'!U411*'D(Ti_Cherniak) Times'!$F411*0.000001)^2/(4*'D(Ti_Cherniak) Times'!$C411)/(365.35*24*3600)</f>
        <v>69.015037444395873</v>
      </c>
      <c r="Z411" s="2">
        <f>('L-Values'!V411*'D(Ti_Cherniak) Times'!$F411*0.000001)^2/(4*'D(Ti_Cherniak) Times'!$C411)/(365.35*24*3600)</f>
        <v>73.70748755100378</v>
      </c>
      <c r="AA411" s="2">
        <f>('L-Values'!W411*'D(Ti_Cherniak) Times'!$F411*0.000001)^2/(4*'D(Ti_Cherniak) Times'!$C411)/(365.35*24*3600)</f>
        <v>3.6572779959077839</v>
      </c>
      <c r="AB411" s="2">
        <f>('L-Values'!X411*'D(Ti_Cherniak) Times'!$F411*0.000001)^2/(4*'D(Ti_Cherniak) Times'!$C411)/(365.35*24*3600)</f>
        <v>191.60658983226901</v>
      </c>
      <c r="AC411" s="2">
        <f t="shared" si="26"/>
        <v>70.050209555095989</v>
      </c>
      <c r="AD411" s="2">
        <f t="shared" si="27"/>
        <v>117.89910228126523</v>
      </c>
    </row>
    <row r="412" spans="1:30" x14ac:dyDescent="0.2">
      <c r="A412" t="str">
        <f>'L-Values'!A412</f>
        <v>CGI018-qtz12-CL-fit-7-offset</v>
      </c>
      <c r="B412">
        <v>750</v>
      </c>
      <c r="C412">
        <f t="shared" si="24"/>
        <v>8.0537892000481889E-22</v>
      </c>
      <c r="D412">
        <v>1800</v>
      </c>
      <c r="E412">
        <v>1024</v>
      </c>
      <c r="F412">
        <f t="shared" si="25"/>
        <v>1.7578125</v>
      </c>
      <c r="I412" s="2">
        <f>('L-Values'!E412*'D(Ti_Cherniak) Times'!$F412*0.000001)^2/(4*'D(Ti_Cherniak) Times'!$C412)/(365.35*24*3600)</f>
        <v>0.47999897088637034</v>
      </c>
      <c r="J412" s="2">
        <f>('L-Values'!F412*'D(Ti_Cherniak) Times'!$F412*0.000001)^2/(4*'D(Ti_Cherniak) Times'!$C412)/(365.35*24*3600)</f>
        <v>8.6112795177794063E-2</v>
      </c>
      <c r="K412" s="2">
        <f>('L-Values'!G412*'D(Ti_Cherniak) Times'!$F412*0.000001)^2/(4*'D(Ti_Cherniak) Times'!$C412)/(365.35*24*3600)</f>
        <v>2.297521343559975E-3</v>
      </c>
      <c r="L412" s="2">
        <f>('L-Values'!H412*'D(Ti_Cherniak) Times'!$F412*0.000001)^2/(4*'D(Ti_Cherniak) Times'!$C412)/(365.35*24*3600)</f>
        <v>0.81367528098512154</v>
      </c>
      <c r="M412" s="2">
        <f>('L-Values'!I412*'D(Ti_Cherniak) Times'!$F412*0.000001)^2/(4*'D(Ti_Cherniak) Times'!$C412)/(365.35*24*3600)</f>
        <v>2.024334139663958E-2</v>
      </c>
      <c r="N412" s="2">
        <f>('L-Values'!J412*'D(Ti_Cherniak) Times'!$F412*0.000001)^2/(4*'D(Ti_Cherniak) Times'!$C412)/(365.35*24*3600)</f>
        <v>0.5538683196142925</v>
      </c>
      <c r="O412" s="2">
        <f>('L-Values'!K412*'D(Ti_Cherniak) Times'!$F412*0.000001)^2/(4*'D(Ti_Cherniak) Times'!$C412)/(365.35*24*3600)</f>
        <v>4.1141888445833051E-4</v>
      </c>
      <c r="P412" s="2">
        <f>('L-Values'!L412*'D(Ti_Cherniak) Times'!$F412*0.000001)^2/(4*'D(Ti_Cherniak) Times'!$C412)/(365.35*24*3600)</f>
        <v>2.9914382304661025E-2</v>
      </c>
      <c r="Q412" s="2">
        <f>('L-Values'!M412*'D(Ti_Cherniak) Times'!$F412*0.000001)^2/(4*'D(Ti_Cherniak) Times'!$C412)/(365.35*24*3600)</f>
        <v>0.7212844210106184</v>
      </c>
      <c r="R412" s="2">
        <f>('L-Values'!N412*'D(Ti_Cherniak) Times'!$F412*0.000001)^2/(4*'D(Ti_Cherniak) Times'!$C412)/(365.35*24*3600)</f>
        <v>97.110583139498658</v>
      </c>
      <c r="S412" s="2">
        <f>('L-Values'!O412*'D(Ti_Cherniak) Times'!$F412*0.000001)^2/(4*'D(Ti_Cherniak) Times'!$C412)/(365.35*24*3600)</f>
        <v>7.5962981452669873E-2</v>
      </c>
      <c r="T412" s="2"/>
      <c r="U412" s="2">
        <f>('L-Values'!Q412*'D(Ti_Cherniak) Times'!$F412*0.000001)^2/(4*'D(Ti_Cherniak) Times'!$C412)/(365.35*24*3600)</f>
        <v>0.31601698747894907</v>
      </c>
      <c r="V412" s="2">
        <f>('L-Values'!R412*'D(Ti_Cherniak) Times'!$F412*0.000001)^2/(4*'D(Ti_Cherniak) Times'!$C412)/(365.35*24*3600)</f>
        <v>1.6187597060329435</v>
      </c>
      <c r="W412" s="2">
        <f>('L-Values'!S412*'D(Ti_Cherniak) Times'!$F412*0.000001)^2/(4*'D(Ti_Cherniak) Times'!$C412)/(365.35*24*3600)</f>
        <v>8.6112795177794063E-2</v>
      </c>
      <c r="X412" s="2"/>
      <c r="Y412" s="2">
        <f>('L-Values'!U412*'D(Ti_Cherniak) Times'!$F412*0.000001)^2/(4*'D(Ti_Cherniak) Times'!$C412)/(365.35*24*3600)</f>
        <v>0.31560715000389578</v>
      </c>
      <c r="Z412" s="2">
        <f>('L-Values'!V412*'D(Ti_Cherniak) Times'!$F412*0.000001)^2/(4*'D(Ti_Cherniak) Times'!$C412)/(365.35*24*3600)</f>
        <v>0.37440823997873945</v>
      </c>
      <c r="AA412" s="2">
        <f>('L-Values'!W412*'D(Ti_Cherniak) Times'!$F412*0.000001)^2/(4*'D(Ti_Cherniak) Times'!$C412)/(365.35*24*3600)</f>
        <v>0.30496659159695405</v>
      </c>
      <c r="AB412" s="2">
        <f>('L-Values'!X412*'D(Ti_Cherniak) Times'!$F412*0.000001)^2/(4*'D(Ti_Cherniak) Times'!$C412)/(365.35*24*3600)</f>
        <v>0.32908201523227953</v>
      </c>
      <c r="AC412" s="2">
        <f t="shared" si="26"/>
        <v>6.9441648381785404E-2</v>
      </c>
      <c r="AD412" s="2">
        <f t="shared" si="27"/>
        <v>-4.532622474645992E-2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2C58-F8E1-0D45-BB84-C2A4919AEF5D}">
  <dimension ref="A1:AY412"/>
  <sheetViews>
    <sheetView zoomScaleNormal="100" workbookViewId="0">
      <pane ySplit="1" topLeftCell="A2" activePane="bottomLeft" state="frozen"/>
      <selection activeCell="M1" sqref="M1"/>
      <selection pane="bottomLeft"/>
    </sheetView>
  </sheetViews>
  <sheetFormatPr baseColWidth="10" defaultColWidth="9.1640625" defaultRowHeight="15" x14ac:dyDescent="0.2"/>
  <cols>
    <col min="1" max="1" width="26.1640625" bestFit="1" customWidth="1"/>
    <col min="2" max="2" width="14.33203125" customWidth="1"/>
    <col min="3" max="3" width="14.1640625" customWidth="1"/>
    <col min="4" max="4" width="13" customWidth="1"/>
    <col min="5" max="5" width="13.33203125" customWidth="1"/>
    <col min="6" max="6" width="16" customWidth="1"/>
    <col min="7" max="7" width="10.5" customWidth="1"/>
    <col min="8" max="8" width="11.6640625" customWidth="1"/>
    <col min="9" max="19" width="9.5" customWidth="1"/>
    <col min="21" max="21" width="12.1640625" bestFit="1" customWidth="1"/>
    <col min="22" max="23" width="9.5" customWidth="1"/>
    <col min="25" max="25" width="17.6640625" bestFit="1" customWidth="1"/>
    <col min="26" max="26" width="14.1640625" bestFit="1" customWidth="1"/>
    <col min="27" max="27" width="16.5" bestFit="1" customWidth="1"/>
    <col min="28" max="28" width="17" bestFit="1" customWidth="1"/>
    <col min="29" max="30" width="17" customWidth="1"/>
  </cols>
  <sheetData>
    <row r="1" spans="1:30" s="5" customFormat="1" x14ac:dyDescent="0.2">
      <c r="A1" s="5" t="s">
        <v>439</v>
      </c>
      <c r="B1" s="5" t="s">
        <v>440</v>
      </c>
      <c r="C1" s="5" t="s">
        <v>862</v>
      </c>
      <c r="D1" s="5" t="s">
        <v>442</v>
      </c>
      <c r="E1" s="5" t="s">
        <v>441</v>
      </c>
      <c r="F1" s="5" t="s">
        <v>443</v>
      </c>
      <c r="H1" s="10" t="s">
        <v>863</v>
      </c>
      <c r="I1" s="7" t="s">
        <v>17</v>
      </c>
      <c r="J1" s="7" t="s">
        <v>16</v>
      </c>
      <c r="K1" s="7" t="s">
        <v>15</v>
      </c>
      <c r="L1" s="7" t="s">
        <v>14</v>
      </c>
      <c r="M1" s="7" t="s">
        <v>13</v>
      </c>
      <c r="N1" s="7" t="s">
        <v>12</v>
      </c>
      <c r="O1" s="7" t="s">
        <v>11</v>
      </c>
      <c r="P1" s="7" t="s">
        <v>10</v>
      </c>
      <c r="Q1" s="7" t="s">
        <v>9</v>
      </c>
      <c r="R1" s="7" t="s">
        <v>8</v>
      </c>
      <c r="S1" s="7" t="s">
        <v>7</v>
      </c>
      <c r="T1" s="8"/>
      <c r="U1" s="8" t="s">
        <v>6</v>
      </c>
      <c r="V1" s="8" t="s">
        <v>5</v>
      </c>
      <c r="W1" s="8" t="s">
        <v>4</v>
      </c>
      <c r="Y1" s="8" t="s">
        <v>3</v>
      </c>
      <c r="Z1" s="8" t="s">
        <v>2</v>
      </c>
      <c r="AA1" s="8" t="s">
        <v>444</v>
      </c>
      <c r="AB1" s="8" t="s">
        <v>445</v>
      </c>
      <c r="AC1" s="8" t="s">
        <v>429</v>
      </c>
      <c r="AD1" s="8" t="s">
        <v>430</v>
      </c>
    </row>
    <row r="2" spans="1:30" x14ac:dyDescent="0.2">
      <c r="A2" t="str">
        <f>[412]L!A2</f>
        <v>CGI001-qtz01-CL-fit-1-offset</v>
      </c>
      <c r="B2">
        <v>750</v>
      </c>
      <c r="C2">
        <f>10^(-1.2133*(10000/(B2+273)-10.17)-23.42)</f>
        <v>1.1456341375347871E-23</v>
      </c>
      <c r="D2">
        <v>2100</v>
      </c>
      <c r="E2">
        <v>1024</v>
      </c>
      <c r="F2">
        <f>D2/E2</f>
        <v>2.05078125</v>
      </c>
      <c r="I2" s="2">
        <f>([412]L!J2*'D(Ti_Audétat23) Times'!$F2*0.000001)^2/(4*'D(Ti_Audétat23) Times'!$C2)/(365.35*24*3600)</f>
        <v>93639.460574740311</v>
      </c>
      <c r="J2" s="2">
        <f>([412]L!K2*'D(Ti_Audétat23) Times'!$F2*0.000001)^2/(4*'D(Ti_Audétat23) Times'!$C2)/(365.35*24*3600)</f>
        <v>116856.91910936574</v>
      </c>
      <c r="K2" s="2">
        <f>([412]L!L2*'D(Ti_Audétat23) Times'!$F2*0.000001)^2/(4*'D(Ti_Audétat23) Times'!$C2)/(365.35*24*3600)</f>
        <v>209100.97982110459</v>
      </c>
      <c r="L2" s="2">
        <f>([412]L!M2*'D(Ti_Audétat23) Times'!$F2*0.000001)^2/(4*'D(Ti_Audétat23) Times'!$C2)/(365.35*24*3600)</f>
        <v>222138.31300185149</v>
      </c>
      <c r="M2" s="2">
        <f>([412]L!N2*'D(Ti_Audétat23) Times'!$F2*0.000001)^2/(4*'D(Ti_Audétat23) Times'!$C2)/(365.35*24*3600)</f>
        <v>209567.30320766577</v>
      </c>
      <c r="N2" s="2">
        <f>([412]L!O2*'D(Ti_Audétat23) Times'!$F2*0.000001)^2/(4*'D(Ti_Audétat23) Times'!$C2)/(365.35*24*3600)</f>
        <v>62541.546171453578</v>
      </c>
      <c r="O2" s="2">
        <f>([412]L!P2*'D(Ti_Audétat23) Times'!$F2*0.000001)^2/(4*'D(Ti_Audétat23) Times'!$C2)/(365.35*24*3600)</f>
        <v>93057.139426629379</v>
      </c>
      <c r="P2" s="2">
        <f>([412]L!Q2*'D(Ti_Audétat23) Times'!$F2*0.000001)^2/(4*'D(Ti_Audétat23) Times'!$C2)/(365.35*24*3600)</f>
        <v>70400.904998875165</v>
      </c>
      <c r="Q2" s="2">
        <f>([412]L!R2*'D(Ti_Audétat23) Times'!$F2*0.000001)^2/(4*'D(Ti_Audétat23) Times'!$C2)/(365.35*24*3600)</f>
        <v>55174.552680473294</v>
      </c>
      <c r="R2" s="2">
        <f>([412]L!S2*'D(Ti_Audétat23) Times'!$F2*0.000001)^2/(4*'D(Ti_Audétat23) Times'!$C2)/(365.35*24*3600)</f>
        <v>61778.913440067496</v>
      </c>
      <c r="S2" s="2">
        <f>([412]L!T2*'D(Ti_Audétat23) Times'!$F2*0.000001)^2/(4*'D(Ti_Audétat23) Times'!$C2)/(365.35*24*3600)</f>
        <v>55123.078022356101</v>
      </c>
      <c r="T2" s="2"/>
      <c r="U2" s="2">
        <f>([412]L!V2*'D(Ti_Audétat23) Times'!$F2*0.000001)^2/(4*'D(Ti_Audétat23) Times'!$C2)/(365.35*24*3600)</f>
        <v>93181.872255514216</v>
      </c>
      <c r="V2" s="2">
        <f>([412]L!W2*'D(Ti_Audétat23) Times'!$F2*0.000001)^2/(4*'D(Ti_Audétat23) Times'!$C2)/(365.35*24*3600)</f>
        <v>105502.25543749354</v>
      </c>
      <c r="W2" s="2">
        <f>([412]L!X2*'D(Ti_Audétat23) Times'!$F2*0.000001)^2/(4*'D(Ti_Audétat23) Times'!$C2)/(365.35*24*3600)</f>
        <v>93057.139426629379</v>
      </c>
      <c r="X2" s="2"/>
      <c r="Y2" s="2">
        <f>([412]L!Z2*'D(Ti_Audétat23) Times'!$F2*0.000001)^2/(4*'D(Ti_Audétat23) Times'!$C2)/(365.35*24*3600)</f>
        <v>91906.420291642775</v>
      </c>
      <c r="Z2" s="2">
        <f>([412]L!AB2*'D(Ti_Audétat23) Times'!$F2*0.000001)^2/(4*'D(Ti_Audétat23) Times'!$C2)/(365.35*24*3600)</f>
        <v>93643.206827787028</v>
      </c>
      <c r="AA2" s="2">
        <f>([412]L!AC2*'D(Ti_Audétat23) Times'!$F2*0.000001)^2/(4*'D(Ti_Audétat23) Times'!$C2)/(365.35*24*3600)</f>
        <v>26974.569569796666</v>
      </c>
      <c r="AB2" s="2">
        <f>([412]L!AD2*'D(Ti_Audétat23) Times'!$F2*0.000001)^2/(4*'D(Ti_Audétat23) Times'!$C2)/(365.35*24*3600)</f>
        <v>204101.5067337747</v>
      </c>
      <c r="AC2" s="2">
        <f>Z2-AA2</f>
        <v>66668.637257990369</v>
      </c>
      <c r="AD2" s="2">
        <f>AB2-Z2</f>
        <v>110458.29990598767</v>
      </c>
    </row>
    <row r="3" spans="1:30" x14ac:dyDescent="0.2">
      <c r="A3" t="str">
        <f>[412]L!A3</f>
        <v>CGI001-qtz01-CL-fit-2</v>
      </c>
      <c r="B3">
        <v>750</v>
      </c>
      <c r="C3">
        <f>10^(-1.2133*(10000/(B3+273)-10.17)-23.42)</f>
        <v>1.1456341375347871E-23</v>
      </c>
      <c r="D3">
        <v>2100</v>
      </c>
      <c r="E3">
        <v>1024</v>
      </c>
      <c r="F3">
        <f t="shared" ref="F3:F66" si="0">D3/E3</f>
        <v>2.05078125</v>
      </c>
      <c r="I3" s="2">
        <f>([412]L!J3*'D(Ti_Audétat23) Times'!$F3*0.000001)^2/(4*'D(Ti_Audétat23) Times'!$C3)/(365.35*24*3600)</f>
        <v>363518.28089106089</v>
      </c>
      <c r="J3" s="2">
        <f>([412]L!K3*'D(Ti_Audétat23) Times'!$F3*0.000001)^2/(4*'D(Ti_Audétat23) Times'!$C3)/(365.35*24*3600)</f>
        <v>337145.78004675033</v>
      </c>
      <c r="K3" s="2">
        <f>([412]L!L3*'D(Ti_Audétat23) Times'!$F3*0.000001)^2/(4*'D(Ti_Audétat23) Times'!$C3)/(365.35*24*3600)</f>
        <v>321059.76708428573</v>
      </c>
      <c r="L3" s="2">
        <f>([412]L!M3*'D(Ti_Audétat23) Times'!$F3*0.000001)^2/(4*'D(Ti_Audétat23) Times'!$C3)/(365.35*24*3600)</f>
        <v>262069.8045591893</v>
      </c>
      <c r="M3" s="2">
        <f>([412]L!N3*'D(Ti_Audétat23) Times'!$F3*0.000001)^2/(4*'D(Ti_Audétat23) Times'!$C3)/(365.35*24*3600)</f>
        <v>396759.02577214147</v>
      </c>
      <c r="N3" s="2">
        <f>([412]L!O3*'D(Ti_Audétat23) Times'!$F3*0.000001)^2/(4*'D(Ti_Audétat23) Times'!$C3)/(365.35*24*3600)</f>
        <v>377975.96765341872</v>
      </c>
      <c r="O3" s="2">
        <f>([412]L!P3*'D(Ti_Audétat23) Times'!$F3*0.000001)^2/(4*'D(Ti_Audétat23) Times'!$C3)/(365.35*24*3600)</f>
        <v>422615.96725240251</v>
      </c>
      <c r="P3" s="2">
        <f>([412]L!Q3*'D(Ti_Audétat23) Times'!$F3*0.000001)^2/(4*'D(Ti_Audétat23) Times'!$C3)/(365.35*24*3600)</f>
        <v>388308.2893967047</v>
      </c>
      <c r="Q3" s="2">
        <f>([412]L!R3*'D(Ti_Audétat23) Times'!$F3*0.000001)^2/(4*'D(Ti_Audétat23) Times'!$C3)/(365.35*24*3600)</f>
        <v>440731.9918146056</v>
      </c>
      <c r="R3" s="2">
        <f>([412]L!S3*'D(Ti_Audétat23) Times'!$F3*0.000001)^2/(4*'D(Ti_Audétat23) Times'!$C3)/(365.35*24*3600)</f>
        <v>393572.70053099364</v>
      </c>
      <c r="S3" s="2">
        <f>([412]L!T3*'D(Ti_Audétat23) Times'!$F3*0.000001)^2/(4*'D(Ti_Audétat23) Times'!$C3)/(365.35*24*3600)</f>
        <v>376563.16621442843</v>
      </c>
      <c r="T3" s="2"/>
      <c r="U3" s="2">
        <f>([412]L!V3*'D(Ti_Audétat23) Times'!$F3*0.000001)^2/(4*'D(Ti_Audétat23) Times'!$C3)/(365.35*24*3600)</f>
        <v>368893.58727455052</v>
      </c>
      <c r="V3" s="2">
        <f>([412]L!W3*'D(Ti_Audétat23) Times'!$F3*0.000001)^2/(4*'D(Ti_Audétat23) Times'!$C3)/(365.35*24*3600)</f>
        <v>369322.77595646487</v>
      </c>
      <c r="W3" s="2">
        <f>([412]L!X3*'D(Ti_Audétat23) Times'!$F3*0.000001)^2/(4*'D(Ti_Audétat23) Times'!$C3)/(365.35*24*3600)</f>
        <v>377975.96765341872</v>
      </c>
      <c r="X3" s="2"/>
      <c r="Y3" s="2">
        <f>([412]L!Z3*'D(Ti_Audétat23) Times'!$F3*0.000001)^2/(4*'D(Ti_Audétat23) Times'!$C3)/(365.35*24*3600)</f>
        <v>357561.21701623948</v>
      </c>
      <c r="Z3" s="2">
        <f>([412]L!AB3*'D(Ti_Audétat23) Times'!$F3*0.000001)^2/(4*'D(Ti_Audétat23) Times'!$C3)/(365.35*24*3600)</f>
        <v>359777.57414516137</v>
      </c>
      <c r="AA3" s="2">
        <f>([412]L!AC3*'D(Ti_Audétat23) Times'!$F3*0.000001)^2/(4*'D(Ti_Audétat23) Times'!$C3)/(365.35*24*3600)</f>
        <v>256226.86091586933</v>
      </c>
      <c r="AB3" s="2">
        <f>([412]L!AD3*'D(Ti_Audétat23) Times'!$F3*0.000001)^2/(4*'D(Ti_Audétat23) Times'!$C3)/(365.35*24*3600)</f>
        <v>493691.9264001277</v>
      </c>
      <c r="AC3" s="2">
        <f t="shared" ref="AC3:AC66" si="1">Z3-AA3</f>
        <v>103550.71322929204</v>
      </c>
      <c r="AD3" s="2">
        <f t="shared" ref="AD3:AD66" si="2">AB3-Z3</f>
        <v>133914.35225496633</v>
      </c>
    </row>
    <row r="4" spans="1:30" x14ac:dyDescent="0.2">
      <c r="A4" t="str">
        <f>[412]L!A4</f>
        <v>CGI001-qtz01-CL-fit-3</v>
      </c>
      <c r="B4">
        <v>750</v>
      </c>
      <c r="C4">
        <f t="shared" ref="C4:C67" si="3">10^(-1.2133*(10000/(B4+273)-10.17)-23.42)</f>
        <v>1.1456341375347871E-23</v>
      </c>
      <c r="D4">
        <v>2100</v>
      </c>
      <c r="E4">
        <v>1024</v>
      </c>
      <c r="F4">
        <f t="shared" si="0"/>
        <v>2.05078125</v>
      </c>
      <c r="I4" s="2">
        <f>([412]L!J4*'D(Ti_Audétat23) Times'!$F4*0.000001)^2/(4*'D(Ti_Audétat23) Times'!$C4)/(365.35*24*3600)</f>
        <v>63116.22795722296</v>
      </c>
      <c r="J4" s="2">
        <f>([412]L!K4*'D(Ti_Audétat23) Times'!$F4*0.000001)^2/(4*'D(Ti_Audétat23) Times'!$C4)/(365.35*24*3600)</f>
        <v>87659.478614364576</v>
      </c>
      <c r="K4" s="2">
        <f>([412]L!L4*'D(Ti_Audétat23) Times'!$F4*0.000001)^2/(4*'D(Ti_Audétat23) Times'!$C4)/(365.35*24*3600)</f>
        <v>78862.822862642803</v>
      </c>
      <c r="L4" s="2">
        <f>([412]L!M4*'D(Ti_Audétat23) Times'!$F4*0.000001)^2/(4*'D(Ti_Audétat23) Times'!$C4)/(365.35*24*3600)</f>
        <v>72705.680429367727</v>
      </c>
      <c r="M4" s="2">
        <f>([412]L!N4*'D(Ti_Audétat23) Times'!$F4*0.000001)^2/(4*'D(Ti_Audétat23) Times'!$C4)/(365.35*24*3600)</f>
        <v>57534.955212801535</v>
      </c>
      <c r="N4" s="2">
        <f>([412]L!O4*'D(Ti_Audétat23) Times'!$F4*0.000001)^2/(4*'D(Ti_Audétat23) Times'!$C4)/(365.35*24*3600)</f>
        <v>51582.835330582049</v>
      </c>
      <c r="O4" s="2">
        <f>([412]L!P4*'D(Ti_Audétat23) Times'!$F4*0.000001)^2/(4*'D(Ti_Audétat23) Times'!$C4)/(365.35*24*3600)</f>
        <v>64373.315671952878</v>
      </c>
      <c r="P4" s="2">
        <f>([412]L!Q4*'D(Ti_Audétat23) Times'!$F4*0.000001)^2/(4*'D(Ti_Audétat23) Times'!$C4)/(365.35*24*3600)</f>
        <v>80363.381794383633</v>
      </c>
      <c r="Q4" s="2">
        <f>([412]L!R4*'D(Ti_Audétat23) Times'!$F4*0.000001)^2/(4*'D(Ti_Audétat23) Times'!$C4)/(365.35*24*3600)</f>
        <v>36173.598649286614</v>
      </c>
      <c r="R4" s="2">
        <f>([412]L!S4*'D(Ti_Audétat23) Times'!$F4*0.000001)^2/(4*'D(Ti_Audétat23) Times'!$C4)/(365.35*24*3600)</f>
        <v>87567.620806300038</v>
      </c>
      <c r="S4" s="2">
        <f>([412]L!T4*'D(Ti_Audétat23) Times'!$F4*0.000001)^2/(4*'D(Ti_Audétat23) Times'!$C4)/(365.35*24*3600)</f>
        <v>43726.736484491339</v>
      </c>
      <c r="T4" s="2"/>
      <c r="U4" s="2">
        <f>([412]L!V4*'D(Ti_Audétat23) Times'!$F4*0.000001)^2/(4*'D(Ti_Audétat23) Times'!$C4)/(365.35*24*3600)</f>
        <v>63821.167516982001</v>
      </c>
      <c r="V4" s="2">
        <f>([412]L!W4*'D(Ti_Audétat23) Times'!$F4*0.000001)^2/(4*'D(Ti_Audétat23) Times'!$C4)/(365.35*24*3600)</f>
        <v>64662.738190069038</v>
      </c>
      <c r="W4" s="2">
        <f>([412]L!X4*'D(Ti_Audétat23) Times'!$F4*0.000001)^2/(4*'D(Ti_Audétat23) Times'!$C4)/(365.35*24*3600)</f>
        <v>64373.315671952878</v>
      </c>
      <c r="X4" s="2"/>
      <c r="Y4" s="2">
        <f>([412]L!Z4*'D(Ti_Audétat23) Times'!$F4*0.000001)^2/(4*'D(Ti_Audétat23) Times'!$C4)/(365.35*24*3600)</f>
        <v>61787.661000151857</v>
      </c>
      <c r="Z4" s="2">
        <f>([412]L!AB4*'D(Ti_Audétat23) Times'!$F4*0.000001)^2/(4*'D(Ti_Audétat23) Times'!$C4)/(365.35*24*3600)</f>
        <v>64385.538731882036</v>
      </c>
      <c r="AA4" s="2">
        <f>([412]L!AC4*'D(Ti_Audétat23) Times'!$F4*0.000001)^2/(4*'D(Ti_Audétat23) Times'!$C4)/(365.35*24*3600)</f>
        <v>25304.107501957918</v>
      </c>
      <c r="AB4" s="2">
        <f>([412]L!AD4*'D(Ti_Audétat23) Times'!$F4*0.000001)^2/(4*'D(Ti_Audétat23) Times'!$C4)/(365.35*24*3600)</f>
        <v>127406.67813032179</v>
      </c>
      <c r="AC4" s="2">
        <f t="shared" si="1"/>
        <v>39081.431229924114</v>
      </c>
      <c r="AD4" s="2">
        <f t="shared" si="2"/>
        <v>63021.139398439751</v>
      </c>
    </row>
    <row r="5" spans="1:30" x14ac:dyDescent="0.2">
      <c r="A5" t="str">
        <f>[412]L!A5</f>
        <v>CGI001-qtz01-CL-fit-4</v>
      </c>
      <c r="B5">
        <v>750</v>
      </c>
      <c r="C5">
        <f t="shared" si="3"/>
        <v>1.1456341375347871E-23</v>
      </c>
      <c r="D5">
        <v>2100</v>
      </c>
      <c r="E5">
        <v>1024</v>
      </c>
      <c r="F5">
        <f t="shared" si="0"/>
        <v>2.05078125</v>
      </c>
      <c r="I5" s="2">
        <f>([412]L!J5*'D(Ti_Audétat23) Times'!$F5*0.000001)^2/(4*'D(Ti_Audétat23) Times'!$C5)/(365.35*24*3600)</f>
        <v>25287.601651311958</v>
      </c>
      <c r="J5" s="2">
        <f>([412]L!K5*'D(Ti_Audétat23) Times'!$F5*0.000001)^2/(4*'D(Ti_Audétat23) Times'!$C5)/(365.35*24*3600)</f>
        <v>22731.708257624279</v>
      </c>
      <c r="K5" s="2">
        <f>([412]L!L5*'D(Ti_Audétat23) Times'!$F5*0.000001)^2/(4*'D(Ti_Audétat23) Times'!$C5)/(365.35*24*3600)</f>
        <v>16115.916739374652</v>
      </c>
      <c r="L5" s="2">
        <f>([412]L!M5*'D(Ti_Audétat23) Times'!$F5*0.000001)^2/(4*'D(Ti_Audétat23) Times'!$C5)/(365.35*24*3600)</f>
        <v>14573.752101350256</v>
      </c>
      <c r="M5" s="2">
        <f>([412]L!N5*'D(Ti_Audétat23) Times'!$F5*0.000001)^2/(4*'D(Ti_Audétat23) Times'!$C5)/(365.35*24*3600)</f>
        <v>14631.844988654862</v>
      </c>
      <c r="N5" s="2">
        <f>([412]L!O5*'D(Ti_Audétat23) Times'!$F5*0.000001)^2/(4*'D(Ti_Audétat23) Times'!$C5)/(365.35*24*3600)</f>
        <v>16715.678427246381</v>
      </c>
      <c r="O5" s="2">
        <f>([412]L!P5*'D(Ti_Audétat23) Times'!$F5*0.000001)^2/(4*'D(Ti_Audétat23) Times'!$C5)/(365.35*24*3600)</f>
        <v>19218.836672790589</v>
      </c>
      <c r="P5" s="2">
        <f>([412]L!Q5*'D(Ti_Audétat23) Times'!$F5*0.000001)^2/(4*'D(Ti_Audétat23) Times'!$C5)/(365.35*24*3600)</f>
        <v>17831.157366845218</v>
      </c>
      <c r="Q5" s="2">
        <f>([412]L!R5*'D(Ti_Audétat23) Times'!$F5*0.000001)^2/(4*'D(Ti_Audétat23) Times'!$C5)/(365.35*24*3600)</f>
        <v>17121.6030055099</v>
      </c>
      <c r="R5" s="2">
        <f>([412]L!S5*'D(Ti_Audétat23) Times'!$F5*0.000001)^2/(4*'D(Ti_Audétat23) Times'!$C5)/(365.35*24*3600)</f>
        <v>38052.962641586157</v>
      </c>
      <c r="S5" s="2">
        <f>([412]L!T5*'D(Ti_Audétat23) Times'!$F5*0.000001)^2/(4*'D(Ti_Audétat23) Times'!$C5)/(365.35*24*3600)</f>
        <v>34410.045045364153</v>
      </c>
      <c r="T5" s="2"/>
      <c r="U5" s="2">
        <f>([412]L!V5*'D(Ti_Audétat23) Times'!$F5*0.000001)^2/(4*'D(Ti_Audétat23) Times'!$C5)/(365.35*24*3600)</f>
        <v>24880.148084657776</v>
      </c>
      <c r="V5" s="2">
        <f>([412]L!W5*'D(Ti_Audétat23) Times'!$F5*0.000001)^2/(4*'D(Ti_Audétat23) Times'!$C5)/(365.35*24*3600)</f>
        <v>20927.53510572837</v>
      </c>
      <c r="W5" s="2">
        <f>([412]L!X5*'D(Ti_Audétat23) Times'!$F5*0.000001)^2/(4*'D(Ti_Audétat23) Times'!$C5)/(365.35*24*3600)</f>
        <v>17831.157366845218</v>
      </c>
      <c r="X5" s="2"/>
      <c r="Y5" s="2">
        <f>([412]L!Z5*'D(Ti_Audétat23) Times'!$F5*0.000001)^2/(4*'D(Ti_Audétat23) Times'!$C5)/(365.35*24*3600)</f>
        <v>24038.146567141408</v>
      </c>
      <c r="Z5" s="2">
        <f>([412]L!AB5*'D(Ti_Audétat23) Times'!$F5*0.000001)^2/(4*'D(Ti_Audétat23) Times'!$C5)/(365.35*24*3600)</f>
        <v>22223.408661560017</v>
      </c>
      <c r="AA5" s="2">
        <f>([412]L!AC5*'D(Ti_Audétat23) Times'!$F5*0.000001)^2/(4*'D(Ti_Audétat23) Times'!$C5)/(365.35*24*3600)</f>
        <v>999.86390226028504</v>
      </c>
      <c r="AB5" s="2">
        <f>([412]L!AD5*'D(Ti_Audétat23) Times'!$F5*0.000001)^2/(4*'D(Ti_Audétat23) Times'!$C5)/(365.35*24*3600)</f>
        <v>46118.442548047613</v>
      </c>
      <c r="AC5" s="2">
        <f t="shared" si="1"/>
        <v>21223.544759299733</v>
      </c>
      <c r="AD5" s="2">
        <f t="shared" si="2"/>
        <v>23895.033886487596</v>
      </c>
    </row>
    <row r="6" spans="1:30" x14ac:dyDescent="0.2">
      <c r="A6" t="str">
        <f>[412]L!A6</f>
        <v>CGI001-qtz02-CL-fit-1-offset</v>
      </c>
      <c r="B6">
        <v>750</v>
      </c>
      <c r="C6">
        <f t="shared" si="3"/>
        <v>1.1456341375347871E-23</v>
      </c>
      <c r="D6">
        <v>1700</v>
      </c>
      <c r="E6">
        <v>1024</v>
      </c>
      <c r="F6">
        <f t="shared" si="0"/>
        <v>1.66015625</v>
      </c>
      <c r="I6" s="2">
        <f>([412]L!J6*'D(Ti_Audétat23) Times'!$F6*0.000001)^2/(4*'D(Ti_Audétat23) Times'!$C6)/(365.35*24*3600)</f>
        <v>33489.852834964448</v>
      </c>
      <c r="J6" s="2">
        <f>([412]L!K6*'D(Ti_Audétat23) Times'!$F6*0.000001)^2/(4*'D(Ti_Audétat23) Times'!$C6)/(365.35*24*3600)</f>
        <v>24402.295767551695</v>
      </c>
      <c r="K6" s="2">
        <f>([412]L!L6*'D(Ti_Audétat23) Times'!$F6*0.000001)^2/(4*'D(Ti_Audétat23) Times'!$C6)/(365.35*24*3600)</f>
        <v>50287.611196984704</v>
      </c>
      <c r="L6" s="2">
        <f>([412]L!M6*'D(Ti_Audétat23) Times'!$F6*0.000001)^2/(4*'D(Ti_Audétat23) Times'!$C6)/(365.35*24*3600)</f>
        <v>40544.010181941339</v>
      </c>
      <c r="M6" s="2">
        <f>([412]L!N6*'D(Ti_Audétat23) Times'!$F6*0.000001)^2/(4*'D(Ti_Audétat23) Times'!$C6)/(365.35*24*3600)</f>
        <v>16941.625705942093</v>
      </c>
      <c r="N6" s="2">
        <f>([412]L!O6*'D(Ti_Audétat23) Times'!$F6*0.000001)^2/(4*'D(Ti_Audétat23) Times'!$C6)/(365.35*24*3600)</f>
        <v>30671.754800220297</v>
      </c>
      <c r="O6" s="2">
        <f>([412]L!P6*'D(Ti_Audétat23) Times'!$F6*0.000001)^2/(4*'D(Ti_Audétat23) Times'!$C6)/(365.35*24*3600)</f>
        <v>30716.379826183522</v>
      </c>
      <c r="P6" s="2">
        <f>([412]L!Q6*'D(Ti_Audétat23) Times'!$F6*0.000001)^2/(4*'D(Ti_Audétat23) Times'!$C6)/(365.35*24*3600)</f>
        <v>22397.391896867557</v>
      </c>
      <c r="Q6" s="2">
        <f>([412]L!R6*'D(Ti_Audétat23) Times'!$F6*0.000001)^2/(4*'D(Ti_Audétat23) Times'!$C6)/(365.35*24*3600)</f>
        <v>32266.688709617898</v>
      </c>
      <c r="R6" s="2">
        <f>([412]L!S6*'D(Ti_Audétat23) Times'!$F6*0.000001)^2/(4*'D(Ti_Audétat23) Times'!$C6)/(365.35*24*3600)</f>
        <v>33756.098939317075</v>
      </c>
      <c r="S6" s="2">
        <f>([412]L!T6*'D(Ti_Audétat23) Times'!$F6*0.000001)^2/(4*'D(Ti_Audétat23) Times'!$C6)/(365.35*24*3600)</f>
        <v>22515.031309603044</v>
      </c>
      <c r="T6" s="2"/>
      <c r="U6" s="2">
        <f>([412]L!V6*'D(Ti_Audétat23) Times'!$F6*0.000001)^2/(4*'D(Ti_Audétat23) Times'!$C6)/(365.35*24*3600)</f>
        <v>29397.467133558399</v>
      </c>
      <c r="V6" s="2">
        <f>([412]L!W6*'D(Ti_Audétat23) Times'!$F6*0.000001)^2/(4*'D(Ti_Audétat23) Times'!$C6)/(365.35*24*3600)</f>
        <v>30100.320714150559</v>
      </c>
      <c r="W6" s="2">
        <f>([412]L!X6*'D(Ti_Audétat23) Times'!$F6*0.000001)^2/(4*'D(Ti_Audétat23) Times'!$C6)/(365.35*24*3600)</f>
        <v>30716.379826183522</v>
      </c>
      <c r="X6" s="2"/>
      <c r="Y6" s="2">
        <f>([412]L!Z6*'D(Ti_Audétat23) Times'!$F6*0.000001)^2/(4*'D(Ti_Audétat23) Times'!$C6)/(365.35*24*3600)</f>
        <v>27336.410324153727</v>
      </c>
      <c r="Z6" s="2">
        <f>([412]L!AB6*'D(Ti_Audétat23) Times'!$F6*0.000001)^2/(4*'D(Ti_Audétat23) Times'!$C6)/(365.35*24*3600)</f>
        <v>28321.221450446603</v>
      </c>
      <c r="AA6" s="2">
        <f>([412]L!AC6*'D(Ti_Audétat23) Times'!$F6*0.000001)^2/(4*'D(Ti_Audétat23) Times'!$C6)/(365.35*24*3600)</f>
        <v>10671.934094579128</v>
      </c>
      <c r="AB6" s="2">
        <f>([412]L!AD6*'D(Ti_Audétat23) Times'!$F6*0.000001)^2/(4*'D(Ti_Audétat23) Times'!$C6)/(365.35*24*3600)</f>
        <v>51314.008603396956</v>
      </c>
      <c r="AC6" s="2">
        <f t="shared" si="1"/>
        <v>17649.287355867476</v>
      </c>
      <c r="AD6" s="2">
        <f t="shared" si="2"/>
        <v>22992.787152950354</v>
      </c>
    </row>
    <row r="7" spans="1:30" x14ac:dyDescent="0.2">
      <c r="A7" t="str">
        <f>[412]L!A7</f>
        <v>CGI001-qtz02-CL-fit-2</v>
      </c>
      <c r="B7">
        <v>750</v>
      </c>
      <c r="C7">
        <f t="shared" si="3"/>
        <v>1.1456341375347871E-23</v>
      </c>
      <c r="D7">
        <v>1700</v>
      </c>
      <c r="E7">
        <v>1024</v>
      </c>
      <c r="F7">
        <f t="shared" si="0"/>
        <v>1.66015625</v>
      </c>
      <c r="I7" s="2">
        <f>([412]L!J7*'D(Ti_Audétat23) Times'!$F7*0.000001)^2/(4*'D(Ti_Audétat23) Times'!$C7)/(365.35*24*3600)</f>
        <v>46920.961400700995</v>
      </c>
      <c r="J7" s="2">
        <f>([412]L!K7*'D(Ti_Audétat23) Times'!$F7*0.000001)^2/(4*'D(Ti_Audétat23) Times'!$C7)/(365.35*24*3600)</f>
        <v>44444.841575010221</v>
      </c>
      <c r="K7" s="2">
        <f>([412]L!L7*'D(Ti_Audétat23) Times'!$F7*0.000001)^2/(4*'D(Ti_Audétat23) Times'!$C7)/(365.35*24*3600)</f>
        <v>54255.443737904745</v>
      </c>
      <c r="L7" s="2">
        <f>([412]L!M7*'D(Ti_Audétat23) Times'!$F7*0.000001)^2/(4*'D(Ti_Audétat23) Times'!$C7)/(365.35*24*3600)</f>
        <v>67949.267753118038</v>
      </c>
      <c r="M7" s="2">
        <f>([412]L!N7*'D(Ti_Audétat23) Times'!$F7*0.000001)^2/(4*'D(Ti_Audétat23) Times'!$C7)/(365.35*24*3600)</f>
        <v>76261.447695031588</v>
      </c>
      <c r="N7" s="2">
        <f>([412]L!O7*'D(Ti_Audétat23) Times'!$F7*0.000001)^2/(4*'D(Ti_Audétat23) Times'!$C7)/(365.35*24*3600)</f>
        <v>65353.614211726206</v>
      </c>
      <c r="O7" s="2">
        <f>([412]L!P7*'D(Ti_Audétat23) Times'!$F7*0.000001)^2/(4*'D(Ti_Audétat23) Times'!$C7)/(365.35*24*3600)</f>
        <v>75640.555430536464</v>
      </c>
      <c r="P7" s="2">
        <f>([412]L!Q7*'D(Ti_Audétat23) Times'!$F7*0.000001)^2/(4*'D(Ti_Audétat23) Times'!$C7)/(365.35*24*3600)</f>
        <v>66815.218292970778</v>
      </c>
      <c r="Q7" s="2">
        <f>([412]L!R7*'D(Ti_Audétat23) Times'!$F7*0.000001)^2/(4*'D(Ti_Audétat23) Times'!$C7)/(365.35*24*3600)</f>
        <v>80306.923933050304</v>
      </c>
      <c r="R7" s="2">
        <f>([412]L!S7*'D(Ti_Audétat23) Times'!$F7*0.000001)^2/(4*'D(Ti_Audétat23) Times'!$C7)/(365.35*24*3600)</f>
        <v>56769.965193479875</v>
      </c>
      <c r="S7" s="2">
        <f>([412]L!T7*'D(Ti_Audétat23) Times'!$F7*0.000001)^2/(4*'D(Ti_Audétat23) Times'!$C7)/(365.35*24*3600)</f>
        <v>56179.522273965958</v>
      </c>
      <c r="T7" s="2"/>
      <c r="U7" s="2" t="s">
        <v>438</v>
      </c>
      <c r="V7" s="2">
        <f>([412]L!W7*'D(Ti_Audétat23) Times'!$F7*0.000001)^2/(4*'D(Ti_Audétat23) Times'!$C7)/(365.35*24*3600)</f>
        <v>62273.619600427221</v>
      </c>
      <c r="W7" s="2">
        <f>([412]L!X7*'D(Ti_Audétat23) Times'!$F7*0.000001)^2/(4*'D(Ti_Audétat23) Times'!$C7)/(365.35*24*3600)</f>
        <v>65353.614211726206</v>
      </c>
      <c r="X7" s="2"/>
      <c r="Y7" s="2">
        <f>([412]L!Z7*'D(Ti_Audétat23) Times'!$F7*0.000001)^2/(4*'D(Ti_Audétat23) Times'!$C7)/(365.35*24*3600)</f>
        <v>63250.442992744276</v>
      </c>
      <c r="Z7" s="2">
        <f>([412]L!AB7*'D(Ti_Audétat23) Times'!$F7*0.000001)^2/(4*'D(Ti_Audétat23) Times'!$C7)/(365.35*24*3600)</f>
        <v>63073.396714752875</v>
      </c>
      <c r="AA7" s="2">
        <f>([412]L!AC7*'D(Ti_Audétat23) Times'!$F7*0.000001)^2/(4*'D(Ti_Audétat23) Times'!$C7)/(365.35*24*3600)</f>
        <v>37606.51957097734</v>
      </c>
      <c r="AB7" s="2">
        <f>([412]L!AD7*'D(Ti_Audétat23) Times'!$F7*0.000001)^2/(4*'D(Ti_Audétat23) Times'!$C7)/(365.35*24*3600)</f>
        <v>95680.390300024897</v>
      </c>
      <c r="AC7" s="2">
        <f t="shared" si="1"/>
        <v>25466.877143775535</v>
      </c>
      <c r="AD7" s="2">
        <f t="shared" si="2"/>
        <v>32606.993585272023</v>
      </c>
    </row>
    <row r="8" spans="1:30" x14ac:dyDescent="0.2">
      <c r="A8" t="str">
        <f>[412]L!A8</f>
        <v>CGI001-qtz02-CL-fit-3-offset</v>
      </c>
      <c r="B8">
        <v>750</v>
      </c>
      <c r="C8">
        <f t="shared" si="3"/>
        <v>1.1456341375347871E-23</v>
      </c>
      <c r="D8">
        <v>1700</v>
      </c>
      <c r="E8">
        <v>1024</v>
      </c>
      <c r="F8">
        <f t="shared" si="0"/>
        <v>1.66015625</v>
      </c>
      <c r="I8" s="2">
        <f>([412]L!J8*'D(Ti_Audétat23) Times'!$F8*0.000001)^2/(4*'D(Ti_Audétat23) Times'!$C8)/(365.35*24*3600)</f>
        <v>20916.476618562363</v>
      </c>
      <c r="J8" s="2">
        <f>([412]L!K8*'D(Ti_Audétat23) Times'!$F8*0.000001)^2/(4*'D(Ti_Audétat23) Times'!$C8)/(365.35*24*3600)</f>
        <v>22037.754292830825</v>
      </c>
      <c r="K8" s="2">
        <f>([412]L!L8*'D(Ti_Audétat23) Times'!$F8*0.000001)^2/(4*'D(Ti_Audétat23) Times'!$C8)/(365.35*24*3600)</f>
        <v>20272.079729926303</v>
      </c>
      <c r="L8" s="2">
        <f>([412]L!M8*'D(Ti_Audétat23) Times'!$F8*0.000001)^2/(4*'D(Ti_Audétat23) Times'!$C8)/(365.35*24*3600)</f>
        <v>24836.436815005545</v>
      </c>
      <c r="M8" s="2">
        <f>([412]L!N8*'D(Ti_Audétat23) Times'!$F8*0.000001)^2/(4*'D(Ti_Audétat23) Times'!$C8)/(365.35*24*3600)</f>
        <v>18306.558550937672</v>
      </c>
      <c r="N8" s="2">
        <f>([412]L!O8*'D(Ti_Audétat23) Times'!$F8*0.000001)^2/(4*'D(Ti_Audétat23) Times'!$C8)/(365.35*24*3600)</f>
        <v>24722.509359485248</v>
      </c>
      <c r="O8" s="2">
        <f>([412]L!P8*'D(Ti_Audétat23) Times'!$F8*0.000001)^2/(4*'D(Ti_Audétat23) Times'!$C8)/(365.35*24*3600)</f>
        <v>22026.147018368763</v>
      </c>
      <c r="P8" s="2">
        <f>([412]L!Q8*'D(Ti_Audétat23) Times'!$F8*0.000001)^2/(4*'D(Ti_Audétat23) Times'!$C8)/(365.35*24*3600)</f>
        <v>26452.576915240432</v>
      </c>
      <c r="Q8" s="2">
        <f>([412]L!R8*'D(Ti_Audétat23) Times'!$F8*0.000001)^2/(4*'D(Ti_Audétat23) Times'!$C8)/(365.35*24*3600)</f>
        <v>24146.167641112257</v>
      </c>
      <c r="R8" s="2">
        <f>([412]L!S8*'D(Ti_Audétat23) Times'!$F8*0.000001)^2/(4*'D(Ti_Audétat23) Times'!$C8)/(365.35*24*3600)</f>
        <v>19606.159760503713</v>
      </c>
      <c r="S8" s="2">
        <f>([412]L!T8*'D(Ti_Audétat23) Times'!$F8*0.000001)^2/(4*'D(Ti_Audétat23) Times'!$C8)/(365.35*24*3600)</f>
        <v>17650.31848279421</v>
      </c>
      <c r="T8" s="2"/>
      <c r="U8" s="2">
        <f>([412]L!V8*'D(Ti_Audétat23) Times'!$F8*0.000001)^2/(4*'D(Ti_Audétat23) Times'!$C8)/(365.35*24*3600)</f>
        <v>23187.771097390123</v>
      </c>
      <c r="V8" s="2">
        <f>([412]L!W8*'D(Ti_Audétat23) Times'!$F8*0.000001)^2/(4*'D(Ti_Audétat23) Times'!$C8)/(365.35*24*3600)</f>
        <v>21820.914749524742</v>
      </c>
      <c r="W8" s="2">
        <f>([412]L!X8*'D(Ti_Audétat23) Times'!$F8*0.000001)^2/(4*'D(Ti_Audétat23) Times'!$C8)/(365.35*24*3600)</f>
        <v>22026.147018368763</v>
      </c>
      <c r="X8" s="2"/>
      <c r="Y8" s="2">
        <f>([412]L!Z8*'D(Ti_Audétat23) Times'!$F8*0.000001)^2/(4*'D(Ti_Audétat23) Times'!$C8)/(365.35*24*3600)</f>
        <v>21304.545198913795</v>
      </c>
      <c r="Z8" s="2">
        <f>([412]L!AB8*'D(Ti_Audétat23) Times'!$F8*0.000001)^2/(4*'D(Ti_Audétat23) Times'!$C8)/(365.35*24*3600)</f>
        <v>20255.440029209411</v>
      </c>
      <c r="AA8" s="2">
        <f>([412]L!AC8*'D(Ti_Audétat23) Times'!$F8*0.000001)^2/(4*'D(Ti_Audétat23) Times'!$C8)/(365.35*24*3600)</f>
        <v>1095.212949351202</v>
      </c>
      <c r="AB8" s="2">
        <f>([412]L!AD8*'D(Ti_Audétat23) Times'!$F8*0.000001)^2/(4*'D(Ti_Audétat23) Times'!$C8)/(365.35*24*3600)</f>
        <v>48730.632510991731</v>
      </c>
      <c r="AC8" s="2">
        <f t="shared" si="1"/>
        <v>19160.22707985821</v>
      </c>
      <c r="AD8" s="2">
        <f t="shared" si="2"/>
        <v>28475.19248178232</v>
      </c>
    </row>
    <row r="9" spans="1:30" x14ac:dyDescent="0.2">
      <c r="A9" t="str">
        <f>[412]L!A9</f>
        <v>CGI001-qtz02-CL-fit-4-offset</v>
      </c>
      <c r="B9">
        <v>750</v>
      </c>
      <c r="C9">
        <f t="shared" si="3"/>
        <v>1.1456341375347871E-23</v>
      </c>
      <c r="D9">
        <v>1700</v>
      </c>
      <c r="E9">
        <v>1024</v>
      </c>
      <c r="F9">
        <f t="shared" si="0"/>
        <v>1.66015625</v>
      </c>
      <c r="I9" s="2">
        <f>([412]L!J9*'D(Ti_Audétat23) Times'!$F9*0.000001)^2/(4*'D(Ti_Audétat23) Times'!$C9)/(365.35*24*3600)</f>
        <v>80.018388855967189</v>
      </c>
      <c r="J9" s="2">
        <f>([412]L!K9*'D(Ti_Audétat23) Times'!$F9*0.000001)^2/(4*'D(Ti_Audétat23) Times'!$C9)/(365.35*24*3600)</f>
        <v>17.955491653505792</v>
      </c>
      <c r="K9" s="2">
        <f>([412]L!L9*'D(Ti_Audétat23) Times'!$F9*0.000001)^2/(4*'D(Ti_Audétat23) Times'!$C9)/(365.35*24*3600)</f>
        <v>45.362312709220951</v>
      </c>
      <c r="L9" s="2">
        <f>([412]L!M9*'D(Ti_Audétat23) Times'!$F9*0.000001)^2/(4*'D(Ti_Audétat23) Times'!$C9)/(365.35*24*3600)</f>
        <v>5.9123534167637715</v>
      </c>
      <c r="M9" s="2">
        <f>([412]L!N9*'D(Ti_Audétat23) Times'!$F9*0.000001)^2/(4*'D(Ti_Audétat23) Times'!$C9)/(365.35*24*3600)</f>
        <v>45.802358672337725</v>
      </c>
      <c r="N9" s="2">
        <f>([412]L!O9*'D(Ti_Audétat23) Times'!$F9*0.000001)^2/(4*'D(Ti_Audétat23) Times'!$C9)/(365.35*24*3600)</f>
        <v>9.5855427636583972</v>
      </c>
      <c r="O9" s="2">
        <f>([412]L!P9*'D(Ti_Audétat23) Times'!$F9*0.000001)^2/(4*'D(Ti_Audétat23) Times'!$C9)/(365.35*24*3600)</f>
        <v>0.15074061205407818</v>
      </c>
      <c r="P9" s="2">
        <f>([412]L!Q9*'D(Ti_Audétat23) Times'!$F9*0.000001)^2/(4*'D(Ti_Audétat23) Times'!$C9)/(365.35*24*3600)</f>
        <v>65.183474355368389</v>
      </c>
      <c r="Q9" s="2">
        <f>([412]L!R9*'D(Ti_Audétat23) Times'!$F9*0.000001)^2/(4*'D(Ti_Audétat23) Times'!$C9)/(365.35*24*3600)</f>
        <v>76.462519433890961</v>
      </c>
      <c r="R9" s="2">
        <f>([412]L!S9*'D(Ti_Audétat23) Times'!$F9*0.000001)^2/(4*'D(Ti_Audétat23) Times'!$C9)/(365.35*24*3600)</f>
        <v>0.45582956322801382</v>
      </c>
      <c r="S9" s="2">
        <f>([412]L!T9*'D(Ti_Audétat23) Times'!$F9*0.000001)^2/(4*'D(Ti_Audétat23) Times'!$C9)/(365.35*24*3600)</f>
        <v>22.684013629966028</v>
      </c>
      <c r="T9" s="2"/>
      <c r="U9" s="2">
        <f>([412]L!V9*'D(Ti_Audétat23) Times'!$F9*0.000001)^2/(4*'D(Ti_Audétat23) Times'!$C9)/(365.35*24*3600)</f>
        <v>10.673616943641838</v>
      </c>
      <c r="V9" s="2">
        <f>([412]L!W9*'D(Ti_Audétat23) Times'!$F9*0.000001)^2/(4*'D(Ti_Audétat23) Times'!$C9)/(365.35*24*3600)</f>
        <v>24.87041254815237</v>
      </c>
      <c r="W9" s="2">
        <f>([412]L!X9*'D(Ti_Audétat23) Times'!$F9*0.000001)^2/(4*'D(Ti_Audétat23) Times'!$C9)/(365.35*24*3600)</f>
        <v>22.684013629966028</v>
      </c>
      <c r="X9" s="2"/>
      <c r="Y9" s="2">
        <f>([412]L!Z9*'D(Ti_Audétat23) Times'!$F9*0.000001)^2/(4*'D(Ti_Audétat23) Times'!$C9)/(365.35*24*3600)</f>
        <v>77.392025256144237</v>
      </c>
      <c r="Z9" s="2">
        <f>([412]L!AB9*'D(Ti_Audétat23) Times'!$F9*0.000001)^2/(4*'D(Ti_Audétat23) Times'!$C9)/(365.35*24*3600)</f>
        <v>147.85707604300555</v>
      </c>
      <c r="AA9" s="2">
        <f>([412]L!AC9*'D(Ti_Audétat23) Times'!$F9*0.000001)^2/(4*'D(Ti_Audétat23) Times'!$C9)/(365.35*24*3600)</f>
        <v>8.1864440572187506E-12</v>
      </c>
      <c r="AB9" s="2">
        <f>([412]L!AD9*'D(Ti_Audétat23) Times'!$F9*0.000001)^2/(4*'D(Ti_Audétat23) Times'!$C9)/(365.35*24*3600)</f>
        <v>2393.2544724618724</v>
      </c>
      <c r="AC9" s="2">
        <f t="shared" si="1"/>
        <v>147.85707604299736</v>
      </c>
      <c r="AD9" s="2">
        <f t="shared" si="2"/>
        <v>2245.3973964188667</v>
      </c>
    </row>
    <row r="10" spans="1:30" x14ac:dyDescent="0.2">
      <c r="A10" t="str">
        <f>[412]L!A10</f>
        <v>CGI001-qtz03-CL-fit-1</v>
      </c>
      <c r="B10">
        <v>750</v>
      </c>
      <c r="C10">
        <f t="shared" si="3"/>
        <v>1.1456341375347871E-23</v>
      </c>
      <c r="D10">
        <v>1900</v>
      </c>
      <c r="E10">
        <v>1024</v>
      </c>
      <c r="F10">
        <f t="shared" si="0"/>
        <v>1.85546875</v>
      </c>
      <c r="I10" s="2">
        <f>([412]L!J10*'D(Ti_Audétat23) Times'!$F10*0.000001)^2/(4*'D(Ti_Audétat23) Times'!$C10)/(365.35*24*3600)</f>
        <v>251307.65945475097</v>
      </c>
      <c r="J10" s="2">
        <f>([412]L!K10*'D(Ti_Audétat23) Times'!$F10*0.000001)^2/(4*'D(Ti_Audétat23) Times'!$C10)/(365.35*24*3600)</f>
        <v>132796.10234383587</v>
      </c>
      <c r="K10" s="2">
        <f>([412]L!L10*'D(Ti_Audétat23) Times'!$F10*0.000001)^2/(4*'D(Ti_Audétat23) Times'!$C10)/(365.35*24*3600)</f>
        <v>126776.88799406169</v>
      </c>
      <c r="L10" s="2">
        <f>([412]L!M10*'D(Ti_Audétat23) Times'!$F10*0.000001)^2/(4*'D(Ti_Audétat23) Times'!$C10)/(365.35*24*3600)</f>
        <v>150247.5824561356</v>
      </c>
      <c r="M10" s="2">
        <f>([412]L!N10*'D(Ti_Audétat23) Times'!$F10*0.000001)^2/(4*'D(Ti_Audétat23) Times'!$C10)/(365.35*24*3600)</f>
        <v>142211.17728278312</v>
      </c>
      <c r="N10" s="2">
        <f>([412]L!O10*'D(Ti_Audétat23) Times'!$F10*0.000001)^2/(4*'D(Ti_Audétat23) Times'!$C10)/(365.35*24*3600)</f>
        <v>226851.46311421442</v>
      </c>
      <c r="O10" s="2">
        <f>([412]L!P10*'D(Ti_Audétat23) Times'!$F10*0.000001)^2/(4*'D(Ti_Audétat23) Times'!$C10)/(365.35*24*3600)</f>
        <v>216456.6295909184</v>
      </c>
      <c r="P10" s="2">
        <f>([412]L!Q10*'D(Ti_Audétat23) Times'!$F10*0.000001)^2/(4*'D(Ti_Audétat23) Times'!$C10)/(365.35*24*3600)</f>
        <v>183304.01680891894</v>
      </c>
      <c r="Q10" s="2">
        <f>([412]L!R10*'D(Ti_Audétat23) Times'!$F10*0.000001)^2/(4*'D(Ti_Audétat23) Times'!$C10)/(365.35*24*3600)</f>
        <v>126226.88026512334</v>
      </c>
      <c r="R10" s="2">
        <f>([412]L!S10*'D(Ti_Audétat23) Times'!$F10*0.000001)^2/(4*'D(Ti_Audétat23) Times'!$C10)/(365.35*24*3600)</f>
        <v>175785.46049468554</v>
      </c>
      <c r="S10" s="2">
        <f>([412]L!T10*'D(Ti_Audétat23) Times'!$F10*0.000001)^2/(4*'D(Ti_Audétat23) Times'!$C10)/(365.35*24*3600)</f>
        <v>168169.87578763734</v>
      </c>
      <c r="T10" s="2"/>
      <c r="U10" s="2">
        <f>([412]L!V10*'D(Ti_Audétat23) Times'!$F10*0.000001)^2/(4*'D(Ti_Audétat23) Times'!$C10)/(365.35*24*3600)</f>
        <v>169154.8528751035</v>
      </c>
      <c r="V10" s="2">
        <f>([412]L!W10*'D(Ti_Audétat23) Times'!$F10*0.000001)^2/(4*'D(Ti_Audétat23) Times'!$C10)/(365.35*24*3600)</f>
        <v>170405.17725180628</v>
      </c>
      <c r="W10" s="2">
        <f>([412]L!X10*'D(Ti_Audétat23) Times'!$F10*0.000001)^2/(4*'D(Ti_Audétat23) Times'!$C10)/(365.35*24*3600)</f>
        <v>168169.87578763734</v>
      </c>
      <c r="X10" s="2"/>
      <c r="Y10" s="2">
        <f>([412]L!Z10*'D(Ti_Audétat23) Times'!$F10*0.000001)^2/(4*'D(Ti_Audétat23) Times'!$C10)/(365.35*24*3600)</f>
        <v>169858.3453024028</v>
      </c>
      <c r="Z10" s="2">
        <f>([412]L!AB10*'D(Ti_Audétat23) Times'!$F10*0.000001)^2/(4*'D(Ti_Audétat23) Times'!$C10)/(365.35*24*3600)</f>
        <v>165725.3689210735</v>
      </c>
      <c r="AA10" s="2">
        <f>([412]L!AC10*'D(Ti_Audétat23) Times'!$F10*0.000001)^2/(4*'D(Ti_Audétat23) Times'!$C10)/(365.35*24*3600)</f>
        <v>94660.138629268142</v>
      </c>
      <c r="AB10" s="2">
        <f>([412]L!AD10*'D(Ti_Audétat23) Times'!$F10*0.000001)^2/(4*'D(Ti_Audétat23) Times'!$C10)/(365.35*24*3600)</f>
        <v>238840.79183516823</v>
      </c>
      <c r="AC10" s="2">
        <f t="shared" si="1"/>
        <v>71065.230291805361</v>
      </c>
      <c r="AD10" s="2">
        <f t="shared" si="2"/>
        <v>73115.422914094728</v>
      </c>
    </row>
    <row r="11" spans="1:30" x14ac:dyDescent="0.2">
      <c r="A11" t="str">
        <f>[412]L!A11</f>
        <v>CGI001-qtz03-CL-fit-2</v>
      </c>
      <c r="B11">
        <v>750</v>
      </c>
      <c r="C11">
        <f t="shared" si="3"/>
        <v>1.1456341375347871E-23</v>
      </c>
      <c r="D11">
        <v>1900</v>
      </c>
      <c r="E11">
        <v>1024</v>
      </c>
      <c r="F11">
        <f t="shared" si="0"/>
        <v>1.85546875</v>
      </c>
      <c r="I11" s="2">
        <f>([412]L!J11*'D(Ti_Audétat23) Times'!$F11*0.000001)^2/(4*'D(Ti_Audétat23) Times'!$C11)/(365.35*24*3600)</f>
        <v>49266.454778730789</v>
      </c>
      <c r="J11" s="2">
        <f>([412]L!K11*'D(Ti_Audétat23) Times'!$F11*0.000001)^2/(4*'D(Ti_Audétat23) Times'!$C11)/(365.35*24*3600)</f>
        <v>32426.615853070201</v>
      </c>
      <c r="K11" s="2">
        <f>([412]L!L11*'D(Ti_Audétat23) Times'!$F11*0.000001)^2/(4*'D(Ti_Audétat23) Times'!$C11)/(365.35*24*3600)</f>
        <v>22190.949322853092</v>
      </c>
      <c r="L11" s="2">
        <f>([412]L!M11*'D(Ti_Audétat23) Times'!$F11*0.000001)^2/(4*'D(Ti_Audétat23) Times'!$C11)/(365.35*24*3600)</f>
        <v>13740.035654831561</v>
      </c>
      <c r="M11" s="2">
        <f>([412]L!N11*'D(Ti_Audétat23) Times'!$F11*0.000001)^2/(4*'D(Ti_Audétat23) Times'!$C11)/(365.35*24*3600)</f>
        <v>14300.752164743019</v>
      </c>
      <c r="N11" s="2">
        <f>([412]L!O11*'D(Ti_Audétat23) Times'!$F11*0.000001)^2/(4*'D(Ti_Audétat23) Times'!$C11)/(365.35*24*3600)</f>
        <v>13528.190494541979</v>
      </c>
      <c r="O11" s="2">
        <f>([412]L!P11*'D(Ti_Audétat23) Times'!$F11*0.000001)^2/(4*'D(Ti_Audétat23) Times'!$C11)/(365.35*24*3600)</f>
        <v>12394.091189031466</v>
      </c>
      <c r="P11" s="2">
        <f>([412]L!Q11*'D(Ti_Audétat23) Times'!$F11*0.000001)^2/(4*'D(Ti_Audétat23) Times'!$C11)/(365.35*24*3600)</f>
        <v>21914.737212211734</v>
      </c>
      <c r="Q11" s="2">
        <f>([412]L!R11*'D(Ti_Audétat23) Times'!$F11*0.000001)^2/(4*'D(Ti_Audétat23) Times'!$C11)/(365.35*24*3600)</f>
        <v>22645.102921013193</v>
      </c>
      <c r="R11" s="2">
        <f>([412]L!S11*'D(Ti_Audétat23) Times'!$F11*0.000001)^2/(4*'D(Ti_Audétat23) Times'!$C11)/(365.35*24*3600)</f>
        <v>24233.644921218805</v>
      </c>
      <c r="S11" s="2">
        <f>([412]L!T11*'D(Ti_Audétat23) Times'!$F11*0.000001)^2/(4*'D(Ti_Audétat23) Times'!$C11)/(365.35*24*3600)</f>
        <v>22749.771900008309</v>
      </c>
      <c r="T11" s="2"/>
      <c r="U11" s="2">
        <f>([412]L!V11*'D(Ti_Audétat23) Times'!$F11*0.000001)^2/(4*'D(Ti_Audétat23) Times'!$C11)/(365.35*24*3600)</f>
        <v>21484.628926255624</v>
      </c>
      <c r="V11" s="2">
        <f>([412]L!W11*'D(Ti_Audétat23) Times'!$F11*0.000001)^2/(4*'D(Ti_Audétat23) Times'!$C11)/(365.35*24*3600)</f>
        <v>21701.705404433804</v>
      </c>
      <c r="W11" s="2">
        <f>([412]L!X11*'D(Ti_Audétat23) Times'!$F11*0.000001)^2/(4*'D(Ti_Audétat23) Times'!$C11)/(365.35*24*3600)</f>
        <v>22190.949322853092</v>
      </c>
      <c r="X11" s="2"/>
      <c r="Y11" s="2">
        <f>([412]L!Z11*'D(Ti_Audétat23) Times'!$F11*0.000001)^2/(4*'D(Ti_Audétat23) Times'!$C11)/(365.35*24*3600)</f>
        <v>21458.05763801821</v>
      </c>
      <c r="Z11" s="2">
        <f>([412]L!AB11*'D(Ti_Audétat23) Times'!$F11*0.000001)^2/(4*'D(Ti_Audétat23) Times'!$C11)/(365.35*24*3600)</f>
        <v>21338.650223730849</v>
      </c>
      <c r="AA11" s="2">
        <f>([412]L!AC11*'D(Ti_Audétat23) Times'!$F11*0.000001)^2/(4*'D(Ti_Audétat23) Times'!$C11)/(365.35*24*3600)</f>
        <v>11679.081015359823</v>
      </c>
      <c r="AB11" s="2">
        <f>([412]L!AD11*'D(Ti_Audétat23) Times'!$F11*0.000001)^2/(4*'D(Ti_Audétat23) Times'!$C11)/(365.35*24*3600)</f>
        <v>36611.828568032281</v>
      </c>
      <c r="AC11" s="2">
        <f t="shared" si="1"/>
        <v>9659.5692083710255</v>
      </c>
      <c r="AD11" s="2">
        <f t="shared" si="2"/>
        <v>15273.178344301432</v>
      </c>
    </row>
    <row r="12" spans="1:30" x14ac:dyDescent="0.2">
      <c r="A12" t="str">
        <f>[412]L!A12</f>
        <v>CGI001-qtz03-CL-fit-3</v>
      </c>
      <c r="B12">
        <v>750</v>
      </c>
      <c r="C12">
        <f t="shared" si="3"/>
        <v>1.1456341375347871E-23</v>
      </c>
      <c r="D12">
        <v>1900</v>
      </c>
      <c r="E12">
        <v>1024</v>
      </c>
      <c r="F12">
        <f t="shared" si="0"/>
        <v>1.85546875</v>
      </c>
      <c r="I12" s="2">
        <f>([412]L!J12*'D(Ti_Audétat23) Times'!$F12*0.000001)^2/(4*'D(Ti_Audétat23) Times'!$C12)/(365.35*24*3600)</f>
        <v>89251.964283017238</v>
      </c>
      <c r="J12" s="2">
        <f>([412]L!K12*'D(Ti_Audétat23) Times'!$F12*0.000001)^2/(4*'D(Ti_Audétat23) Times'!$C12)/(365.35*24*3600)</f>
        <v>12755.945107762915</v>
      </c>
      <c r="K12" s="2">
        <f>([412]L!L12*'D(Ti_Audétat23) Times'!$F12*0.000001)^2/(4*'D(Ti_Audétat23) Times'!$C12)/(365.35*24*3600)</f>
        <v>13885.395346769752</v>
      </c>
      <c r="L12" s="2">
        <f>([412]L!M12*'D(Ti_Audétat23) Times'!$F12*0.000001)^2/(4*'D(Ti_Audétat23) Times'!$C12)/(365.35*24*3600)</f>
        <v>29393.095449254721</v>
      </c>
      <c r="M12" s="2">
        <f>([412]L!N12*'D(Ti_Audétat23) Times'!$F12*0.000001)^2/(4*'D(Ti_Audétat23) Times'!$C12)/(365.35*24*3600)</f>
        <v>3113.5944771399113</v>
      </c>
      <c r="N12" s="2">
        <f>([412]L!O12*'D(Ti_Audétat23) Times'!$F12*0.000001)^2/(4*'D(Ti_Audétat23) Times'!$C12)/(365.35*24*3600)</f>
        <v>7445.9134374888217</v>
      </c>
      <c r="O12" s="2">
        <f>([412]L!P12*'D(Ti_Audétat23) Times'!$F12*0.000001)^2/(4*'D(Ti_Audétat23) Times'!$C12)/(365.35*24*3600)</f>
        <v>84.26943475710506</v>
      </c>
      <c r="P12" s="2">
        <f>([412]L!Q12*'D(Ti_Audétat23) Times'!$F12*0.000001)^2/(4*'D(Ti_Audétat23) Times'!$C12)/(365.35*24*3600)</f>
        <v>399.45602556534237</v>
      </c>
      <c r="Q12" s="2">
        <f>([412]L!R12*'D(Ti_Audétat23) Times'!$F12*0.000001)^2/(4*'D(Ti_Audétat23) Times'!$C12)/(365.35*24*3600)</f>
        <v>12478.946224853598</v>
      </c>
      <c r="R12" s="2">
        <f>([412]L!S12*'D(Ti_Audétat23) Times'!$F12*0.000001)^2/(4*'D(Ti_Audétat23) Times'!$C12)/(365.35*24*3600)</f>
        <v>22470.441298090089</v>
      </c>
      <c r="S12" s="2">
        <f>([412]L!T12*'D(Ti_Audétat23) Times'!$F12*0.000001)^2/(4*'D(Ti_Audétat23) Times'!$C12)/(365.35*24*3600)</f>
        <v>10332.986394750063</v>
      </c>
      <c r="T12" s="2"/>
      <c r="U12" s="2">
        <f>([412]L!V12*'D(Ti_Audétat23) Times'!$F12*0.000001)^2/(4*'D(Ti_Audétat23) Times'!$C12)/(365.35*24*3600)</f>
        <v>15212.413155802065</v>
      </c>
      <c r="V12" s="2">
        <f>([412]L!W12*'D(Ti_Audétat23) Times'!$F12*0.000001)^2/(4*'D(Ti_Audétat23) Times'!$C12)/(365.35*24*3600)</f>
        <v>12615.186505651007</v>
      </c>
      <c r="W12" s="2">
        <f>([412]L!X12*'D(Ti_Audétat23) Times'!$F12*0.000001)^2/(4*'D(Ti_Audétat23) Times'!$C12)/(365.35*24*3600)</f>
        <v>12478.946224853598</v>
      </c>
      <c r="X12" s="2"/>
      <c r="Y12" s="2">
        <f>([412]L!Z12*'D(Ti_Audétat23) Times'!$F12*0.000001)^2/(4*'D(Ti_Audétat23) Times'!$C12)/(365.35*24*3600)</f>
        <v>12471.498511552061</v>
      </c>
      <c r="Z12" s="2">
        <f>([412]L!AB12*'D(Ti_Audétat23) Times'!$F12*0.000001)^2/(4*'D(Ti_Audétat23) Times'!$C12)/(365.35*24*3600)</f>
        <v>13971.870671940644</v>
      </c>
      <c r="AA12" s="2">
        <f>([412]L!AC12*'D(Ti_Audétat23) Times'!$F12*0.000001)^2/(4*'D(Ti_Audétat23) Times'!$C12)/(365.35*24*3600)</f>
        <v>104.42427247520428</v>
      </c>
      <c r="AB12" s="2">
        <f>([412]L!AD12*'D(Ti_Audétat23) Times'!$F12*0.000001)^2/(4*'D(Ti_Audétat23) Times'!$C12)/(365.35*24*3600)</f>
        <v>115595.76592070617</v>
      </c>
      <c r="AC12" s="2">
        <f t="shared" si="1"/>
        <v>13867.44639946544</v>
      </c>
      <c r="AD12" s="2">
        <f t="shared" si="2"/>
        <v>101623.89524876552</v>
      </c>
    </row>
    <row r="13" spans="1:30" x14ac:dyDescent="0.2">
      <c r="A13" t="str">
        <f>[412]L!A13</f>
        <v>CGI001-qtz03-CL-fit-4-offset</v>
      </c>
      <c r="B13">
        <v>750</v>
      </c>
      <c r="C13">
        <f t="shared" si="3"/>
        <v>1.1456341375347871E-23</v>
      </c>
      <c r="D13">
        <v>1900</v>
      </c>
      <c r="E13">
        <v>1024</v>
      </c>
      <c r="F13">
        <f t="shared" si="0"/>
        <v>1.85546875</v>
      </c>
      <c r="I13" s="2">
        <f>([412]L!J13*'D(Ti_Audétat23) Times'!$F13*0.000001)^2/(4*'D(Ti_Audétat23) Times'!$C13)/(365.35*24*3600)</f>
        <v>161.67377205340782</v>
      </c>
      <c r="J13" s="2">
        <f>([412]L!K13*'D(Ti_Audétat23) Times'!$F13*0.000001)^2/(4*'D(Ti_Audétat23) Times'!$C13)/(365.35*24*3600)</f>
        <v>19.29782872139284</v>
      </c>
      <c r="K13" s="2">
        <f>([412]L!L13*'D(Ti_Audétat23) Times'!$F13*0.000001)^2/(4*'D(Ti_Audétat23) Times'!$C13)/(365.35*24*3600)</f>
        <v>1291.8144482926857</v>
      </c>
      <c r="L13" s="2">
        <f>([412]L!M13*'D(Ti_Audétat23) Times'!$F13*0.000001)^2/(4*'D(Ti_Audétat23) Times'!$C13)/(365.35*24*3600)</f>
        <v>636.98200959080191</v>
      </c>
      <c r="M13" s="2">
        <f>([412]L!N13*'D(Ti_Audétat23) Times'!$F13*0.000001)^2/(4*'D(Ti_Audétat23) Times'!$C13)/(365.35*24*3600)</f>
        <v>148.85088758957804</v>
      </c>
      <c r="N13" s="2">
        <f>([412]L!O13*'D(Ti_Audétat23) Times'!$F13*0.000001)^2/(4*'D(Ti_Audétat23) Times'!$C13)/(365.35*24*3600)</f>
        <v>133.39132392404406</v>
      </c>
      <c r="O13" s="2">
        <f>([412]L!P13*'D(Ti_Audétat23) Times'!$F13*0.000001)^2/(4*'D(Ti_Audétat23) Times'!$C13)/(365.35*24*3600)</f>
        <v>1868.1009082076953</v>
      </c>
      <c r="P13" s="2">
        <f>([412]L!Q13*'D(Ti_Audétat23) Times'!$F13*0.000001)^2/(4*'D(Ti_Audétat23) Times'!$C13)/(365.35*24*3600)</f>
        <v>155.21033265354762</v>
      </c>
      <c r="Q13" s="2">
        <f>([412]L!R13*'D(Ti_Audétat23) Times'!$F13*0.000001)^2/(4*'D(Ti_Audétat23) Times'!$C13)/(365.35*24*3600)</f>
        <v>118.44440394929801</v>
      </c>
      <c r="R13" s="2">
        <f>([412]L!S13*'D(Ti_Audétat23) Times'!$F13*0.000001)^2/(4*'D(Ti_Audétat23) Times'!$C13)/(365.35*24*3600)</f>
        <v>1262.1331038280671</v>
      </c>
      <c r="S13" s="2">
        <f>([412]L!T13*'D(Ti_Audétat23) Times'!$F13*0.000001)^2/(4*'D(Ti_Audétat23) Times'!$C13)/(365.35*24*3600)</f>
        <v>1.3730732594194934</v>
      </c>
      <c r="T13" s="2"/>
      <c r="U13" s="2">
        <f>([412]L!V13*'D(Ti_Audétat23) Times'!$F13*0.000001)^2/(4*'D(Ti_Audétat23) Times'!$C13)/(365.35*24*3600)</f>
        <v>162.58639943925277</v>
      </c>
      <c r="V13" s="2">
        <f>([412]L!W13*'D(Ti_Audétat23) Times'!$F13*0.000001)^2/(4*'D(Ti_Audétat23) Times'!$C13)/(365.35*24*3600)</f>
        <v>348.33031448828143</v>
      </c>
      <c r="W13" s="2">
        <f>([412]L!X13*'D(Ti_Audétat23) Times'!$F13*0.000001)^2/(4*'D(Ti_Audétat23) Times'!$C13)/(365.35*24*3600)</f>
        <v>155.21033265354762</v>
      </c>
      <c r="X13" s="2"/>
      <c r="Y13" s="2">
        <f>([412]L!Z13*'D(Ti_Audétat23) Times'!$F13*0.000001)^2/(4*'D(Ti_Audétat23) Times'!$C13)/(365.35*24*3600)</f>
        <v>152.82100293468355</v>
      </c>
      <c r="Z13" s="2">
        <f>([412]L!AB13*'D(Ti_Audétat23) Times'!$F13*0.000001)^2/(4*'D(Ti_Audétat23) Times'!$C13)/(365.35*24*3600)</f>
        <v>251.7369781430661</v>
      </c>
      <c r="AA13" s="2">
        <f>([412]L!AC13*'D(Ti_Audétat23) Times'!$F13*0.000001)^2/(4*'D(Ti_Audétat23) Times'!$C13)/(365.35*24*3600)</f>
        <v>1.235724500742831E-7</v>
      </c>
      <c r="AB13" s="2">
        <f>([412]L!AD13*'D(Ti_Audétat23) Times'!$F13*0.000001)^2/(4*'D(Ti_Audétat23) Times'!$C13)/(365.35*24*3600)</f>
        <v>1984.2014575416611</v>
      </c>
      <c r="AC13" s="2">
        <f t="shared" si="1"/>
        <v>251.73697801949365</v>
      </c>
      <c r="AD13" s="2">
        <f t="shared" si="2"/>
        <v>1732.4644793985949</v>
      </c>
    </row>
    <row r="14" spans="1:30" x14ac:dyDescent="0.2">
      <c r="A14" t="str">
        <f>[412]L!A14</f>
        <v>CGI001-qtz04-CL-fit-1-offset</v>
      </c>
      <c r="B14">
        <v>750</v>
      </c>
      <c r="C14">
        <f t="shared" si="3"/>
        <v>1.1456341375347871E-23</v>
      </c>
      <c r="D14">
        <v>2050</v>
      </c>
      <c r="E14">
        <v>1024</v>
      </c>
      <c r="F14">
        <f t="shared" si="0"/>
        <v>2.001953125</v>
      </c>
      <c r="I14" s="2">
        <f>([412]L!J14*'D(Ti_Audétat23) Times'!$F14*0.000001)^2/(4*'D(Ti_Audétat23) Times'!$C14)/(365.35*24*3600)</f>
        <v>64834.816171465107</v>
      </c>
      <c r="J14" s="2">
        <f>([412]L!K14*'D(Ti_Audétat23) Times'!$F14*0.000001)^2/(4*'D(Ti_Audétat23) Times'!$C14)/(365.35*24*3600)</f>
        <v>48212.928356450189</v>
      </c>
      <c r="K14" s="2">
        <f>([412]L!L14*'D(Ti_Audétat23) Times'!$F14*0.000001)^2/(4*'D(Ti_Audétat23) Times'!$C14)/(365.35*24*3600)</f>
        <v>166677.60311784799</v>
      </c>
      <c r="L14" s="2">
        <f>([412]L!M14*'D(Ti_Audétat23) Times'!$F14*0.000001)^2/(4*'D(Ti_Audétat23) Times'!$C14)/(365.35*24*3600)</f>
        <v>8525.9108304070669</v>
      </c>
      <c r="M14" s="2">
        <f>([412]L!N14*'D(Ti_Audétat23) Times'!$F14*0.000001)^2/(4*'D(Ti_Audétat23) Times'!$C14)/(365.35*24*3600)</f>
        <v>82429.858890115516</v>
      </c>
      <c r="N14" s="2">
        <f>([412]L!O14*'D(Ti_Audétat23) Times'!$F14*0.000001)^2/(4*'D(Ti_Audétat23) Times'!$C14)/(365.35*24*3600)</f>
        <v>2.8378890425315313</v>
      </c>
      <c r="O14" s="2">
        <f>([412]L!P14*'D(Ti_Audétat23) Times'!$F14*0.000001)^2/(4*'D(Ti_Audétat23) Times'!$C14)/(365.35*24*3600)</f>
        <v>51402.28143494852</v>
      </c>
      <c r="P14" s="2">
        <f>([412]L!Q14*'D(Ti_Audétat23) Times'!$F14*0.000001)^2/(4*'D(Ti_Audétat23) Times'!$C14)/(365.35*24*3600)</f>
        <v>130451.84552148254</v>
      </c>
      <c r="Q14" s="2">
        <f>([412]L!R14*'D(Ti_Audétat23) Times'!$F14*0.000001)^2/(4*'D(Ti_Audétat23) Times'!$C14)/(365.35*24*3600)</f>
        <v>17277.690286251211</v>
      </c>
      <c r="R14" s="2">
        <f>([412]L!S14*'D(Ti_Audétat23) Times'!$F14*0.000001)^2/(4*'D(Ti_Audétat23) Times'!$C14)/(365.35*24*3600)</f>
        <v>29142.184588714157</v>
      </c>
      <c r="S14" s="2">
        <f>([412]L!T14*'D(Ti_Audétat23) Times'!$F14*0.000001)^2/(4*'D(Ti_Audétat23) Times'!$C14)/(365.35*24*3600)</f>
        <v>44611.367198778222</v>
      </c>
      <c r="T14" s="2"/>
      <c r="U14" s="2">
        <f>([412]L!V14*'D(Ti_Audétat23) Times'!$F14*0.000001)^2/(4*'D(Ti_Audétat23) Times'!$C14)/(365.35*24*3600)</f>
        <v>52745.253370965074</v>
      </c>
      <c r="V14" s="2">
        <f>([412]L!W14*'D(Ti_Audétat23) Times'!$F14*0.000001)^2/(4*'D(Ti_Audétat23) Times'!$C14)/(365.35*24*3600)</f>
        <v>46219.557582518435</v>
      </c>
      <c r="W14" s="2">
        <f>([412]L!X14*'D(Ti_Audétat23) Times'!$F14*0.000001)^2/(4*'D(Ti_Audétat23) Times'!$C14)/(365.35*24*3600)</f>
        <v>48212.928356450189</v>
      </c>
      <c r="X14" s="2"/>
      <c r="Y14" s="2">
        <f>([412]L!Z14*'D(Ti_Audétat23) Times'!$F14*0.000001)^2/(4*'D(Ti_Audétat23) Times'!$C14)/(365.35*24*3600)</f>
        <v>40640.441607615889</v>
      </c>
      <c r="Z14" s="2">
        <f>([412]L!AB14*'D(Ti_Audétat23) Times'!$F14*0.000001)^2/(4*'D(Ti_Audétat23) Times'!$C14)/(365.35*24*3600)</f>
        <v>46201.417734995397</v>
      </c>
      <c r="AA14" s="2">
        <f>([412]L!AC14*'D(Ti_Audétat23) Times'!$F14*0.000001)^2/(4*'D(Ti_Audétat23) Times'!$C14)/(365.35*24*3600)</f>
        <v>113.26295406901278</v>
      </c>
      <c r="AB14" s="2">
        <f>([412]L!AD14*'D(Ti_Audétat23) Times'!$F14*0.000001)^2/(4*'D(Ti_Audétat23) Times'!$C14)/(365.35*24*3600)</f>
        <v>387954.55450864707</v>
      </c>
      <c r="AC14" s="2">
        <f t="shared" si="1"/>
        <v>46088.154780926387</v>
      </c>
      <c r="AD14" s="2">
        <f t="shared" si="2"/>
        <v>341753.1367736517</v>
      </c>
    </row>
    <row r="15" spans="1:30" x14ac:dyDescent="0.2">
      <c r="A15" t="str">
        <f>[412]L!A15</f>
        <v>CGI001-qtz04-CL-fit-2-offset</v>
      </c>
      <c r="B15">
        <v>750</v>
      </c>
      <c r="C15">
        <f t="shared" si="3"/>
        <v>1.1456341375347871E-23</v>
      </c>
      <c r="D15">
        <v>2050</v>
      </c>
      <c r="E15">
        <v>1024</v>
      </c>
      <c r="F15">
        <f t="shared" si="0"/>
        <v>2.001953125</v>
      </c>
      <c r="I15" s="2">
        <f>([412]L!J15*'D(Ti_Audétat23) Times'!$F15*0.000001)^2/(4*'D(Ti_Audétat23) Times'!$C15)/(365.35*24*3600)</f>
        <v>48456.882313237227</v>
      </c>
      <c r="J15" s="2">
        <f>([412]L!K15*'D(Ti_Audétat23) Times'!$F15*0.000001)^2/(4*'D(Ti_Audétat23) Times'!$C15)/(365.35*24*3600)</f>
        <v>77916.655365575178</v>
      </c>
      <c r="K15" s="2">
        <f>([412]L!L15*'D(Ti_Audétat23) Times'!$F15*0.000001)^2/(4*'D(Ti_Audétat23) Times'!$C15)/(365.35*24*3600)</f>
        <v>31342.124167311398</v>
      </c>
      <c r="L15" s="2">
        <f>([412]L!M15*'D(Ti_Audétat23) Times'!$F15*0.000001)^2/(4*'D(Ti_Audétat23) Times'!$C15)/(365.35*24*3600)</f>
        <v>47947.351443347368</v>
      </c>
      <c r="M15" s="2">
        <f>([412]L!N15*'D(Ti_Audétat23) Times'!$F15*0.000001)^2/(4*'D(Ti_Audétat23) Times'!$C15)/(365.35*24*3600)</f>
        <v>35311.559579231704</v>
      </c>
      <c r="N15" s="2">
        <f>([412]L!O15*'D(Ti_Audétat23) Times'!$F15*0.000001)^2/(4*'D(Ti_Audétat23) Times'!$C15)/(365.35*24*3600)</f>
        <v>39471.906464448257</v>
      </c>
      <c r="O15" s="2">
        <f>([412]L!P15*'D(Ti_Audétat23) Times'!$F15*0.000001)^2/(4*'D(Ti_Audétat23) Times'!$C15)/(365.35*24*3600)</f>
        <v>17855.570904602486</v>
      </c>
      <c r="P15" s="2">
        <f>([412]L!Q15*'D(Ti_Audétat23) Times'!$F15*0.000001)^2/(4*'D(Ti_Audétat23) Times'!$C15)/(365.35*24*3600)</f>
        <v>41701.264847323204</v>
      </c>
      <c r="Q15" s="2">
        <f>([412]L!R15*'D(Ti_Audétat23) Times'!$F15*0.000001)^2/(4*'D(Ti_Audétat23) Times'!$C15)/(365.35*24*3600)</f>
        <v>39671.410780879487</v>
      </c>
      <c r="R15" s="2">
        <f>([412]L!S15*'D(Ti_Audétat23) Times'!$F15*0.000001)^2/(4*'D(Ti_Audétat23) Times'!$C15)/(365.35*24*3600)</f>
        <v>63860.594734623359</v>
      </c>
      <c r="S15" s="2">
        <f>([412]L!T15*'D(Ti_Audétat23) Times'!$F15*0.000001)^2/(4*'D(Ti_Audétat23) Times'!$C15)/(365.35*24*3600)</f>
        <v>45336.814866232802</v>
      </c>
      <c r="T15" s="2"/>
      <c r="U15" s="2">
        <f>([412]L!V15*'D(Ti_Audétat23) Times'!$F15*0.000001)^2/(4*'D(Ti_Audétat23) Times'!$C15)/(365.35*24*3600)</f>
        <v>42877.501454018398</v>
      </c>
      <c r="V15" s="2">
        <f>([412]L!W15*'D(Ti_Audétat23) Times'!$F15*0.000001)^2/(4*'D(Ti_Audétat23) Times'!$C15)/(365.35*24*3600)</f>
        <v>43131.782916136959</v>
      </c>
      <c r="W15" s="2">
        <f>([412]L!X15*'D(Ti_Audétat23) Times'!$F15*0.000001)^2/(4*'D(Ti_Audétat23) Times'!$C15)/(365.35*24*3600)</f>
        <v>41701.264847323204</v>
      </c>
      <c r="X15" s="2"/>
      <c r="Y15" s="2">
        <f>([412]L!Z15*'D(Ti_Audétat23) Times'!$F15*0.000001)^2/(4*'D(Ti_Audétat23) Times'!$C15)/(365.35*24*3600)</f>
        <v>42969.528828355848</v>
      </c>
      <c r="Z15" s="2">
        <f>([412]L!AB15*'D(Ti_Audétat23) Times'!$F15*0.000001)^2/(4*'D(Ti_Audétat23) Times'!$C15)/(365.35*24*3600)</f>
        <v>43844.771989891909</v>
      </c>
      <c r="AA15" s="2">
        <f>([412]L!AC15*'D(Ti_Audétat23) Times'!$F15*0.000001)^2/(4*'D(Ti_Audétat23) Times'!$C15)/(365.35*24*3600)</f>
        <v>17397.992995296961</v>
      </c>
      <c r="AB15" s="2">
        <f>([412]L!AD15*'D(Ti_Audétat23) Times'!$F15*0.000001)^2/(4*'D(Ti_Audétat23) Times'!$C15)/(365.35*24*3600)</f>
        <v>79875.387994984732</v>
      </c>
      <c r="AC15" s="2">
        <f t="shared" si="1"/>
        <v>26446.778994594948</v>
      </c>
      <c r="AD15" s="2">
        <f t="shared" si="2"/>
        <v>36030.616005092823</v>
      </c>
    </row>
    <row r="16" spans="1:30" x14ac:dyDescent="0.2">
      <c r="A16" t="str">
        <f>[412]L!A16</f>
        <v>CGI001-qtz04-CL-fit-3-offset</v>
      </c>
      <c r="B16">
        <v>750</v>
      </c>
      <c r="C16">
        <f t="shared" si="3"/>
        <v>1.1456341375347871E-23</v>
      </c>
      <c r="D16">
        <v>2050</v>
      </c>
      <c r="E16">
        <v>1024</v>
      </c>
      <c r="F16">
        <f t="shared" si="0"/>
        <v>2.001953125</v>
      </c>
      <c r="I16" s="2">
        <f>([412]L!J16*'D(Ti_Audétat23) Times'!$F16*0.000001)^2/(4*'D(Ti_Audétat23) Times'!$C16)/(365.35*24*3600)</f>
        <v>43569.811907056996</v>
      </c>
      <c r="J16" s="2">
        <f>([412]L!K16*'D(Ti_Audétat23) Times'!$F16*0.000001)^2/(4*'D(Ti_Audétat23) Times'!$C16)/(365.35*24*3600)</f>
        <v>56155.419715231124</v>
      </c>
      <c r="K16" s="2">
        <f>([412]L!L16*'D(Ti_Audétat23) Times'!$F16*0.000001)^2/(4*'D(Ti_Audétat23) Times'!$C16)/(365.35*24*3600)</f>
        <v>57949.264565631718</v>
      </c>
      <c r="L16" s="2">
        <f>([412]L!M16*'D(Ti_Audétat23) Times'!$F16*0.000001)^2/(4*'D(Ti_Audétat23) Times'!$C16)/(365.35*24*3600)</f>
        <v>72233.099266042642</v>
      </c>
      <c r="M16" s="2">
        <f>([412]L!N16*'D(Ti_Audétat23) Times'!$F16*0.000001)^2/(4*'D(Ti_Audétat23) Times'!$C16)/(365.35*24*3600)</f>
        <v>64121.63013957331</v>
      </c>
      <c r="N16" s="2">
        <f>([412]L!O16*'D(Ti_Audétat23) Times'!$F16*0.000001)^2/(4*'D(Ti_Audétat23) Times'!$C16)/(365.35*24*3600)</f>
        <v>35250.790370541552</v>
      </c>
      <c r="O16" s="2">
        <f>([412]L!P16*'D(Ti_Audétat23) Times'!$F16*0.000001)^2/(4*'D(Ti_Audétat23) Times'!$C16)/(365.35*24*3600)</f>
        <v>38251.770503038781</v>
      </c>
      <c r="P16" s="2">
        <f>([412]L!Q16*'D(Ti_Audétat23) Times'!$F16*0.000001)^2/(4*'D(Ti_Audétat23) Times'!$C16)/(365.35*24*3600)</f>
        <v>42584.496154907341</v>
      </c>
      <c r="Q16" s="2">
        <f>([412]L!R16*'D(Ti_Audétat23) Times'!$F16*0.000001)^2/(4*'D(Ti_Audétat23) Times'!$C16)/(365.35*24*3600)</f>
        <v>49699.074165854312</v>
      </c>
      <c r="R16" s="2">
        <f>([412]L!S16*'D(Ti_Audétat23) Times'!$F16*0.000001)^2/(4*'D(Ti_Audétat23) Times'!$C16)/(365.35*24*3600)</f>
        <v>38274.063691425137</v>
      </c>
      <c r="S16" s="2">
        <f>([412]L!T16*'D(Ti_Audétat23) Times'!$F16*0.000001)^2/(4*'D(Ti_Audétat23) Times'!$C16)/(365.35*24*3600)</f>
        <v>39464.052031009953</v>
      </c>
      <c r="T16" s="2"/>
      <c r="U16" s="2">
        <f>([412]L!V16*'D(Ti_Audétat23) Times'!$F16*0.000001)^2/(4*'D(Ti_Audétat23) Times'!$C16)/(365.35*24*3600)</f>
        <v>48376.828493723908</v>
      </c>
      <c r="V16" s="2">
        <f>([412]L!W16*'D(Ti_Audétat23) Times'!$F16*0.000001)^2/(4*'D(Ti_Audétat23) Times'!$C16)/(365.35*24*3600)</f>
        <v>48213.583883304949</v>
      </c>
      <c r="W16" s="2">
        <f>([412]L!X16*'D(Ti_Audétat23) Times'!$F16*0.000001)^2/(4*'D(Ti_Audétat23) Times'!$C16)/(365.35*24*3600)</f>
        <v>43569.811907056996</v>
      </c>
      <c r="X16" s="2"/>
      <c r="Y16" s="2">
        <f>([412]L!Z16*'D(Ti_Audétat23) Times'!$F16*0.000001)^2/(4*'D(Ti_Audétat23) Times'!$C16)/(365.35*24*3600)</f>
        <v>47847.112733450682</v>
      </c>
      <c r="Z16" s="2">
        <f>([412]L!AB16*'D(Ti_Audétat23) Times'!$F16*0.000001)^2/(4*'D(Ti_Audétat23) Times'!$C16)/(365.35*24*3600)</f>
        <v>48007.705837274392</v>
      </c>
      <c r="AA16" s="2">
        <f>([412]L!AC16*'D(Ti_Audétat23) Times'!$F16*0.000001)^2/(4*'D(Ti_Audétat23) Times'!$C16)/(365.35*24*3600)</f>
        <v>31539.181188854665</v>
      </c>
      <c r="AB16" s="2">
        <f>([412]L!AD16*'D(Ti_Audétat23) Times'!$F16*0.000001)^2/(4*'D(Ti_Audétat23) Times'!$C16)/(365.35*24*3600)</f>
        <v>65924.235833658444</v>
      </c>
      <c r="AC16" s="2">
        <f t="shared" si="1"/>
        <v>16468.524648419727</v>
      </c>
      <c r="AD16" s="2">
        <f t="shared" si="2"/>
        <v>17916.529996384052</v>
      </c>
    </row>
    <row r="17" spans="1:30" x14ac:dyDescent="0.2">
      <c r="A17" t="str">
        <f>[412]L!A17</f>
        <v>CGI001-qtz04-CL-fit-4-offset</v>
      </c>
      <c r="B17">
        <v>750</v>
      </c>
      <c r="C17">
        <f t="shared" si="3"/>
        <v>1.1456341375347871E-23</v>
      </c>
      <c r="D17">
        <v>2050</v>
      </c>
      <c r="E17">
        <v>1024</v>
      </c>
      <c r="F17">
        <f t="shared" si="0"/>
        <v>2.001953125</v>
      </c>
      <c r="I17" s="2">
        <f>([412]L!J17*'D(Ti_Audétat23) Times'!$F17*0.000001)^2/(4*'D(Ti_Audétat23) Times'!$C17)/(365.35*24*3600)</f>
        <v>262.77973256285861</v>
      </c>
      <c r="J17" s="2">
        <f>([412]L!K17*'D(Ti_Audétat23) Times'!$F17*0.000001)^2/(4*'D(Ti_Audétat23) Times'!$C17)/(365.35*24*3600)</f>
        <v>1490.6640828895172</v>
      </c>
      <c r="K17" s="2">
        <f>([412]L!L17*'D(Ti_Audétat23) Times'!$F17*0.000001)^2/(4*'D(Ti_Audétat23) Times'!$C17)/(365.35*24*3600)</f>
        <v>265.45955691980839</v>
      </c>
      <c r="L17" s="2">
        <f>([412]L!M17*'D(Ti_Audétat23) Times'!$F17*0.000001)^2/(4*'D(Ti_Audétat23) Times'!$C17)/(365.35*24*3600)</f>
        <v>253.34020455007692</v>
      </c>
      <c r="M17" s="2">
        <f>([412]L!N17*'D(Ti_Audétat23) Times'!$F17*0.000001)^2/(4*'D(Ti_Audétat23) Times'!$C17)/(365.35*24*3600)</f>
        <v>39.553580289151419</v>
      </c>
      <c r="N17" s="2">
        <f>([412]L!O17*'D(Ti_Audétat23) Times'!$F17*0.000001)^2/(4*'D(Ti_Audétat23) Times'!$C17)/(365.35*24*3600)</f>
        <v>90.467801554917671</v>
      </c>
      <c r="O17" s="2">
        <f>([412]L!P17*'D(Ti_Audétat23) Times'!$F17*0.000001)^2/(4*'D(Ti_Audétat23) Times'!$C17)/(365.35*24*3600)</f>
        <v>174.37871997220998</v>
      </c>
      <c r="P17" s="2">
        <f>([412]L!Q17*'D(Ti_Audétat23) Times'!$F17*0.000001)^2/(4*'D(Ti_Audétat23) Times'!$C17)/(365.35*24*3600)</f>
        <v>1086.3992370794253</v>
      </c>
      <c r="Q17" s="2">
        <f>([412]L!R17*'D(Ti_Audétat23) Times'!$F17*0.000001)^2/(4*'D(Ti_Audétat23) Times'!$C17)/(365.35*24*3600)</f>
        <v>91.529698222393975</v>
      </c>
      <c r="R17" s="2">
        <f>([412]L!S17*'D(Ti_Audétat23) Times'!$F17*0.000001)^2/(4*'D(Ti_Audétat23) Times'!$C17)/(365.35*24*3600)</f>
        <v>7.7063767092317734</v>
      </c>
      <c r="S17" s="2">
        <f>([412]L!T17*'D(Ti_Audétat23) Times'!$F17*0.000001)^2/(4*'D(Ti_Audétat23) Times'!$C17)/(365.35*24*3600)</f>
        <v>20.360068353913761</v>
      </c>
      <c r="T17" s="2"/>
      <c r="U17" s="2">
        <f>([412]L!V17*'D(Ti_Audétat23) Times'!$F17*0.000001)^2/(4*'D(Ti_Audétat23) Times'!$C17)/(365.35*24*3600)</f>
        <v>275.1894316769027</v>
      </c>
      <c r="V17" s="2">
        <f>([412]L!W17*'D(Ti_Audétat23) Times'!$F17*0.000001)^2/(4*'D(Ti_Audétat23) Times'!$C17)/(365.35*24*3600)</f>
        <v>227.3269071786481</v>
      </c>
      <c r="W17" s="2">
        <f>([412]L!X17*'D(Ti_Audétat23) Times'!$F17*0.000001)^2/(4*'D(Ti_Audétat23) Times'!$C17)/(365.35*24*3600)</f>
        <v>174.37871997220998</v>
      </c>
      <c r="X17" s="2"/>
      <c r="Y17" s="2">
        <f>([412]L!Z17*'D(Ti_Audétat23) Times'!$F17*0.000001)^2/(4*'D(Ti_Audétat23) Times'!$C17)/(365.35*24*3600)</f>
        <v>214.44414352980993</v>
      </c>
      <c r="Z17" s="2">
        <f>([412]L!AB17*'D(Ti_Audétat23) Times'!$F17*0.000001)^2/(4*'D(Ti_Audétat23) Times'!$C17)/(365.35*24*3600)</f>
        <v>240.42332888792211</v>
      </c>
      <c r="AA17" s="2">
        <f>([412]L!AC17*'D(Ti_Audétat23) Times'!$F17*0.000001)^2/(4*'D(Ti_Audétat23) Times'!$C17)/(365.35*24*3600)</f>
        <v>1.8498679246966203</v>
      </c>
      <c r="AB17" s="2">
        <f>([412]L!AD17*'D(Ti_Audétat23) Times'!$F17*0.000001)^2/(4*'D(Ti_Audétat23) Times'!$C17)/(365.35*24*3600)</f>
        <v>2192.886351668812</v>
      </c>
      <c r="AC17" s="2">
        <f t="shared" si="1"/>
        <v>238.5734609632255</v>
      </c>
      <c r="AD17" s="2">
        <f t="shared" si="2"/>
        <v>1952.46302278089</v>
      </c>
    </row>
    <row r="18" spans="1:30" x14ac:dyDescent="0.2">
      <c r="A18" t="str">
        <f>[412]L!A18</f>
        <v>CGI001-qtz05-CL-fit-1-offset</v>
      </c>
      <c r="B18">
        <v>750</v>
      </c>
      <c r="C18">
        <f t="shared" si="3"/>
        <v>1.1456341375347871E-23</v>
      </c>
      <c r="D18">
        <v>1800</v>
      </c>
      <c r="E18">
        <v>1024</v>
      </c>
      <c r="F18">
        <f t="shared" si="0"/>
        <v>1.7578125</v>
      </c>
      <c r="I18" s="2">
        <f>([412]L!J18*'D(Ti_Audétat23) Times'!$F18*0.000001)^2/(4*'D(Ti_Audétat23) Times'!$C18)/(365.35*24*3600)</f>
        <v>442900.82641190605</v>
      </c>
      <c r="J18" s="2">
        <f>([412]L!K18*'D(Ti_Audétat23) Times'!$F18*0.000001)^2/(4*'D(Ti_Audétat23) Times'!$C18)/(365.35*24*3600)</f>
        <v>266533.83100648184</v>
      </c>
      <c r="K18" s="2">
        <f>([412]L!L18*'D(Ti_Audétat23) Times'!$F18*0.000001)^2/(4*'D(Ti_Audétat23) Times'!$C18)/(365.35*24*3600)</f>
        <v>242221.58052311852</v>
      </c>
      <c r="L18" s="2">
        <f>([412]L!M18*'D(Ti_Audétat23) Times'!$F18*0.000001)^2/(4*'D(Ti_Audétat23) Times'!$C18)/(365.35*24*3600)</f>
        <v>214790.90667981244</v>
      </c>
      <c r="M18" s="2">
        <f>([412]L!N18*'D(Ti_Audétat23) Times'!$F18*0.000001)^2/(4*'D(Ti_Audétat23) Times'!$C18)/(365.35*24*3600)</f>
        <v>25373.408149109142</v>
      </c>
      <c r="N18" s="2">
        <f>([412]L!O18*'D(Ti_Audétat23) Times'!$F18*0.000001)^2/(4*'D(Ti_Audétat23) Times'!$C18)/(365.35*24*3600)</f>
        <v>408910.24773015961</v>
      </c>
      <c r="O18" s="2">
        <f>([412]L!P18*'D(Ti_Audétat23) Times'!$F18*0.000001)^2/(4*'D(Ti_Audétat23) Times'!$C18)/(365.35*24*3600)</f>
        <v>148697.53259956607</v>
      </c>
      <c r="P18" s="2">
        <f>([412]L!Q18*'D(Ti_Audétat23) Times'!$F18*0.000001)^2/(4*'D(Ti_Audétat23) Times'!$C18)/(365.35*24*3600)</f>
        <v>373742.82041987526</v>
      </c>
      <c r="Q18" s="2">
        <f>([412]L!R18*'D(Ti_Audétat23) Times'!$F18*0.000001)^2/(4*'D(Ti_Audétat23) Times'!$C18)/(365.35*24*3600)</f>
        <v>543792.08687509049</v>
      </c>
      <c r="R18" s="2">
        <f>([412]L!S18*'D(Ti_Audétat23) Times'!$F18*0.000001)^2/(4*'D(Ti_Audétat23) Times'!$C18)/(365.35*24*3600)</f>
        <v>745371.89406492072</v>
      </c>
      <c r="S18" s="2">
        <f>([412]L!T18*'D(Ti_Audétat23) Times'!$F18*0.000001)^2/(4*'D(Ti_Audétat23) Times'!$C18)/(365.35*24*3600)</f>
        <v>613283.9735348993</v>
      </c>
      <c r="T18" s="2"/>
      <c r="U18" s="2">
        <f>([412]L!V18*'D(Ti_Audétat23) Times'!$F18*0.000001)^2/(4*'D(Ti_Audétat23) Times'!$C18)/(365.35*24*3600)</f>
        <v>322786.85477752623</v>
      </c>
      <c r="V18" s="2">
        <f>([412]L!W18*'D(Ti_Audétat23) Times'!$F18*0.000001)^2/(4*'D(Ti_Audétat23) Times'!$C18)/(365.35*24*3600)</f>
        <v>329789.00259697117</v>
      </c>
      <c r="W18" s="2">
        <f>([412]L!X18*'D(Ti_Audétat23) Times'!$F18*0.000001)^2/(4*'D(Ti_Audétat23) Times'!$C18)/(365.35*24*3600)</f>
        <v>373742.82041987526</v>
      </c>
      <c r="X18" s="2"/>
      <c r="Y18" s="2">
        <f>([412]L!Z18*'D(Ti_Audétat23) Times'!$F18*0.000001)^2/(4*'D(Ti_Audétat23) Times'!$C18)/(365.35*24*3600)</f>
        <v>321314.54469488596</v>
      </c>
      <c r="Z18" s="2">
        <f>([412]L!AB18*'D(Ti_Audétat23) Times'!$F18*0.000001)^2/(4*'D(Ti_Audétat23) Times'!$C18)/(365.35*24*3600)</f>
        <v>336114.48465426633</v>
      </c>
      <c r="AA18" s="2">
        <f>([412]L!AC18*'D(Ti_Audétat23) Times'!$F18*0.000001)^2/(4*'D(Ti_Audétat23) Times'!$C18)/(365.35*24*3600)</f>
        <v>49267.342819262049</v>
      </c>
      <c r="AB18" s="2">
        <f>([412]L!AD18*'D(Ti_Audétat23) Times'!$F18*0.000001)^2/(4*'D(Ti_Audétat23) Times'!$C18)/(365.35*24*3600)</f>
        <v>849521.02291084465</v>
      </c>
      <c r="AC18" s="2">
        <f t="shared" si="1"/>
        <v>286847.14183500427</v>
      </c>
      <c r="AD18" s="2">
        <f t="shared" si="2"/>
        <v>513406.53825657832</v>
      </c>
    </row>
    <row r="19" spans="1:30" x14ac:dyDescent="0.2">
      <c r="A19" t="str">
        <f>[412]L!A19</f>
        <v>CGI001-qtz05-CL-fit-2-offset</v>
      </c>
      <c r="B19">
        <v>750</v>
      </c>
      <c r="C19">
        <f t="shared" si="3"/>
        <v>1.1456341375347871E-23</v>
      </c>
      <c r="D19">
        <v>1800</v>
      </c>
      <c r="E19">
        <v>1024</v>
      </c>
      <c r="F19">
        <f t="shared" si="0"/>
        <v>1.7578125</v>
      </c>
      <c r="I19" s="2">
        <f>([412]L!J19*'D(Ti_Audétat23) Times'!$F19*0.000001)^2/(4*'D(Ti_Audétat23) Times'!$C19)/(365.35*24*3600)</f>
        <v>42965.224175298041</v>
      </c>
      <c r="J19" s="2">
        <f>([412]L!K19*'D(Ti_Audétat23) Times'!$F19*0.000001)^2/(4*'D(Ti_Audétat23) Times'!$C19)/(365.35*24*3600)</f>
        <v>84429.858749700885</v>
      </c>
      <c r="K19" s="2">
        <f>([412]L!L19*'D(Ti_Audétat23) Times'!$F19*0.000001)^2/(4*'D(Ti_Audétat23) Times'!$C19)/(365.35*24*3600)</f>
        <v>42906.677827280051</v>
      </c>
      <c r="L19" s="2">
        <f>([412]L!M19*'D(Ti_Audétat23) Times'!$F19*0.000001)^2/(4*'D(Ti_Audétat23) Times'!$C19)/(365.35*24*3600)</f>
        <v>33099.397460587061</v>
      </c>
      <c r="M19" s="2">
        <f>([412]L!N19*'D(Ti_Audétat23) Times'!$F19*0.000001)^2/(4*'D(Ti_Audétat23) Times'!$C19)/(365.35*24*3600)</f>
        <v>37134.624767408386</v>
      </c>
      <c r="N19" s="2">
        <f>([412]L!O19*'D(Ti_Audétat23) Times'!$F19*0.000001)^2/(4*'D(Ti_Audétat23) Times'!$C19)/(365.35*24*3600)</f>
        <v>94926.723668488048</v>
      </c>
      <c r="O19" s="2">
        <f>([412]L!P19*'D(Ti_Audétat23) Times'!$F19*0.000001)^2/(4*'D(Ti_Audétat23) Times'!$C19)/(365.35*24*3600)</f>
        <v>50699.136466326207</v>
      </c>
      <c r="P19" s="2">
        <f>([412]L!Q19*'D(Ti_Audétat23) Times'!$F19*0.000001)^2/(4*'D(Ti_Audétat23) Times'!$C19)/(365.35*24*3600)</f>
        <v>44841.099448675472</v>
      </c>
      <c r="Q19" s="2">
        <f>([412]L!R19*'D(Ti_Audétat23) Times'!$F19*0.000001)^2/(4*'D(Ti_Audétat23) Times'!$C19)/(365.35*24*3600)</f>
        <v>43236.942655967192</v>
      </c>
      <c r="R19" s="2">
        <f>([412]L!S19*'D(Ti_Audétat23) Times'!$F19*0.000001)^2/(4*'D(Ti_Audétat23) Times'!$C19)/(365.35*24*3600)</f>
        <v>50467.637008360631</v>
      </c>
      <c r="S19" s="2">
        <f>([412]L!T19*'D(Ti_Audétat23) Times'!$F19*0.000001)^2/(4*'D(Ti_Audétat23) Times'!$C19)/(365.35*24*3600)</f>
        <v>45418.160364577256</v>
      </c>
      <c r="T19" s="2"/>
      <c r="U19" s="2">
        <f>([412]L!V19*'D(Ti_Audétat23) Times'!$F19*0.000001)^2/(4*'D(Ti_Audétat23) Times'!$C19)/(365.35*24*3600)</f>
        <v>48934.922639718854</v>
      </c>
      <c r="V19" s="2">
        <f>([412]L!W19*'D(Ti_Audétat23) Times'!$F19*0.000001)^2/(4*'D(Ti_Audétat23) Times'!$C19)/(365.35*24*3600)</f>
        <v>50434.863952293636</v>
      </c>
      <c r="W19" s="2">
        <f>([412]L!X19*'D(Ti_Audétat23) Times'!$F19*0.000001)^2/(4*'D(Ti_Audétat23) Times'!$C19)/(365.35*24*3600)</f>
        <v>44841.099448675472</v>
      </c>
      <c r="X19" s="2"/>
      <c r="Y19" s="2">
        <f>([412]L!Z19*'D(Ti_Audétat23) Times'!$F19*0.000001)^2/(4*'D(Ti_Audétat23) Times'!$C19)/(365.35*24*3600)</f>
        <v>46543.152401871906</v>
      </c>
      <c r="Z19" s="2">
        <f>([412]L!AB19*'D(Ti_Audétat23) Times'!$F19*0.000001)^2/(4*'D(Ti_Audétat23) Times'!$C19)/(365.35*24*3600)</f>
        <v>48171.911317735423</v>
      </c>
      <c r="AA19" s="2">
        <f>([412]L!AC19*'D(Ti_Audétat23) Times'!$F19*0.000001)^2/(4*'D(Ti_Audétat23) Times'!$C19)/(365.35*24*3600)</f>
        <v>22195.190161720398</v>
      </c>
      <c r="AB19" s="2">
        <f>([412]L!AD19*'D(Ti_Audétat23) Times'!$F19*0.000001)^2/(4*'D(Ti_Audétat23) Times'!$C19)/(365.35*24*3600)</f>
        <v>91407.703612995727</v>
      </c>
      <c r="AC19" s="2">
        <f t="shared" si="1"/>
        <v>25976.721156015024</v>
      </c>
      <c r="AD19" s="2">
        <f t="shared" si="2"/>
        <v>43235.792295260304</v>
      </c>
    </row>
    <row r="20" spans="1:30" x14ac:dyDescent="0.2">
      <c r="A20" t="str">
        <f>[412]L!A20</f>
        <v>CGI001-qtz05-CL-fit-3-offset</v>
      </c>
      <c r="B20">
        <v>750</v>
      </c>
      <c r="C20">
        <f t="shared" si="3"/>
        <v>1.1456341375347871E-23</v>
      </c>
      <c r="D20">
        <v>1800</v>
      </c>
      <c r="E20">
        <v>1024</v>
      </c>
      <c r="F20">
        <f t="shared" si="0"/>
        <v>1.7578125</v>
      </c>
      <c r="I20" s="2">
        <f>([412]L!J20*'D(Ti_Audétat23) Times'!$F20*0.000001)^2/(4*'D(Ti_Audétat23) Times'!$C20)/(365.35*24*3600)</f>
        <v>10848.769963373274</v>
      </c>
      <c r="J20" s="2">
        <f>([412]L!K20*'D(Ti_Audétat23) Times'!$F20*0.000001)^2/(4*'D(Ti_Audétat23) Times'!$C20)/(365.35*24*3600)</f>
        <v>16996.816137492766</v>
      </c>
      <c r="K20" s="2">
        <f>([412]L!L20*'D(Ti_Audétat23) Times'!$F20*0.000001)^2/(4*'D(Ti_Audétat23) Times'!$C20)/(365.35*24*3600)</f>
        <v>28973.070718391275</v>
      </c>
      <c r="L20" s="2">
        <f>([412]L!M20*'D(Ti_Audétat23) Times'!$F20*0.000001)^2/(4*'D(Ti_Audétat23) Times'!$C20)/(365.35*24*3600)</f>
        <v>11709.958287919213</v>
      </c>
      <c r="M20" s="2">
        <f>([412]L!N20*'D(Ti_Audétat23) Times'!$F20*0.000001)^2/(4*'D(Ti_Audétat23) Times'!$C20)/(365.35*24*3600)</f>
        <v>30403.403101594446</v>
      </c>
      <c r="N20" s="2">
        <f>([412]L!O20*'D(Ti_Audétat23) Times'!$F20*0.000001)^2/(4*'D(Ti_Audétat23) Times'!$C20)/(365.35*24*3600)</f>
        <v>33175.027280931448</v>
      </c>
      <c r="O20" s="2">
        <f>([412]L!P20*'D(Ti_Audétat23) Times'!$F20*0.000001)^2/(4*'D(Ti_Audétat23) Times'!$C20)/(365.35*24*3600)</f>
        <v>56302.381313046884</v>
      </c>
      <c r="P20" s="2">
        <f>([412]L!Q20*'D(Ti_Audétat23) Times'!$F20*0.000001)^2/(4*'D(Ti_Audétat23) Times'!$C20)/(365.35*24*3600)</f>
        <v>25395.199768374299</v>
      </c>
      <c r="Q20" s="2">
        <f>([412]L!R20*'D(Ti_Audétat23) Times'!$F20*0.000001)^2/(4*'D(Ti_Audétat23) Times'!$C20)/(365.35*24*3600)</f>
        <v>51607.337178804984</v>
      </c>
      <c r="R20" s="2">
        <f>([412]L!S20*'D(Ti_Audétat23) Times'!$F20*0.000001)^2/(4*'D(Ti_Audétat23) Times'!$C20)/(365.35*24*3600)</f>
        <v>24710.50476174608</v>
      </c>
      <c r="S20" s="2">
        <f>([412]L!T20*'D(Ti_Audétat23) Times'!$F20*0.000001)^2/(4*'D(Ti_Audétat23) Times'!$C20)/(365.35*24*3600)</f>
        <v>9346.8588926108823</v>
      </c>
      <c r="T20" s="2"/>
      <c r="U20" s="2">
        <f>([412]L!V20*'D(Ti_Audétat23) Times'!$F20*0.000001)^2/(4*'D(Ti_Audétat23) Times'!$C20)/(365.35*24*3600)</f>
        <v>23704.6439111285</v>
      </c>
      <c r="V20" s="2">
        <f>([412]L!W20*'D(Ti_Audétat23) Times'!$F20*0.000001)^2/(4*'D(Ti_Audétat23) Times'!$C20)/(365.35*24*3600)</f>
        <v>25227.540292175796</v>
      </c>
      <c r="W20" s="2">
        <f>([412]L!X20*'D(Ti_Audétat23) Times'!$F20*0.000001)^2/(4*'D(Ti_Audétat23) Times'!$C20)/(365.35*24*3600)</f>
        <v>25395.199768374299</v>
      </c>
      <c r="X20" s="2"/>
      <c r="Y20" s="2">
        <f>([412]L!Z20*'D(Ti_Audétat23) Times'!$F20*0.000001)^2/(4*'D(Ti_Audétat23) Times'!$C20)/(365.35*24*3600)</f>
        <v>19944.387574107197</v>
      </c>
      <c r="Z20" s="2">
        <f>([412]L!AB20*'D(Ti_Audétat23) Times'!$F20*0.000001)^2/(4*'D(Ti_Audétat23) Times'!$C20)/(365.35*24*3600)</f>
        <v>19503.74133262879</v>
      </c>
      <c r="AA20" s="2">
        <f>([412]L!AC20*'D(Ti_Audétat23) Times'!$F20*0.000001)^2/(4*'D(Ti_Audétat23) Times'!$C20)/(365.35*24*3600)</f>
        <v>295.00518719573557</v>
      </c>
      <c r="AB20" s="2">
        <f>([412]L!AD20*'D(Ti_Audétat23) Times'!$F20*0.000001)^2/(4*'D(Ti_Audétat23) Times'!$C20)/(365.35*24*3600)</f>
        <v>78044.076939381106</v>
      </c>
      <c r="AC20" s="2">
        <f t="shared" si="1"/>
        <v>19208.736145433053</v>
      </c>
      <c r="AD20" s="2">
        <f t="shared" si="2"/>
        <v>58540.335606752313</v>
      </c>
    </row>
    <row r="21" spans="1:30" x14ac:dyDescent="0.2">
      <c r="A21" t="str">
        <f>[412]L!A21</f>
        <v>CGI001-qtz05-CL-fit-4-offset</v>
      </c>
      <c r="B21">
        <v>750</v>
      </c>
      <c r="C21">
        <f t="shared" si="3"/>
        <v>1.1456341375347871E-23</v>
      </c>
      <c r="D21">
        <v>1800</v>
      </c>
      <c r="E21">
        <v>1024</v>
      </c>
      <c r="F21">
        <f t="shared" si="0"/>
        <v>1.7578125</v>
      </c>
      <c r="I21" s="2">
        <f>([412]L!J21*'D(Ti_Audétat23) Times'!$F21*0.000001)^2/(4*'D(Ti_Audétat23) Times'!$C21)/(365.35*24*3600)</f>
        <v>8.5443410817346147E-2</v>
      </c>
      <c r="J21" s="2">
        <f>([412]L!K21*'D(Ti_Audétat23) Times'!$F21*0.000001)^2/(4*'D(Ti_Audétat23) Times'!$C21)/(365.35*24*3600)</f>
        <v>8.0451853973730945</v>
      </c>
      <c r="K21" s="2">
        <f>([412]L!L21*'D(Ti_Audétat23) Times'!$F21*0.000001)^2/(4*'D(Ti_Audétat23) Times'!$C21)/(365.35*24*3600)</f>
        <v>90.353076358201804</v>
      </c>
      <c r="L21" s="2">
        <f>([412]L!M21*'D(Ti_Audétat23) Times'!$F21*0.000001)^2/(4*'D(Ti_Audétat23) Times'!$C21)/(365.35*24*3600)</f>
        <v>566.12872190063274</v>
      </c>
      <c r="M21" s="2">
        <f>([412]L!N21*'D(Ti_Audétat23) Times'!$F21*0.000001)^2/(4*'D(Ti_Audétat23) Times'!$C21)/(365.35*24*3600)</f>
        <v>4.1331883074555034</v>
      </c>
      <c r="N21" s="2">
        <f>([412]L!O21*'D(Ti_Audétat23) Times'!$F21*0.000001)^2/(4*'D(Ti_Audétat23) Times'!$C21)/(365.35*24*3600)</f>
        <v>513.86608337714154</v>
      </c>
      <c r="O21" s="2">
        <f>([412]L!P21*'D(Ti_Audétat23) Times'!$F21*0.000001)^2/(4*'D(Ti_Audétat23) Times'!$C21)/(365.35*24*3600)</f>
        <v>124.78959827507556</v>
      </c>
      <c r="P21" s="2">
        <f>([412]L!Q21*'D(Ti_Audétat23) Times'!$F21*0.000001)^2/(4*'D(Ti_Audétat23) Times'!$C21)/(365.35*24*3600)</f>
        <v>9.4080601103919567E-2</v>
      </c>
      <c r="Q21" s="2">
        <f>([412]L!R21*'D(Ti_Audétat23) Times'!$F21*0.000001)^2/(4*'D(Ti_Audétat23) Times'!$C21)/(365.35*24*3600)</f>
        <v>107.202147597457</v>
      </c>
      <c r="R21" s="2">
        <f>([412]L!S21*'D(Ti_Audétat23) Times'!$F21*0.000001)^2/(4*'D(Ti_Audétat23) Times'!$C21)/(365.35*24*3600)</f>
        <v>1.1821979185594889</v>
      </c>
      <c r="S21" s="2">
        <f>([412]L!T21*'D(Ti_Audétat23) Times'!$F21*0.000001)^2/(4*'D(Ti_Audétat23) Times'!$C21)/(365.35*24*3600)</f>
        <v>99.668168149265796</v>
      </c>
      <c r="T21" s="2"/>
      <c r="U21" s="2">
        <f>([412]L!V21*'D(Ti_Audétat23) Times'!$F21*0.000001)^2/(4*'D(Ti_Audétat23) Times'!$C21)/(365.35*24*3600)</f>
        <v>86.274509114340873</v>
      </c>
      <c r="V21" s="2">
        <f>([412]L!W21*'D(Ti_Audétat23) Times'!$F21*0.000001)^2/(4*'D(Ti_Audétat23) Times'!$C21)/(365.35*24*3600)</f>
        <v>73.07361271264358</v>
      </c>
      <c r="W21" s="2">
        <f>([412]L!X21*'D(Ti_Audétat23) Times'!$F21*0.000001)^2/(4*'D(Ti_Audétat23) Times'!$C21)/(365.35*24*3600)</f>
        <v>90.353076358201804</v>
      </c>
      <c r="X21" s="2"/>
      <c r="Y21" s="2">
        <f>([412]L!Z21*'D(Ti_Audétat23) Times'!$F21*0.000001)^2/(4*'D(Ti_Audétat23) Times'!$C21)/(365.35*24*3600)</f>
        <v>103.01143492184551</v>
      </c>
      <c r="Z21" s="2">
        <f>([412]L!AB21*'D(Ti_Audétat23) Times'!$F21*0.000001)^2/(4*'D(Ti_Audétat23) Times'!$C21)/(365.35*24*3600)</f>
        <v>148.24004982851966</v>
      </c>
      <c r="AA21" s="2">
        <f>([412]L!AC21*'D(Ti_Audétat23) Times'!$F21*0.000001)^2/(4*'D(Ti_Audétat23) Times'!$C21)/(365.35*24*3600)</f>
        <v>0.44667116059121614</v>
      </c>
      <c r="AB21" s="2">
        <f>([412]L!AD21*'D(Ti_Audétat23) Times'!$F21*0.000001)^2/(4*'D(Ti_Audétat23) Times'!$C21)/(365.35*24*3600)</f>
        <v>1052.1607576957711</v>
      </c>
      <c r="AC21" s="2">
        <f t="shared" si="1"/>
        <v>147.79337866792844</v>
      </c>
      <c r="AD21" s="2">
        <f t="shared" si="2"/>
        <v>903.92070786725139</v>
      </c>
    </row>
    <row r="22" spans="1:30" x14ac:dyDescent="0.2">
      <c r="A22" t="str">
        <f>[412]L!A22</f>
        <v>CGI001-qtz06-CL-fit-1-offset</v>
      </c>
      <c r="B22">
        <v>750</v>
      </c>
      <c r="C22">
        <f t="shared" si="3"/>
        <v>1.1456341375347871E-23</v>
      </c>
      <c r="D22">
        <v>1500</v>
      </c>
      <c r="E22">
        <v>1024</v>
      </c>
      <c r="F22">
        <f t="shared" si="0"/>
        <v>1.46484375</v>
      </c>
      <c r="I22" s="2">
        <f>([412]L!J22*'D(Ti_Audétat23) Times'!$F22*0.000001)^2/(4*'D(Ti_Audétat23) Times'!$C22)/(365.35*24*3600)</f>
        <v>253543.77274356491</v>
      </c>
      <c r="J22" s="2">
        <f>([412]L!K22*'D(Ti_Audétat23) Times'!$F22*0.000001)^2/(4*'D(Ti_Audétat23) Times'!$C22)/(365.35*24*3600)</f>
        <v>186683.96720321811</v>
      </c>
      <c r="K22" s="2">
        <f>([412]L!L22*'D(Ti_Audétat23) Times'!$F22*0.000001)^2/(4*'D(Ti_Audétat23) Times'!$C22)/(365.35*24*3600)</f>
        <v>216080.40034669015</v>
      </c>
      <c r="L22" s="2">
        <f>([412]L!M22*'D(Ti_Audétat23) Times'!$F22*0.000001)^2/(4*'D(Ti_Audétat23) Times'!$C22)/(365.35*24*3600)</f>
        <v>233992.04760883396</v>
      </c>
      <c r="M22" s="2">
        <f>([412]L!N22*'D(Ti_Audétat23) Times'!$F22*0.000001)^2/(4*'D(Ti_Audétat23) Times'!$C22)/(365.35*24*3600)</f>
        <v>197144.81144800858</v>
      </c>
      <c r="N22" s="2">
        <f>([412]L!O22*'D(Ti_Audétat23) Times'!$F22*0.000001)^2/(4*'D(Ti_Audétat23) Times'!$C22)/(365.35*24*3600)</f>
        <v>225500.42199169536</v>
      </c>
      <c r="O22" s="2">
        <f>([412]L!P22*'D(Ti_Audétat23) Times'!$F22*0.000001)^2/(4*'D(Ti_Audétat23) Times'!$C22)/(365.35*24*3600)</f>
        <v>259240.37823461718</v>
      </c>
      <c r="P22" s="2">
        <f>([412]L!Q22*'D(Ti_Audétat23) Times'!$F22*0.000001)^2/(4*'D(Ti_Audétat23) Times'!$C22)/(365.35*24*3600)</f>
        <v>178845.71668131062</v>
      </c>
      <c r="Q22" s="2">
        <f>([412]L!R22*'D(Ti_Audétat23) Times'!$F22*0.000001)^2/(4*'D(Ti_Audétat23) Times'!$C22)/(365.35*24*3600)</f>
        <v>221670.07900948834</v>
      </c>
      <c r="R22" s="2">
        <f>([412]L!S22*'D(Ti_Audétat23) Times'!$F22*0.000001)^2/(4*'D(Ti_Audétat23) Times'!$C22)/(365.35*24*3600)</f>
        <v>189972.4874158309</v>
      </c>
      <c r="S22" s="2">
        <f>([412]L!T22*'D(Ti_Audétat23) Times'!$F22*0.000001)^2/(4*'D(Ti_Audétat23) Times'!$C22)/(365.35*24*3600)</f>
        <v>179766.46032365077</v>
      </c>
      <c r="T22" s="2"/>
      <c r="U22" s="2">
        <f>([412]L!V22*'D(Ti_Audétat23) Times'!$F22*0.000001)^2/(4*'D(Ti_Audétat23) Times'!$C22)/(365.35*24*3600)</f>
        <v>210880.54407446424</v>
      </c>
      <c r="V22" s="2">
        <f>([412]L!W22*'D(Ti_Audétat23) Times'!$F22*0.000001)^2/(4*'D(Ti_Audétat23) Times'!$C22)/(365.35*24*3600)</f>
        <v>212083.26679359903</v>
      </c>
      <c r="W22" s="2">
        <f>([412]L!X22*'D(Ti_Audétat23) Times'!$F22*0.000001)^2/(4*'D(Ti_Audétat23) Times'!$C22)/(365.35*24*3600)</f>
        <v>216080.40034669015</v>
      </c>
      <c r="X22" s="2"/>
      <c r="Y22" s="2">
        <f>([412]L!Z22*'D(Ti_Audétat23) Times'!$F22*0.000001)^2/(4*'D(Ti_Audétat23) Times'!$C22)/(365.35*24*3600)</f>
        <v>207818.89940838201</v>
      </c>
      <c r="Z22" s="2">
        <f>([412]L!AB22*'D(Ti_Audétat23) Times'!$F22*0.000001)^2/(4*'D(Ti_Audétat23) Times'!$C22)/(365.35*24*3600)</f>
        <v>210744.58722500809</v>
      </c>
      <c r="AA22" s="2">
        <f>([412]L!AC22*'D(Ti_Audétat23) Times'!$F22*0.000001)^2/(4*'D(Ti_Audétat23) Times'!$C22)/(365.35*24*3600)</f>
        <v>160663.64869229117</v>
      </c>
      <c r="AB22" s="2">
        <f>([412]L!AD22*'D(Ti_Audétat23) Times'!$F22*0.000001)^2/(4*'D(Ti_Audétat23) Times'!$C22)/(365.35*24*3600)</f>
        <v>273749.95927219681</v>
      </c>
      <c r="AC22" s="2">
        <f t="shared" si="1"/>
        <v>50080.938532716915</v>
      </c>
      <c r="AD22" s="2">
        <f t="shared" si="2"/>
        <v>63005.372047188721</v>
      </c>
    </row>
    <row r="23" spans="1:30" x14ac:dyDescent="0.2">
      <c r="A23" t="str">
        <f>[412]L!A23</f>
        <v>CGI001-qtz06-CL-fit-2-offset</v>
      </c>
      <c r="B23">
        <v>750</v>
      </c>
      <c r="C23">
        <f t="shared" si="3"/>
        <v>1.1456341375347871E-23</v>
      </c>
      <c r="D23">
        <v>1500</v>
      </c>
      <c r="E23">
        <v>1024</v>
      </c>
      <c r="F23">
        <f t="shared" si="0"/>
        <v>1.46484375</v>
      </c>
      <c r="I23" s="2">
        <f>([412]L!J23*'D(Ti_Audétat23) Times'!$F23*0.000001)^2/(4*'D(Ti_Audétat23) Times'!$C23)/(365.35*24*3600)</f>
        <v>23539.011298379304</v>
      </c>
      <c r="J23" s="2">
        <f>([412]L!K23*'D(Ti_Audétat23) Times'!$F23*0.000001)^2/(4*'D(Ti_Audétat23) Times'!$C23)/(365.35*24*3600)</f>
        <v>13029.342757994656</v>
      </c>
      <c r="K23" s="2">
        <f>([412]L!L23*'D(Ti_Audétat23) Times'!$F23*0.000001)^2/(4*'D(Ti_Audétat23) Times'!$C23)/(365.35*24*3600)</f>
        <v>8017.0059800449017</v>
      </c>
      <c r="L23" s="2">
        <f>([412]L!M23*'D(Ti_Audétat23) Times'!$F23*0.000001)^2/(4*'D(Ti_Audétat23) Times'!$C23)/(365.35*24*3600)</f>
        <v>4264.708009140013</v>
      </c>
      <c r="M23" s="2">
        <f>([412]L!N23*'D(Ti_Audétat23) Times'!$F23*0.000001)^2/(4*'D(Ti_Audétat23) Times'!$C23)/(365.35*24*3600)</f>
        <v>22334.289878177937</v>
      </c>
      <c r="N23" s="2">
        <f>([412]L!O23*'D(Ti_Audétat23) Times'!$F23*0.000001)^2/(4*'D(Ti_Audétat23) Times'!$C23)/(365.35*24*3600)</f>
        <v>13456.829847985988</v>
      </c>
      <c r="O23" s="2">
        <f>([412]L!P23*'D(Ti_Audétat23) Times'!$F23*0.000001)^2/(4*'D(Ti_Audétat23) Times'!$C23)/(365.35*24*3600)</f>
        <v>18122.309918054911</v>
      </c>
      <c r="P23" s="2">
        <f>([412]L!Q23*'D(Ti_Audétat23) Times'!$F23*0.000001)^2/(4*'D(Ti_Audétat23) Times'!$C23)/(365.35*24*3600)</f>
        <v>17487.40453023474</v>
      </c>
      <c r="Q23" s="2">
        <f>([412]L!R23*'D(Ti_Audétat23) Times'!$F23*0.000001)^2/(4*'D(Ti_Audétat23) Times'!$C23)/(365.35*24*3600)</f>
        <v>6974.7730231578544</v>
      </c>
      <c r="R23" s="2">
        <f>([412]L!S23*'D(Ti_Audétat23) Times'!$F23*0.000001)^2/(4*'D(Ti_Audétat23) Times'!$C23)/(365.35*24*3600)</f>
        <v>15296.033036135041</v>
      </c>
      <c r="S23" s="2">
        <f>([412]L!T23*'D(Ti_Audétat23) Times'!$F23*0.000001)^2/(4*'D(Ti_Audétat23) Times'!$C23)/(365.35*24*3600)</f>
        <v>7526.0287901835773</v>
      </c>
      <c r="T23" s="2"/>
      <c r="U23" s="2">
        <f>([412]L!V23*'D(Ti_Audétat23) Times'!$F23*0.000001)^2/(4*'D(Ti_Audétat23) Times'!$C23)/(365.35*24*3600)</f>
        <v>14654.780496887737</v>
      </c>
      <c r="V23" s="2">
        <f>([412]L!W23*'D(Ti_Audétat23) Times'!$F23*0.000001)^2/(4*'D(Ti_Audétat23) Times'!$C23)/(365.35*24*3600)</f>
        <v>12885.698434085323</v>
      </c>
      <c r="W23" s="2">
        <f>([412]L!X23*'D(Ti_Audétat23) Times'!$F23*0.000001)^2/(4*'D(Ti_Audétat23) Times'!$C23)/(365.35*24*3600)</f>
        <v>13456.829847985988</v>
      </c>
      <c r="X23" s="2"/>
      <c r="Y23" s="2">
        <f>([412]L!Z23*'D(Ti_Audétat23) Times'!$F23*0.000001)^2/(4*'D(Ti_Audétat23) Times'!$C23)/(365.35*24*3600)</f>
        <v>12480.337115599956</v>
      </c>
      <c r="Z23" s="2">
        <f>([412]L!AB23*'D(Ti_Audétat23) Times'!$F23*0.000001)^2/(4*'D(Ti_Audétat23) Times'!$C23)/(365.35*24*3600)</f>
        <v>11551.722533287417</v>
      </c>
      <c r="AA23" s="2">
        <f>([412]L!AC23*'D(Ti_Audétat23) Times'!$F23*0.000001)^2/(4*'D(Ti_Audétat23) Times'!$C23)/(365.35*24*3600)</f>
        <v>171.91642423925657</v>
      </c>
      <c r="AB23" s="2">
        <f>([412]L!AD23*'D(Ti_Audétat23) Times'!$F23*0.000001)^2/(4*'D(Ti_Audétat23) Times'!$C23)/(365.35*24*3600)</f>
        <v>38015.679609142477</v>
      </c>
      <c r="AC23" s="2">
        <f t="shared" si="1"/>
        <v>11379.806109048161</v>
      </c>
      <c r="AD23" s="2">
        <f t="shared" si="2"/>
        <v>26463.957075855062</v>
      </c>
    </row>
    <row r="24" spans="1:30" x14ac:dyDescent="0.2">
      <c r="A24" t="str">
        <f>[412]L!A24</f>
        <v>CGI001-qtz06-CL-fit-3-offset</v>
      </c>
      <c r="B24">
        <v>750</v>
      </c>
      <c r="C24">
        <f t="shared" si="3"/>
        <v>1.1456341375347871E-23</v>
      </c>
      <c r="D24">
        <v>1500</v>
      </c>
      <c r="E24">
        <v>1024</v>
      </c>
      <c r="F24">
        <f t="shared" si="0"/>
        <v>1.46484375</v>
      </c>
      <c r="I24" s="2">
        <f>([412]L!J24*'D(Ti_Audétat23) Times'!$F24*0.000001)^2/(4*'D(Ti_Audétat23) Times'!$C24)/(365.35*24*3600)</f>
        <v>6689.4570648990684</v>
      </c>
      <c r="J24" s="2">
        <f>([412]L!K24*'D(Ti_Audétat23) Times'!$F24*0.000001)^2/(4*'D(Ti_Audétat23) Times'!$C24)/(365.35*24*3600)</f>
        <v>7298.8147851887452</v>
      </c>
      <c r="K24" s="2">
        <f>([412]L!L24*'D(Ti_Audétat23) Times'!$F24*0.000001)^2/(4*'D(Ti_Audétat23) Times'!$C24)/(365.35*24*3600)</f>
        <v>20501.118881858409</v>
      </c>
      <c r="L24" s="2">
        <f>([412]L!M24*'D(Ti_Audétat23) Times'!$F24*0.000001)^2/(4*'D(Ti_Audétat23) Times'!$C24)/(365.35*24*3600)</f>
        <v>7489.5284642866282</v>
      </c>
      <c r="M24" s="2">
        <f>([412]L!N24*'D(Ti_Audétat23) Times'!$F24*0.000001)^2/(4*'D(Ti_Audétat23) Times'!$C24)/(365.35*24*3600)</f>
        <v>14234.09317100601</v>
      </c>
      <c r="N24" s="2">
        <f>([412]L!O24*'D(Ti_Audétat23) Times'!$F24*0.000001)^2/(4*'D(Ti_Audétat23) Times'!$C24)/(365.35*24*3600)</f>
        <v>5976.3427875688867</v>
      </c>
      <c r="O24" s="2">
        <f>([412]L!P24*'D(Ti_Audétat23) Times'!$F24*0.000001)^2/(4*'D(Ti_Audétat23) Times'!$C24)/(365.35*24*3600)</f>
        <v>14023.842346298676</v>
      </c>
      <c r="P24" s="2">
        <f>([412]L!Q24*'D(Ti_Audétat23) Times'!$F24*0.000001)^2/(4*'D(Ti_Audétat23) Times'!$C24)/(365.35*24*3600)</f>
        <v>12444.732151037213</v>
      </c>
      <c r="Q24" s="2">
        <f>([412]L!R24*'D(Ti_Audétat23) Times'!$F24*0.000001)^2/(4*'D(Ti_Audétat23) Times'!$C24)/(365.35*24*3600)</f>
        <v>16968.07608914041</v>
      </c>
      <c r="R24" s="2">
        <f>([412]L!S24*'D(Ti_Audétat23) Times'!$F24*0.000001)^2/(4*'D(Ti_Audétat23) Times'!$C24)/(365.35*24*3600)</f>
        <v>4352.504807186082</v>
      </c>
      <c r="S24" s="2">
        <f>([412]L!T24*'D(Ti_Audétat23) Times'!$F24*0.000001)^2/(4*'D(Ti_Audétat23) Times'!$C24)/(365.35*24*3600)</f>
        <v>8306.2178181486706</v>
      </c>
      <c r="T24" s="2"/>
      <c r="U24" s="2">
        <f>([412]L!V24*'D(Ti_Audétat23) Times'!$F24*0.000001)^2/(4*'D(Ti_Audétat23) Times'!$C24)/(365.35*24*3600)</f>
        <v>10085.139571987345</v>
      </c>
      <c r="V24" s="2">
        <f>([412]L!W24*'D(Ti_Audétat23) Times'!$F24*0.000001)^2/(4*'D(Ti_Audétat23) Times'!$C24)/(365.35*24*3600)</f>
        <v>10199.378799055132</v>
      </c>
      <c r="W24" s="2">
        <f>([412]L!X24*'D(Ti_Audétat23) Times'!$F24*0.000001)^2/(4*'D(Ti_Audétat23) Times'!$C24)/(365.35*24*3600)</f>
        <v>8306.2178181486706</v>
      </c>
      <c r="X24" s="2"/>
      <c r="Y24" s="2">
        <f>([412]L!Z24*'D(Ti_Audétat23) Times'!$F24*0.000001)^2/(4*'D(Ti_Audétat23) Times'!$C24)/(365.35*24*3600)</f>
        <v>9559.4581081140423</v>
      </c>
      <c r="Z24" s="2">
        <f>([412]L!AB24*'D(Ti_Audétat23) Times'!$F24*0.000001)^2/(4*'D(Ti_Audétat23) Times'!$C24)/(365.35*24*3600)</f>
        <v>9713.1690307554709</v>
      </c>
      <c r="AA24" s="2">
        <f>([412]L!AC24*'D(Ti_Audétat23) Times'!$F24*0.000001)^2/(4*'D(Ti_Audétat23) Times'!$C24)/(365.35*24*3600)</f>
        <v>3224.2577342030645</v>
      </c>
      <c r="AB24" s="2">
        <f>([412]L!AD24*'D(Ti_Audétat23) Times'!$F24*0.000001)^2/(4*'D(Ti_Audétat23) Times'!$C24)/(365.35*24*3600)</f>
        <v>21557.030527868916</v>
      </c>
      <c r="AC24" s="2">
        <f t="shared" si="1"/>
        <v>6488.9112965524064</v>
      </c>
      <c r="AD24" s="2">
        <f t="shared" si="2"/>
        <v>11843.861497113445</v>
      </c>
    </row>
    <row r="25" spans="1:30" x14ac:dyDescent="0.2">
      <c r="A25" t="str">
        <f>[412]L!A25</f>
        <v>CGI001-qtz06-CL-fit-4-offset</v>
      </c>
      <c r="B25">
        <v>750</v>
      </c>
      <c r="C25">
        <f t="shared" si="3"/>
        <v>1.1456341375347871E-23</v>
      </c>
      <c r="D25">
        <v>1500</v>
      </c>
      <c r="E25">
        <v>1024</v>
      </c>
      <c r="F25">
        <f t="shared" si="0"/>
        <v>1.46484375</v>
      </c>
      <c r="I25" s="2">
        <f>([412]L!J25*'D(Ti_Audétat23) Times'!$F25*0.000001)^2/(4*'D(Ti_Audétat23) Times'!$C25)/(365.35*24*3600)</f>
        <v>4726.7876580452312</v>
      </c>
      <c r="J25" s="2">
        <f>([412]L!K25*'D(Ti_Audétat23) Times'!$F25*0.000001)^2/(4*'D(Ti_Audétat23) Times'!$C25)/(365.35*24*3600)</f>
        <v>7698.504398539023</v>
      </c>
      <c r="K25" s="2">
        <f>([412]L!L25*'D(Ti_Audétat23) Times'!$F25*0.000001)^2/(4*'D(Ti_Audétat23) Times'!$C25)/(365.35*24*3600)</f>
        <v>7244.1434495633603</v>
      </c>
      <c r="L25" s="2">
        <f>([412]L!M25*'D(Ti_Audétat23) Times'!$F25*0.000001)^2/(4*'D(Ti_Audétat23) Times'!$C25)/(365.35*24*3600)</f>
        <v>6761.3227839285501</v>
      </c>
      <c r="M25" s="2">
        <f>([412]L!N25*'D(Ti_Audétat23) Times'!$F25*0.000001)^2/(4*'D(Ti_Audétat23) Times'!$C25)/(365.35*24*3600)</f>
        <v>5878.5667253376223</v>
      </c>
      <c r="N25" s="2">
        <f>([412]L!O25*'D(Ti_Audétat23) Times'!$F25*0.000001)^2/(4*'D(Ti_Audétat23) Times'!$C25)/(365.35*24*3600)</f>
        <v>5666.5263216688008</v>
      </c>
      <c r="O25" s="2">
        <f>([412]L!P25*'D(Ti_Audétat23) Times'!$F25*0.000001)^2/(4*'D(Ti_Audétat23) Times'!$C25)/(365.35*24*3600)</f>
        <v>6088.256025987972</v>
      </c>
      <c r="P25" s="2">
        <f>([412]L!Q25*'D(Ti_Audétat23) Times'!$F25*0.000001)^2/(4*'D(Ti_Audétat23) Times'!$C25)/(365.35*24*3600)</f>
        <v>5435.9080319385503</v>
      </c>
      <c r="Q25" s="2">
        <f>([412]L!R25*'D(Ti_Audétat23) Times'!$F25*0.000001)^2/(4*'D(Ti_Audétat23) Times'!$C25)/(365.35*24*3600)</f>
        <v>7319.6042114526354</v>
      </c>
      <c r="R25" s="2">
        <f>([412]L!S25*'D(Ti_Audétat23) Times'!$F25*0.000001)^2/(4*'D(Ti_Audétat23) Times'!$C25)/(365.35*24*3600)</f>
        <v>5878.4828298924467</v>
      </c>
      <c r="S25" s="2">
        <f>([412]L!T25*'D(Ti_Audétat23) Times'!$F25*0.000001)^2/(4*'D(Ti_Audétat23) Times'!$C25)/(365.35*24*3600)</f>
        <v>6684.5103063745046</v>
      </c>
      <c r="T25" s="2"/>
      <c r="U25" s="2">
        <f>([412]L!V25*'D(Ti_Audétat23) Times'!$F25*0.000001)^2/(4*'D(Ti_Audétat23) Times'!$C25)/(365.35*24*3600)</f>
        <v>6424.0968163701818</v>
      </c>
      <c r="V25" s="2">
        <f>([412]L!W25*'D(Ti_Audétat23) Times'!$F25*0.000001)^2/(4*'D(Ti_Audétat23) Times'!$C25)/(365.35*24*3600)</f>
        <v>6277.2689248927763</v>
      </c>
      <c r="W25" s="2">
        <f>([412]L!X25*'D(Ti_Audétat23) Times'!$F25*0.000001)^2/(4*'D(Ti_Audétat23) Times'!$C25)/(365.35*24*3600)</f>
        <v>6088.256025987972</v>
      </c>
      <c r="X25" s="2"/>
      <c r="Y25" s="2">
        <f>([412]L!Z25*'D(Ti_Audétat23) Times'!$F25*0.000001)^2/(4*'D(Ti_Audétat23) Times'!$C25)/(365.35*24*3600)</f>
        <v>6346.5083206186255</v>
      </c>
      <c r="Z25" s="2">
        <f>([412]L!AB25*'D(Ti_Audétat23) Times'!$F25*0.000001)^2/(4*'D(Ti_Audétat23) Times'!$C25)/(365.35*24*3600)</f>
        <v>6255.2401729730445</v>
      </c>
      <c r="AA25" s="2">
        <f>([412]L!AC25*'D(Ti_Audétat23) Times'!$F25*0.000001)^2/(4*'D(Ti_Audétat23) Times'!$C25)/(365.35*24*3600)</f>
        <v>3893.6171827240137</v>
      </c>
      <c r="AB25" s="2">
        <f>([412]L!AD25*'D(Ti_Audétat23) Times'!$F25*0.000001)^2/(4*'D(Ti_Audétat23) Times'!$C25)/(365.35*24*3600)</f>
        <v>9417.6421412155196</v>
      </c>
      <c r="AC25" s="2">
        <f t="shared" si="1"/>
        <v>2361.6229902490309</v>
      </c>
      <c r="AD25" s="2">
        <f t="shared" si="2"/>
        <v>3162.401968242475</v>
      </c>
    </row>
    <row r="26" spans="1:30" x14ac:dyDescent="0.2">
      <c r="A26" t="str">
        <f>[412]L!A26</f>
        <v>CGI001-qtz07-CL-fit-1</v>
      </c>
      <c r="B26">
        <v>750</v>
      </c>
      <c r="C26">
        <f t="shared" si="3"/>
        <v>1.1456341375347871E-23</v>
      </c>
      <c r="D26">
        <v>1850</v>
      </c>
      <c r="E26">
        <v>1024</v>
      </c>
      <c r="F26">
        <f t="shared" si="0"/>
        <v>1.806640625</v>
      </c>
      <c r="I26" s="2">
        <f>([412]L!J26*'D(Ti_Audétat23) Times'!$F26*0.000001)^2/(4*'D(Ti_Audétat23) Times'!$C26)/(365.35*24*3600)</f>
        <v>316975.17801842198</v>
      </c>
      <c r="J26" s="2">
        <f>([412]L!K26*'D(Ti_Audétat23) Times'!$F26*0.000001)^2/(4*'D(Ti_Audétat23) Times'!$C26)/(365.35*24*3600)</f>
        <v>219073.33367313159</v>
      </c>
      <c r="K26" s="2">
        <f>([412]L!L26*'D(Ti_Audétat23) Times'!$F26*0.000001)^2/(4*'D(Ti_Audétat23) Times'!$C26)/(365.35*24*3600)</f>
        <v>352146.97518010664</v>
      </c>
      <c r="L26" s="2">
        <f>([412]L!M26*'D(Ti_Audétat23) Times'!$F26*0.000001)^2/(4*'D(Ti_Audétat23) Times'!$C26)/(365.35*24*3600)</f>
        <v>329218.69263933599</v>
      </c>
      <c r="M26" s="2">
        <f>([412]L!N26*'D(Ti_Audétat23) Times'!$F26*0.000001)^2/(4*'D(Ti_Audétat23) Times'!$C26)/(365.35*24*3600)</f>
        <v>308643.21771482774</v>
      </c>
      <c r="N26" s="2">
        <f>([412]L!O26*'D(Ti_Audétat23) Times'!$F26*0.000001)^2/(4*'D(Ti_Audétat23) Times'!$C26)/(365.35*24*3600)</f>
        <v>323812.64830964513</v>
      </c>
      <c r="O26" s="2">
        <f>([412]L!P26*'D(Ti_Audétat23) Times'!$F26*0.000001)^2/(4*'D(Ti_Audétat23) Times'!$C26)/(365.35*24*3600)</f>
        <v>361315.01431049552</v>
      </c>
      <c r="P26" s="2">
        <f>([412]L!Q26*'D(Ti_Audétat23) Times'!$F26*0.000001)^2/(4*'D(Ti_Audétat23) Times'!$C26)/(365.35*24*3600)</f>
        <v>375773.68880263896</v>
      </c>
      <c r="Q26" s="2">
        <f>([412]L!R26*'D(Ti_Audétat23) Times'!$F26*0.000001)^2/(4*'D(Ti_Audétat23) Times'!$C26)/(365.35*24*3600)</f>
        <v>366553.02649495425</v>
      </c>
      <c r="R26" s="2">
        <f>([412]L!S26*'D(Ti_Audétat23) Times'!$F26*0.000001)^2/(4*'D(Ti_Audétat23) Times'!$C26)/(365.35*24*3600)</f>
        <v>410739.46493257908</v>
      </c>
      <c r="S26" s="2">
        <f>([412]L!T26*'D(Ti_Audétat23) Times'!$F26*0.000001)^2/(4*'D(Ti_Audétat23) Times'!$C26)/(365.35*24*3600)</f>
        <v>187971.59327845054</v>
      </c>
      <c r="T26" s="2"/>
      <c r="U26" s="2">
        <f>([412]L!V26*'D(Ti_Audétat23) Times'!$F26*0.000001)^2/(4*'D(Ti_Audétat23) Times'!$C26)/(365.35*24*3600)</f>
        <v>318270.63696323032</v>
      </c>
      <c r="V26" s="2">
        <f>([412]L!W26*'D(Ti_Audétat23) Times'!$F26*0.000001)^2/(4*'D(Ti_Audétat23) Times'!$C26)/(365.35*24*3600)</f>
        <v>319413.75789070642</v>
      </c>
      <c r="W26" s="2">
        <f>([412]L!X26*'D(Ti_Audétat23) Times'!$F26*0.000001)^2/(4*'D(Ti_Audétat23) Times'!$C26)/(365.35*24*3600)</f>
        <v>329218.69263933599</v>
      </c>
      <c r="X26" s="2"/>
      <c r="Y26" s="2">
        <f>([412]L!Z26*'D(Ti_Audétat23) Times'!$F26*0.000001)^2/(4*'D(Ti_Audétat23) Times'!$C26)/(365.35*24*3600)</f>
        <v>321324.59820493392</v>
      </c>
      <c r="Z26" s="2">
        <f>([412]L!AB26*'D(Ti_Audétat23) Times'!$F26*0.000001)^2/(4*'D(Ti_Audétat23) Times'!$C26)/(365.35*24*3600)</f>
        <v>327711.48399946984</v>
      </c>
      <c r="AA26" s="2">
        <f>([412]L!AC26*'D(Ti_Audétat23) Times'!$F26*0.000001)^2/(4*'D(Ti_Audétat23) Times'!$C26)/(365.35*24*3600)</f>
        <v>220084.3127449142</v>
      </c>
      <c r="AB26" s="2">
        <f>([412]L!AD26*'D(Ti_Audétat23) Times'!$F26*0.000001)^2/(4*'D(Ti_Audétat23) Times'!$C26)/(365.35*24*3600)</f>
        <v>490467.8116253317</v>
      </c>
      <c r="AC26" s="2">
        <f t="shared" si="1"/>
        <v>107627.17125455564</v>
      </c>
      <c r="AD26" s="2">
        <f t="shared" si="2"/>
        <v>162756.32762586186</v>
      </c>
    </row>
    <row r="27" spans="1:30" x14ac:dyDescent="0.2">
      <c r="A27" t="str">
        <f>[412]L!A27</f>
        <v>CGI001-qtz07-CL-fit-2-offset</v>
      </c>
      <c r="B27">
        <v>750</v>
      </c>
      <c r="C27">
        <f t="shared" si="3"/>
        <v>1.1456341375347871E-23</v>
      </c>
      <c r="D27">
        <v>1850</v>
      </c>
      <c r="E27">
        <v>1024</v>
      </c>
      <c r="F27">
        <f t="shared" si="0"/>
        <v>1.806640625</v>
      </c>
      <c r="I27" s="2">
        <f>([412]L!J27*'D(Ti_Audétat23) Times'!$F27*0.000001)^2/(4*'D(Ti_Audétat23) Times'!$C27)/(365.35*24*3600)</f>
        <v>27608.162017202027</v>
      </c>
      <c r="J27" s="2">
        <f>([412]L!K27*'D(Ti_Audétat23) Times'!$F27*0.000001)^2/(4*'D(Ti_Audétat23) Times'!$C27)/(365.35*24*3600)</f>
        <v>32220.956807770723</v>
      </c>
      <c r="K27" s="2">
        <f>([412]L!L27*'D(Ti_Audétat23) Times'!$F27*0.000001)^2/(4*'D(Ti_Audétat23) Times'!$C27)/(365.35*24*3600)</f>
        <v>35585.092543501436</v>
      </c>
      <c r="L27" s="2">
        <f>([412]L!M27*'D(Ti_Audétat23) Times'!$F27*0.000001)^2/(4*'D(Ti_Audétat23) Times'!$C27)/(365.35*24*3600)</f>
        <v>18238.719157553322</v>
      </c>
      <c r="M27" s="2">
        <f>([412]L!N27*'D(Ti_Audétat23) Times'!$F27*0.000001)^2/(4*'D(Ti_Audétat23) Times'!$C27)/(365.35*24*3600)</f>
        <v>24871.319649876419</v>
      </c>
      <c r="N27" s="2">
        <f>([412]L!O27*'D(Ti_Audétat23) Times'!$F27*0.000001)^2/(4*'D(Ti_Audétat23) Times'!$C27)/(365.35*24*3600)</f>
        <v>28068.186505258771</v>
      </c>
      <c r="O27" s="2">
        <f>([412]L!P27*'D(Ti_Audétat23) Times'!$F27*0.000001)^2/(4*'D(Ti_Audétat23) Times'!$C27)/(365.35*24*3600)</f>
        <v>29726.836666279396</v>
      </c>
      <c r="P27" s="2">
        <f>([412]L!Q27*'D(Ti_Audétat23) Times'!$F27*0.000001)^2/(4*'D(Ti_Audétat23) Times'!$C27)/(365.35*24*3600)</f>
        <v>14183.834248999146</v>
      </c>
      <c r="Q27" s="2">
        <f>([412]L!R27*'D(Ti_Audétat23) Times'!$F27*0.000001)^2/(4*'D(Ti_Audétat23) Times'!$C27)/(365.35*24*3600)</f>
        <v>13733.131028382446</v>
      </c>
      <c r="R27" s="2">
        <f>([412]L!S27*'D(Ti_Audétat23) Times'!$F27*0.000001)^2/(4*'D(Ti_Audétat23) Times'!$C27)/(365.35*24*3600)</f>
        <v>19531.609329360039</v>
      </c>
      <c r="S27" s="2">
        <f>([412]L!T27*'D(Ti_Audétat23) Times'!$F27*0.000001)^2/(4*'D(Ti_Audétat23) Times'!$C27)/(365.35*24*3600)</f>
        <v>18814.586652603721</v>
      </c>
      <c r="T27" s="2"/>
      <c r="U27" s="2">
        <f>([412]L!V27*'D(Ti_Audétat23) Times'!$F27*0.000001)^2/(4*'D(Ti_Audétat23) Times'!$C27)/(365.35*24*3600)</f>
        <v>23876.835404826401</v>
      </c>
      <c r="V27" s="2">
        <f>([412]L!W27*'D(Ti_Audétat23) Times'!$F27*0.000001)^2/(4*'D(Ti_Audétat23) Times'!$C27)/(365.35*24*3600)</f>
        <v>23331.531153131549</v>
      </c>
      <c r="W27" s="2">
        <f>([412]L!X27*'D(Ti_Audétat23) Times'!$F27*0.000001)^2/(4*'D(Ti_Audétat23) Times'!$C27)/(365.35*24*3600)</f>
        <v>24871.319649876419</v>
      </c>
      <c r="X27" s="2"/>
      <c r="Y27" s="2">
        <f>([412]L!Z27*'D(Ti_Audétat23) Times'!$F27*0.000001)^2/(4*'D(Ti_Audétat23) Times'!$C27)/(365.35*24*3600)</f>
        <v>25126.378841353413</v>
      </c>
      <c r="Z27" s="2">
        <f>([412]L!AB27*'D(Ti_Audétat23) Times'!$F27*0.000001)^2/(4*'D(Ti_Audétat23) Times'!$C27)/(365.35*24*3600)</f>
        <v>25125.661069521157</v>
      </c>
      <c r="AA27" s="2">
        <f>([412]L!AC27*'D(Ti_Audétat23) Times'!$F27*0.000001)^2/(4*'D(Ti_Audétat23) Times'!$C27)/(365.35*24*3600)</f>
        <v>11316.873756370829</v>
      </c>
      <c r="AB27" s="2">
        <f>([412]L!AD27*'D(Ti_Audétat23) Times'!$F27*0.000001)^2/(4*'D(Ti_Audétat23) Times'!$C27)/(365.35*24*3600)</f>
        <v>43092.324121412443</v>
      </c>
      <c r="AC27" s="2">
        <f t="shared" si="1"/>
        <v>13808.787313150327</v>
      </c>
      <c r="AD27" s="2">
        <f t="shared" si="2"/>
        <v>17966.663051891286</v>
      </c>
    </row>
    <row r="28" spans="1:30" x14ac:dyDescent="0.2">
      <c r="A28" t="str">
        <f>[412]L!A28</f>
        <v>CGI001-qtz07-CL-fit-3-offset</v>
      </c>
      <c r="B28">
        <v>750</v>
      </c>
      <c r="C28">
        <f t="shared" si="3"/>
        <v>1.1456341375347871E-23</v>
      </c>
      <c r="D28">
        <v>1850</v>
      </c>
      <c r="E28">
        <v>1024</v>
      </c>
      <c r="F28">
        <f t="shared" si="0"/>
        <v>1.806640625</v>
      </c>
      <c r="I28" s="2">
        <f>([412]L!J28*'D(Ti_Audétat23) Times'!$F28*0.000001)^2/(4*'D(Ti_Audétat23) Times'!$C28)/(365.35*24*3600)</f>
        <v>15274.956053849644</v>
      </c>
      <c r="J28" s="2">
        <f>([412]L!K28*'D(Ti_Audétat23) Times'!$F28*0.000001)^2/(4*'D(Ti_Audétat23) Times'!$C28)/(365.35*24*3600)</f>
        <v>11751.286437282763</v>
      </c>
      <c r="K28" s="2">
        <f>([412]L!L28*'D(Ti_Audétat23) Times'!$F28*0.000001)^2/(4*'D(Ti_Audétat23) Times'!$C28)/(365.35*24*3600)</f>
        <v>7602.8518058955278</v>
      </c>
      <c r="L28" s="2">
        <f>([412]L!M28*'D(Ti_Audétat23) Times'!$F28*0.000001)^2/(4*'D(Ti_Audétat23) Times'!$C28)/(365.35*24*3600)</f>
        <v>10341.591969864121</v>
      </c>
      <c r="M28" s="2">
        <f>([412]L!N28*'D(Ti_Audétat23) Times'!$F28*0.000001)^2/(4*'D(Ti_Audétat23) Times'!$C28)/(365.35*24*3600)</f>
        <v>14160.227989907391</v>
      </c>
      <c r="N28" s="2">
        <f>([412]L!O28*'D(Ti_Audétat23) Times'!$F28*0.000001)^2/(4*'D(Ti_Audétat23) Times'!$C28)/(365.35*24*3600)</f>
        <v>10388.530255191157</v>
      </c>
      <c r="O28" s="2">
        <f>([412]L!P28*'D(Ti_Audétat23) Times'!$F28*0.000001)^2/(4*'D(Ti_Audétat23) Times'!$C28)/(365.35*24*3600)</f>
        <v>9060.3706864029537</v>
      </c>
      <c r="P28" s="2">
        <f>([412]L!Q28*'D(Ti_Audétat23) Times'!$F28*0.000001)^2/(4*'D(Ti_Audétat23) Times'!$C28)/(365.35*24*3600)</f>
        <v>7716.1465472708605</v>
      </c>
      <c r="Q28" s="2">
        <f>([412]L!R28*'D(Ti_Audétat23) Times'!$F28*0.000001)^2/(4*'D(Ti_Audétat23) Times'!$C28)/(365.35*24*3600)</f>
        <v>10921.661132789292</v>
      </c>
      <c r="R28" s="2">
        <f>([412]L!S28*'D(Ti_Audétat23) Times'!$F28*0.000001)^2/(4*'D(Ti_Audétat23) Times'!$C28)/(365.35*24*3600)</f>
        <v>16056.762141887952</v>
      </c>
      <c r="S28" s="2">
        <f>([412]L!T28*'D(Ti_Audétat23) Times'!$F28*0.000001)^2/(4*'D(Ti_Audétat23) Times'!$C28)/(365.35*24*3600)</f>
        <v>11715.983823964096</v>
      </c>
      <c r="T28" s="2"/>
      <c r="U28" s="2">
        <f>([412]L!V28*'D(Ti_Audétat23) Times'!$F28*0.000001)^2/(4*'D(Ti_Audétat23) Times'!$C28)/(365.35*24*3600)</f>
        <v>11288.688756084885</v>
      </c>
      <c r="V28" s="2">
        <f>([412]L!W28*'D(Ti_Audétat23) Times'!$F28*0.000001)^2/(4*'D(Ti_Audétat23) Times'!$C28)/(365.35*24*3600)</f>
        <v>11203.146701920054</v>
      </c>
      <c r="W28" s="2">
        <f>([412]L!X28*'D(Ti_Audétat23) Times'!$F28*0.000001)^2/(4*'D(Ti_Audétat23) Times'!$C28)/(365.35*24*3600)</f>
        <v>10921.661132789292</v>
      </c>
      <c r="X28" s="2"/>
      <c r="Y28" s="2">
        <f>([412]L!Z28*'D(Ti_Audétat23) Times'!$F28*0.000001)^2/(4*'D(Ti_Audétat23) Times'!$C28)/(365.35*24*3600)</f>
        <v>11421.760169328218</v>
      </c>
      <c r="Z28" s="2">
        <f>([412]L!AB28*'D(Ti_Audétat23) Times'!$F28*0.000001)^2/(4*'D(Ti_Audétat23) Times'!$C28)/(365.35*24*3600)</f>
        <v>11112.41066944146</v>
      </c>
      <c r="AA28" s="2">
        <f>([412]L!AC28*'D(Ti_Audétat23) Times'!$F28*0.000001)^2/(4*'D(Ti_Audétat23) Times'!$C28)/(365.35*24*3600)</f>
        <v>4514.0655308079276</v>
      </c>
      <c r="AB28" s="2">
        <f>([412]L!AD28*'D(Ti_Audétat23) Times'!$F28*0.000001)^2/(4*'D(Ti_Audétat23) Times'!$C28)/(365.35*24*3600)</f>
        <v>19433.382140698108</v>
      </c>
      <c r="AC28" s="2">
        <f t="shared" si="1"/>
        <v>6598.3451386335328</v>
      </c>
      <c r="AD28" s="2">
        <f t="shared" si="2"/>
        <v>8320.9714712566474</v>
      </c>
    </row>
    <row r="29" spans="1:30" x14ac:dyDescent="0.2">
      <c r="A29" t="str">
        <f>[412]L!A29</f>
        <v>CGI001-qtz08-CL-fit-1-offset</v>
      </c>
      <c r="B29">
        <v>750</v>
      </c>
      <c r="C29">
        <f t="shared" si="3"/>
        <v>1.1456341375347871E-23</v>
      </c>
      <c r="D29">
        <v>1500</v>
      </c>
      <c r="E29">
        <v>1024</v>
      </c>
      <c r="F29">
        <f t="shared" si="0"/>
        <v>1.46484375</v>
      </c>
      <c r="I29" s="2">
        <f>([412]L!J29*'D(Ti_Audétat23) Times'!$F29*0.000001)^2/(4*'D(Ti_Audétat23) Times'!$C29)/(365.35*24*3600)</f>
        <v>312563.68213776354</v>
      </c>
      <c r="J29" s="2">
        <f>([412]L!K29*'D(Ti_Audétat23) Times'!$F29*0.000001)^2/(4*'D(Ti_Audétat23) Times'!$C29)/(365.35*24*3600)</f>
        <v>286789.62231040973</v>
      </c>
      <c r="K29" s="2">
        <f>([412]L!L29*'D(Ti_Audétat23) Times'!$F29*0.000001)^2/(4*'D(Ti_Audétat23) Times'!$C29)/(365.35*24*3600)</f>
        <v>410499.31469858391</v>
      </c>
      <c r="L29" s="2">
        <f>([412]L!M29*'D(Ti_Audétat23) Times'!$F29*0.000001)^2/(4*'D(Ti_Audétat23) Times'!$C29)/(365.35*24*3600)</f>
        <v>441685.05625374132</v>
      </c>
      <c r="M29" s="2">
        <f>([412]L!N29*'D(Ti_Audétat23) Times'!$F29*0.000001)^2/(4*'D(Ti_Audétat23) Times'!$C29)/(365.35*24*3600)</f>
        <v>241019.7937864617</v>
      </c>
      <c r="N29" s="2">
        <f>([412]L!O29*'D(Ti_Audétat23) Times'!$F29*0.000001)^2/(4*'D(Ti_Audétat23) Times'!$C29)/(365.35*24*3600)</f>
        <v>311165.33335296361</v>
      </c>
      <c r="O29" s="2">
        <f>([412]L!P29*'D(Ti_Audétat23) Times'!$F29*0.000001)^2/(4*'D(Ti_Audétat23) Times'!$C29)/(365.35*24*3600)</f>
        <v>309440.24775628239</v>
      </c>
      <c r="P29" s="2">
        <f>([412]L!Q29*'D(Ti_Audétat23) Times'!$F29*0.000001)^2/(4*'D(Ti_Audétat23) Times'!$C29)/(365.35*24*3600)</f>
        <v>323674.39488579606</v>
      </c>
      <c r="Q29" s="2">
        <f>([412]L!R29*'D(Ti_Audétat23) Times'!$F29*0.000001)^2/(4*'D(Ti_Audétat23) Times'!$C29)/(365.35*24*3600)</f>
        <v>357540.76609710272</v>
      </c>
      <c r="R29" s="2">
        <f>([412]L!S29*'D(Ti_Audétat23) Times'!$F29*0.000001)^2/(4*'D(Ti_Audétat23) Times'!$C29)/(365.35*24*3600)</f>
        <v>260496.89706222501</v>
      </c>
      <c r="S29" s="2">
        <f>([412]L!T29*'D(Ti_Audétat23) Times'!$F29*0.000001)^2/(4*'D(Ti_Audétat23) Times'!$C29)/(365.35*24*3600)</f>
        <v>228453.16290173281</v>
      </c>
      <c r="T29" s="2"/>
      <c r="U29" s="2">
        <f>([412]L!V29*'D(Ti_Audétat23) Times'!$F29*0.000001)^2/(4*'D(Ti_Audétat23) Times'!$C29)/(365.35*24*3600)</f>
        <v>310176.12543386169</v>
      </c>
      <c r="V29" s="2">
        <f>([412]L!W29*'D(Ti_Audétat23) Times'!$F29*0.000001)^2/(4*'D(Ti_Audétat23) Times'!$C29)/(365.35*24*3600)</f>
        <v>313616.12511942047</v>
      </c>
      <c r="W29" s="2">
        <f>([412]L!X29*'D(Ti_Audétat23) Times'!$F29*0.000001)^2/(4*'D(Ti_Audétat23) Times'!$C29)/(365.35*24*3600)</f>
        <v>311165.33335296361</v>
      </c>
      <c r="X29" s="2"/>
      <c r="Y29" s="2">
        <f>([412]L!Z29*'D(Ti_Audétat23) Times'!$F29*0.000001)^2/(4*'D(Ti_Audétat23) Times'!$C29)/(365.35*24*3600)</f>
        <v>310645.10655764776</v>
      </c>
      <c r="Z29" s="2">
        <f>([412]L!AB29*'D(Ti_Audétat23) Times'!$F29*0.000001)^2/(4*'D(Ti_Audétat23) Times'!$C29)/(365.35*24*3600)</f>
        <v>314142.99709916173</v>
      </c>
      <c r="AA29" s="2">
        <f>([412]L!AC29*'D(Ti_Audétat23) Times'!$F29*0.000001)^2/(4*'D(Ti_Audétat23) Times'!$C29)/(365.35*24*3600)</f>
        <v>184273.9804487025</v>
      </c>
      <c r="AB29" s="2">
        <f>([412]L!AD29*'D(Ti_Audétat23) Times'!$F29*0.000001)^2/(4*'D(Ti_Audétat23) Times'!$C29)/(365.35*24*3600)</f>
        <v>470484.78330664255</v>
      </c>
      <c r="AC29" s="2">
        <f t="shared" si="1"/>
        <v>129869.01665045923</v>
      </c>
      <c r="AD29" s="2">
        <f t="shared" si="2"/>
        <v>156341.78620748082</v>
      </c>
    </row>
    <row r="30" spans="1:30" x14ac:dyDescent="0.2">
      <c r="A30" t="str">
        <f>[412]L!A30</f>
        <v>CGI001-qtz08-CL-fit-2-offset</v>
      </c>
      <c r="B30">
        <v>750</v>
      </c>
      <c r="C30">
        <f t="shared" si="3"/>
        <v>1.1456341375347871E-23</v>
      </c>
      <c r="D30">
        <v>1500</v>
      </c>
      <c r="E30">
        <v>1024</v>
      </c>
      <c r="F30">
        <f t="shared" si="0"/>
        <v>1.46484375</v>
      </c>
      <c r="I30" s="2">
        <f>([412]L!J30*'D(Ti_Audétat23) Times'!$F30*0.000001)^2/(4*'D(Ti_Audétat23) Times'!$C30)/(365.35*24*3600)</f>
        <v>27909.794753150989</v>
      </c>
      <c r="J30" s="2">
        <f>([412]L!K30*'D(Ti_Audétat23) Times'!$F30*0.000001)^2/(4*'D(Ti_Audétat23) Times'!$C30)/(365.35*24*3600)</f>
        <v>37987.011642169862</v>
      </c>
      <c r="K30" s="2">
        <f>([412]L!L30*'D(Ti_Audétat23) Times'!$F30*0.000001)^2/(4*'D(Ti_Audétat23) Times'!$C30)/(365.35*24*3600)</f>
        <v>29724.992687619404</v>
      </c>
      <c r="L30" s="2">
        <f>([412]L!M30*'D(Ti_Audétat23) Times'!$F30*0.000001)^2/(4*'D(Ti_Audétat23) Times'!$C30)/(365.35*24*3600)</f>
        <v>31718.764468894835</v>
      </c>
      <c r="M30" s="2">
        <f>([412]L!N30*'D(Ti_Audétat23) Times'!$F30*0.000001)^2/(4*'D(Ti_Audétat23) Times'!$C30)/(365.35*24*3600)</f>
        <v>22066.714834251758</v>
      </c>
      <c r="N30" s="2">
        <f>([412]L!O30*'D(Ti_Audétat23) Times'!$F30*0.000001)^2/(4*'D(Ti_Audétat23) Times'!$C30)/(365.35*24*3600)</f>
        <v>19375.162824346429</v>
      </c>
      <c r="O30" s="2">
        <f>([412]L!P30*'D(Ti_Audétat23) Times'!$F30*0.000001)^2/(4*'D(Ti_Audétat23) Times'!$C30)/(365.35*24*3600)</f>
        <v>46141.496939798948</v>
      </c>
      <c r="P30" s="2">
        <f>([412]L!Q30*'D(Ti_Audétat23) Times'!$F30*0.000001)^2/(4*'D(Ti_Audétat23) Times'!$C30)/(365.35*24*3600)</f>
        <v>78066.426461134062</v>
      </c>
      <c r="Q30" s="2">
        <f>([412]L!R30*'D(Ti_Audétat23) Times'!$F30*0.000001)^2/(4*'D(Ti_Audétat23) Times'!$C30)/(365.35*24*3600)</f>
        <v>29782.221686413424</v>
      </c>
      <c r="R30" s="2">
        <f>([412]L!S30*'D(Ti_Audétat23) Times'!$F30*0.000001)^2/(4*'D(Ti_Audétat23) Times'!$C30)/(365.35*24*3600)</f>
        <v>53063.053214385625</v>
      </c>
      <c r="S30" s="2">
        <f>([412]L!T30*'D(Ti_Audétat23) Times'!$F30*0.000001)^2/(4*'D(Ti_Audétat23) Times'!$C30)/(365.35*24*3600)</f>
        <v>44324.634069913947</v>
      </c>
      <c r="T30" s="2"/>
      <c r="U30" s="2">
        <f>([412]L!V30*'D(Ti_Audétat23) Times'!$F30*0.000001)^2/(4*'D(Ti_Audétat23) Times'!$C30)/(365.35*24*3600)</f>
        <v>39972.303556149862</v>
      </c>
      <c r="V30" s="2">
        <f>([412]L!W30*'D(Ti_Audétat23) Times'!$F30*0.000001)^2/(4*'D(Ti_Audétat23) Times'!$C30)/(365.35*24*3600)</f>
        <v>36720.60205031751</v>
      </c>
      <c r="W30" s="2">
        <f>([412]L!X30*'D(Ti_Audétat23) Times'!$F30*0.000001)^2/(4*'D(Ti_Audétat23) Times'!$C30)/(365.35*24*3600)</f>
        <v>31718.764468894835</v>
      </c>
      <c r="X30" s="2"/>
      <c r="Y30" s="2">
        <f>([412]L!Z30*'D(Ti_Audétat23) Times'!$F30*0.000001)^2/(4*'D(Ti_Audétat23) Times'!$C30)/(365.35*24*3600)</f>
        <v>38758.382769231335</v>
      </c>
      <c r="Z30" s="2">
        <f>([412]L!AB30*'D(Ti_Audétat23) Times'!$F30*0.000001)^2/(4*'D(Ti_Audétat23) Times'!$C30)/(365.35*24*3600)</f>
        <v>37934.193107826606</v>
      </c>
      <c r="AA30" s="2">
        <f>([412]L!AC30*'D(Ti_Audétat23) Times'!$F30*0.000001)^2/(4*'D(Ti_Audétat23) Times'!$C30)/(365.35*24*3600)</f>
        <v>13628.101052826694</v>
      </c>
      <c r="AB30" s="2">
        <f>([412]L!AD30*'D(Ti_Audétat23) Times'!$F30*0.000001)^2/(4*'D(Ti_Audétat23) Times'!$C30)/(365.35*24*3600)</f>
        <v>72402.799947043153</v>
      </c>
      <c r="AC30" s="2">
        <f t="shared" si="1"/>
        <v>24306.092054999914</v>
      </c>
      <c r="AD30" s="2">
        <f t="shared" si="2"/>
        <v>34468.606839216547</v>
      </c>
    </row>
    <row r="31" spans="1:30" x14ac:dyDescent="0.2">
      <c r="A31" t="str">
        <f>[412]L!A31</f>
        <v>CGI001-qtz08-CL-fit-3</v>
      </c>
      <c r="B31">
        <v>750</v>
      </c>
      <c r="C31">
        <f t="shared" si="3"/>
        <v>1.1456341375347871E-23</v>
      </c>
      <c r="D31">
        <v>1500</v>
      </c>
      <c r="E31">
        <v>1024</v>
      </c>
      <c r="F31">
        <f t="shared" si="0"/>
        <v>1.46484375</v>
      </c>
      <c r="I31" s="2">
        <f>([412]L!J31*'D(Ti_Audétat23) Times'!$F31*0.000001)^2/(4*'D(Ti_Audétat23) Times'!$C31)/(365.35*24*3600)</f>
        <v>27707.370174907126</v>
      </c>
      <c r="J31" s="2">
        <f>([412]L!K31*'D(Ti_Audétat23) Times'!$F31*0.000001)^2/(4*'D(Ti_Audétat23) Times'!$C31)/(365.35*24*3600)</f>
        <v>51212.702879189746</v>
      </c>
      <c r="K31" s="2">
        <f>([412]L!L31*'D(Ti_Audétat23) Times'!$F31*0.000001)^2/(4*'D(Ti_Audétat23) Times'!$C31)/(365.35*24*3600)</f>
        <v>40734.423917431246</v>
      </c>
      <c r="L31" s="2">
        <f>([412]L!M31*'D(Ti_Audétat23) Times'!$F31*0.000001)^2/(4*'D(Ti_Audétat23) Times'!$C31)/(365.35*24*3600)</f>
        <v>20452.463306561007</v>
      </c>
      <c r="M31" s="2">
        <f>([412]L!N31*'D(Ti_Audétat23) Times'!$F31*0.000001)^2/(4*'D(Ti_Audétat23) Times'!$C31)/(365.35*24*3600)</f>
        <v>41779.139119202096</v>
      </c>
      <c r="N31" s="2">
        <f>([412]L!O31*'D(Ti_Audétat23) Times'!$F31*0.000001)^2/(4*'D(Ti_Audétat23) Times'!$C31)/(365.35*24*3600)</f>
        <v>5556.2048037541117</v>
      </c>
      <c r="O31" s="2">
        <f>([412]L!P31*'D(Ti_Audétat23) Times'!$F31*0.000001)^2/(4*'D(Ti_Audétat23) Times'!$C31)/(365.35*24*3600)</f>
        <v>24132.121406230268</v>
      </c>
      <c r="P31" s="2">
        <f>([412]L!Q31*'D(Ti_Audétat23) Times'!$F31*0.000001)^2/(4*'D(Ti_Audétat23) Times'!$C31)/(365.35*24*3600)</f>
        <v>0</v>
      </c>
      <c r="Q31" s="2">
        <f>([412]L!R31*'D(Ti_Audétat23) Times'!$F31*0.000001)^2/(4*'D(Ti_Audétat23) Times'!$C31)/(365.35*24*3600)</f>
        <v>5160.199463244312</v>
      </c>
      <c r="R31" s="2">
        <f>([412]L!S31*'D(Ti_Audétat23) Times'!$F31*0.000001)^2/(4*'D(Ti_Audétat23) Times'!$C31)/(365.35*24*3600)</f>
        <v>9754.4021651245403</v>
      </c>
      <c r="S31" s="2">
        <f>([412]L!T31*'D(Ti_Audétat23) Times'!$F31*0.000001)^2/(4*'D(Ti_Audétat23) Times'!$C31)/(365.35*24*3600)</f>
        <v>6602.1820262054198</v>
      </c>
      <c r="T31" s="2"/>
      <c r="U31" s="2">
        <f>([412]L!V31*'D(Ti_Audétat23) Times'!$F31*0.000001)^2/(4*'D(Ti_Audétat23) Times'!$C31)/(365.35*24*3600)</f>
        <v>31492.764071412479</v>
      </c>
      <c r="V31" s="2">
        <f>([412]L!W31*'D(Ti_Audétat23) Times'!$F31*0.000001)^2/(4*'D(Ti_Audétat23) Times'!$C31)/(365.35*24*3600)</f>
        <v>20270.20398086862</v>
      </c>
      <c r="W31" s="2">
        <f>([412]L!X31*'D(Ti_Audétat23) Times'!$F31*0.000001)^2/(4*'D(Ti_Audétat23) Times'!$C31)/(365.35*24*3600)</f>
        <v>22254.266266340543</v>
      </c>
      <c r="X31" s="2"/>
      <c r="Y31" s="2">
        <f>([412]L!Z31*'D(Ti_Audétat23) Times'!$F31*0.000001)^2/(4*'D(Ti_Audétat23) Times'!$C31)/(365.35*24*3600)</f>
        <v>17486.966176481928</v>
      </c>
      <c r="Z31" s="2">
        <f>([412]L!AB31*'D(Ti_Audétat23) Times'!$F31*0.000001)^2/(4*'D(Ti_Audétat23) Times'!$C31)/(365.35*24*3600)</f>
        <v>23720.200233386244</v>
      </c>
      <c r="AA31" s="2">
        <f>([412]L!AC31*'D(Ti_Audétat23) Times'!$F31*0.000001)^2/(4*'D(Ti_Audétat23) Times'!$C31)/(365.35*24*3600)</f>
        <v>12.513274760090315</v>
      </c>
      <c r="AB31" s="2">
        <f>([412]L!AD31*'D(Ti_Audétat23) Times'!$F31*0.000001)^2/(4*'D(Ti_Audétat23) Times'!$C31)/(365.35*24*3600)</f>
        <v>266387.68970867194</v>
      </c>
      <c r="AC31" s="2">
        <f t="shared" si="1"/>
        <v>23707.686958626153</v>
      </c>
      <c r="AD31" s="2">
        <f t="shared" si="2"/>
        <v>242667.48947528569</v>
      </c>
    </row>
    <row r="32" spans="1:30" x14ac:dyDescent="0.2">
      <c r="A32" t="str">
        <f>[412]L!A32</f>
        <v>CGI001-qtz08-CL-fit-4-offset</v>
      </c>
      <c r="B32">
        <v>750</v>
      </c>
      <c r="C32">
        <f t="shared" si="3"/>
        <v>1.1456341375347871E-23</v>
      </c>
      <c r="D32">
        <v>1500</v>
      </c>
      <c r="E32">
        <v>1024</v>
      </c>
      <c r="F32">
        <f t="shared" si="0"/>
        <v>1.46484375</v>
      </c>
      <c r="I32" s="2">
        <f>([412]L!J32*'D(Ti_Audétat23) Times'!$F32*0.000001)^2/(4*'D(Ti_Audétat23) Times'!$C32)/(365.35*24*3600)</f>
        <v>5102.4155859002976</v>
      </c>
      <c r="J32" s="2">
        <f>([412]L!K32*'D(Ti_Audétat23) Times'!$F32*0.000001)^2/(4*'D(Ti_Audétat23) Times'!$C32)/(365.35*24*3600)</f>
        <v>2300.9056918452784</v>
      </c>
      <c r="K32" s="2">
        <f>([412]L!L32*'D(Ti_Audétat23) Times'!$F32*0.000001)^2/(4*'D(Ti_Audétat23) Times'!$C32)/(365.35*24*3600)</f>
        <v>5038.2135304030235</v>
      </c>
      <c r="L32" s="2">
        <f>([412]L!M32*'D(Ti_Audétat23) Times'!$F32*0.000001)^2/(4*'D(Ti_Audétat23) Times'!$C32)/(365.35*24*3600)</f>
        <v>1873.2558454087293</v>
      </c>
      <c r="M32" s="2">
        <f>([412]L!N32*'D(Ti_Audétat23) Times'!$F32*0.000001)^2/(4*'D(Ti_Audétat23) Times'!$C32)/(365.35*24*3600)</f>
        <v>2022.8475779260323</v>
      </c>
      <c r="N32" s="2">
        <f>([412]L!O32*'D(Ti_Audétat23) Times'!$F32*0.000001)^2/(4*'D(Ti_Audétat23) Times'!$C32)/(365.35*24*3600)</f>
        <v>4766.9114486572471</v>
      </c>
      <c r="O32" s="2">
        <f>([412]L!P32*'D(Ti_Audétat23) Times'!$F32*0.000001)^2/(4*'D(Ti_Audétat23) Times'!$C32)/(365.35*24*3600)</f>
        <v>1845.2279773720181</v>
      </c>
      <c r="P32" s="2">
        <f>([412]L!Q32*'D(Ti_Audétat23) Times'!$F32*0.000001)^2/(4*'D(Ti_Audétat23) Times'!$C32)/(365.35*24*3600)</f>
        <v>4455.928530984037</v>
      </c>
      <c r="Q32" s="2">
        <f>([412]L!R32*'D(Ti_Audétat23) Times'!$F32*0.000001)^2/(4*'D(Ti_Audétat23) Times'!$C32)/(365.35*24*3600)</f>
        <v>1245.8863733509077</v>
      </c>
      <c r="R32" s="2">
        <f>([412]L!S32*'D(Ti_Audétat23) Times'!$F32*0.000001)^2/(4*'D(Ti_Audétat23) Times'!$C32)/(365.35*24*3600)</f>
        <v>1928.5231489597054</v>
      </c>
      <c r="S32" s="2">
        <f>([412]L!T32*'D(Ti_Audétat23) Times'!$F32*0.000001)^2/(4*'D(Ti_Audétat23) Times'!$C32)/(365.35*24*3600)</f>
        <v>1309.4829338438424</v>
      </c>
      <c r="T32" s="2"/>
      <c r="U32" s="2">
        <f>([412]L!V32*'D(Ti_Audétat23) Times'!$F32*0.000001)^2/(4*'D(Ti_Audétat23) Times'!$C32)/(365.35*24*3600)</f>
        <v>4039.2740753196645</v>
      </c>
      <c r="V32" s="2">
        <f>([412]L!W32*'D(Ti_Audétat23) Times'!$F32*0.000001)^2/(4*'D(Ti_Audétat23) Times'!$C32)/(365.35*24*3600)</f>
        <v>2711.4464047318347</v>
      </c>
      <c r="W32" s="2">
        <f>([412]L!X32*'D(Ti_Audétat23) Times'!$F32*0.000001)^2/(4*'D(Ti_Audétat23) Times'!$C32)/(365.35*24*3600)</f>
        <v>2022.8475779260323</v>
      </c>
      <c r="X32" s="2"/>
      <c r="Y32" s="2">
        <f>([412]L!Z32*'D(Ti_Audétat23) Times'!$F32*0.000001)^2/(4*'D(Ti_Audétat23) Times'!$C32)/(365.35*24*3600)</f>
        <v>3847.0113376882246</v>
      </c>
      <c r="Z32" s="2">
        <f>([412]L!AB32*'D(Ti_Audétat23) Times'!$F32*0.000001)^2/(4*'D(Ti_Audétat23) Times'!$C32)/(365.35*24*3600)</f>
        <v>3391.1532414796388</v>
      </c>
      <c r="AA32" s="2">
        <f>([412]L!AC32*'D(Ti_Audétat23) Times'!$F32*0.000001)^2/(4*'D(Ti_Audétat23) Times'!$C32)/(365.35*24*3600)</f>
        <v>119.90264826297376</v>
      </c>
      <c r="AB32" s="2">
        <f>([412]L!AD32*'D(Ti_Audétat23) Times'!$F32*0.000001)^2/(4*'D(Ti_Audétat23) Times'!$C32)/(365.35*24*3600)</f>
        <v>10211.494245910095</v>
      </c>
      <c r="AC32" s="2">
        <f t="shared" si="1"/>
        <v>3271.250593216665</v>
      </c>
      <c r="AD32" s="2">
        <f t="shared" si="2"/>
        <v>6820.3410044304565</v>
      </c>
    </row>
    <row r="33" spans="1:30" x14ac:dyDescent="0.2">
      <c r="A33" t="str">
        <f>[412]L!A33</f>
        <v>CGI001-qtz09-CL-fit-1-offset</v>
      </c>
      <c r="B33">
        <v>750</v>
      </c>
      <c r="C33">
        <f t="shared" si="3"/>
        <v>1.1456341375347871E-23</v>
      </c>
      <c r="D33">
        <v>1500</v>
      </c>
      <c r="E33">
        <v>1024</v>
      </c>
      <c r="F33">
        <f t="shared" si="0"/>
        <v>1.46484375</v>
      </c>
      <c r="I33" s="2">
        <f>([412]L!J33*'D(Ti_Audétat23) Times'!$F33*0.000001)^2/(4*'D(Ti_Audétat23) Times'!$C33)/(365.35*24*3600)</f>
        <v>40407.547311731352</v>
      </c>
      <c r="J33" s="2">
        <f>([412]L!K33*'D(Ti_Audétat23) Times'!$F33*0.000001)^2/(4*'D(Ti_Audétat23) Times'!$C33)/(365.35*24*3600)</f>
        <v>37421.018983320675</v>
      </c>
      <c r="K33" s="2">
        <f>([412]L!L33*'D(Ti_Audétat23) Times'!$F33*0.000001)^2/(4*'D(Ti_Audétat23) Times'!$C33)/(365.35*24*3600)</f>
        <v>31284.116388263657</v>
      </c>
      <c r="L33" s="2">
        <f>([412]L!M33*'D(Ti_Audétat23) Times'!$F33*0.000001)^2/(4*'D(Ti_Audétat23) Times'!$C33)/(365.35*24*3600)</f>
        <v>58420.672867471112</v>
      </c>
      <c r="M33" s="2">
        <f>([412]L!N33*'D(Ti_Audétat23) Times'!$F33*0.000001)^2/(4*'D(Ti_Audétat23) Times'!$C33)/(365.35*24*3600)</f>
        <v>31086.307979259265</v>
      </c>
      <c r="N33" s="2">
        <f>([412]L!O33*'D(Ti_Audétat23) Times'!$F33*0.000001)^2/(4*'D(Ti_Audétat23) Times'!$C33)/(365.35*24*3600)</f>
        <v>74890.683390038059</v>
      </c>
      <c r="O33" s="2">
        <f>([412]L!P33*'D(Ti_Audétat23) Times'!$F33*0.000001)^2/(4*'D(Ti_Audétat23) Times'!$C33)/(365.35*24*3600)</f>
        <v>26870.969968453937</v>
      </c>
      <c r="P33" s="2">
        <f>([412]L!Q33*'D(Ti_Audétat23) Times'!$F33*0.000001)^2/(4*'D(Ti_Audétat23) Times'!$C33)/(365.35*24*3600)</f>
        <v>36502.410679861518</v>
      </c>
      <c r="Q33" s="2">
        <f>([412]L!R33*'D(Ti_Audétat23) Times'!$F33*0.000001)^2/(4*'D(Ti_Audétat23) Times'!$C33)/(365.35*24*3600)</f>
        <v>60340.477359644668</v>
      </c>
      <c r="R33" s="2">
        <f>([412]L!S33*'D(Ti_Audétat23) Times'!$F33*0.000001)^2/(4*'D(Ti_Audétat23) Times'!$C33)/(365.35*24*3600)</f>
        <v>25276.911864177218</v>
      </c>
      <c r="S33" s="2">
        <f>([412]L!T33*'D(Ti_Audétat23) Times'!$F33*0.000001)^2/(4*'D(Ti_Audétat23) Times'!$C33)/(365.35*24*3600)</f>
        <v>38330.499848684885</v>
      </c>
      <c r="T33" s="2"/>
      <c r="U33" s="2">
        <f>([412]L!V33*'D(Ti_Audétat23) Times'!$F33*0.000001)^2/(4*'D(Ti_Audétat23) Times'!$C33)/(365.35*24*3600)</f>
        <v>40564.0766437735</v>
      </c>
      <c r="V33" s="2">
        <f>([412]L!W33*'D(Ti_Audétat23) Times'!$F33*0.000001)^2/(4*'D(Ti_Audétat23) Times'!$C33)/(365.35*24*3600)</f>
        <v>40672.057534713553</v>
      </c>
      <c r="W33" s="2">
        <f>([412]L!X33*'D(Ti_Audétat23) Times'!$F33*0.000001)^2/(4*'D(Ti_Audétat23) Times'!$C33)/(365.35*24*3600)</f>
        <v>37421.018983320675</v>
      </c>
      <c r="X33" s="2"/>
      <c r="Y33" s="2">
        <f>([412]L!Z33*'D(Ti_Audétat23) Times'!$F33*0.000001)^2/(4*'D(Ti_Audétat23) Times'!$C33)/(365.35*24*3600)</f>
        <v>42130.983914891112</v>
      </c>
      <c r="Z33" s="2">
        <f>([412]L!AB33*'D(Ti_Audétat23) Times'!$F33*0.000001)^2/(4*'D(Ti_Audétat23) Times'!$C33)/(365.35*24*3600)</f>
        <v>41340.289247084496</v>
      </c>
      <c r="AA33" s="2">
        <f>([412]L!AC33*'D(Ti_Audétat23) Times'!$F33*0.000001)^2/(4*'D(Ti_Audétat23) Times'!$C33)/(365.35*24*3600)</f>
        <v>19196.561608702843</v>
      </c>
      <c r="AB33" s="2">
        <f>([412]L!AD33*'D(Ti_Audétat23) Times'!$F33*0.000001)^2/(4*'D(Ti_Audétat23) Times'!$C33)/(365.35*24*3600)</f>
        <v>75838.237873442617</v>
      </c>
      <c r="AC33" s="2">
        <f t="shared" si="1"/>
        <v>22143.727638381653</v>
      </c>
      <c r="AD33" s="2">
        <f t="shared" si="2"/>
        <v>34497.94862635812</v>
      </c>
    </row>
    <row r="34" spans="1:30" x14ac:dyDescent="0.2">
      <c r="A34" t="str">
        <f>[412]L!A34</f>
        <v>CGI001-qtz09-CL-fit-2-offset</v>
      </c>
      <c r="B34">
        <v>750</v>
      </c>
      <c r="C34">
        <f t="shared" si="3"/>
        <v>1.1456341375347871E-23</v>
      </c>
      <c r="D34">
        <v>1500</v>
      </c>
      <c r="E34">
        <v>1024</v>
      </c>
      <c r="F34">
        <f t="shared" si="0"/>
        <v>1.46484375</v>
      </c>
      <c r="I34" s="2">
        <f>([412]L!J34*'D(Ti_Audétat23) Times'!$F34*0.000001)^2/(4*'D(Ti_Audétat23) Times'!$C34)/(365.35*24*3600)</f>
        <v>14101.018085576605</v>
      </c>
      <c r="J34" s="2">
        <f>([412]L!K34*'D(Ti_Audétat23) Times'!$F34*0.000001)^2/(4*'D(Ti_Audétat23) Times'!$C34)/(365.35*24*3600)</f>
        <v>1804.7491105238992</v>
      </c>
      <c r="K34" s="2">
        <f>([412]L!L34*'D(Ti_Audétat23) Times'!$F34*0.000001)^2/(4*'D(Ti_Audétat23) Times'!$C34)/(365.35*24*3600)</f>
        <v>12672.285544147249</v>
      </c>
      <c r="L34" s="2">
        <f>([412]L!M34*'D(Ti_Audétat23) Times'!$F34*0.000001)^2/(4*'D(Ti_Audétat23) Times'!$C34)/(365.35*24*3600)</f>
        <v>12522.691784671486</v>
      </c>
      <c r="M34" s="2">
        <f>([412]L!N34*'D(Ti_Audétat23) Times'!$F34*0.000001)^2/(4*'D(Ti_Audétat23) Times'!$C34)/(365.35*24*3600)</f>
        <v>8269.8536316092086</v>
      </c>
      <c r="N34" s="2">
        <f>([412]L!O34*'D(Ti_Audétat23) Times'!$F34*0.000001)^2/(4*'D(Ti_Audétat23) Times'!$C34)/(365.35*24*3600)</f>
        <v>3581.5745078251844</v>
      </c>
      <c r="O34" s="2">
        <f>([412]L!P34*'D(Ti_Audétat23) Times'!$F34*0.000001)^2/(4*'D(Ti_Audétat23) Times'!$C34)/(365.35*24*3600)</f>
        <v>21336.751595123806</v>
      </c>
      <c r="P34" s="2">
        <f>([412]L!Q34*'D(Ti_Audétat23) Times'!$F34*0.000001)^2/(4*'D(Ti_Audétat23) Times'!$C34)/(365.35*24*3600)</f>
        <v>8204.1269567392137</v>
      </c>
      <c r="Q34" s="2">
        <f>([412]L!R34*'D(Ti_Audétat23) Times'!$F34*0.000001)^2/(4*'D(Ti_Audétat23) Times'!$C34)/(365.35*24*3600)</f>
        <v>1223.9305392031001</v>
      </c>
      <c r="R34" s="2">
        <f>([412]L!S34*'D(Ti_Audétat23) Times'!$F34*0.000001)^2/(4*'D(Ti_Audétat23) Times'!$C34)/(365.35*24*3600)</f>
        <v>2727.8839117605835</v>
      </c>
      <c r="S34" s="2">
        <f>([412]L!T34*'D(Ti_Audétat23) Times'!$F34*0.000001)^2/(4*'D(Ti_Audétat23) Times'!$C34)/(365.35*24*3600)</f>
        <v>18306.086890874285</v>
      </c>
      <c r="T34" s="2"/>
      <c r="U34" s="2">
        <f>([412]L!V34*'D(Ti_Audétat23) Times'!$F34*0.000001)^2/(4*'D(Ti_Audétat23) Times'!$C34)/(365.35*24*3600)</f>
        <v>9876.2714091343169</v>
      </c>
      <c r="V34" s="2">
        <f>([412]L!W34*'D(Ti_Audétat23) Times'!$F34*0.000001)^2/(4*'D(Ti_Audétat23) Times'!$C34)/(365.35*24*3600)</f>
        <v>8192.7621502103557</v>
      </c>
      <c r="W34" s="2">
        <f>([412]L!X34*'D(Ti_Audétat23) Times'!$F34*0.000001)^2/(4*'D(Ti_Audétat23) Times'!$C34)/(365.35*24*3600)</f>
        <v>8269.8536316092086</v>
      </c>
      <c r="X34" s="2"/>
      <c r="Y34" s="2">
        <f>([412]L!Z34*'D(Ti_Audétat23) Times'!$F34*0.000001)^2/(4*'D(Ti_Audétat23) Times'!$C34)/(365.35*24*3600)</f>
        <v>8453.2668379815477</v>
      </c>
      <c r="Z34" s="2">
        <f>([412]L!AB34*'D(Ti_Audétat23) Times'!$F34*0.000001)^2/(4*'D(Ti_Audétat23) Times'!$C34)/(365.35*24*3600)</f>
        <v>7870.8440263578832</v>
      </c>
      <c r="AA34" s="2">
        <f>([412]L!AC34*'D(Ti_Audétat23) Times'!$F34*0.000001)^2/(4*'D(Ti_Audétat23) Times'!$C34)/(365.35*24*3600)</f>
        <v>38.931645718600919</v>
      </c>
      <c r="AB34" s="2">
        <f>([412]L!AD34*'D(Ti_Audétat23) Times'!$F34*0.000001)^2/(4*'D(Ti_Audétat23) Times'!$C34)/(365.35*24*3600)</f>
        <v>34656.098351390974</v>
      </c>
      <c r="AC34" s="2">
        <f t="shared" si="1"/>
        <v>7831.9123806392827</v>
      </c>
      <c r="AD34" s="2">
        <f t="shared" si="2"/>
        <v>26785.254325033093</v>
      </c>
    </row>
    <row r="35" spans="1:30" x14ac:dyDescent="0.2">
      <c r="A35" t="str">
        <f>[412]L!A35</f>
        <v>CGI001-qtz09-CL-fit-3-offset</v>
      </c>
      <c r="B35">
        <v>750</v>
      </c>
      <c r="C35">
        <f t="shared" si="3"/>
        <v>1.1456341375347871E-23</v>
      </c>
      <c r="D35">
        <v>1500</v>
      </c>
      <c r="E35">
        <v>1024</v>
      </c>
      <c r="F35">
        <f t="shared" si="0"/>
        <v>1.46484375</v>
      </c>
      <c r="I35" s="2">
        <f>([412]L!J35*'D(Ti_Audétat23) Times'!$F35*0.000001)^2/(4*'D(Ti_Audétat23) Times'!$C35)/(365.35*24*3600)</f>
        <v>9921.3491028986573</v>
      </c>
      <c r="J35" s="2">
        <f>([412]L!K35*'D(Ti_Audétat23) Times'!$F35*0.000001)^2/(4*'D(Ti_Audétat23) Times'!$C35)/(365.35*24*3600)</f>
        <v>16792.756876395662</v>
      </c>
      <c r="K35" s="2">
        <f>([412]L!L35*'D(Ti_Audétat23) Times'!$F35*0.000001)^2/(4*'D(Ti_Audétat23) Times'!$C35)/(365.35*24*3600)</f>
        <v>3813.3039224723075</v>
      </c>
      <c r="L35" s="2">
        <f>([412]L!M35*'D(Ti_Audétat23) Times'!$F35*0.000001)^2/(4*'D(Ti_Audétat23) Times'!$C35)/(365.35*24*3600)</f>
        <v>7149.5249674973575</v>
      </c>
      <c r="M35" s="2">
        <f>([412]L!N35*'D(Ti_Audétat23) Times'!$F35*0.000001)^2/(4*'D(Ti_Audétat23) Times'!$C35)/(365.35*24*3600)</f>
        <v>7827.2977990389754</v>
      </c>
      <c r="N35" s="2">
        <f>([412]L!O35*'D(Ti_Audétat23) Times'!$F35*0.000001)^2/(4*'D(Ti_Audétat23) Times'!$C35)/(365.35*24*3600)</f>
        <v>2903.8567802801595</v>
      </c>
      <c r="O35" s="2">
        <f>([412]L!P35*'D(Ti_Audétat23) Times'!$F35*0.000001)^2/(4*'D(Ti_Audétat23) Times'!$C35)/(365.35*24*3600)</f>
        <v>3925.5541233972208</v>
      </c>
      <c r="P35" s="2">
        <f>([412]L!Q35*'D(Ti_Audétat23) Times'!$F35*0.000001)^2/(4*'D(Ti_Audétat23) Times'!$C35)/(365.35*24*3600)</f>
        <v>5170.2005141823856</v>
      </c>
      <c r="Q35" s="2">
        <f>([412]L!R35*'D(Ti_Audétat23) Times'!$F35*0.000001)^2/(4*'D(Ti_Audétat23) Times'!$C35)/(365.35*24*3600)</f>
        <v>8797.8017607220117</v>
      </c>
      <c r="R35" s="2">
        <f>([412]L!S35*'D(Ti_Audétat23) Times'!$F35*0.000001)^2/(4*'D(Ti_Audétat23) Times'!$C35)/(365.35*24*3600)</f>
        <v>4237.505996710981</v>
      </c>
      <c r="S35" s="2">
        <f>([412]L!T35*'D(Ti_Audétat23) Times'!$F35*0.000001)^2/(4*'D(Ti_Audétat23) Times'!$C35)/(365.35*24*3600)</f>
        <v>70.289077985853339</v>
      </c>
      <c r="T35" s="2"/>
      <c r="U35" s="2">
        <f>([412]L!V35*'D(Ti_Audétat23) Times'!$F35*0.000001)^2/(4*'D(Ti_Audétat23) Times'!$C35)/(365.35*24*3600)</f>
        <v>4262.6296897510792</v>
      </c>
      <c r="V35" s="2">
        <f>([412]L!W35*'D(Ti_Audétat23) Times'!$F35*0.000001)^2/(4*'D(Ti_Audétat23) Times'!$C35)/(365.35*24*3600)</f>
        <v>5552.8788624027584</v>
      </c>
      <c r="W35" s="2">
        <f>([412]L!X35*'D(Ti_Audétat23) Times'!$F35*0.000001)^2/(4*'D(Ti_Audétat23) Times'!$C35)/(365.35*24*3600)</f>
        <v>5170.2005141823856</v>
      </c>
      <c r="X35" s="2"/>
      <c r="Y35" s="2">
        <f>([412]L!Z35*'D(Ti_Audétat23) Times'!$F35*0.000001)^2/(4*'D(Ti_Audétat23) Times'!$C35)/(365.35*24*3600)</f>
        <v>4700.5767016739901</v>
      </c>
      <c r="Z35" s="2">
        <f>([412]L!AB35*'D(Ti_Audétat23) Times'!$F35*0.000001)^2/(4*'D(Ti_Audétat23) Times'!$C35)/(365.35*24*3600)</f>
        <v>5966.2391524737723</v>
      </c>
      <c r="AA35" s="2">
        <f>([412]L!AC35*'D(Ti_Audétat23) Times'!$F35*0.000001)^2/(4*'D(Ti_Audétat23) Times'!$C35)/(365.35*24*3600)</f>
        <v>85.117772086918123</v>
      </c>
      <c r="AB35" s="2">
        <f>([412]L!AD35*'D(Ti_Audétat23) Times'!$F35*0.000001)^2/(4*'D(Ti_Audétat23) Times'!$C35)/(365.35*24*3600)</f>
        <v>43110.788270007979</v>
      </c>
      <c r="AC35" s="2">
        <f t="shared" si="1"/>
        <v>5881.1213803868541</v>
      </c>
      <c r="AD35" s="2">
        <f t="shared" si="2"/>
        <v>37144.549117534203</v>
      </c>
    </row>
    <row r="36" spans="1:30" x14ac:dyDescent="0.2">
      <c r="A36" t="str">
        <f>[412]L!A36</f>
        <v>CGI001-qtz10-CL-fit-1-offset</v>
      </c>
      <c r="B36">
        <v>750</v>
      </c>
      <c r="C36">
        <f t="shared" si="3"/>
        <v>1.1456341375347871E-23</v>
      </c>
      <c r="D36">
        <v>2000</v>
      </c>
      <c r="E36">
        <v>1024</v>
      </c>
      <c r="F36">
        <f t="shared" si="0"/>
        <v>1.953125</v>
      </c>
      <c r="I36" s="2">
        <f>([412]L!J36*'D(Ti_Audétat23) Times'!$F36*0.000001)^2/(4*'D(Ti_Audétat23) Times'!$C36)/(365.35*24*3600)</f>
        <v>62267.665980665748</v>
      </c>
      <c r="J36" s="2">
        <f>([412]L!K36*'D(Ti_Audétat23) Times'!$F36*0.000001)^2/(4*'D(Ti_Audétat23) Times'!$C36)/(365.35*24*3600)</f>
        <v>54596.878891353415</v>
      </c>
      <c r="K36" s="2">
        <f>([412]L!L36*'D(Ti_Audétat23) Times'!$F36*0.000001)^2/(4*'D(Ti_Audétat23) Times'!$C36)/(365.35*24*3600)</f>
        <v>41054.523507857222</v>
      </c>
      <c r="L36" s="2">
        <f>([412]L!M36*'D(Ti_Audétat23) Times'!$F36*0.000001)^2/(4*'D(Ti_Audétat23) Times'!$C36)/(365.35*24*3600)</f>
        <v>59219.6089312404</v>
      </c>
      <c r="M36" s="2">
        <f>([412]L!N36*'D(Ti_Audétat23) Times'!$F36*0.000001)^2/(4*'D(Ti_Audétat23) Times'!$C36)/(365.35*24*3600)</f>
        <v>32594.520946625598</v>
      </c>
      <c r="N36" s="2">
        <f>([412]L!O36*'D(Ti_Audétat23) Times'!$F36*0.000001)^2/(4*'D(Ti_Audétat23) Times'!$C36)/(365.35*24*3600)</f>
        <v>60511.5664635051</v>
      </c>
      <c r="O36" s="2">
        <f>([412]L!P36*'D(Ti_Audétat23) Times'!$F36*0.000001)^2/(4*'D(Ti_Audétat23) Times'!$C36)/(365.35*24*3600)</f>
        <v>48764.766562396318</v>
      </c>
      <c r="P36" s="2">
        <f>([412]L!Q36*'D(Ti_Audétat23) Times'!$F36*0.000001)^2/(4*'D(Ti_Audétat23) Times'!$C36)/(365.35*24*3600)</f>
        <v>57489.700477883685</v>
      </c>
      <c r="Q36" s="2">
        <f>([412]L!R36*'D(Ti_Audétat23) Times'!$F36*0.000001)^2/(4*'D(Ti_Audétat23) Times'!$C36)/(365.35*24*3600)</f>
        <v>86118.550185782427</v>
      </c>
      <c r="R36" s="2">
        <f>([412]L!S36*'D(Ti_Audétat23) Times'!$F36*0.000001)^2/(4*'D(Ti_Audétat23) Times'!$C36)/(365.35*24*3600)</f>
        <v>81382.826505947363</v>
      </c>
      <c r="S36" s="2">
        <f>([412]L!T36*'D(Ti_Audétat23) Times'!$F36*0.000001)^2/(4*'D(Ti_Audétat23) Times'!$C36)/(365.35*24*3600)</f>
        <v>61414.006187214603</v>
      </c>
      <c r="T36" s="2"/>
      <c r="U36" s="2">
        <f>([412]L!V36*'D(Ti_Audétat23) Times'!$F36*0.000001)^2/(4*'D(Ti_Audétat23) Times'!$C36)/(365.35*24*3600)</f>
        <v>58571.850388555635</v>
      </c>
      <c r="V36" s="2">
        <f>([412]L!W36*'D(Ti_Audétat23) Times'!$F36*0.000001)^2/(4*'D(Ti_Audétat23) Times'!$C36)/(365.35*24*3600)</f>
        <v>57724.323642257499</v>
      </c>
      <c r="W36" s="2">
        <f>([412]L!X36*'D(Ti_Audétat23) Times'!$F36*0.000001)^2/(4*'D(Ti_Audétat23) Times'!$C36)/(365.35*24*3600)</f>
        <v>59219.6089312404</v>
      </c>
      <c r="X36" s="2"/>
      <c r="Y36" s="2">
        <f>([412]L!Z36*'D(Ti_Audétat23) Times'!$F36*0.000001)^2/(4*'D(Ti_Audétat23) Times'!$C36)/(365.35*24*3600)</f>
        <v>57580.569436327045</v>
      </c>
      <c r="Z36" s="2">
        <f>([412]L!AB36*'D(Ti_Audétat23) Times'!$F36*0.000001)^2/(4*'D(Ti_Audétat23) Times'!$C36)/(365.35*24*3600)</f>
        <v>57750.267575367907</v>
      </c>
      <c r="AA36" s="2">
        <f>([412]L!AC36*'D(Ti_Audétat23) Times'!$F36*0.000001)^2/(4*'D(Ti_Audétat23) Times'!$C36)/(365.35*24*3600)</f>
        <v>29327.175818318821</v>
      </c>
      <c r="AB36" s="2">
        <f>([412]L!AD36*'D(Ti_Audétat23) Times'!$F36*0.000001)^2/(4*'D(Ti_Audétat23) Times'!$C36)/(365.35*24*3600)</f>
        <v>95639.699473637404</v>
      </c>
      <c r="AC36" s="2">
        <f t="shared" si="1"/>
        <v>28423.091757049086</v>
      </c>
      <c r="AD36" s="2">
        <f t="shared" si="2"/>
        <v>37889.431898269497</v>
      </c>
    </row>
    <row r="37" spans="1:30" x14ac:dyDescent="0.2">
      <c r="A37" t="str">
        <f>[412]L!A37</f>
        <v>CGI001-qtz10-CL-fit-2</v>
      </c>
      <c r="B37">
        <v>750</v>
      </c>
      <c r="C37">
        <f t="shared" si="3"/>
        <v>1.1456341375347871E-23</v>
      </c>
      <c r="D37">
        <v>2000</v>
      </c>
      <c r="E37">
        <v>1024</v>
      </c>
      <c r="F37">
        <f t="shared" si="0"/>
        <v>1.953125</v>
      </c>
      <c r="I37" s="2">
        <f>([412]L!J37*'D(Ti_Audétat23) Times'!$F37*0.000001)^2/(4*'D(Ti_Audétat23) Times'!$C37)/(365.35*24*3600)</f>
        <v>28588.373589464474</v>
      </c>
      <c r="J37" s="2">
        <f>([412]L!K37*'D(Ti_Audétat23) Times'!$F37*0.000001)^2/(4*'D(Ti_Audétat23) Times'!$C37)/(365.35*24*3600)</f>
        <v>14045.450666310866</v>
      </c>
      <c r="K37" s="2">
        <f>([412]L!L37*'D(Ti_Audétat23) Times'!$F37*0.000001)^2/(4*'D(Ti_Audétat23) Times'!$C37)/(365.35*24*3600)</f>
        <v>37065.95563611712</v>
      </c>
      <c r="L37" s="2">
        <f>([412]L!M37*'D(Ti_Audétat23) Times'!$F37*0.000001)^2/(4*'D(Ti_Audétat23) Times'!$C37)/(365.35*24*3600)</f>
        <v>16391.522308656902</v>
      </c>
      <c r="M37" s="2">
        <f>([412]L!N37*'D(Ti_Audétat23) Times'!$F37*0.000001)^2/(4*'D(Ti_Audétat23) Times'!$C37)/(365.35*24*3600)</f>
        <v>16459.789705406001</v>
      </c>
      <c r="N37" s="2">
        <f>([412]L!O37*'D(Ti_Audétat23) Times'!$F37*0.000001)^2/(4*'D(Ti_Audétat23) Times'!$C37)/(365.35*24*3600)</f>
        <v>22110.180416389288</v>
      </c>
      <c r="O37" s="2">
        <f>([412]L!P37*'D(Ti_Audétat23) Times'!$F37*0.000001)^2/(4*'D(Ti_Audétat23) Times'!$C37)/(365.35*24*3600)</f>
        <v>19845.476170981765</v>
      </c>
      <c r="P37" s="2">
        <f>([412]L!Q37*'D(Ti_Audétat23) Times'!$F37*0.000001)^2/(4*'D(Ti_Audétat23) Times'!$C37)/(365.35*24*3600)</f>
        <v>27207.604747190835</v>
      </c>
      <c r="Q37" s="2">
        <f>([412]L!R37*'D(Ti_Audétat23) Times'!$F37*0.000001)^2/(4*'D(Ti_Audétat23) Times'!$C37)/(365.35*24*3600)</f>
        <v>21054.25996758831</v>
      </c>
      <c r="R37" s="2">
        <f>([412]L!S37*'D(Ti_Audétat23) Times'!$F37*0.000001)^2/(4*'D(Ti_Audétat23) Times'!$C37)/(365.35*24*3600)</f>
        <v>12246.33866307423</v>
      </c>
      <c r="S37" s="2">
        <f>([412]L!T37*'D(Ti_Audétat23) Times'!$F37*0.000001)^2/(4*'D(Ti_Audétat23) Times'!$C37)/(365.35*24*3600)</f>
        <v>12120.174896690682</v>
      </c>
      <c r="T37" s="2"/>
      <c r="U37" s="2">
        <f>([412]L!V37*'D(Ti_Audétat23) Times'!$F37*0.000001)^2/(4*'D(Ti_Audétat23) Times'!$C37)/(365.35*24*3600)</f>
        <v>18978.080738752611</v>
      </c>
      <c r="V37" s="2">
        <f>([412]L!W37*'D(Ti_Audétat23) Times'!$F37*0.000001)^2/(4*'D(Ti_Audétat23) Times'!$C37)/(365.35*24*3600)</f>
        <v>20030.397402945346</v>
      </c>
      <c r="W37" s="2">
        <f>([412]L!X37*'D(Ti_Audétat23) Times'!$F37*0.000001)^2/(4*'D(Ti_Audétat23) Times'!$C37)/(365.35*24*3600)</f>
        <v>19845.476170981765</v>
      </c>
      <c r="X37" s="2"/>
      <c r="Y37" s="2">
        <f>([412]L!Z37*'D(Ti_Audétat23) Times'!$F37*0.000001)^2/(4*'D(Ti_Audétat23) Times'!$C37)/(365.35*24*3600)</f>
        <v>18936.620414304434</v>
      </c>
      <c r="Z37" s="2">
        <f>([412]L!AB37*'D(Ti_Audétat23) Times'!$F37*0.000001)^2/(4*'D(Ti_Audétat23) Times'!$C37)/(365.35*24*3600)</f>
        <v>19147.504387888221</v>
      </c>
      <c r="AA37" s="2">
        <f>([412]L!AC37*'D(Ti_Audétat23) Times'!$F37*0.000001)^2/(4*'D(Ti_Audétat23) Times'!$C37)/(365.35*24*3600)</f>
        <v>9990.6870535574162</v>
      </c>
      <c r="AB37" s="2">
        <f>([412]L!AD37*'D(Ti_Audétat23) Times'!$F37*0.000001)^2/(4*'D(Ti_Audétat23) Times'!$C37)/(365.35*24*3600)</f>
        <v>33137.402674996607</v>
      </c>
      <c r="AC37" s="2">
        <f t="shared" si="1"/>
        <v>9156.8173343308044</v>
      </c>
      <c r="AD37" s="2">
        <f t="shared" si="2"/>
        <v>13989.898287108386</v>
      </c>
    </row>
    <row r="38" spans="1:30" x14ac:dyDescent="0.2">
      <c r="A38" t="str">
        <f>[412]L!A38</f>
        <v>CGI001-qtz10-CL-fit-3-offset</v>
      </c>
      <c r="B38">
        <v>750</v>
      </c>
      <c r="C38">
        <f t="shared" si="3"/>
        <v>1.1456341375347871E-23</v>
      </c>
      <c r="D38">
        <v>2000</v>
      </c>
      <c r="E38">
        <v>1024</v>
      </c>
      <c r="F38">
        <f t="shared" si="0"/>
        <v>1.953125</v>
      </c>
      <c r="I38" s="2">
        <f>([412]L!J38*'D(Ti_Audétat23) Times'!$F38*0.000001)^2/(4*'D(Ti_Audétat23) Times'!$C38)/(365.35*24*3600)</f>
        <v>533957.00604531192</v>
      </c>
      <c r="J38" s="2">
        <f>([412]L!K38*'D(Ti_Audétat23) Times'!$F38*0.000001)^2/(4*'D(Ti_Audétat23) Times'!$C38)/(365.35*24*3600)</f>
        <v>645318.28961901006</v>
      </c>
      <c r="K38" s="2">
        <f>([412]L!L38*'D(Ti_Audétat23) Times'!$F38*0.000001)^2/(4*'D(Ti_Audétat23) Times'!$C38)/(365.35*24*3600)</f>
        <v>643957.65472934162</v>
      </c>
      <c r="L38" s="2">
        <f>([412]L!M38*'D(Ti_Audétat23) Times'!$F38*0.000001)^2/(4*'D(Ti_Audétat23) Times'!$C38)/(365.35*24*3600)</f>
        <v>560340.80831391329</v>
      </c>
      <c r="M38" s="2">
        <f>([412]L!N38*'D(Ti_Audétat23) Times'!$F38*0.000001)^2/(4*'D(Ti_Audétat23) Times'!$C38)/(365.35*24*3600)</f>
        <v>502351.28478203964</v>
      </c>
      <c r="N38" s="2">
        <f>([412]L!O38*'D(Ti_Audétat23) Times'!$F38*0.000001)^2/(4*'D(Ti_Audétat23) Times'!$C38)/(365.35*24*3600)</f>
        <v>508873.72392347595</v>
      </c>
      <c r="O38" s="2">
        <f>([412]L!P38*'D(Ti_Audétat23) Times'!$F38*0.000001)^2/(4*'D(Ti_Audétat23) Times'!$C38)/(365.35*24*3600)</f>
        <v>432490.84346994234</v>
      </c>
      <c r="P38" s="2">
        <f>([412]L!Q38*'D(Ti_Audétat23) Times'!$F38*0.000001)^2/(4*'D(Ti_Audétat23) Times'!$C38)/(365.35*24*3600)</f>
        <v>538294.5421096686</v>
      </c>
      <c r="Q38" s="2">
        <f>([412]L!R38*'D(Ti_Audétat23) Times'!$F38*0.000001)^2/(4*'D(Ti_Audétat23) Times'!$C38)/(365.35*24*3600)</f>
        <v>481456.52465916442</v>
      </c>
      <c r="R38" s="2">
        <f>([412]L!S38*'D(Ti_Audétat23) Times'!$F38*0.000001)^2/(4*'D(Ti_Audétat23) Times'!$C38)/(365.35*24*3600)</f>
        <v>430647.02937178232</v>
      </c>
      <c r="S38" s="2">
        <f>([412]L!T38*'D(Ti_Audétat23) Times'!$F38*0.000001)^2/(4*'D(Ti_Audétat23) Times'!$C38)/(365.35*24*3600)</f>
        <v>306780.46289666567</v>
      </c>
      <c r="T38" s="2"/>
      <c r="U38" s="2">
        <f>([412]L!V38*'D(Ti_Audétat23) Times'!$F38*0.000001)^2/(4*'D(Ti_Audétat23) Times'!$C38)/(365.35*24*3600)</f>
        <v>500425.58608789509</v>
      </c>
      <c r="V38" s="2">
        <f>([412]L!W38*'D(Ti_Audétat23) Times'!$F38*0.000001)^2/(4*'D(Ti_Audétat23) Times'!$C38)/(365.35*24*3600)</f>
        <v>503132.56161177228</v>
      </c>
      <c r="W38" s="2">
        <f>([412]L!X38*'D(Ti_Audétat23) Times'!$F38*0.000001)^2/(4*'D(Ti_Audétat23) Times'!$C38)/(365.35*24*3600)</f>
        <v>508873.72392347595</v>
      </c>
      <c r="X38" s="2"/>
      <c r="Y38" s="2">
        <f>([412]L!Z38*'D(Ti_Audétat23) Times'!$F38*0.000001)^2/(4*'D(Ti_Audétat23) Times'!$C38)/(365.35*24*3600)</f>
        <v>492091.30855454569</v>
      </c>
      <c r="Z38" s="2">
        <f>([412]L!AB38*'D(Ti_Audétat23) Times'!$F38*0.000001)^2/(4*'D(Ti_Audétat23) Times'!$C38)/(365.35*24*3600)</f>
        <v>501721.12777074217</v>
      </c>
      <c r="AA38" s="2">
        <f>([412]L!AC38*'D(Ti_Audétat23) Times'!$F38*0.000001)^2/(4*'D(Ti_Audétat23) Times'!$C38)/(365.35*24*3600)</f>
        <v>347690.56048655749</v>
      </c>
      <c r="AB38" s="2">
        <f>([412]L!AD38*'D(Ti_Audétat23) Times'!$F38*0.000001)^2/(4*'D(Ti_Audétat23) Times'!$C38)/(365.35*24*3600)</f>
        <v>692157.05308434332</v>
      </c>
      <c r="AC38" s="2">
        <f t="shared" si="1"/>
        <v>154030.56728418468</v>
      </c>
      <c r="AD38" s="2">
        <f t="shared" si="2"/>
        <v>190435.92531360115</v>
      </c>
    </row>
    <row r="39" spans="1:30" x14ac:dyDescent="0.2">
      <c r="A39" t="str">
        <f>[412]L!A39</f>
        <v>CGI001-qtz10-CL-fit-4</v>
      </c>
      <c r="B39">
        <v>750</v>
      </c>
      <c r="C39">
        <f t="shared" si="3"/>
        <v>1.1456341375347871E-23</v>
      </c>
      <c r="D39">
        <v>2000</v>
      </c>
      <c r="E39">
        <v>1024</v>
      </c>
      <c r="F39">
        <f t="shared" si="0"/>
        <v>1.953125</v>
      </c>
      <c r="I39" s="2">
        <f>([412]L!J39*'D(Ti_Audétat23) Times'!$F39*0.000001)^2/(4*'D(Ti_Audétat23) Times'!$C39)/(365.35*24*3600)</f>
        <v>11142.397039661706</v>
      </c>
      <c r="J39" s="2">
        <f>([412]L!K39*'D(Ti_Audétat23) Times'!$F39*0.000001)^2/(4*'D(Ti_Audétat23) Times'!$C39)/(365.35*24*3600)</f>
        <v>12466.510026203074</v>
      </c>
      <c r="K39" s="2">
        <f>([412]L!L39*'D(Ti_Audétat23) Times'!$F39*0.000001)^2/(4*'D(Ti_Audétat23) Times'!$C39)/(365.35*24*3600)</f>
        <v>13997.673494458584</v>
      </c>
      <c r="L39" s="2">
        <f>([412]L!M39*'D(Ti_Audétat23) Times'!$F39*0.000001)^2/(4*'D(Ti_Audétat23) Times'!$C39)/(365.35*24*3600)</f>
        <v>9466.0797158084897</v>
      </c>
      <c r="M39" s="2">
        <f>([412]L!N39*'D(Ti_Audétat23) Times'!$F39*0.000001)^2/(4*'D(Ti_Audétat23) Times'!$C39)/(365.35*24*3600)</f>
        <v>6172.0178181291012</v>
      </c>
      <c r="N39" s="2">
        <f>([412]L!O39*'D(Ti_Audétat23) Times'!$F39*0.000001)^2/(4*'D(Ti_Audétat23) Times'!$C39)/(365.35*24*3600)</f>
        <v>8866.0010819986474</v>
      </c>
      <c r="O39" s="2">
        <f>([412]L!P39*'D(Ti_Audétat23) Times'!$F39*0.000001)^2/(4*'D(Ti_Audétat23) Times'!$C39)/(365.35*24*3600)</f>
        <v>14022.883033410342</v>
      </c>
      <c r="P39" s="2">
        <f>([412]L!Q39*'D(Ti_Audétat23) Times'!$F39*0.000001)^2/(4*'D(Ti_Audétat23) Times'!$C39)/(365.35*24*3600)</f>
        <v>13019.111104721866</v>
      </c>
      <c r="Q39" s="2">
        <f>([412]L!R39*'D(Ti_Audétat23) Times'!$F39*0.000001)^2/(4*'D(Ti_Audétat23) Times'!$C39)/(365.35*24*3600)</f>
        <v>11877.340688753582</v>
      </c>
      <c r="R39" s="2">
        <f>([412]L!S39*'D(Ti_Audétat23) Times'!$F39*0.000001)^2/(4*'D(Ti_Audétat23) Times'!$C39)/(365.35*24*3600)</f>
        <v>9717.7669353231977</v>
      </c>
      <c r="S39" s="2">
        <f>([412]L!T39*'D(Ti_Audétat23) Times'!$F39*0.000001)^2/(4*'D(Ti_Audétat23) Times'!$C39)/(365.35*24*3600)</f>
        <v>4949.9862617416084</v>
      </c>
      <c r="T39" s="2"/>
      <c r="U39" s="2">
        <f>([412]L!V39*'D(Ti_Audétat23) Times'!$F39*0.000001)^2/(4*'D(Ti_Audétat23) Times'!$C39)/(365.35*24*3600)</f>
        <v>10401.547415825293</v>
      </c>
      <c r="V39" s="2">
        <f>([412]L!W39*'D(Ti_Audétat23) Times'!$F39*0.000001)^2/(4*'D(Ti_Audétat23) Times'!$C39)/(365.35*24*3600)</f>
        <v>10292.580622222673</v>
      </c>
      <c r="W39" s="2">
        <f>([412]L!X39*'D(Ti_Audétat23) Times'!$F39*0.000001)^2/(4*'D(Ti_Audétat23) Times'!$C39)/(365.35*24*3600)</f>
        <v>11142.397039661706</v>
      </c>
      <c r="X39" s="2"/>
      <c r="Y39" s="2">
        <f>([412]L!Z39*'D(Ti_Audétat23) Times'!$F39*0.000001)^2/(4*'D(Ti_Audétat23) Times'!$C39)/(365.35*24*3600)</f>
        <v>10240.619442396659</v>
      </c>
      <c r="Z39" s="2">
        <f>([412]L!AB39*'D(Ti_Audétat23) Times'!$F39*0.000001)^2/(4*'D(Ti_Audétat23) Times'!$C39)/(365.35*24*3600)</f>
        <v>10244.649701937253</v>
      </c>
      <c r="AA39" s="2">
        <f>([412]L!AC39*'D(Ti_Audétat23) Times'!$F39*0.000001)^2/(4*'D(Ti_Audétat23) Times'!$C39)/(365.35*24*3600)</f>
        <v>4321.372570125608</v>
      </c>
      <c r="AB39" s="2">
        <f>([412]L!AD39*'D(Ti_Audétat23) Times'!$F39*0.000001)^2/(4*'D(Ti_Audétat23) Times'!$C39)/(365.35*24*3600)</f>
        <v>19444.789808404479</v>
      </c>
      <c r="AC39" s="2">
        <f t="shared" si="1"/>
        <v>5923.2771318116447</v>
      </c>
      <c r="AD39" s="2">
        <f t="shared" si="2"/>
        <v>9200.1401064672264</v>
      </c>
    </row>
    <row r="40" spans="1:30" x14ac:dyDescent="0.2">
      <c r="A40" t="str">
        <f>[412]L!A40</f>
        <v>CGI001-qtz10-CL-fit-5-offset</v>
      </c>
      <c r="B40">
        <v>750</v>
      </c>
      <c r="C40">
        <f t="shared" si="3"/>
        <v>1.1456341375347871E-23</v>
      </c>
      <c r="D40">
        <v>2000</v>
      </c>
      <c r="E40">
        <v>1024</v>
      </c>
      <c r="F40">
        <f t="shared" si="0"/>
        <v>1.953125</v>
      </c>
      <c r="I40" s="2">
        <f>([412]L!J40*'D(Ti_Audétat23) Times'!$F40*0.000001)^2/(4*'D(Ti_Audétat23) Times'!$C40)/(365.35*24*3600)</f>
        <v>2410.4730981524963</v>
      </c>
      <c r="J40" s="2">
        <f>([412]L!K40*'D(Ti_Audétat23) Times'!$F40*0.000001)^2/(4*'D(Ti_Audétat23) Times'!$C40)/(365.35*24*3600)</f>
        <v>3856.1307473893248</v>
      </c>
      <c r="K40" s="2">
        <f>([412]L!L40*'D(Ti_Audétat23) Times'!$F40*0.000001)^2/(4*'D(Ti_Audétat23) Times'!$C40)/(365.35*24*3600)</f>
        <v>3023.4225957381072</v>
      </c>
      <c r="L40" s="2">
        <f>([412]L!M40*'D(Ti_Audétat23) Times'!$F40*0.000001)^2/(4*'D(Ti_Audétat23) Times'!$C40)/(365.35*24*3600)</f>
        <v>3701.1635674496079</v>
      </c>
      <c r="M40" s="2">
        <f>([412]L!N40*'D(Ti_Audétat23) Times'!$F40*0.000001)^2/(4*'D(Ti_Audétat23) Times'!$C40)/(365.35*24*3600)</f>
        <v>2622.6416635704354</v>
      </c>
      <c r="N40" s="2">
        <f>([412]L!O40*'D(Ti_Audétat23) Times'!$F40*0.000001)^2/(4*'D(Ti_Audétat23) Times'!$C40)/(365.35*24*3600)</f>
        <v>2818.8276130862796</v>
      </c>
      <c r="O40" s="2">
        <f>([412]L!P40*'D(Ti_Audétat23) Times'!$F40*0.000001)^2/(4*'D(Ti_Audétat23) Times'!$C40)/(365.35*24*3600)</f>
        <v>1140.9083874537764</v>
      </c>
      <c r="P40" s="2">
        <f>([412]L!Q40*'D(Ti_Audétat23) Times'!$F40*0.000001)^2/(4*'D(Ti_Audétat23) Times'!$C40)/(365.35*24*3600)</f>
        <v>1437.0561752196368</v>
      </c>
      <c r="Q40" s="2">
        <f>([412]L!R40*'D(Ti_Audétat23) Times'!$F40*0.000001)^2/(4*'D(Ti_Audétat23) Times'!$C40)/(365.35*24*3600)</f>
        <v>1762.4075003213168</v>
      </c>
      <c r="R40" s="2">
        <f>([412]L!S40*'D(Ti_Audétat23) Times'!$F40*0.000001)^2/(4*'D(Ti_Audétat23) Times'!$C40)/(365.35*24*3600)</f>
        <v>2082.1725923850618</v>
      </c>
      <c r="S40" s="2">
        <f>([412]L!T40*'D(Ti_Audétat23) Times'!$F40*0.000001)^2/(4*'D(Ti_Audétat23) Times'!$C40)/(365.35*24*3600)</f>
        <v>3310.355388388436</v>
      </c>
      <c r="T40" s="2"/>
      <c r="U40" s="2">
        <f>([412]L!V40*'D(Ti_Audétat23) Times'!$F40*0.000001)^2/(4*'D(Ti_Audétat23) Times'!$C40)/(365.35*24*3600)</f>
        <v>3298.551214298694</v>
      </c>
      <c r="V40" s="2">
        <f>([412]L!W40*'D(Ti_Audétat23) Times'!$F40*0.000001)^2/(4*'D(Ti_Audétat23) Times'!$C40)/(365.35*24*3600)</f>
        <v>2483.2549316570362</v>
      </c>
      <c r="W40" s="2">
        <f>([412]L!X40*'D(Ti_Audétat23) Times'!$F40*0.000001)^2/(4*'D(Ti_Audétat23) Times'!$C40)/(365.35*24*3600)</f>
        <v>2622.6416635704354</v>
      </c>
      <c r="X40" s="2"/>
      <c r="Y40" s="2">
        <f>([412]L!Z40*'D(Ti_Audétat23) Times'!$F40*0.000001)^2/(4*'D(Ti_Audétat23) Times'!$C40)/(365.35*24*3600)</f>
        <v>2288.9129719510865</v>
      </c>
      <c r="Z40" s="2">
        <f>([412]L!AB40*'D(Ti_Audétat23) Times'!$F40*0.000001)^2/(4*'D(Ti_Audétat23) Times'!$C40)/(365.35*24*3600)</f>
        <v>2102.7189683647566</v>
      </c>
      <c r="AA40" s="2">
        <f>([412]L!AC40*'D(Ti_Audétat23) Times'!$F40*0.000001)^2/(4*'D(Ti_Audétat23) Times'!$C40)/(365.35*24*3600)</f>
        <v>96.00960482044772</v>
      </c>
      <c r="AB40" s="2">
        <f>([412]L!AD40*'D(Ti_Audétat23) Times'!$F40*0.000001)^2/(4*'D(Ti_Audétat23) Times'!$C40)/(365.35*24*3600)</f>
        <v>7100.6449356694457</v>
      </c>
      <c r="AC40" s="2">
        <f t="shared" si="1"/>
        <v>2006.7093635443089</v>
      </c>
      <c r="AD40" s="2">
        <f t="shared" si="2"/>
        <v>4997.925967304689</v>
      </c>
    </row>
    <row r="41" spans="1:30" x14ac:dyDescent="0.2">
      <c r="A41" t="str">
        <f>[412]L!A41</f>
        <v>CGI001-qtz11-CL-fit-1</v>
      </c>
      <c r="B41">
        <v>750</v>
      </c>
      <c r="C41">
        <f t="shared" si="3"/>
        <v>1.1456341375347871E-23</v>
      </c>
      <c r="D41">
        <v>1500</v>
      </c>
      <c r="E41">
        <v>1024</v>
      </c>
      <c r="F41">
        <f t="shared" si="0"/>
        <v>1.46484375</v>
      </c>
      <c r="I41" s="2">
        <f>([412]L!J41*'D(Ti_Audétat23) Times'!$F41*0.000001)^2/(4*'D(Ti_Audétat23) Times'!$C41)/(365.35*24*3600)</f>
        <v>166774.09506072511</v>
      </c>
      <c r="J41" s="2">
        <f>([412]L!K41*'D(Ti_Audétat23) Times'!$F41*0.000001)^2/(4*'D(Ti_Audétat23) Times'!$C41)/(365.35*24*3600)</f>
        <v>117642.00139886221</v>
      </c>
      <c r="K41" s="2">
        <f>([412]L!L41*'D(Ti_Audétat23) Times'!$F41*0.000001)^2/(4*'D(Ti_Audétat23) Times'!$C41)/(365.35*24*3600)</f>
        <v>161933.62060146319</v>
      </c>
      <c r="L41" s="2">
        <f>([412]L!M41*'D(Ti_Audétat23) Times'!$F41*0.000001)^2/(4*'D(Ti_Audétat23) Times'!$C41)/(365.35*24*3600)</f>
        <v>139318.05997843249</v>
      </c>
      <c r="M41" s="2">
        <f>([412]L!N41*'D(Ti_Audétat23) Times'!$F41*0.000001)^2/(4*'D(Ti_Audétat23) Times'!$C41)/(365.35*24*3600)</f>
        <v>261784.72325794274</v>
      </c>
      <c r="N41" s="2">
        <f>([412]L!O41*'D(Ti_Audétat23) Times'!$F41*0.000001)^2/(4*'D(Ti_Audétat23) Times'!$C41)/(365.35*24*3600)</f>
        <v>162230.19774916072</v>
      </c>
      <c r="O41" s="2">
        <f>([412]L!P41*'D(Ti_Audétat23) Times'!$F41*0.000001)^2/(4*'D(Ti_Audétat23) Times'!$C41)/(365.35*24*3600)</f>
        <v>195049.99069505447</v>
      </c>
      <c r="P41" s="2">
        <f>([412]L!Q41*'D(Ti_Audétat23) Times'!$F41*0.000001)^2/(4*'D(Ti_Audétat23) Times'!$C41)/(365.35*24*3600)</f>
        <v>168648.80153952245</v>
      </c>
      <c r="Q41" s="2">
        <f>([412]L!R41*'D(Ti_Audétat23) Times'!$F41*0.000001)^2/(4*'D(Ti_Audétat23) Times'!$C41)/(365.35*24*3600)</f>
        <v>116914.45359327637</v>
      </c>
      <c r="R41" s="2">
        <f>([412]L!S41*'D(Ti_Audétat23) Times'!$F41*0.000001)^2/(4*'D(Ti_Audétat23) Times'!$C41)/(365.35*24*3600)</f>
        <v>183248.52658493543</v>
      </c>
      <c r="S41" s="2">
        <f>([412]L!T41*'D(Ti_Audétat23) Times'!$F41*0.000001)^2/(4*'D(Ti_Audétat23) Times'!$C41)/(365.35*24*3600)</f>
        <v>140067.29505239526</v>
      </c>
      <c r="T41" s="2"/>
      <c r="U41" s="2">
        <f>([412]L!V41*'D(Ti_Audétat23) Times'!$F41*0.000001)^2/(4*'D(Ti_Audétat23) Times'!$C41)/(365.35*24*3600)</f>
        <v>159260.78347140385</v>
      </c>
      <c r="V41" s="2">
        <f>([412]L!W41*'D(Ti_Audétat23) Times'!$F41*0.000001)^2/(4*'D(Ti_Audétat23) Times'!$C41)/(365.35*24*3600)</f>
        <v>162777.90507570899</v>
      </c>
      <c r="W41" s="2">
        <f>([412]L!X41*'D(Ti_Audétat23) Times'!$F41*0.000001)^2/(4*'D(Ti_Audétat23) Times'!$C41)/(365.35*24*3600)</f>
        <v>162230.19774916072</v>
      </c>
      <c r="X41" s="2"/>
      <c r="Y41" s="2">
        <f>([412]L!Z41*'D(Ti_Audétat23) Times'!$F41*0.000001)^2/(4*'D(Ti_Audétat23) Times'!$C41)/(365.35*24*3600)</f>
        <v>160490.08578351993</v>
      </c>
      <c r="Z41" s="2">
        <f>([412]L!AB41*'D(Ti_Audétat23) Times'!$F41*0.000001)^2/(4*'D(Ti_Audétat23) Times'!$C41)/(365.35*24*3600)</f>
        <v>165417.82134185973</v>
      </c>
      <c r="AA41" s="2">
        <f>([412]L!AC41*'D(Ti_Audétat23) Times'!$F41*0.000001)^2/(4*'D(Ti_Audétat23) Times'!$C41)/(365.35*24*3600)</f>
        <v>60385.063412474519</v>
      </c>
      <c r="AB41" s="2">
        <f>([412]L!AD41*'D(Ti_Audétat23) Times'!$F41*0.000001)^2/(4*'D(Ti_Audétat23) Times'!$C41)/(365.35*24*3600)</f>
        <v>392719.73316720751</v>
      </c>
      <c r="AC41" s="2">
        <f t="shared" si="1"/>
        <v>105032.7579293852</v>
      </c>
      <c r="AD41" s="2">
        <f t="shared" si="2"/>
        <v>227301.91182534778</v>
      </c>
    </row>
    <row r="42" spans="1:30" x14ac:dyDescent="0.2">
      <c r="A42" t="str">
        <f>[412]L!A42</f>
        <v>CGI001-qtz11-CL-fit-2-offset</v>
      </c>
      <c r="B42">
        <v>750</v>
      </c>
      <c r="C42">
        <f t="shared" si="3"/>
        <v>1.1456341375347871E-23</v>
      </c>
      <c r="D42">
        <v>1500</v>
      </c>
      <c r="E42">
        <v>1024</v>
      </c>
      <c r="F42">
        <f t="shared" si="0"/>
        <v>1.46484375</v>
      </c>
      <c r="I42" s="2">
        <f>([412]L!J42*'D(Ti_Audétat23) Times'!$F42*0.000001)^2/(4*'D(Ti_Audétat23) Times'!$C42)/(365.35*24*3600)</f>
        <v>1931.2590408795393</v>
      </c>
      <c r="J42" s="2">
        <f>([412]L!K42*'D(Ti_Audétat23) Times'!$F42*0.000001)^2/(4*'D(Ti_Audétat23) Times'!$C42)/(365.35*24*3600)</f>
        <v>2613.3015181449055</v>
      </c>
      <c r="K42" s="2">
        <f>([412]L!L42*'D(Ti_Audétat23) Times'!$F42*0.000001)^2/(4*'D(Ti_Audétat23) Times'!$C42)/(365.35*24*3600)</f>
        <v>851.07920979794937</v>
      </c>
      <c r="L42" s="2">
        <f>([412]L!M42*'D(Ti_Audétat23) Times'!$F42*0.000001)^2/(4*'D(Ti_Audétat23) Times'!$C42)/(365.35*24*3600)</f>
        <v>4086.4212659285986</v>
      </c>
      <c r="M42" s="2">
        <f>([412]L!N42*'D(Ti_Audétat23) Times'!$F42*0.000001)^2/(4*'D(Ti_Audétat23) Times'!$C42)/(365.35*24*3600)</f>
        <v>2325.5476454553423</v>
      </c>
      <c r="N42" s="2">
        <f>([412]L!O42*'D(Ti_Audétat23) Times'!$F42*0.000001)^2/(4*'D(Ti_Audétat23) Times'!$C42)/(365.35*24*3600)</f>
        <v>2270.567737697454</v>
      </c>
      <c r="O42" s="2">
        <f>([412]L!P42*'D(Ti_Audétat23) Times'!$F42*0.000001)^2/(4*'D(Ti_Audétat23) Times'!$C42)/(365.35*24*3600)</f>
        <v>2382.28123477197</v>
      </c>
      <c r="P42" s="2">
        <f>([412]L!Q42*'D(Ti_Audétat23) Times'!$F42*0.000001)^2/(4*'D(Ti_Audétat23) Times'!$C42)/(365.35*24*3600)</f>
        <v>4282.7717264234516</v>
      </c>
      <c r="Q42" s="2">
        <f>([412]L!R42*'D(Ti_Audétat23) Times'!$F42*0.000001)^2/(4*'D(Ti_Audétat23) Times'!$C42)/(365.35*24*3600)</f>
        <v>1167.6767806555708</v>
      </c>
      <c r="R42" s="2">
        <f>([412]L!S42*'D(Ti_Audétat23) Times'!$F42*0.000001)^2/(4*'D(Ti_Audétat23) Times'!$C42)/(365.35*24*3600)</f>
        <v>3122.9533466059797</v>
      </c>
      <c r="S42" s="2">
        <f>([412]L!T42*'D(Ti_Audétat23) Times'!$F42*0.000001)^2/(4*'D(Ti_Audétat23) Times'!$C42)/(365.35*24*3600)</f>
        <v>7201.5462604794875</v>
      </c>
      <c r="T42" s="2"/>
      <c r="U42" s="2">
        <f>([412]L!V42*'D(Ti_Audétat23) Times'!$F42*0.000001)^2/(4*'D(Ti_Audétat23) Times'!$C42)/(365.35*24*3600)</f>
        <v>3174.1161021520725</v>
      </c>
      <c r="V42" s="2">
        <f>([412]L!W42*'D(Ti_Audétat23) Times'!$F42*0.000001)^2/(4*'D(Ti_Audétat23) Times'!$C42)/(365.35*24*3600)</f>
        <v>2715.4279703211041</v>
      </c>
      <c r="W42" s="2">
        <f>([412]L!X42*'D(Ti_Audétat23) Times'!$F42*0.000001)^2/(4*'D(Ti_Audétat23) Times'!$C42)/(365.35*24*3600)</f>
        <v>2382.28123477197</v>
      </c>
      <c r="X42" s="2"/>
      <c r="Y42" s="2">
        <f>([412]L!Z42*'D(Ti_Audétat23) Times'!$F42*0.000001)^2/(4*'D(Ti_Audétat23) Times'!$C42)/(365.35*24*3600)</f>
        <v>2787.5307880561791</v>
      </c>
      <c r="Z42" s="2">
        <f>([412]L!AB42*'D(Ti_Audétat23) Times'!$F42*0.000001)^2/(4*'D(Ti_Audétat23) Times'!$C42)/(365.35*24*3600)</f>
        <v>2499.4462896855835</v>
      </c>
      <c r="AA42" s="2">
        <f>([412]L!AC42*'D(Ti_Audétat23) Times'!$F42*0.000001)^2/(4*'D(Ti_Audétat23) Times'!$C42)/(365.35*24*3600)</f>
        <v>86.779419607148839</v>
      </c>
      <c r="AB42" s="2">
        <f>([412]L!AD42*'D(Ti_Audétat23) Times'!$F42*0.000001)^2/(4*'D(Ti_Audétat23) Times'!$C42)/(365.35*24*3600)</f>
        <v>7585.827819122771</v>
      </c>
      <c r="AC42" s="2">
        <f t="shared" si="1"/>
        <v>2412.6668700784348</v>
      </c>
      <c r="AD42" s="2">
        <f t="shared" si="2"/>
        <v>5086.3815294371871</v>
      </c>
    </row>
    <row r="43" spans="1:30" x14ac:dyDescent="0.2">
      <c r="A43" t="str">
        <f>[412]L!A43</f>
        <v>CGI001-qtz12-CL-fit-1</v>
      </c>
      <c r="B43">
        <v>750</v>
      </c>
      <c r="C43">
        <f t="shared" si="3"/>
        <v>1.1456341375347871E-23</v>
      </c>
      <c r="D43">
        <v>2100</v>
      </c>
      <c r="E43">
        <v>1024</v>
      </c>
      <c r="F43">
        <f t="shared" si="0"/>
        <v>2.05078125</v>
      </c>
      <c r="I43" s="2">
        <f>([412]L!J43*'D(Ti_Audétat23) Times'!$F43*0.000001)^2/(4*'D(Ti_Audétat23) Times'!$C43)/(365.35*24*3600)</f>
        <v>119514.72590506982</v>
      </c>
      <c r="J43" s="2">
        <f>([412]L!K43*'D(Ti_Audétat23) Times'!$F43*0.000001)^2/(4*'D(Ti_Audétat23) Times'!$C43)/(365.35*24*3600)</f>
        <v>20919.172328694316</v>
      </c>
      <c r="K43" s="2">
        <f>([412]L!L43*'D(Ti_Audétat23) Times'!$F43*0.000001)^2/(4*'D(Ti_Audétat23) Times'!$C43)/(365.35*24*3600)</f>
        <v>145838.39496912889</v>
      </c>
      <c r="L43" s="2">
        <f>([412]L!M43*'D(Ti_Audétat23) Times'!$F43*0.000001)^2/(4*'D(Ti_Audétat23) Times'!$C43)/(365.35*24*3600)</f>
        <v>75488.743338104294</v>
      </c>
      <c r="M43" s="2">
        <f>([412]L!N43*'D(Ti_Audétat23) Times'!$F43*0.000001)^2/(4*'D(Ti_Audétat23) Times'!$C43)/(365.35*24*3600)</f>
        <v>87359.815730478469</v>
      </c>
      <c r="N43" s="2">
        <f>([412]L!O43*'D(Ti_Audétat23) Times'!$F43*0.000001)^2/(4*'D(Ti_Audétat23) Times'!$C43)/(365.35*24*3600)</f>
        <v>27369.780230553577</v>
      </c>
      <c r="O43" s="2">
        <f>([412]L!P43*'D(Ti_Audétat23) Times'!$F43*0.000001)^2/(4*'D(Ti_Audétat23) Times'!$C43)/(365.35*24*3600)</f>
        <v>59697.476314911895</v>
      </c>
      <c r="P43" s="2">
        <f>([412]L!Q43*'D(Ti_Audétat23) Times'!$F43*0.000001)^2/(4*'D(Ti_Audétat23) Times'!$C43)/(365.35*24*3600)</f>
        <v>167221.98675637934</v>
      </c>
      <c r="Q43" s="2">
        <f>([412]L!R43*'D(Ti_Audétat23) Times'!$F43*0.000001)^2/(4*'D(Ti_Audétat23) Times'!$C43)/(365.35*24*3600)</f>
        <v>234524.72488831135</v>
      </c>
      <c r="R43" s="2">
        <f>([412]L!S43*'D(Ti_Audétat23) Times'!$F43*0.000001)^2/(4*'D(Ti_Audétat23) Times'!$C43)/(365.35*24*3600)</f>
        <v>4799.6975375633983</v>
      </c>
      <c r="S43" s="2">
        <f>([412]L!T43*'D(Ti_Audétat23) Times'!$F43*0.000001)^2/(4*'D(Ti_Audétat23) Times'!$C43)/(365.35*24*3600)</f>
        <v>25464.010296992721</v>
      </c>
      <c r="T43" s="2"/>
      <c r="U43" s="2">
        <f>([412]L!V43*'D(Ti_Audétat23) Times'!$F43*0.000001)^2/(4*'D(Ti_Audétat23) Times'!$C43)/(365.35*24*3600)</f>
        <v>117088.64210055039</v>
      </c>
      <c r="V43" s="2">
        <f>([412]L!W43*'D(Ti_Audétat23) Times'!$F43*0.000001)^2/(4*'D(Ti_Audétat23) Times'!$C43)/(365.35*24*3600)</f>
        <v>73115.135943761998</v>
      </c>
      <c r="W43" s="2">
        <f>([412]L!X43*'D(Ti_Audétat23) Times'!$F43*0.000001)^2/(4*'D(Ti_Audétat23) Times'!$C43)/(365.35*24*3600)</f>
        <v>75488.743338104294</v>
      </c>
      <c r="X43" s="2"/>
      <c r="Y43" s="2">
        <f>([412]L!Z43*'D(Ti_Audétat23) Times'!$F43*0.000001)^2/(4*'D(Ti_Audétat23) Times'!$C43)/(365.35*24*3600)</f>
        <v>108806.11602413621</v>
      </c>
      <c r="Z43" s="2">
        <f>([412]L!AB43*'D(Ti_Audétat23) Times'!$F43*0.000001)^2/(4*'D(Ti_Audétat23) Times'!$C43)/(365.35*24*3600)</f>
        <v>126847.04090374228</v>
      </c>
      <c r="AA43" s="2">
        <f>([412]L!AC43*'D(Ti_Audétat23) Times'!$F43*0.000001)^2/(4*'D(Ti_Audétat23) Times'!$C43)/(365.35*24*3600)</f>
        <v>965.18115694540074</v>
      </c>
      <c r="AB43" s="2">
        <f>([412]L!AD43*'D(Ti_Audétat23) Times'!$F43*0.000001)^2/(4*'D(Ti_Audétat23) Times'!$C43)/(365.35*24*3600)</f>
        <v>697464.90157271735</v>
      </c>
      <c r="AC43" s="2">
        <f t="shared" si="1"/>
        <v>125881.85974679688</v>
      </c>
      <c r="AD43" s="2">
        <f t="shared" si="2"/>
        <v>570617.86066897504</v>
      </c>
    </row>
    <row r="44" spans="1:30" x14ac:dyDescent="0.2">
      <c r="A44" t="str">
        <f>[412]L!A44</f>
        <v>CGI001-qtz12-CL-fit-2-offset</v>
      </c>
      <c r="B44">
        <v>750</v>
      </c>
      <c r="C44">
        <f t="shared" si="3"/>
        <v>1.1456341375347871E-23</v>
      </c>
      <c r="D44">
        <v>2100</v>
      </c>
      <c r="E44">
        <v>1024</v>
      </c>
      <c r="F44">
        <f t="shared" si="0"/>
        <v>2.05078125</v>
      </c>
      <c r="I44" s="2">
        <f>([412]L!J44*'D(Ti_Audétat23) Times'!$F44*0.000001)^2/(4*'D(Ti_Audétat23) Times'!$C44)/(365.35*24*3600)</f>
        <v>220457.56910798466</v>
      </c>
      <c r="J44" s="2">
        <f>([412]L!K44*'D(Ti_Audétat23) Times'!$F44*0.000001)^2/(4*'D(Ti_Audétat23) Times'!$C44)/(365.35*24*3600)</f>
        <v>193007.12317807329</v>
      </c>
      <c r="K44" s="2">
        <f>([412]L!L44*'D(Ti_Audétat23) Times'!$F44*0.000001)^2/(4*'D(Ti_Audétat23) Times'!$C44)/(365.35*24*3600)</f>
        <v>124941.75629167723</v>
      </c>
      <c r="L44" s="2">
        <f>([412]L!M44*'D(Ti_Audétat23) Times'!$F44*0.000001)^2/(4*'D(Ti_Audétat23) Times'!$C44)/(365.35*24*3600)</f>
        <v>98762.063183253922</v>
      </c>
      <c r="M44" s="2">
        <f>([412]L!N44*'D(Ti_Audétat23) Times'!$F44*0.000001)^2/(4*'D(Ti_Audétat23) Times'!$C44)/(365.35*24*3600)</f>
        <v>149653.8317563594</v>
      </c>
      <c r="N44" s="2">
        <f>([412]L!O44*'D(Ti_Audétat23) Times'!$F44*0.000001)^2/(4*'D(Ti_Audétat23) Times'!$C44)/(365.35*24*3600)</f>
        <v>177581.0506273667</v>
      </c>
      <c r="O44" s="2">
        <f>([412]L!P44*'D(Ti_Audétat23) Times'!$F44*0.000001)^2/(4*'D(Ti_Audétat23) Times'!$C44)/(365.35*24*3600)</f>
        <v>135339.64118203174</v>
      </c>
      <c r="P44" s="2">
        <f>([412]L!Q44*'D(Ti_Audétat23) Times'!$F44*0.000001)^2/(4*'D(Ti_Audétat23) Times'!$C44)/(365.35*24*3600)</f>
        <v>148527.36449590529</v>
      </c>
      <c r="Q44" s="2">
        <f>([412]L!R44*'D(Ti_Audétat23) Times'!$F44*0.000001)^2/(4*'D(Ti_Audétat23) Times'!$C44)/(365.35*24*3600)</f>
        <v>147989.61746669476</v>
      </c>
      <c r="R44" s="2">
        <f>([412]L!S44*'D(Ti_Audétat23) Times'!$F44*0.000001)^2/(4*'D(Ti_Audétat23) Times'!$C44)/(365.35*24*3600)</f>
        <v>239726.0160957044</v>
      </c>
      <c r="S44" s="2">
        <f>([412]L!T44*'D(Ti_Audétat23) Times'!$F44*0.000001)^2/(4*'D(Ti_Audétat23) Times'!$C44)/(365.35*24*3600)</f>
        <v>151580.02029903111</v>
      </c>
      <c r="T44" s="2"/>
      <c r="U44" s="2">
        <f>([412]L!V44*'D(Ti_Audétat23) Times'!$F44*0.000001)^2/(4*'D(Ti_Audétat23) Times'!$C44)/(365.35*24*3600)</f>
        <v>165403.18260508971</v>
      </c>
      <c r="V44" s="2">
        <f>([412]L!W44*'D(Ti_Audétat23) Times'!$F44*0.000001)^2/(4*'D(Ti_Audétat23) Times'!$C44)/(365.35*24*3600)</f>
        <v>160128.61371927065</v>
      </c>
      <c r="W44" s="2">
        <f>([412]L!X44*'D(Ti_Audétat23) Times'!$F44*0.000001)^2/(4*'D(Ti_Audétat23) Times'!$C44)/(365.35*24*3600)</f>
        <v>149653.8317563594</v>
      </c>
      <c r="X44" s="2"/>
      <c r="Y44" s="2">
        <f>([412]L!Z44*'D(Ti_Audétat23) Times'!$F44*0.000001)^2/(4*'D(Ti_Audétat23) Times'!$C44)/(365.35*24*3600)</f>
        <v>159138.89107826547</v>
      </c>
      <c r="Z44" s="2">
        <f>([412]L!AB44*'D(Ti_Audétat23) Times'!$F44*0.000001)^2/(4*'D(Ti_Audétat23) Times'!$C44)/(365.35*24*3600)</f>
        <v>160460.75066515693</v>
      </c>
      <c r="AA44" s="2">
        <f>([412]L!AC44*'D(Ti_Audétat23) Times'!$F44*0.000001)^2/(4*'D(Ti_Audétat23) Times'!$C44)/(365.35*24*3600)</f>
        <v>80248.335784370109</v>
      </c>
      <c r="AB44" s="2">
        <f>([412]L!AD44*'D(Ti_Audétat23) Times'!$F44*0.000001)^2/(4*'D(Ti_Audétat23) Times'!$C44)/(365.35*24*3600)</f>
        <v>273366.77829051687</v>
      </c>
      <c r="AC44" s="2">
        <f t="shared" si="1"/>
        <v>80212.414880786819</v>
      </c>
      <c r="AD44" s="2">
        <f t="shared" si="2"/>
        <v>112906.02762535994</v>
      </c>
    </row>
    <row r="45" spans="1:30" x14ac:dyDescent="0.2">
      <c r="A45" t="str">
        <f>[412]L!A45</f>
        <v>CGI001-qtz12-CL-fit-3-offset</v>
      </c>
      <c r="B45">
        <v>750</v>
      </c>
      <c r="C45">
        <f t="shared" si="3"/>
        <v>1.1456341375347871E-23</v>
      </c>
      <c r="D45">
        <v>2100</v>
      </c>
      <c r="E45">
        <v>1024</v>
      </c>
      <c r="F45">
        <f t="shared" si="0"/>
        <v>2.05078125</v>
      </c>
      <c r="I45" s="2">
        <f>([412]L!J45*'D(Ti_Audétat23) Times'!$F45*0.000001)^2/(4*'D(Ti_Audétat23) Times'!$C45)/(365.35*24*3600)</f>
        <v>2453.3733171871977</v>
      </c>
      <c r="J45" s="2">
        <f>([412]L!K45*'D(Ti_Audétat23) Times'!$F45*0.000001)^2/(4*'D(Ti_Audétat23) Times'!$C45)/(365.35*24*3600)</f>
        <v>52.892715327575907</v>
      </c>
      <c r="K45" s="2">
        <f>([412]L!L45*'D(Ti_Audétat23) Times'!$F45*0.000001)^2/(4*'D(Ti_Audétat23) Times'!$C45)/(365.35*24*3600)</f>
        <v>6.8455273281292488</v>
      </c>
      <c r="L45" s="2">
        <f>([412]L!M45*'D(Ti_Audétat23) Times'!$F45*0.000001)^2/(4*'D(Ti_Audétat23) Times'!$C45)/(365.35*24*3600)</f>
        <v>8495.3251192414573</v>
      </c>
      <c r="M45" s="2">
        <f>([412]L!N45*'D(Ti_Audétat23) Times'!$F45*0.000001)^2/(4*'D(Ti_Audétat23) Times'!$C45)/(365.35*24*3600)</f>
        <v>11747.376164767302</v>
      </c>
      <c r="N45" s="2">
        <f>([412]L!O45*'D(Ti_Audétat23) Times'!$F45*0.000001)^2/(4*'D(Ti_Audétat23) Times'!$C45)/(365.35*24*3600)</f>
        <v>20838.071517876589</v>
      </c>
      <c r="O45" s="2">
        <f>([412]L!P45*'D(Ti_Audétat23) Times'!$F45*0.000001)^2/(4*'D(Ti_Audétat23) Times'!$C45)/(365.35*24*3600)</f>
        <v>11732.428143610839</v>
      </c>
      <c r="P45" s="2">
        <f>([412]L!Q45*'D(Ti_Audétat23) Times'!$F45*0.000001)^2/(4*'D(Ti_Audétat23) Times'!$C45)/(365.35*24*3600)</f>
        <v>23781.7261387746</v>
      </c>
      <c r="Q45" s="2">
        <f>([412]L!R45*'D(Ti_Audétat23) Times'!$F45*0.000001)^2/(4*'D(Ti_Audétat23) Times'!$C45)/(365.35*24*3600)</f>
        <v>27879.16947197113</v>
      </c>
      <c r="R45" s="2">
        <f>([412]L!S45*'D(Ti_Audétat23) Times'!$F45*0.000001)^2/(4*'D(Ti_Audétat23) Times'!$C45)/(365.35*24*3600)</f>
        <v>49439.12291111971</v>
      </c>
      <c r="S45" s="2">
        <f>([412]L!T45*'D(Ti_Audétat23) Times'!$F45*0.000001)^2/(4*'D(Ti_Audétat23) Times'!$C45)/(365.35*24*3600)</f>
        <v>55841.162262556238</v>
      </c>
      <c r="T45" s="2"/>
      <c r="U45" s="2">
        <f>([412]L!V45*'D(Ti_Audétat23) Times'!$F45*0.000001)^2/(4*'D(Ti_Audétat23) Times'!$C45)/(365.35*24*3600)</f>
        <v>3294.060044043923</v>
      </c>
      <c r="V45" s="2">
        <f>([412]L!W45*'D(Ti_Audétat23) Times'!$F45*0.000001)^2/(4*'D(Ti_Audétat23) Times'!$C45)/(365.35*24*3600)</f>
        <v>13805.964783486041</v>
      </c>
      <c r="W45" s="2">
        <f>([412]L!X45*'D(Ti_Audétat23) Times'!$F45*0.000001)^2/(4*'D(Ti_Audétat23) Times'!$C45)/(365.35*24*3600)</f>
        <v>11747.376164767302</v>
      </c>
      <c r="X45" s="2"/>
      <c r="Y45" s="2">
        <f>([412]L!Z45*'D(Ti_Audétat23) Times'!$F45*0.000001)^2/(4*'D(Ti_Audétat23) Times'!$C45)/(365.35*24*3600)</f>
        <v>2800.6842668600175</v>
      </c>
      <c r="Z45" s="2">
        <f>([412]L!AB45*'D(Ti_Audétat23) Times'!$F45*0.000001)^2/(4*'D(Ti_Audétat23) Times'!$C45)/(365.35*24*3600)</f>
        <v>5284.1218858732345</v>
      </c>
      <c r="AA45" s="2">
        <f>([412]L!AC45*'D(Ti_Audétat23) Times'!$F45*0.000001)^2/(4*'D(Ti_Audétat23) Times'!$C45)/(365.35*24*3600)</f>
        <v>8.0225223134959421E-8</v>
      </c>
      <c r="AB45" s="2">
        <f>([412]L!AD45*'D(Ti_Audétat23) Times'!$F45*0.000001)^2/(4*'D(Ti_Audétat23) Times'!$C45)/(365.35*24*3600)</f>
        <v>39827.277870537378</v>
      </c>
      <c r="AC45" s="2">
        <f t="shared" si="1"/>
        <v>5284.1218857930089</v>
      </c>
      <c r="AD45" s="2">
        <f t="shared" si="2"/>
        <v>34543.155984664147</v>
      </c>
    </row>
    <row r="46" spans="1:30" x14ac:dyDescent="0.2">
      <c r="A46" t="str">
        <f>[412]L!A46</f>
        <v>CGI001-qtz12-CL-fit-4-offset</v>
      </c>
      <c r="B46">
        <v>750</v>
      </c>
      <c r="C46">
        <f t="shared" si="3"/>
        <v>1.1456341375347871E-23</v>
      </c>
      <c r="D46">
        <v>2100</v>
      </c>
      <c r="E46">
        <v>1024</v>
      </c>
      <c r="F46">
        <f t="shared" si="0"/>
        <v>2.05078125</v>
      </c>
      <c r="I46" s="2">
        <f>([412]L!J46*'D(Ti_Audétat23) Times'!$F46*0.000001)^2/(4*'D(Ti_Audétat23) Times'!$C46)/(365.35*24*3600)</f>
        <v>367.09524444637754</v>
      </c>
      <c r="J46" s="2">
        <f>([412]L!K46*'D(Ti_Audétat23) Times'!$F46*0.000001)^2/(4*'D(Ti_Audétat23) Times'!$C46)/(365.35*24*3600)</f>
        <v>2420.2983196470932</v>
      </c>
      <c r="K46" s="2">
        <f>([412]L!L46*'D(Ti_Audétat23) Times'!$F46*0.000001)^2/(4*'D(Ti_Audétat23) Times'!$C46)/(365.35*24*3600)</f>
        <v>6438.76623086986</v>
      </c>
      <c r="L46" s="2">
        <f>([412]L!M46*'D(Ti_Audétat23) Times'!$F46*0.000001)^2/(4*'D(Ti_Audétat23) Times'!$C46)/(365.35*24*3600)</f>
        <v>5218.2461423296354</v>
      </c>
      <c r="M46" s="2">
        <f>([412]L!N46*'D(Ti_Audétat23) Times'!$F46*0.000001)^2/(4*'D(Ti_Audétat23) Times'!$C46)/(365.35*24*3600)</f>
        <v>1719.9878413317838</v>
      </c>
      <c r="N46" s="2">
        <f>([412]L!O46*'D(Ti_Audétat23) Times'!$F46*0.000001)^2/(4*'D(Ti_Audétat23) Times'!$C46)/(365.35*24*3600)</f>
        <v>1305.1858150277524</v>
      </c>
      <c r="O46" s="2">
        <f>([412]L!P46*'D(Ti_Audétat23) Times'!$F46*0.000001)^2/(4*'D(Ti_Audétat23) Times'!$C46)/(365.35*24*3600)</f>
        <v>4095.3267093887916</v>
      </c>
      <c r="P46" s="2">
        <f>([412]L!Q46*'D(Ti_Audétat23) Times'!$F46*0.000001)^2/(4*'D(Ti_Audétat23) Times'!$C46)/(365.35*24*3600)</f>
        <v>204.26714093166763</v>
      </c>
      <c r="Q46" s="2">
        <f>([412]L!R46*'D(Ti_Audétat23) Times'!$F46*0.000001)^2/(4*'D(Ti_Audétat23) Times'!$C46)/(365.35*24*3600)</f>
        <v>1158.242834732396</v>
      </c>
      <c r="R46" s="2">
        <f>([412]L!S46*'D(Ti_Audétat23) Times'!$F46*0.000001)^2/(4*'D(Ti_Audétat23) Times'!$C46)/(365.35*24*3600)</f>
        <v>168.13576247749222</v>
      </c>
      <c r="S46" s="2">
        <f>([412]L!T46*'D(Ti_Audétat23) Times'!$F46*0.000001)^2/(4*'D(Ti_Audétat23) Times'!$C46)/(365.35*24*3600)</f>
        <v>268.13207384415733</v>
      </c>
      <c r="T46" s="2"/>
      <c r="U46" s="2">
        <f>([412]L!V46*'D(Ti_Audétat23) Times'!$F46*0.000001)^2/(4*'D(Ti_Audétat23) Times'!$C46)/(365.35*24*3600)</f>
        <v>3147.4809122381157</v>
      </c>
      <c r="V46" s="2">
        <f>([412]L!W46*'D(Ti_Audétat23) Times'!$F46*0.000001)^2/(4*'D(Ti_Audétat23) Times'!$C46)/(365.35*24*3600)</f>
        <v>1600.7060383452779</v>
      </c>
      <c r="W46" s="2">
        <f>([412]L!X46*'D(Ti_Audétat23) Times'!$F46*0.000001)^2/(4*'D(Ti_Audétat23) Times'!$C46)/(365.35*24*3600)</f>
        <v>1305.1858150277524</v>
      </c>
      <c r="X46" s="2"/>
      <c r="Y46" s="2">
        <f>([412]L!Z46*'D(Ti_Audétat23) Times'!$F46*0.000001)^2/(4*'D(Ti_Audétat23) Times'!$C46)/(365.35*24*3600)</f>
        <v>2099.6995396202228</v>
      </c>
      <c r="Z46" s="2">
        <f>([412]L!AB46*'D(Ti_Audétat23) Times'!$F46*0.000001)^2/(4*'D(Ti_Audétat23) Times'!$C46)/(365.35*24*3600)</f>
        <v>1898.8754070203195</v>
      </c>
      <c r="AA46" s="2">
        <f>([412]L!AC46*'D(Ti_Audétat23) Times'!$F46*0.000001)^2/(4*'D(Ti_Audétat23) Times'!$C46)/(365.35*24*3600)</f>
        <v>3.2498395994935085E-4</v>
      </c>
      <c r="AB46" s="2">
        <f>([412]L!AD46*'D(Ti_Audétat23) Times'!$F46*0.000001)^2/(4*'D(Ti_Audétat23) Times'!$C46)/(365.35*24*3600)</f>
        <v>8527.9719346931834</v>
      </c>
      <c r="AC46" s="2">
        <f t="shared" si="1"/>
        <v>1898.8750820363596</v>
      </c>
      <c r="AD46" s="2">
        <f t="shared" si="2"/>
        <v>6629.0965276728639</v>
      </c>
    </row>
    <row r="47" spans="1:30" x14ac:dyDescent="0.2">
      <c r="A47" t="str">
        <f>[412]L!A47</f>
        <v>CGI005-qtz01-CL-fit-1-offset</v>
      </c>
      <c r="B47">
        <v>750</v>
      </c>
      <c r="C47">
        <f t="shared" si="3"/>
        <v>1.1456341375347871E-23</v>
      </c>
      <c r="D47">
        <v>1700</v>
      </c>
      <c r="E47">
        <v>1024</v>
      </c>
      <c r="F47">
        <f t="shared" si="0"/>
        <v>1.66015625</v>
      </c>
      <c r="I47" s="2">
        <f>([412]L!J47*'D(Ti_Audétat23) Times'!$F47*0.000001)^2/(4*'D(Ti_Audétat23) Times'!$C47)/(365.35*24*3600)</f>
        <v>95875.538624027962</v>
      </c>
      <c r="J47" s="2">
        <f>([412]L!K47*'D(Ti_Audétat23) Times'!$F47*0.000001)^2/(4*'D(Ti_Audétat23) Times'!$C47)/(365.35*24*3600)</f>
        <v>149349.51954356337</v>
      </c>
      <c r="K47" s="2">
        <f>([412]L!L47*'D(Ti_Audétat23) Times'!$F47*0.000001)^2/(4*'D(Ti_Audétat23) Times'!$C47)/(365.35*24*3600)</f>
        <v>112256.32854160144</v>
      </c>
      <c r="L47" s="2">
        <f>([412]L!M47*'D(Ti_Audétat23) Times'!$F47*0.000001)^2/(4*'D(Ti_Audétat23) Times'!$C47)/(365.35*24*3600)</f>
        <v>95007.042096535792</v>
      </c>
      <c r="M47" s="2">
        <f>([412]L!N47*'D(Ti_Audétat23) Times'!$F47*0.000001)^2/(4*'D(Ti_Audétat23) Times'!$C47)/(365.35*24*3600)</f>
        <v>20902.978674589805</v>
      </c>
      <c r="N47" s="2">
        <f>([412]L!O47*'D(Ti_Audétat23) Times'!$F47*0.000001)^2/(4*'D(Ti_Audétat23) Times'!$C47)/(365.35*24*3600)</f>
        <v>42592.388710729065</v>
      </c>
      <c r="O47" s="2">
        <f>([412]L!P47*'D(Ti_Audétat23) Times'!$F47*0.000001)^2/(4*'D(Ti_Audétat23) Times'!$C47)/(365.35*24*3600)</f>
        <v>87931.875050523246</v>
      </c>
      <c r="P47" s="2">
        <f>([412]L!Q47*'D(Ti_Audétat23) Times'!$F47*0.000001)^2/(4*'D(Ti_Audétat23) Times'!$C47)/(365.35*24*3600)</f>
        <v>136874.68870303751</v>
      </c>
      <c r="Q47" s="2">
        <f>([412]L!R47*'D(Ti_Audétat23) Times'!$F47*0.000001)^2/(4*'D(Ti_Audétat23) Times'!$C47)/(365.35*24*3600)</f>
        <v>215000.44457743052</v>
      </c>
      <c r="R47" s="2">
        <f>([412]L!S47*'D(Ti_Audétat23) Times'!$F47*0.000001)^2/(4*'D(Ti_Audétat23) Times'!$C47)/(365.35*24*3600)</f>
        <v>119110.25677349453</v>
      </c>
      <c r="S47" s="2">
        <f>([412]L!T47*'D(Ti_Audétat23) Times'!$F47*0.000001)^2/(4*'D(Ti_Audétat23) Times'!$C47)/(365.35*24*3600)</f>
        <v>120484.18513687693</v>
      </c>
      <c r="T47" s="2"/>
      <c r="U47" s="2">
        <f>([412]L!V47*'D(Ti_Audétat23) Times'!$F47*0.000001)^2/(4*'D(Ti_Audétat23) Times'!$C47)/(365.35*24*3600)</f>
        <v>100542.37748966707</v>
      </c>
      <c r="V47" s="2">
        <f>([412]L!W47*'D(Ti_Audétat23) Times'!$F47*0.000001)^2/(4*'D(Ti_Audétat23) Times'!$C47)/(365.35*24*3600)</f>
        <v>101978.28508560923</v>
      </c>
      <c r="W47" s="2">
        <f>([412]L!X47*'D(Ti_Audétat23) Times'!$F47*0.000001)^2/(4*'D(Ti_Audétat23) Times'!$C47)/(365.35*24*3600)</f>
        <v>112256.32854160144</v>
      </c>
      <c r="X47" s="2"/>
      <c r="Y47" s="2">
        <f>([412]L!Z47*'D(Ti_Audétat23) Times'!$F47*0.000001)^2/(4*'D(Ti_Audétat23) Times'!$C47)/(365.35*24*3600)</f>
        <v>84808.542246059747</v>
      </c>
      <c r="Z47" s="2">
        <f>([412]L!AB47*'D(Ti_Audétat23) Times'!$F47*0.000001)^2/(4*'D(Ti_Audétat23) Times'!$C47)/(365.35*24*3600)</f>
        <v>91878.981173390945</v>
      </c>
      <c r="AA47" s="2">
        <f>([412]L!AC47*'D(Ti_Audétat23) Times'!$F47*0.000001)^2/(4*'D(Ti_Audétat23) Times'!$C47)/(365.35*24*3600)</f>
        <v>2998.3403656667706</v>
      </c>
      <c r="AB47" s="2">
        <f>([412]L!AD47*'D(Ti_Audétat23) Times'!$F47*0.000001)^2/(4*'D(Ti_Audétat23) Times'!$C47)/(365.35*24*3600)</f>
        <v>322035.71018807124</v>
      </c>
      <c r="AC47" s="2">
        <f t="shared" si="1"/>
        <v>88880.640807724179</v>
      </c>
      <c r="AD47" s="2">
        <f t="shared" si="2"/>
        <v>230156.72901468031</v>
      </c>
    </row>
    <row r="48" spans="1:30" x14ac:dyDescent="0.2">
      <c r="A48" t="str">
        <f>[412]L!A48</f>
        <v>CGI005-qtz01-CL-fit-2</v>
      </c>
      <c r="B48">
        <v>750</v>
      </c>
      <c r="C48">
        <f t="shared" si="3"/>
        <v>1.1456341375347871E-23</v>
      </c>
      <c r="D48">
        <v>1700</v>
      </c>
      <c r="E48">
        <v>1024</v>
      </c>
      <c r="F48">
        <f t="shared" si="0"/>
        <v>1.66015625</v>
      </c>
      <c r="I48" s="2">
        <f>([412]L!J48*'D(Ti_Audétat23) Times'!$F48*0.000001)^2/(4*'D(Ti_Audétat23) Times'!$C48)/(365.35*24*3600)</f>
        <v>138684.54388848101</v>
      </c>
      <c r="J48" s="2">
        <f>([412]L!K48*'D(Ti_Audétat23) Times'!$F48*0.000001)^2/(4*'D(Ti_Audétat23) Times'!$C48)/(365.35*24*3600)</f>
        <v>163029.51185912138</v>
      </c>
      <c r="K48" s="2">
        <f>([412]L!L48*'D(Ti_Audétat23) Times'!$F48*0.000001)^2/(4*'D(Ti_Audétat23) Times'!$C48)/(365.35*24*3600)</f>
        <v>145011.7187146123</v>
      </c>
      <c r="L48" s="2">
        <f>([412]L!M48*'D(Ti_Audétat23) Times'!$F48*0.000001)^2/(4*'D(Ti_Audétat23) Times'!$C48)/(365.35*24*3600)</f>
        <v>70725.499673983824</v>
      </c>
      <c r="M48" s="2">
        <f>([412]L!N48*'D(Ti_Audétat23) Times'!$F48*0.000001)^2/(4*'D(Ti_Audétat23) Times'!$C48)/(365.35*24*3600)</f>
        <v>85301.069266181075</v>
      </c>
      <c r="N48" s="2">
        <f>([412]L!O48*'D(Ti_Audétat23) Times'!$F48*0.000001)^2/(4*'D(Ti_Audétat23) Times'!$C48)/(365.35*24*3600)</f>
        <v>169334.12406647942</v>
      </c>
      <c r="O48" s="2">
        <f>([412]L!P48*'D(Ti_Audétat23) Times'!$F48*0.000001)^2/(4*'D(Ti_Audétat23) Times'!$C48)/(365.35*24*3600)</f>
        <v>125149.00152127932</v>
      </c>
      <c r="P48" s="2">
        <f>([412]L!Q48*'D(Ti_Audétat23) Times'!$F48*0.000001)^2/(4*'D(Ti_Audétat23) Times'!$C48)/(365.35*24*3600)</f>
        <v>193348.10563804317</v>
      </c>
      <c r="Q48" s="2">
        <f>([412]L!R48*'D(Ti_Audétat23) Times'!$F48*0.000001)^2/(4*'D(Ti_Audétat23) Times'!$C48)/(365.35*24*3600)</f>
        <v>210197.26214419227</v>
      </c>
      <c r="R48" s="2">
        <f>([412]L!S48*'D(Ti_Audétat23) Times'!$F48*0.000001)^2/(4*'D(Ti_Audétat23) Times'!$C48)/(365.35*24*3600)</f>
        <v>153633.01099527325</v>
      </c>
      <c r="S48" s="2">
        <f>([412]L!T48*'D(Ti_Audétat23) Times'!$F48*0.000001)^2/(4*'D(Ti_Audétat23) Times'!$C48)/(365.35*24*3600)</f>
        <v>202899.56742023941</v>
      </c>
      <c r="T48" s="2"/>
      <c r="U48" s="2">
        <f>([412]L!V48*'D(Ti_Audétat23) Times'!$F48*0.000001)^2/(4*'D(Ti_Audétat23) Times'!$C48)/(365.35*24*3600)</f>
        <v>143204.04517517798</v>
      </c>
      <c r="V48" s="2">
        <f>([412]L!W48*'D(Ti_Audétat23) Times'!$F48*0.000001)^2/(4*'D(Ti_Audétat23) Times'!$C48)/(365.35*24*3600)</f>
        <v>147235.45681239816</v>
      </c>
      <c r="W48" s="2">
        <f>([412]L!X48*'D(Ti_Audétat23) Times'!$F48*0.000001)^2/(4*'D(Ti_Audétat23) Times'!$C48)/(365.35*24*3600)</f>
        <v>153633.01099527325</v>
      </c>
      <c r="X48" s="2"/>
      <c r="Y48" s="2">
        <f>([412]L!Z48*'D(Ti_Audétat23) Times'!$F48*0.000001)^2/(4*'D(Ti_Audétat23) Times'!$C48)/(365.35*24*3600)</f>
        <v>129908.78835432032</v>
      </c>
      <c r="Z48" s="2">
        <f>([412]L!AB48*'D(Ti_Audétat23) Times'!$F48*0.000001)^2/(4*'D(Ti_Audétat23) Times'!$C48)/(365.35*24*3600)</f>
        <v>133527.27821227282</v>
      </c>
      <c r="AA48" s="2">
        <f>([412]L!AC48*'D(Ti_Audétat23) Times'!$F48*0.000001)^2/(4*'D(Ti_Audétat23) Times'!$C48)/(365.35*24*3600)</f>
        <v>64443.242038373115</v>
      </c>
      <c r="AB48" s="2">
        <f>([412]L!AD48*'D(Ti_Audétat23) Times'!$F48*0.000001)^2/(4*'D(Ti_Audétat23) Times'!$C48)/(365.35*24*3600)</f>
        <v>269720.20768142189</v>
      </c>
      <c r="AC48" s="2">
        <f t="shared" si="1"/>
        <v>69084.036173899716</v>
      </c>
      <c r="AD48" s="2">
        <f t="shared" si="2"/>
        <v>136192.92946914906</v>
      </c>
    </row>
    <row r="49" spans="1:51" x14ac:dyDescent="0.2">
      <c r="A49" t="str">
        <f>[412]L!A49</f>
        <v>CGI005-qtz01-CL-fit-3-offset</v>
      </c>
      <c r="B49">
        <v>750</v>
      </c>
      <c r="C49">
        <f t="shared" si="3"/>
        <v>1.1456341375347871E-23</v>
      </c>
      <c r="D49">
        <v>1700</v>
      </c>
      <c r="E49">
        <v>1024</v>
      </c>
      <c r="F49">
        <f t="shared" si="0"/>
        <v>1.66015625</v>
      </c>
      <c r="I49" s="2">
        <f>([412]L!J49*'D(Ti_Audétat23) Times'!$F49*0.000001)^2/(4*'D(Ti_Audétat23) Times'!$C49)/(365.35*24*3600)</f>
        <v>99641.432891923396</v>
      </c>
      <c r="J49" s="2">
        <f>([412]L!K49*'D(Ti_Audétat23) Times'!$F49*0.000001)^2/(4*'D(Ti_Audétat23) Times'!$C49)/(365.35*24*3600)</f>
        <v>82547.943112129316</v>
      </c>
      <c r="K49" s="2">
        <f>([412]L!L49*'D(Ti_Audétat23) Times'!$F49*0.000001)^2/(4*'D(Ti_Audétat23) Times'!$C49)/(365.35*24*3600)</f>
        <v>58751.559576473672</v>
      </c>
      <c r="L49" s="2">
        <f>([412]L!M49*'D(Ti_Audétat23) Times'!$F49*0.000001)^2/(4*'D(Ti_Audétat23) Times'!$C49)/(365.35*24*3600)</f>
        <v>91531.592996130697</v>
      </c>
      <c r="M49" s="2">
        <f>([412]L!N49*'D(Ti_Audétat23) Times'!$F49*0.000001)^2/(4*'D(Ti_Audétat23) Times'!$C49)/(365.35*24*3600)</f>
        <v>19085.69524779019</v>
      </c>
      <c r="N49" s="2">
        <f>([412]L!O49*'D(Ti_Audétat23) Times'!$F49*0.000001)^2/(4*'D(Ti_Audétat23) Times'!$C49)/(365.35*24*3600)</f>
        <v>70472.691642066013</v>
      </c>
      <c r="O49" s="2">
        <f>([412]L!P49*'D(Ti_Audétat23) Times'!$F49*0.000001)^2/(4*'D(Ti_Audétat23) Times'!$C49)/(365.35*24*3600)</f>
        <v>79998.660066982178</v>
      </c>
      <c r="P49" s="2">
        <f>([412]L!Q49*'D(Ti_Audétat23) Times'!$F49*0.000001)^2/(4*'D(Ti_Audétat23) Times'!$C49)/(365.35*24*3600)</f>
        <v>82806.091615452155</v>
      </c>
      <c r="Q49" s="2">
        <f>([412]L!R49*'D(Ti_Audétat23) Times'!$F49*0.000001)^2/(4*'D(Ti_Audétat23) Times'!$C49)/(365.35*24*3600)</f>
        <v>77888.131160172183</v>
      </c>
      <c r="R49" s="2">
        <f>([412]L!S49*'D(Ti_Audétat23) Times'!$F49*0.000001)^2/(4*'D(Ti_Audétat23) Times'!$C49)/(365.35*24*3600)</f>
        <v>96911.990413643027</v>
      </c>
      <c r="S49" s="2">
        <f>([412]L!T49*'D(Ti_Audétat23) Times'!$F49*0.000001)^2/(4*'D(Ti_Audétat23) Times'!$C49)/(365.35*24*3600)</f>
        <v>62187.977872501571</v>
      </c>
      <c r="T49" s="2"/>
      <c r="U49" s="2">
        <f>([412]L!V49*'D(Ti_Audétat23) Times'!$F49*0.000001)^2/(4*'D(Ti_Audétat23) Times'!$C49)/(365.35*24*3600)</f>
        <v>75701.163306474467</v>
      </c>
      <c r="V49" s="2">
        <f>([412]L!W49*'D(Ti_Audétat23) Times'!$F49*0.000001)^2/(4*'D(Ti_Audétat23) Times'!$C49)/(365.35*24*3600)</f>
        <v>72502.233170857158</v>
      </c>
      <c r="W49" s="2">
        <f>([412]L!X49*'D(Ti_Audétat23) Times'!$F49*0.000001)^2/(4*'D(Ti_Audétat23) Times'!$C49)/(365.35*24*3600)</f>
        <v>79998.660066982178</v>
      </c>
      <c r="X49" s="2"/>
      <c r="Y49" s="2">
        <f>([412]L!Z49*'D(Ti_Audétat23) Times'!$F49*0.000001)^2/(4*'D(Ti_Audétat23) Times'!$C49)/(365.35*24*3600)</f>
        <v>75055.819449390969</v>
      </c>
      <c r="Z49" s="2">
        <f>([412]L!AB49*'D(Ti_Audétat23) Times'!$F49*0.000001)^2/(4*'D(Ti_Audétat23) Times'!$C49)/(365.35*24*3600)</f>
        <v>74195.689128983038</v>
      </c>
      <c r="AA49" s="2">
        <f>([412]L!AC49*'D(Ti_Audétat23) Times'!$F49*0.000001)^2/(4*'D(Ti_Audétat23) Times'!$C49)/(365.35*24*3600)</f>
        <v>36052.067195747855</v>
      </c>
      <c r="AB49" s="2">
        <f>([412]L!AD49*'D(Ti_Audétat23) Times'!$F49*0.000001)^2/(4*'D(Ti_Audétat23) Times'!$C49)/(365.35*24*3600)</f>
        <v>122642.89742227596</v>
      </c>
      <c r="AC49" s="2">
        <f t="shared" si="1"/>
        <v>38143.621933235183</v>
      </c>
      <c r="AD49" s="2">
        <f t="shared" si="2"/>
        <v>48447.208293292919</v>
      </c>
      <c r="AY49" t="s">
        <v>431</v>
      </c>
    </row>
    <row r="50" spans="1:51" x14ac:dyDescent="0.2">
      <c r="A50" t="str">
        <f>[412]L!A50</f>
        <v>CGI005-qtz01-CL-fit-4-offset</v>
      </c>
      <c r="B50">
        <v>750</v>
      </c>
      <c r="C50">
        <f t="shared" si="3"/>
        <v>1.1456341375347871E-23</v>
      </c>
      <c r="D50">
        <v>1700</v>
      </c>
      <c r="E50">
        <v>1024</v>
      </c>
      <c r="F50">
        <f t="shared" si="0"/>
        <v>1.66015625</v>
      </c>
      <c r="I50" s="2">
        <f>([412]L!J50*'D(Ti_Audétat23) Times'!$F50*0.000001)^2/(4*'D(Ti_Audétat23) Times'!$C50)/(365.35*24*3600)</f>
        <v>4201.4395144473856</v>
      </c>
      <c r="J50" s="2">
        <f>([412]L!K50*'D(Ti_Audétat23) Times'!$F50*0.000001)^2/(4*'D(Ti_Audétat23) Times'!$C50)/(365.35*24*3600)</f>
        <v>4099.9253172263789</v>
      </c>
      <c r="K50" s="2">
        <f>([412]L!L50*'D(Ti_Audétat23) Times'!$F50*0.000001)^2/(4*'D(Ti_Audétat23) Times'!$C50)/(365.35*24*3600)</f>
        <v>6293.5952212807533</v>
      </c>
      <c r="L50" s="2">
        <f>([412]L!M50*'D(Ti_Audétat23) Times'!$F50*0.000001)^2/(4*'D(Ti_Audétat23) Times'!$C50)/(365.35*24*3600)</f>
        <v>6433.9968230809345</v>
      </c>
      <c r="M50" s="2">
        <f>([412]L!N50*'D(Ti_Audétat23) Times'!$F50*0.000001)^2/(4*'D(Ti_Audétat23) Times'!$C50)/(365.35*24*3600)</f>
        <v>9606.9909458957154</v>
      </c>
      <c r="N50" s="2">
        <f>([412]L!O50*'D(Ti_Audétat23) Times'!$F50*0.000001)^2/(4*'D(Ti_Audétat23) Times'!$C50)/(365.35*24*3600)</f>
        <v>6082.5509090474416</v>
      </c>
      <c r="O50" s="2">
        <f>([412]L!P50*'D(Ti_Audétat23) Times'!$F50*0.000001)^2/(4*'D(Ti_Audétat23) Times'!$C50)/(365.35*24*3600)</f>
        <v>7491.8167661969437</v>
      </c>
      <c r="P50" s="2">
        <f>([412]L!Q50*'D(Ti_Audétat23) Times'!$F50*0.000001)^2/(4*'D(Ti_Audétat23) Times'!$C50)/(365.35*24*3600)</f>
        <v>6414.7582283912852</v>
      </c>
      <c r="Q50" s="2">
        <f>([412]L!R50*'D(Ti_Audétat23) Times'!$F50*0.000001)^2/(4*'D(Ti_Audétat23) Times'!$C50)/(365.35*24*3600)</f>
        <v>7423.9740521651283</v>
      </c>
      <c r="R50" s="2">
        <f>([412]L!S50*'D(Ti_Audétat23) Times'!$F50*0.000001)^2/(4*'D(Ti_Audétat23) Times'!$C50)/(365.35*24*3600)</f>
        <v>8370.6076434537645</v>
      </c>
      <c r="S50" s="2">
        <f>([412]L!T50*'D(Ti_Audétat23) Times'!$F50*0.000001)^2/(4*'D(Ti_Audétat23) Times'!$C50)/(365.35*24*3600)</f>
        <v>6330.6494656075156</v>
      </c>
      <c r="T50" s="2"/>
      <c r="U50" s="2">
        <f>([412]L!V50*'D(Ti_Audétat23) Times'!$F50*0.000001)^2/(4*'D(Ti_Audétat23) Times'!$C50)/(365.35*24*3600)</f>
        <v>6633.5162171775983</v>
      </c>
      <c r="V50" s="2">
        <f>([412]L!W50*'D(Ti_Audétat23) Times'!$F50*0.000001)^2/(4*'D(Ti_Audétat23) Times'!$C50)/(365.35*24*3600)</f>
        <v>6520.7956369221574</v>
      </c>
      <c r="W50" s="2">
        <f>([412]L!X50*'D(Ti_Audétat23) Times'!$F50*0.000001)^2/(4*'D(Ti_Audétat23) Times'!$C50)/(365.35*24*3600)</f>
        <v>6414.7582283912852</v>
      </c>
      <c r="X50" s="2"/>
      <c r="Y50" s="2">
        <f>([412]L!Z50*'D(Ti_Audétat23) Times'!$F50*0.000001)^2/(4*'D(Ti_Audétat23) Times'!$C50)/(365.35*24*3600)</f>
        <v>6643.9042375389608</v>
      </c>
      <c r="Z50" s="2">
        <f>([412]L!AB50*'D(Ti_Audétat23) Times'!$F50*0.000001)^2/(4*'D(Ti_Audétat23) Times'!$C50)/(365.35*24*3600)</f>
        <v>6423.6535718414489</v>
      </c>
      <c r="AA50" s="2">
        <f>([412]L!AC50*'D(Ti_Audétat23) Times'!$F50*0.000001)^2/(4*'D(Ti_Audétat23) Times'!$C50)/(365.35*24*3600)</f>
        <v>1604.2340084398147</v>
      </c>
      <c r="AB50" s="2">
        <f>([412]L!AD50*'D(Ti_Audétat23) Times'!$F50*0.000001)^2/(4*'D(Ti_Audétat23) Times'!$C50)/(365.35*24*3600)</f>
        <v>11997.19193823736</v>
      </c>
      <c r="AC50" s="2">
        <f t="shared" si="1"/>
        <v>4819.4195634016342</v>
      </c>
      <c r="AD50" s="2">
        <f t="shared" si="2"/>
        <v>5573.538366395911</v>
      </c>
    </row>
    <row r="51" spans="1:51" x14ac:dyDescent="0.2">
      <c r="A51" t="str">
        <f>[412]L!A51</f>
        <v>CGI005-qtz01-CL-fit-5-offset</v>
      </c>
      <c r="B51">
        <v>750</v>
      </c>
      <c r="C51">
        <f t="shared" si="3"/>
        <v>1.1456341375347871E-23</v>
      </c>
      <c r="D51">
        <v>1700</v>
      </c>
      <c r="E51">
        <v>1024</v>
      </c>
      <c r="F51">
        <f t="shared" si="0"/>
        <v>1.66015625</v>
      </c>
      <c r="I51" s="2">
        <f>([412]L!J51*'D(Ti_Audétat23) Times'!$F51*0.000001)^2/(4*'D(Ti_Audétat23) Times'!$C51)/(365.35*24*3600)</f>
        <v>36481.561486620085</v>
      </c>
      <c r="J51" s="2">
        <f>([412]L!K51*'D(Ti_Audétat23) Times'!$F51*0.000001)^2/(4*'D(Ti_Audétat23) Times'!$C51)/(365.35*24*3600)</f>
        <v>18166.477115593822</v>
      </c>
      <c r="K51" s="2">
        <f>([412]L!L51*'D(Ti_Audétat23) Times'!$F51*0.000001)^2/(4*'D(Ti_Audétat23) Times'!$C51)/(365.35*24*3600)</f>
        <v>23585.769469507486</v>
      </c>
      <c r="L51" s="2">
        <f>([412]L!M51*'D(Ti_Audétat23) Times'!$F51*0.000001)^2/(4*'D(Ti_Audétat23) Times'!$C51)/(365.35*24*3600)</f>
        <v>25845.609190749936</v>
      </c>
      <c r="M51" s="2">
        <f>([412]L!N51*'D(Ti_Audétat23) Times'!$F51*0.000001)^2/(4*'D(Ti_Audétat23) Times'!$C51)/(365.35*24*3600)</f>
        <v>23206.849531527125</v>
      </c>
      <c r="N51" s="2">
        <f>([412]L!O51*'D(Ti_Audétat23) Times'!$F51*0.000001)^2/(4*'D(Ti_Audétat23) Times'!$C51)/(365.35*24*3600)</f>
        <v>30845.637476501306</v>
      </c>
      <c r="O51" s="2">
        <f>([412]L!P51*'D(Ti_Audétat23) Times'!$F51*0.000001)^2/(4*'D(Ti_Audétat23) Times'!$C51)/(365.35*24*3600)</f>
        <v>32697.065938046086</v>
      </c>
      <c r="P51" s="2">
        <f>([412]L!Q51*'D(Ti_Audétat23) Times'!$F51*0.000001)^2/(4*'D(Ti_Audétat23) Times'!$C51)/(365.35*24*3600)</f>
        <v>20690.735125354819</v>
      </c>
      <c r="Q51" s="2">
        <f>([412]L!R51*'D(Ti_Audétat23) Times'!$F51*0.000001)^2/(4*'D(Ti_Audétat23) Times'!$C51)/(365.35*24*3600)</f>
        <v>40822.783733099255</v>
      </c>
      <c r="R51" s="2">
        <f>([412]L!S51*'D(Ti_Audétat23) Times'!$F51*0.000001)^2/(4*'D(Ti_Audétat23) Times'!$C51)/(365.35*24*3600)</f>
        <v>31728.09189503067</v>
      </c>
      <c r="S51" s="2">
        <f>([412]L!T51*'D(Ti_Audétat23) Times'!$F51*0.000001)^2/(4*'D(Ti_Audétat23) Times'!$C51)/(365.35*24*3600)</f>
        <v>77952.379334987927</v>
      </c>
      <c r="T51" s="2"/>
      <c r="U51" s="2">
        <f>([412]L!V51*'D(Ti_Audétat23) Times'!$F51*0.000001)^2/(4*'D(Ti_Audétat23) Times'!$C51)/(365.35*24*3600)</f>
        <v>30111.623297699996</v>
      </c>
      <c r="V51" s="2">
        <f>([412]L!W51*'D(Ti_Audétat23) Times'!$F51*0.000001)^2/(4*'D(Ti_Audétat23) Times'!$C51)/(365.35*24*3600)</f>
        <v>31494.307524911579</v>
      </c>
      <c r="W51" s="2">
        <f>([412]L!X51*'D(Ti_Audétat23) Times'!$F51*0.000001)^2/(4*'D(Ti_Audétat23) Times'!$C51)/(365.35*24*3600)</f>
        <v>30845.637476501306</v>
      </c>
      <c r="X51" s="2"/>
      <c r="Y51" s="2">
        <f>([412]L!Z51*'D(Ti_Audétat23) Times'!$F51*0.000001)^2/(4*'D(Ti_Audétat23) Times'!$C51)/(365.35*24*3600)</f>
        <v>27571.548930682813</v>
      </c>
      <c r="Z51" s="2">
        <f>([412]L!AB51*'D(Ti_Audétat23) Times'!$F51*0.000001)^2/(4*'D(Ti_Audétat23) Times'!$C51)/(365.35*24*3600)</f>
        <v>29508.96622039493</v>
      </c>
      <c r="AA51" s="2">
        <f>([412]L!AC51*'D(Ti_Audétat23) Times'!$F51*0.000001)^2/(4*'D(Ti_Audétat23) Times'!$C51)/(365.35*24*3600)</f>
        <v>12535.408292451521</v>
      </c>
      <c r="AB51" s="2">
        <f>([412]L!AD51*'D(Ti_Audétat23) Times'!$F51*0.000001)^2/(4*'D(Ti_Audétat23) Times'!$C51)/(365.35*24*3600)</f>
        <v>62225.109925154982</v>
      </c>
      <c r="AC51" s="2">
        <f t="shared" si="1"/>
        <v>16973.55792794341</v>
      </c>
      <c r="AD51" s="2">
        <f t="shared" si="2"/>
        <v>32716.143704760052</v>
      </c>
    </row>
    <row r="52" spans="1:51" x14ac:dyDescent="0.2">
      <c r="A52" t="str">
        <f>[412]L!A52</f>
        <v>CGI005-qtz03-CL-fit-1-offset</v>
      </c>
      <c r="B52">
        <v>750</v>
      </c>
      <c r="C52">
        <f t="shared" si="3"/>
        <v>1.1456341375347871E-23</v>
      </c>
      <c r="D52">
        <v>1400</v>
      </c>
      <c r="E52">
        <v>1024</v>
      </c>
      <c r="F52">
        <f t="shared" si="0"/>
        <v>1.3671875</v>
      </c>
      <c r="I52" s="2">
        <f>([412]L!J52*'D(Ti_Audétat23) Times'!$F52*0.000001)^2/(4*'D(Ti_Audétat23) Times'!$C52)/(365.35*24*3600)</f>
        <v>257644.85523898853</v>
      </c>
      <c r="J52" s="2">
        <f>([412]L!K52*'D(Ti_Audétat23) Times'!$F52*0.000001)^2/(4*'D(Ti_Audétat23) Times'!$C52)/(365.35*24*3600)</f>
        <v>176016.09285703095</v>
      </c>
      <c r="K52" s="2">
        <f>([412]L!L52*'D(Ti_Audétat23) Times'!$F52*0.000001)^2/(4*'D(Ti_Audétat23) Times'!$C52)/(365.35*24*3600)</f>
        <v>321201.81822468451</v>
      </c>
      <c r="L52" s="2">
        <f>([412]L!M52*'D(Ti_Audétat23) Times'!$F52*0.000001)^2/(4*'D(Ti_Audétat23) Times'!$C52)/(365.35*24*3600)</f>
        <v>126475.44501410065</v>
      </c>
      <c r="M52" s="2">
        <f>([412]L!N52*'D(Ti_Audétat23) Times'!$F52*0.000001)^2/(4*'D(Ti_Audétat23) Times'!$C52)/(365.35*24*3600)</f>
        <v>263726.80794857751</v>
      </c>
      <c r="N52" s="2">
        <f>([412]L!O52*'D(Ti_Audétat23) Times'!$F52*0.000001)^2/(4*'D(Ti_Audétat23) Times'!$C52)/(365.35*24*3600)</f>
        <v>235728.81548845946</v>
      </c>
      <c r="O52" s="2">
        <f>([412]L!P52*'D(Ti_Audétat23) Times'!$F52*0.000001)^2/(4*'D(Ti_Audétat23) Times'!$C52)/(365.35*24*3600)</f>
        <v>322508.01877962385</v>
      </c>
      <c r="P52" s="2">
        <f>([412]L!Q52*'D(Ti_Audétat23) Times'!$F52*0.000001)^2/(4*'D(Ti_Audétat23) Times'!$C52)/(365.35*24*3600)</f>
        <v>97336.302423302375</v>
      </c>
      <c r="Q52" s="2">
        <f>([412]L!R52*'D(Ti_Audétat23) Times'!$F52*0.000001)^2/(4*'D(Ti_Audétat23) Times'!$C52)/(365.35*24*3600)</f>
        <v>134436.13525850145</v>
      </c>
      <c r="R52" s="2">
        <f>([412]L!S52*'D(Ti_Audétat23) Times'!$F52*0.000001)^2/(4*'D(Ti_Audétat23) Times'!$C52)/(365.35*24*3600)</f>
        <v>118744.56798868092</v>
      </c>
      <c r="S52" s="2">
        <f>([412]L!T52*'D(Ti_Audétat23) Times'!$F52*0.000001)^2/(4*'D(Ti_Audétat23) Times'!$C52)/(365.35*24*3600)</f>
        <v>202787.70576010994</v>
      </c>
      <c r="T52" s="2"/>
      <c r="U52" s="2">
        <f>([412]L!V52*'D(Ti_Audétat23) Times'!$F52*0.000001)^2/(4*'D(Ti_Audétat23) Times'!$C52)/(365.35*24*3600)</f>
        <v>195617.34933891415</v>
      </c>
      <c r="V52" s="2">
        <f>([412]L!W52*'D(Ti_Audétat23) Times'!$F52*0.000001)^2/(4*'D(Ti_Audétat23) Times'!$C52)/(365.35*24*3600)</f>
        <v>197622.83238828348</v>
      </c>
      <c r="W52" s="2">
        <f>([412]L!X52*'D(Ti_Audétat23) Times'!$F52*0.000001)^2/(4*'D(Ti_Audétat23) Times'!$C52)/(365.35*24*3600)</f>
        <v>202787.70576010994</v>
      </c>
      <c r="X52" s="2"/>
      <c r="Y52" s="2">
        <f>([412]L!Z52*'D(Ti_Audétat23) Times'!$F52*0.000001)^2/(4*'D(Ti_Audétat23) Times'!$C52)/(365.35*24*3600)</f>
        <v>192389.21727043891</v>
      </c>
      <c r="Z52" s="2">
        <f>([412]L!AB52*'D(Ti_Audétat23) Times'!$F52*0.000001)^2/(4*'D(Ti_Audétat23) Times'!$C52)/(365.35*24*3600)</f>
        <v>200277.80906525953</v>
      </c>
      <c r="AA52" s="2">
        <f>([412]L!AC52*'D(Ti_Audétat23) Times'!$F52*0.000001)^2/(4*'D(Ti_Audétat23) Times'!$C52)/(365.35*24*3600)</f>
        <v>91806.595495515925</v>
      </c>
      <c r="AB52" s="2">
        <f>([412]L!AD52*'D(Ti_Audétat23) Times'!$F52*0.000001)^2/(4*'D(Ti_Audétat23) Times'!$C52)/(365.35*24*3600)</f>
        <v>392372.60318740411</v>
      </c>
      <c r="AC52" s="2">
        <f t="shared" si="1"/>
        <v>108471.2135697436</v>
      </c>
      <c r="AD52" s="2">
        <f t="shared" si="2"/>
        <v>192094.79412214458</v>
      </c>
    </row>
    <row r="53" spans="1:51" x14ac:dyDescent="0.2">
      <c r="A53" t="str">
        <f>[412]L!A53</f>
        <v>CGI005-qtz03-CL-fit-2-offset</v>
      </c>
      <c r="B53">
        <v>750</v>
      </c>
      <c r="C53">
        <f t="shared" si="3"/>
        <v>1.1456341375347871E-23</v>
      </c>
      <c r="D53">
        <v>1400</v>
      </c>
      <c r="E53">
        <v>1024</v>
      </c>
      <c r="F53">
        <f t="shared" si="0"/>
        <v>1.3671875</v>
      </c>
      <c r="I53" s="2">
        <f>([412]L!J53*'D(Ti_Audétat23) Times'!$F53*0.000001)^2/(4*'D(Ti_Audétat23) Times'!$C53)/(365.35*24*3600)</f>
        <v>105755.66767210996</v>
      </c>
      <c r="J53" s="2">
        <f>([412]L!K53*'D(Ti_Audétat23) Times'!$F53*0.000001)^2/(4*'D(Ti_Audétat23) Times'!$C53)/(365.35*24*3600)</f>
        <v>85424.26125123087</v>
      </c>
      <c r="K53" s="2">
        <f>([412]L!L53*'D(Ti_Audétat23) Times'!$F53*0.000001)^2/(4*'D(Ti_Audétat23) Times'!$C53)/(365.35*24*3600)</f>
        <v>91354.211387446223</v>
      </c>
      <c r="L53" s="2">
        <f>([412]L!M53*'D(Ti_Audétat23) Times'!$F53*0.000001)^2/(4*'D(Ti_Audétat23) Times'!$C53)/(365.35*24*3600)</f>
        <v>96233.998053559422</v>
      </c>
      <c r="M53" s="2">
        <f>([412]L!N53*'D(Ti_Audétat23) Times'!$F53*0.000001)^2/(4*'D(Ti_Audétat23) Times'!$C53)/(365.35*24*3600)</f>
        <v>74580.029991099524</v>
      </c>
      <c r="N53" s="2">
        <f>([412]L!O53*'D(Ti_Audétat23) Times'!$F53*0.000001)^2/(4*'D(Ti_Audétat23) Times'!$C53)/(365.35*24*3600)</f>
        <v>107406.89878690497</v>
      </c>
      <c r="O53" s="2">
        <f>([412]L!P53*'D(Ti_Audétat23) Times'!$F53*0.000001)^2/(4*'D(Ti_Audétat23) Times'!$C53)/(365.35*24*3600)</f>
        <v>86212.228843679186</v>
      </c>
      <c r="P53" s="2">
        <f>([412]L!Q53*'D(Ti_Audétat23) Times'!$F53*0.000001)^2/(4*'D(Ti_Audétat23) Times'!$C53)/(365.35*24*3600)</f>
        <v>82260.026436410597</v>
      </c>
      <c r="Q53" s="2">
        <f>([412]L!R53*'D(Ti_Audétat23) Times'!$F53*0.000001)^2/(4*'D(Ti_Audétat23) Times'!$C53)/(365.35*24*3600)</f>
        <v>89162.981178010989</v>
      </c>
      <c r="R53" s="2">
        <f>([412]L!S53*'D(Ti_Audétat23) Times'!$F53*0.000001)^2/(4*'D(Ti_Audétat23) Times'!$C53)/(365.35*24*3600)</f>
        <v>71237.451065166912</v>
      </c>
      <c r="S53" s="2">
        <f>([412]L!T53*'D(Ti_Audétat23) Times'!$F53*0.000001)^2/(4*'D(Ti_Audétat23) Times'!$C53)/(365.35*24*3600)</f>
        <v>86732.309518822352</v>
      </c>
      <c r="T53" s="2"/>
      <c r="U53" s="2">
        <f>([412]L!V53*'D(Ti_Audétat23) Times'!$F53*0.000001)^2/(4*'D(Ti_Audétat23) Times'!$C53)/(365.35*24*3600)</f>
        <v>89194.975691611209</v>
      </c>
      <c r="V53" s="2">
        <f>([412]L!W53*'D(Ti_Audétat23) Times'!$F53*0.000001)^2/(4*'D(Ti_Audétat23) Times'!$C53)/(365.35*24*3600)</f>
        <v>88436.010410857562</v>
      </c>
      <c r="W53" s="2">
        <f>([412]L!X53*'D(Ti_Audétat23) Times'!$F53*0.000001)^2/(4*'D(Ti_Audétat23) Times'!$C53)/(365.35*24*3600)</f>
        <v>86732.309518822352</v>
      </c>
      <c r="X53" s="2"/>
      <c r="Y53" s="2">
        <f>([412]L!Z53*'D(Ti_Audétat23) Times'!$F53*0.000001)^2/(4*'D(Ti_Audétat23) Times'!$C53)/(365.35*24*3600)</f>
        <v>88794.156811882131</v>
      </c>
      <c r="Z53" s="2">
        <f>([412]L!AB53*'D(Ti_Audétat23) Times'!$F53*0.000001)^2/(4*'D(Ti_Audétat23) Times'!$C53)/(365.35*24*3600)</f>
        <v>88877.865252699514</v>
      </c>
      <c r="AA53" s="2">
        <f>([412]L!AC53*'D(Ti_Audétat23) Times'!$F53*0.000001)^2/(4*'D(Ti_Audétat23) Times'!$C53)/(365.35*24*3600)</f>
        <v>67660.426000154999</v>
      </c>
      <c r="AB53" s="2">
        <f>([412]L!AD53*'D(Ti_Audétat23) Times'!$F53*0.000001)^2/(4*'D(Ti_Audétat23) Times'!$C53)/(365.35*24*3600)</f>
        <v>115296.42378717661</v>
      </c>
      <c r="AC53" s="2">
        <f t="shared" si="1"/>
        <v>21217.439252544515</v>
      </c>
      <c r="AD53" s="2">
        <f t="shared" si="2"/>
        <v>26418.558534477095</v>
      </c>
    </row>
    <row r="54" spans="1:51" x14ac:dyDescent="0.2">
      <c r="A54" t="str">
        <f>[412]L!A54</f>
        <v>CGI005-qtz03-CL-fit-3</v>
      </c>
      <c r="B54">
        <v>750</v>
      </c>
      <c r="C54">
        <f t="shared" si="3"/>
        <v>1.1456341375347871E-23</v>
      </c>
      <c r="D54">
        <v>1400</v>
      </c>
      <c r="E54">
        <v>1024</v>
      </c>
      <c r="F54">
        <f t="shared" si="0"/>
        <v>1.3671875</v>
      </c>
      <c r="I54" s="2">
        <f>([412]L!J54*'D(Ti_Audétat23) Times'!$F54*0.000001)^2/(4*'D(Ti_Audétat23) Times'!$C54)/(365.35*24*3600)</f>
        <v>130973.0771990068</v>
      </c>
      <c r="J54" s="2">
        <f>([412]L!K54*'D(Ti_Audétat23) Times'!$F54*0.000001)^2/(4*'D(Ti_Audétat23) Times'!$C54)/(365.35*24*3600)</f>
        <v>102899.32824568411</v>
      </c>
      <c r="K54" s="2">
        <f>([412]L!L54*'D(Ti_Audétat23) Times'!$F54*0.000001)^2/(4*'D(Ti_Audétat23) Times'!$C54)/(365.35*24*3600)</f>
        <v>86595.316191254504</v>
      </c>
      <c r="L54" s="2">
        <f>([412]L!M54*'D(Ti_Audétat23) Times'!$F54*0.000001)^2/(4*'D(Ti_Audétat23) Times'!$C54)/(365.35*24*3600)</f>
        <v>89252.342497384932</v>
      </c>
      <c r="M54" s="2">
        <f>([412]L!N54*'D(Ti_Audétat23) Times'!$F54*0.000001)^2/(4*'D(Ti_Audétat23) Times'!$C54)/(365.35*24*3600)</f>
        <v>123019.27167946869</v>
      </c>
      <c r="N54" s="2">
        <f>([412]L!O54*'D(Ti_Audétat23) Times'!$F54*0.000001)^2/(4*'D(Ti_Audétat23) Times'!$C54)/(365.35*24*3600)</f>
        <v>100444.69435460054</v>
      </c>
      <c r="O54" s="2">
        <f>([412]L!P54*'D(Ti_Audétat23) Times'!$F54*0.000001)^2/(4*'D(Ti_Audétat23) Times'!$C54)/(365.35*24*3600)</f>
        <v>131242.95138149531</v>
      </c>
      <c r="P54" s="2">
        <f>([412]L!Q54*'D(Ti_Audétat23) Times'!$F54*0.000001)^2/(4*'D(Ti_Audétat23) Times'!$C54)/(365.35*24*3600)</f>
        <v>106054.01380851882</v>
      </c>
      <c r="Q54" s="2">
        <f>([412]L!R54*'D(Ti_Audétat23) Times'!$F54*0.000001)^2/(4*'D(Ti_Audétat23) Times'!$C54)/(365.35*24*3600)</f>
        <v>84972.070849500189</v>
      </c>
      <c r="R54" s="2">
        <f>([412]L!S54*'D(Ti_Audétat23) Times'!$F54*0.000001)^2/(4*'D(Ti_Audétat23) Times'!$C54)/(365.35*24*3600)</f>
        <v>105602.50023745917</v>
      </c>
      <c r="S54" s="2">
        <f>([412]L!T54*'D(Ti_Audétat23) Times'!$F54*0.000001)^2/(4*'D(Ti_Audétat23) Times'!$C54)/(365.35*24*3600)</f>
        <v>110555.17194476169</v>
      </c>
      <c r="T54" s="2"/>
      <c r="U54" s="2">
        <f>([412]L!V54*'D(Ti_Audétat23) Times'!$F54*0.000001)^2/(4*'D(Ti_Audétat23) Times'!$C54)/(365.35*24*3600)</f>
        <v>106092.27411547175</v>
      </c>
      <c r="V54" s="2">
        <f>([412]L!W54*'D(Ti_Audétat23) Times'!$F54*0.000001)^2/(4*'D(Ti_Audétat23) Times'!$C54)/(365.35*24*3600)</f>
        <v>105936.75961808767</v>
      </c>
      <c r="W54" s="2">
        <f>([412]L!X54*'D(Ti_Audétat23) Times'!$F54*0.000001)^2/(4*'D(Ti_Audétat23) Times'!$C54)/(365.35*24*3600)</f>
        <v>105602.50023745917</v>
      </c>
      <c r="X54" s="2"/>
      <c r="Y54" s="2">
        <f>([412]L!Z54*'D(Ti_Audétat23) Times'!$F54*0.000001)^2/(4*'D(Ti_Audétat23) Times'!$C54)/(365.35*24*3600)</f>
        <v>105475.13958567558</v>
      </c>
      <c r="Z54" s="2">
        <f>([412]L!AB54*'D(Ti_Audétat23) Times'!$F54*0.000001)^2/(4*'D(Ti_Audétat23) Times'!$C54)/(365.35*24*3600)</f>
        <v>106925.57752550322</v>
      </c>
      <c r="AA54" s="2">
        <f>([412]L!AC54*'D(Ti_Audétat23) Times'!$F54*0.000001)^2/(4*'D(Ti_Audétat23) Times'!$C54)/(365.35*24*3600)</f>
        <v>71089.733774746303</v>
      </c>
      <c r="AB54" s="2">
        <f>([412]L!AD54*'D(Ti_Audétat23) Times'!$F54*0.000001)^2/(4*'D(Ti_Audétat23) Times'!$C54)/(365.35*24*3600)</f>
        <v>156107.30930714513</v>
      </c>
      <c r="AC54" s="2">
        <f t="shared" si="1"/>
        <v>35835.843750756918</v>
      </c>
      <c r="AD54" s="2">
        <f t="shared" si="2"/>
        <v>49181.731781641909</v>
      </c>
    </row>
    <row r="55" spans="1:51" x14ac:dyDescent="0.2">
      <c r="A55" t="str">
        <f>[412]L!A55</f>
        <v>CGI005-qtz03-CL-fit-4-offset</v>
      </c>
      <c r="B55">
        <v>750</v>
      </c>
      <c r="C55">
        <f t="shared" si="3"/>
        <v>1.1456341375347871E-23</v>
      </c>
      <c r="D55">
        <v>1400</v>
      </c>
      <c r="E55">
        <v>1024</v>
      </c>
      <c r="F55">
        <f t="shared" si="0"/>
        <v>1.3671875</v>
      </c>
      <c r="I55" s="2">
        <f>([412]L!J55*'D(Ti_Audétat23) Times'!$F55*0.000001)^2/(4*'D(Ti_Audétat23) Times'!$C55)/(365.35*24*3600)</f>
        <v>70938.67828034691</v>
      </c>
      <c r="J55" s="2">
        <f>([412]L!K55*'D(Ti_Audétat23) Times'!$F55*0.000001)^2/(4*'D(Ti_Audétat23) Times'!$C55)/(365.35*24*3600)</f>
        <v>86260.598579745856</v>
      </c>
      <c r="K55" s="2">
        <f>([412]L!L55*'D(Ti_Audétat23) Times'!$F55*0.000001)^2/(4*'D(Ti_Audétat23) Times'!$C55)/(365.35*24*3600)</f>
        <v>62844.518288354673</v>
      </c>
      <c r="L55" s="2">
        <f>([412]L!M55*'D(Ti_Audétat23) Times'!$F55*0.000001)^2/(4*'D(Ti_Audétat23) Times'!$C55)/(365.35*24*3600)</f>
        <v>81571.318932837996</v>
      </c>
      <c r="M55" s="2">
        <f>([412]L!N55*'D(Ti_Audétat23) Times'!$F55*0.000001)^2/(4*'D(Ti_Audétat23) Times'!$C55)/(365.35*24*3600)</f>
        <v>58183.348871616145</v>
      </c>
      <c r="N55" s="2">
        <f>([412]L!O55*'D(Ti_Audétat23) Times'!$F55*0.000001)^2/(4*'D(Ti_Audétat23) Times'!$C55)/(365.35*24*3600)</f>
        <v>92517.563212744411</v>
      </c>
      <c r="O55" s="2">
        <f>([412]L!P55*'D(Ti_Audétat23) Times'!$F55*0.000001)^2/(4*'D(Ti_Audétat23) Times'!$C55)/(365.35*24*3600)</f>
        <v>61256.628879345182</v>
      </c>
      <c r="P55" s="2">
        <f>([412]L!Q55*'D(Ti_Audétat23) Times'!$F55*0.000001)^2/(4*'D(Ti_Audétat23) Times'!$C55)/(365.35*24*3600)</f>
        <v>101906.61807339963</v>
      </c>
      <c r="Q55" s="2">
        <f>([412]L!R55*'D(Ti_Audétat23) Times'!$F55*0.000001)^2/(4*'D(Ti_Audétat23) Times'!$C55)/(365.35*24*3600)</f>
        <v>86172.982479235448</v>
      </c>
      <c r="R55" s="2">
        <f>([412]L!S55*'D(Ti_Audétat23) Times'!$F55*0.000001)^2/(4*'D(Ti_Audétat23) Times'!$C55)/(365.35*24*3600)</f>
        <v>70665.525593185754</v>
      </c>
      <c r="S55" s="2">
        <f>([412]L!T55*'D(Ti_Audétat23) Times'!$F55*0.000001)^2/(4*'D(Ti_Audétat23) Times'!$C55)/(365.35*24*3600)</f>
        <v>64935.653096705995</v>
      </c>
      <c r="T55" s="2"/>
      <c r="U55" s="2">
        <f>([412]L!V55*'D(Ti_Audétat23) Times'!$F55*0.000001)^2/(4*'D(Ti_Audétat23) Times'!$C55)/(365.35*24*3600)</f>
        <v>76544.03612625337</v>
      </c>
      <c r="V55" s="2">
        <f>([412]L!W55*'D(Ti_Audétat23) Times'!$F55*0.000001)^2/(4*'D(Ti_Audétat23) Times'!$C55)/(365.35*24*3600)</f>
        <v>75507.789456225815</v>
      </c>
      <c r="W55" s="2">
        <f>([412]L!X55*'D(Ti_Audétat23) Times'!$F55*0.000001)^2/(4*'D(Ti_Audétat23) Times'!$C55)/(365.35*24*3600)</f>
        <v>70938.67828034691</v>
      </c>
      <c r="X55" s="2"/>
      <c r="Y55" s="2">
        <f>([412]L!Z55*'D(Ti_Audétat23) Times'!$F55*0.000001)^2/(4*'D(Ti_Audétat23) Times'!$C55)/(365.35*24*3600)</f>
        <v>74592.909105094819</v>
      </c>
      <c r="Z55" s="2">
        <f>([412]L!AB55*'D(Ti_Audétat23) Times'!$F55*0.000001)^2/(4*'D(Ti_Audétat23) Times'!$C55)/(365.35*24*3600)</f>
        <v>74956.091970905312</v>
      </c>
      <c r="AA55" s="2">
        <f>([412]L!AC55*'D(Ti_Audétat23) Times'!$F55*0.000001)^2/(4*'D(Ti_Audétat23) Times'!$C55)/(365.35*24*3600)</f>
        <v>49373.221403002404</v>
      </c>
      <c r="AB55" s="2">
        <f>([412]L!AD55*'D(Ti_Audétat23) Times'!$F55*0.000001)^2/(4*'D(Ti_Audétat23) Times'!$C55)/(365.35*24*3600)</f>
        <v>110864.47641862232</v>
      </c>
      <c r="AC55" s="2">
        <f t="shared" si="1"/>
        <v>25582.870567902908</v>
      </c>
      <c r="AD55" s="2">
        <f t="shared" si="2"/>
        <v>35908.384447717006</v>
      </c>
    </row>
    <row r="56" spans="1:51" x14ac:dyDescent="0.2">
      <c r="A56" t="str">
        <f>[412]L!A56</f>
        <v>CGI005-qtz03-CL-fit-5-offset</v>
      </c>
      <c r="B56">
        <v>750</v>
      </c>
      <c r="C56">
        <f t="shared" si="3"/>
        <v>1.1456341375347871E-23</v>
      </c>
      <c r="D56">
        <v>1400</v>
      </c>
      <c r="E56">
        <v>1024</v>
      </c>
      <c r="F56">
        <f t="shared" si="0"/>
        <v>1.3671875</v>
      </c>
      <c r="I56" s="2">
        <f>([412]L!J56*'D(Ti_Audétat23) Times'!$F56*0.000001)^2/(4*'D(Ti_Audétat23) Times'!$C56)/(365.35*24*3600)</f>
        <v>6318.2832097028704</v>
      </c>
      <c r="J56" s="2">
        <f>([412]L!K56*'D(Ti_Audétat23) Times'!$F56*0.000001)^2/(4*'D(Ti_Audétat23) Times'!$C56)/(365.35*24*3600)</f>
        <v>3061.4617128979107</v>
      </c>
      <c r="K56" s="2">
        <f>([412]L!L56*'D(Ti_Audétat23) Times'!$F56*0.000001)^2/(4*'D(Ti_Audétat23) Times'!$C56)/(365.35*24*3600)</f>
        <v>2930.7876891120591</v>
      </c>
      <c r="L56" s="2">
        <f>([412]L!M56*'D(Ti_Audétat23) Times'!$F56*0.000001)^2/(4*'D(Ti_Audétat23) Times'!$C56)/(365.35*24*3600)</f>
        <v>4203.6858290150467</v>
      </c>
      <c r="M56" s="2">
        <f>([412]L!N56*'D(Ti_Audétat23) Times'!$F56*0.000001)^2/(4*'D(Ti_Audétat23) Times'!$C56)/(365.35*24*3600)</f>
        <v>3744.1785771433197</v>
      </c>
      <c r="N56" s="2">
        <f>([412]L!O56*'D(Ti_Audétat23) Times'!$F56*0.000001)^2/(4*'D(Ti_Audétat23) Times'!$C56)/(365.35*24*3600)</f>
        <v>6845.1708328201848</v>
      </c>
      <c r="O56" s="2">
        <f>([412]L!P56*'D(Ti_Audétat23) Times'!$F56*0.000001)^2/(4*'D(Ti_Audétat23) Times'!$C56)/(365.35*24*3600)</f>
        <v>4393.0677924176707</v>
      </c>
      <c r="P56" s="2">
        <f>([412]L!Q56*'D(Ti_Audétat23) Times'!$F56*0.000001)^2/(4*'D(Ti_Audétat23) Times'!$C56)/(365.35*24*3600)</f>
        <v>5314.8364363801484</v>
      </c>
      <c r="Q56" s="2">
        <f>([412]L!R56*'D(Ti_Audétat23) Times'!$F56*0.000001)^2/(4*'D(Ti_Audétat23) Times'!$C56)/(365.35*24*3600)</f>
        <v>9175.5836686620241</v>
      </c>
      <c r="R56" s="2">
        <f>([412]L!S56*'D(Ti_Audétat23) Times'!$F56*0.000001)^2/(4*'D(Ti_Audétat23) Times'!$C56)/(365.35*24*3600)</f>
        <v>4746.878729036659</v>
      </c>
      <c r="S56" s="2">
        <f>([412]L!T56*'D(Ti_Audétat23) Times'!$F56*0.000001)^2/(4*'D(Ti_Audétat23) Times'!$C56)/(365.35*24*3600)</f>
        <v>4063.5019115186465</v>
      </c>
      <c r="T56" s="2"/>
      <c r="U56" s="2">
        <f>([412]L!V56*'D(Ti_Audétat23) Times'!$F56*0.000001)^2/(4*'D(Ti_Audétat23) Times'!$C56)/(365.35*24*3600)</f>
        <v>5041.3173554726945</v>
      </c>
      <c r="V56" s="2">
        <f>([412]L!W56*'D(Ti_Audétat23) Times'!$F56*0.000001)^2/(4*'D(Ti_Audétat23) Times'!$C56)/(365.35*24*3600)</f>
        <v>4840.763450292402</v>
      </c>
      <c r="W56" s="2">
        <f>([412]L!X56*'D(Ti_Audétat23) Times'!$F56*0.000001)^2/(4*'D(Ti_Audétat23) Times'!$C56)/(365.35*24*3600)</f>
        <v>4393.0677924176707</v>
      </c>
      <c r="X56" s="2"/>
      <c r="Y56" s="2">
        <f>([412]L!Z56*'D(Ti_Audétat23) Times'!$F56*0.000001)^2/(4*'D(Ti_Audétat23) Times'!$C56)/(365.35*24*3600)</f>
        <v>4471.992996125955</v>
      </c>
      <c r="Z56" s="2">
        <f>([412]L!AB56*'D(Ti_Audétat23) Times'!$F56*0.000001)^2/(4*'D(Ti_Audétat23) Times'!$C56)/(365.35*24*3600)</f>
        <v>4616.2647207909386</v>
      </c>
      <c r="AA56" s="2">
        <f>([412]L!AC56*'D(Ti_Audétat23) Times'!$F56*0.000001)^2/(4*'D(Ti_Audétat23) Times'!$C56)/(365.35*24*3600)</f>
        <v>1397.4046921561412</v>
      </c>
      <c r="AB56" s="2">
        <f>([412]L!AD56*'D(Ti_Audétat23) Times'!$F56*0.000001)^2/(4*'D(Ti_Audétat23) Times'!$C56)/(365.35*24*3600)</f>
        <v>10233.042345438053</v>
      </c>
      <c r="AC56" s="2">
        <f t="shared" si="1"/>
        <v>3218.8600286347973</v>
      </c>
      <c r="AD56" s="2">
        <f t="shared" si="2"/>
        <v>5616.777624647114</v>
      </c>
    </row>
    <row r="57" spans="1:51" x14ac:dyDescent="0.2">
      <c r="A57" t="str">
        <f>[412]L!A57</f>
        <v>CGI005-qtz03-CL-fit-6-offset</v>
      </c>
      <c r="B57">
        <v>750</v>
      </c>
      <c r="C57">
        <f t="shared" si="3"/>
        <v>1.1456341375347871E-23</v>
      </c>
      <c r="D57">
        <v>1400</v>
      </c>
      <c r="E57">
        <v>1024</v>
      </c>
      <c r="F57">
        <f t="shared" si="0"/>
        <v>1.3671875</v>
      </c>
      <c r="I57" s="2">
        <f>([412]L!J57*'D(Ti_Audétat23) Times'!$F57*0.000001)^2/(4*'D(Ti_Audétat23) Times'!$C57)/(365.35*24*3600)</f>
        <v>4143.6987892545476</v>
      </c>
      <c r="J57" s="2">
        <f>([412]L!K57*'D(Ti_Audétat23) Times'!$F57*0.000001)^2/(4*'D(Ti_Audétat23) Times'!$C57)/(365.35*24*3600)</f>
        <v>3030.3642508433472</v>
      </c>
      <c r="K57" s="2">
        <f>([412]L!L57*'D(Ti_Audétat23) Times'!$F57*0.000001)^2/(4*'D(Ti_Audétat23) Times'!$C57)/(365.35*24*3600)</f>
        <v>3920.9634928883506</v>
      </c>
      <c r="L57" s="2">
        <f>([412]L!M57*'D(Ti_Audétat23) Times'!$F57*0.000001)^2/(4*'D(Ti_Audétat23) Times'!$C57)/(365.35*24*3600)</f>
        <v>418.74974648119695</v>
      </c>
      <c r="M57" s="2">
        <f>([412]L!N57*'D(Ti_Audétat23) Times'!$F57*0.000001)^2/(4*'D(Ti_Audétat23) Times'!$C57)/(365.35*24*3600)</f>
        <v>1343.0997696680654</v>
      </c>
      <c r="N57" s="2">
        <f>([412]L!O57*'D(Ti_Audétat23) Times'!$F57*0.000001)^2/(4*'D(Ti_Audétat23) Times'!$C57)/(365.35*24*3600)</f>
        <v>2012.7135543291242</v>
      </c>
      <c r="O57" s="2">
        <f>([412]L!P57*'D(Ti_Audétat23) Times'!$F57*0.000001)^2/(4*'D(Ti_Audétat23) Times'!$C57)/(365.35*24*3600)</f>
        <v>144.79373378140809</v>
      </c>
      <c r="P57" s="2">
        <f>([412]L!Q57*'D(Ti_Audétat23) Times'!$F57*0.000001)^2/(4*'D(Ti_Audétat23) Times'!$C57)/(365.35*24*3600)</f>
        <v>0.43048593379101247</v>
      </c>
      <c r="Q57" s="2">
        <f>([412]L!R57*'D(Ti_Audétat23) Times'!$F57*0.000001)^2/(4*'D(Ti_Audétat23) Times'!$C57)/(365.35*24*3600)</f>
        <v>0.19491816496194722</v>
      </c>
      <c r="R57" s="2">
        <f>([412]L!S57*'D(Ti_Audétat23) Times'!$F57*0.000001)^2/(4*'D(Ti_Audétat23) Times'!$C57)/(365.35*24*3600)</f>
        <v>796.91577119437693</v>
      </c>
      <c r="S57" s="2">
        <f>([412]L!T57*'D(Ti_Audétat23) Times'!$F57*0.000001)^2/(4*'D(Ti_Audétat23) Times'!$C57)/(365.35*24*3600)</f>
        <v>2267.5001828764102</v>
      </c>
      <c r="T57" s="2"/>
      <c r="U57" s="2">
        <f>([412]L!V57*'D(Ti_Audétat23) Times'!$F57*0.000001)^2/(4*'D(Ti_Audétat23) Times'!$C57)/(365.35*24*3600)</f>
        <v>1904.1050208427625</v>
      </c>
      <c r="V57" s="2">
        <f>([412]L!W57*'D(Ti_Audétat23) Times'!$F57*0.000001)^2/(4*'D(Ti_Audétat23) Times'!$C57)/(365.35*24*3600)</f>
        <v>1149.7740181931401</v>
      </c>
      <c r="W57" s="2">
        <f>([412]L!X57*'D(Ti_Audétat23) Times'!$F57*0.000001)^2/(4*'D(Ti_Audétat23) Times'!$C57)/(365.35*24*3600)</f>
        <v>1343.0997696680654</v>
      </c>
      <c r="X57" s="2"/>
      <c r="Y57" s="2">
        <f>([412]L!Z57*'D(Ti_Audétat23) Times'!$F57*0.000001)^2/(4*'D(Ti_Audétat23) Times'!$C57)/(365.35*24*3600)</f>
        <v>1687.299321499622</v>
      </c>
      <c r="Z57" s="2">
        <f>([412]L!AB57*'D(Ti_Audétat23) Times'!$F57*0.000001)^2/(4*'D(Ti_Audétat23) Times'!$C57)/(365.35*24*3600)</f>
        <v>1512.78109413065</v>
      </c>
      <c r="AA57" s="2">
        <f>([412]L!AC57*'D(Ti_Audétat23) Times'!$F57*0.000001)^2/(4*'D(Ti_Audétat23) Times'!$C57)/(365.35*24*3600)</f>
        <v>27.331730647903758</v>
      </c>
      <c r="AB57" s="2">
        <f>([412]L!AD57*'D(Ti_Audétat23) Times'!$F57*0.000001)^2/(4*'D(Ti_Audétat23) Times'!$C57)/(365.35*24*3600)</f>
        <v>5559.4705379132738</v>
      </c>
      <c r="AC57" s="2">
        <f t="shared" si="1"/>
        <v>1485.4493634827463</v>
      </c>
      <c r="AD57" s="2">
        <f t="shared" si="2"/>
        <v>4046.689443782624</v>
      </c>
    </row>
    <row r="58" spans="1:51" x14ac:dyDescent="0.2">
      <c r="A58" t="str">
        <f>[412]L!A58</f>
        <v>CGI005-qtz04-CL-fit-1-offset</v>
      </c>
      <c r="B58">
        <v>750</v>
      </c>
      <c r="C58">
        <f t="shared" si="3"/>
        <v>1.1456341375347871E-23</v>
      </c>
      <c r="D58">
        <v>1900</v>
      </c>
      <c r="E58">
        <v>1024</v>
      </c>
      <c r="F58">
        <f t="shared" si="0"/>
        <v>1.85546875</v>
      </c>
      <c r="I58" s="2">
        <f>([412]L!J58*'D(Ti_Audétat23) Times'!$F58*0.000001)^2/(4*'D(Ti_Audétat23) Times'!$C58)/(365.35*24*3600)</f>
        <v>46021.573752324926</v>
      </c>
      <c r="J58" s="2">
        <f>([412]L!K58*'D(Ti_Audétat23) Times'!$F58*0.000001)^2/(4*'D(Ti_Audétat23) Times'!$C58)/(365.35*24*3600)</f>
        <v>40016.570113273759</v>
      </c>
      <c r="K58" s="2">
        <f>([412]L!L58*'D(Ti_Audétat23) Times'!$F58*0.000001)^2/(4*'D(Ti_Audétat23) Times'!$C58)/(365.35*24*3600)</f>
        <v>39361.433213436481</v>
      </c>
      <c r="L58" s="2">
        <f>([412]L!M58*'D(Ti_Audétat23) Times'!$F58*0.000001)^2/(4*'D(Ti_Audétat23) Times'!$C58)/(365.35*24*3600)</f>
        <v>38851.576097191057</v>
      </c>
      <c r="M58" s="2">
        <f>([412]L!N58*'D(Ti_Audétat23) Times'!$F58*0.000001)^2/(4*'D(Ti_Audétat23) Times'!$C58)/(365.35*24*3600)</f>
        <v>30619.598920166747</v>
      </c>
      <c r="N58" s="2">
        <f>([412]L!O58*'D(Ti_Audétat23) Times'!$F58*0.000001)^2/(4*'D(Ti_Audétat23) Times'!$C58)/(365.35*24*3600)</f>
        <v>43325.842017923547</v>
      </c>
      <c r="O58" s="2">
        <f>([412]L!P58*'D(Ti_Audétat23) Times'!$F58*0.000001)^2/(4*'D(Ti_Audétat23) Times'!$C58)/(365.35*24*3600)</f>
        <v>40831.114010059238</v>
      </c>
      <c r="P58" s="2">
        <f>([412]L!Q58*'D(Ti_Audétat23) Times'!$F58*0.000001)^2/(4*'D(Ti_Audétat23) Times'!$C58)/(365.35*24*3600)</f>
        <v>56184.486243413856</v>
      </c>
      <c r="Q58" s="2">
        <f>([412]L!R58*'D(Ti_Audétat23) Times'!$F58*0.000001)^2/(4*'D(Ti_Audétat23) Times'!$C58)/(365.35*24*3600)</f>
        <v>68729.918917779491</v>
      </c>
      <c r="R58" s="2">
        <f>([412]L!S58*'D(Ti_Audétat23) Times'!$F58*0.000001)^2/(4*'D(Ti_Audétat23) Times'!$C58)/(365.35*24*3600)</f>
        <v>54199.63612302304</v>
      </c>
      <c r="S58" s="2">
        <f>([412]L!T58*'D(Ti_Audétat23) Times'!$F58*0.000001)^2/(4*'D(Ti_Audétat23) Times'!$C58)/(365.35*24*3600)</f>
        <v>62203.942305541379</v>
      </c>
      <c r="T58" s="2"/>
      <c r="U58" s="2">
        <f>([412]L!V58*'D(Ti_Audétat23) Times'!$F58*0.000001)^2/(4*'D(Ti_Audétat23) Times'!$C58)/(365.35*24*3600)</f>
        <v>45715.007014396251</v>
      </c>
      <c r="V58" s="2">
        <f>([412]L!W58*'D(Ti_Audétat23) Times'!$F58*0.000001)^2/(4*'D(Ti_Audétat23) Times'!$C58)/(365.35*24*3600)</f>
        <v>46682.913669637237</v>
      </c>
      <c r="W58" s="2">
        <f>([412]L!X58*'D(Ti_Audétat23) Times'!$F58*0.000001)^2/(4*'D(Ti_Audétat23) Times'!$C58)/(365.35*24*3600)</f>
        <v>43325.842017923547</v>
      </c>
      <c r="X58" s="2"/>
      <c r="Y58" s="2">
        <f>([412]L!Z58*'D(Ti_Audétat23) Times'!$F58*0.000001)^2/(4*'D(Ti_Audétat23) Times'!$C58)/(365.35*24*3600)</f>
        <v>44209.795354367554</v>
      </c>
      <c r="Z58" s="2">
        <f>([412]L!AB58*'D(Ti_Audétat23) Times'!$F58*0.000001)^2/(4*'D(Ti_Audétat23) Times'!$C58)/(365.35*24*3600)</f>
        <v>44413.533492771479</v>
      </c>
      <c r="AA58" s="2">
        <f>([412]L!AC58*'D(Ti_Audétat23) Times'!$F58*0.000001)^2/(4*'D(Ti_Audétat23) Times'!$C58)/(365.35*24*3600)</f>
        <v>26503.82863339721</v>
      </c>
      <c r="AB58" s="2">
        <f>([412]L!AD58*'D(Ti_Audétat23) Times'!$F58*0.000001)^2/(4*'D(Ti_Audétat23) Times'!$C58)/(365.35*24*3600)</f>
        <v>67423.446546338571</v>
      </c>
      <c r="AC58" s="2">
        <f t="shared" si="1"/>
        <v>17909.704859374269</v>
      </c>
      <c r="AD58" s="2">
        <f t="shared" si="2"/>
        <v>23009.913053567092</v>
      </c>
    </row>
    <row r="59" spans="1:51" x14ac:dyDescent="0.2">
      <c r="A59" t="str">
        <f>[412]L!A59</f>
        <v>CGI005-qtz04-CL-fit-2-offset</v>
      </c>
      <c r="B59">
        <v>750</v>
      </c>
      <c r="C59">
        <f t="shared" si="3"/>
        <v>1.1456341375347871E-23</v>
      </c>
      <c r="D59">
        <v>1900</v>
      </c>
      <c r="E59">
        <v>1024</v>
      </c>
      <c r="F59">
        <f t="shared" si="0"/>
        <v>1.85546875</v>
      </c>
      <c r="I59" s="2">
        <f>([412]L!J59*'D(Ti_Audétat23) Times'!$F59*0.000001)^2/(4*'D(Ti_Audétat23) Times'!$C59)/(365.35*24*3600)</f>
        <v>72794.26947573341</v>
      </c>
      <c r="J59" s="2">
        <f>([412]L!K59*'D(Ti_Audétat23) Times'!$F59*0.000001)^2/(4*'D(Ti_Audétat23) Times'!$C59)/(365.35*24*3600)</f>
        <v>88928.623008059658</v>
      </c>
      <c r="K59" s="2">
        <f>([412]L!L59*'D(Ti_Audétat23) Times'!$F59*0.000001)^2/(4*'D(Ti_Audétat23) Times'!$C59)/(365.35*24*3600)</f>
        <v>105255.61734853864</v>
      </c>
      <c r="L59" s="2">
        <f>([412]L!M59*'D(Ti_Audétat23) Times'!$F59*0.000001)^2/(4*'D(Ti_Audétat23) Times'!$C59)/(365.35*24*3600)</f>
        <v>97946.298934052043</v>
      </c>
      <c r="M59" s="2">
        <f>([412]L!N59*'D(Ti_Audétat23) Times'!$F59*0.000001)^2/(4*'D(Ti_Audétat23) Times'!$C59)/(365.35*24*3600)</f>
        <v>64049.938820805182</v>
      </c>
      <c r="N59" s="2">
        <f>([412]L!O59*'D(Ti_Audétat23) Times'!$F59*0.000001)^2/(4*'D(Ti_Audétat23) Times'!$C59)/(365.35*24*3600)</f>
        <v>76255.743692737538</v>
      </c>
      <c r="O59" s="2">
        <f>([412]L!P59*'D(Ti_Audétat23) Times'!$F59*0.000001)^2/(4*'D(Ti_Audétat23) Times'!$C59)/(365.35*24*3600)</f>
        <v>57142.828866109456</v>
      </c>
      <c r="P59" s="2">
        <f>([412]L!Q59*'D(Ti_Audétat23) Times'!$F59*0.000001)^2/(4*'D(Ti_Audétat23) Times'!$C59)/(365.35*24*3600)</f>
        <v>64237.272842751074</v>
      </c>
      <c r="Q59" s="2">
        <f>([412]L!R59*'D(Ti_Audétat23) Times'!$F59*0.000001)^2/(4*'D(Ti_Audétat23) Times'!$C59)/(365.35*24*3600)</f>
        <v>55953.725086507504</v>
      </c>
      <c r="R59" s="2">
        <f>([412]L!S59*'D(Ti_Audétat23) Times'!$F59*0.000001)^2/(4*'D(Ti_Audétat23) Times'!$C59)/(365.35*24*3600)</f>
        <v>67261.456412943968</v>
      </c>
      <c r="S59" s="2">
        <f>([412]L!T59*'D(Ti_Audétat23) Times'!$F59*0.000001)^2/(4*'D(Ti_Audétat23) Times'!$C59)/(365.35*24*3600)</f>
        <v>82295.91951608911</v>
      </c>
      <c r="T59" s="2"/>
      <c r="U59" s="2">
        <f>([412]L!V59*'D(Ti_Audétat23) Times'!$F59*0.000001)^2/(4*'D(Ti_Audétat23) Times'!$C59)/(365.35*24*3600)</f>
        <v>74761.97474024375</v>
      </c>
      <c r="V59" s="2">
        <f>([412]L!W59*'D(Ti_Audétat23) Times'!$F59*0.000001)^2/(4*'D(Ti_Audétat23) Times'!$C59)/(365.35*24*3600)</f>
        <v>74871.686089789044</v>
      </c>
      <c r="W59" s="2">
        <f>([412]L!X59*'D(Ti_Audétat23) Times'!$F59*0.000001)^2/(4*'D(Ti_Audétat23) Times'!$C59)/(365.35*24*3600)</f>
        <v>72794.26947573341</v>
      </c>
      <c r="X59" s="2"/>
      <c r="Y59" s="2">
        <f>([412]L!Z59*'D(Ti_Audétat23) Times'!$F59*0.000001)^2/(4*'D(Ti_Audétat23) Times'!$C59)/(365.35*24*3600)</f>
        <v>75231.232172450007</v>
      </c>
      <c r="Z59" s="2">
        <f>([412]L!AB59*'D(Ti_Audétat23) Times'!$F59*0.000001)^2/(4*'D(Ti_Audétat23) Times'!$C59)/(365.35*24*3600)</f>
        <v>75328.724739875848</v>
      </c>
      <c r="AA59" s="2">
        <f>([412]L!AC59*'D(Ti_Audétat23) Times'!$F59*0.000001)^2/(4*'D(Ti_Audétat23) Times'!$C59)/(365.35*24*3600)</f>
        <v>55211.559644437475</v>
      </c>
      <c r="AB59" s="2">
        <f>([412]L!AD59*'D(Ti_Audétat23) Times'!$F59*0.000001)^2/(4*'D(Ti_Audétat23) Times'!$C59)/(365.35*24*3600)</f>
        <v>103992.39012521967</v>
      </c>
      <c r="AC59" s="2">
        <f t="shared" si="1"/>
        <v>20117.165095438373</v>
      </c>
      <c r="AD59" s="2">
        <f t="shared" si="2"/>
        <v>28663.665385343818</v>
      </c>
    </row>
    <row r="60" spans="1:51" x14ac:dyDescent="0.2">
      <c r="A60" t="str">
        <f>[412]L!A60</f>
        <v>CGI005-qtz04-CL-fit-3</v>
      </c>
      <c r="B60">
        <v>750</v>
      </c>
      <c r="C60">
        <f t="shared" si="3"/>
        <v>1.1456341375347871E-23</v>
      </c>
      <c r="D60">
        <v>1900</v>
      </c>
      <c r="E60">
        <v>1024</v>
      </c>
      <c r="F60">
        <f t="shared" si="0"/>
        <v>1.85546875</v>
      </c>
      <c r="I60" s="2">
        <f>([412]L!J60*'D(Ti_Audétat23) Times'!$F60*0.000001)^2/(4*'D(Ti_Audétat23) Times'!$C60)/(365.35*24*3600)</f>
        <v>8105.7636314580968</v>
      </c>
      <c r="J60" s="2">
        <f>([412]L!K60*'D(Ti_Audétat23) Times'!$F60*0.000001)^2/(4*'D(Ti_Audétat23) Times'!$C60)/(365.35*24*3600)</f>
        <v>12244.530757218196</v>
      </c>
      <c r="K60" s="2">
        <f>([412]L!L60*'D(Ti_Audétat23) Times'!$F60*0.000001)^2/(4*'D(Ti_Audétat23) Times'!$C60)/(365.35*24*3600)</f>
        <v>18200.697042738102</v>
      </c>
      <c r="L60" s="2">
        <f>([412]L!M60*'D(Ti_Audétat23) Times'!$F60*0.000001)^2/(4*'D(Ti_Audétat23) Times'!$C60)/(365.35*24*3600)</f>
        <v>17263.075088802922</v>
      </c>
      <c r="M60" s="2">
        <f>([412]L!N60*'D(Ti_Audétat23) Times'!$F60*0.000001)^2/(4*'D(Ti_Audétat23) Times'!$C60)/(365.35*24*3600)</f>
        <v>11089.105771893441</v>
      </c>
      <c r="N60" s="2">
        <f>([412]L!O60*'D(Ti_Audétat23) Times'!$F60*0.000001)^2/(4*'D(Ti_Audétat23) Times'!$C60)/(365.35*24*3600)</f>
        <v>13428.688310615858</v>
      </c>
      <c r="O60" s="2">
        <f>([412]L!P60*'D(Ti_Audétat23) Times'!$F60*0.000001)^2/(4*'D(Ti_Audétat23) Times'!$C60)/(365.35*24*3600)</f>
        <v>12084.912172909133</v>
      </c>
      <c r="P60" s="2">
        <f>([412]L!Q60*'D(Ti_Audétat23) Times'!$F60*0.000001)^2/(4*'D(Ti_Audétat23) Times'!$C60)/(365.35*24*3600)</f>
        <v>14858.091763219849</v>
      </c>
      <c r="Q60" s="2">
        <f>([412]L!R60*'D(Ti_Audétat23) Times'!$F60*0.000001)^2/(4*'D(Ti_Audétat23) Times'!$C60)/(365.35*24*3600)</f>
        <v>10639.345115569171</v>
      </c>
      <c r="R60" s="2">
        <f>([412]L!S60*'D(Ti_Audétat23) Times'!$F60*0.000001)^2/(4*'D(Ti_Audétat23) Times'!$C60)/(365.35*24*3600)</f>
        <v>9458.9657857627317</v>
      </c>
      <c r="S60" s="2">
        <f>([412]L!T60*'D(Ti_Audétat23) Times'!$F60*0.000001)^2/(4*'D(Ti_Audétat23) Times'!$C60)/(365.35*24*3600)</f>
        <v>15477.47361004786</v>
      </c>
      <c r="T60" s="2"/>
      <c r="U60" s="2">
        <f>([412]L!V60*'D(Ti_Audétat23) Times'!$F60*0.000001)^2/(4*'D(Ti_Audétat23) Times'!$C60)/(365.35*24*3600)</f>
        <v>12763.571981590156</v>
      </c>
      <c r="V60" s="2">
        <f>([412]L!W60*'D(Ti_Audétat23) Times'!$F60*0.000001)^2/(4*'D(Ti_Audétat23) Times'!$C60)/(365.35*24*3600)</f>
        <v>12806.237485505217</v>
      </c>
      <c r="W60" s="2">
        <f>([412]L!X60*'D(Ti_Audétat23) Times'!$F60*0.000001)^2/(4*'D(Ti_Audétat23) Times'!$C60)/(365.35*24*3600)</f>
        <v>12244.530757218196</v>
      </c>
      <c r="X60" s="2"/>
      <c r="Y60" s="2">
        <f>([412]L!Z60*'D(Ti_Audétat23) Times'!$F60*0.000001)^2/(4*'D(Ti_Audétat23) Times'!$C60)/(365.35*24*3600)</f>
        <v>12751.601280355986</v>
      </c>
      <c r="Z60" s="2">
        <f>([412]L!AB60*'D(Ti_Audétat23) Times'!$F60*0.000001)^2/(4*'D(Ti_Audétat23) Times'!$C60)/(365.35*24*3600)</f>
        <v>13086.516421302107</v>
      </c>
      <c r="AA60" s="2">
        <f>([412]L!AC60*'D(Ti_Audétat23) Times'!$F60*0.000001)^2/(4*'D(Ti_Audétat23) Times'!$C60)/(365.35*24*3600)</f>
        <v>5235.1985008597403</v>
      </c>
      <c r="AB60" s="2">
        <f>([412]L!AD60*'D(Ti_Audétat23) Times'!$F60*0.000001)^2/(4*'D(Ti_Audétat23) Times'!$C60)/(365.35*24*3600)</f>
        <v>24766.927258066895</v>
      </c>
      <c r="AC60" s="2">
        <f t="shared" si="1"/>
        <v>7851.3179204423668</v>
      </c>
      <c r="AD60" s="2">
        <f t="shared" si="2"/>
        <v>11680.410836764788</v>
      </c>
    </row>
    <row r="61" spans="1:51" x14ac:dyDescent="0.2">
      <c r="A61" t="str">
        <f>[412]L!A61</f>
        <v>CGI005-qtz04-CL-fit-4-offset</v>
      </c>
      <c r="B61">
        <v>750</v>
      </c>
      <c r="C61">
        <f t="shared" si="3"/>
        <v>1.1456341375347871E-23</v>
      </c>
      <c r="D61">
        <v>1900</v>
      </c>
      <c r="E61">
        <v>1024</v>
      </c>
      <c r="F61">
        <f t="shared" si="0"/>
        <v>1.85546875</v>
      </c>
      <c r="I61" s="2">
        <f>([412]L!J61*'D(Ti_Audétat23) Times'!$F61*0.000001)^2/(4*'D(Ti_Audétat23) Times'!$C61)/(365.35*24*3600)</f>
        <v>13528.090775317922</v>
      </c>
      <c r="J61" s="2">
        <f>([412]L!K61*'D(Ti_Audétat23) Times'!$F61*0.000001)^2/(4*'D(Ti_Audétat23) Times'!$C61)/(365.35*24*3600)</f>
        <v>19583.339863169476</v>
      </c>
      <c r="K61" s="2">
        <f>([412]L!L61*'D(Ti_Audétat23) Times'!$F61*0.000001)^2/(4*'D(Ti_Audétat23) Times'!$C61)/(365.35*24*3600)</f>
        <v>29840.935783688736</v>
      </c>
      <c r="L61" s="2">
        <f>([412]L!M61*'D(Ti_Audétat23) Times'!$F61*0.000001)^2/(4*'D(Ti_Audétat23) Times'!$C61)/(365.35*24*3600)</f>
        <v>37188.216396446805</v>
      </c>
      <c r="M61" s="2">
        <f>([412]L!N61*'D(Ti_Audétat23) Times'!$F61*0.000001)^2/(4*'D(Ti_Audétat23) Times'!$C61)/(365.35*24*3600)</f>
        <v>23704.965081177834</v>
      </c>
      <c r="N61" s="2">
        <f>([412]L!O61*'D(Ti_Audétat23) Times'!$F61*0.000001)^2/(4*'D(Ti_Audétat23) Times'!$C61)/(365.35*24*3600)</f>
        <v>13042.182585905339</v>
      </c>
      <c r="O61" s="2">
        <f>([412]L!P61*'D(Ti_Audétat23) Times'!$F61*0.000001)^2/(4*'D(Ti_Audétat23) Times'!$C61)/(365.35*24*3600)</f>
        <v>27013.91322907072</v>
      </c>
      <c r="P61" s="2">
        <f>([412]L!Q61*'D(Ti_Audétat23) Times'!$F61*0.000001)^2/(4*'D(Ti_Audétat23) Times'!$C61)/(365.35*24*3600)</f>
        <v>22386.175185896584</v>
      </c>
      <c r="Q61" s="2">
        <f>([412]L!R61*'D(Ti_Audétat23) Times'!$F61*0.000001)^2/(4*'D(Ti_Audétat23) Times'!$C61)/(365.35*24*3600)</f>
        <v>20316.62361432477</v>
      </c>
      <c r="R61" s="2">
        <f>([412]L!S61*'D(Ti_Audétat23) Times'!$F61*0.000001)^2/(4*'D(Ti_Audétat23) Times'!$C61)/(365.35*24*3600)</f>
        <v>11823.233710259556</v>
      </c>
      <c r="S61" s="2">
        <f>([412]L!T61*'D(Ti_Audétat23) Times'!$F61*0.000001)^2/(4*'D(Ti_Audétat23) Times'!$C61)/(365.35*24*3600)</f>
        <v>16402.822597560644</v>
      </c>
      <c r="T61" s="2"/>
      <c r="U61" s="2">
        <f>([412]L!V61*'D(Ti_Audétat23) Times'!$F61*0.000001)^2/(4*'D(Ti_Audétat23) Times'!$C61)/(365.35*24*3600)</f>
        <v>20785.725682183329</v>
      </c>
      <c r="V61" s="2">
        <f>([412]L!W61*'D(Ti_Audétat23) Times'!$F61*0.000001)^2/(4*'D(Ti_Audétat23) Times'!$C61)/(365.35*24*3600)</f>
        <v>20718.433171694676</v>
      </c>
      <c r="W61" s="2">
        <f>([412]L!X61*'D(Ti_Audétat23) Times'!$F61*0.000001)^2/(4*'D(Ti_Audétat23) Times'!$C61)/(365.35*24*3600)</f>
        <v>20316.62361432477</v>
      </c>
      <c r="X61" s="2"/>
      <c r="Y61" s="2">
        <f>([412]L!Z61*'D(Ti_Audétat23) Times'!$F61*0.000001)^2/(4*'D(Ti_Audétat23) Times'!$C61)/(365.35*24*3600)</f>
        <v>19594.538990962174</v>
      </c>
      <c r="Z61" s="2">
        <f>([412]L!AB61*'D(Ti_Audétat23) Times'!$F61*0.000001)^2/(4*'D(Ti_Audétat23) Times'!$C61)/(365.35*24*3600)</f>
        <v>20289.516638295867</v>
      </c>
      <c r="AA61" s="2">
        <f>([412]L!AC61*'D(Ti_Audétat23) Times'!$F61*0.000001)^2/(4*'D(Ti_Audétat23) Times'!$C61)/(365.35*24*3600)</f>
        <v>7067.3851297455612</v>
      </c>
      <c r="AB61" s="2">
        <f>([412]L!AD61*'D(Ti_Audétat23) Times'!$F61*0.000001)^2/(4*'D(Ti_Audétat23) Times'!$C61)/(365.35*24*3600)</f>
        <v>52454.320371939386</v>
      </c>
      <c r="AC61" s="2">
        <f t="shared" si="1"/>
        <v>13222.131508550305</v>
      </c>
      <c r="AD61" s="2">
        <f t="shared" si="2"/>
        <v>32164.803733643519</v>
      </c>
    </row>
    <row r="62" spans="1:51" x14ac:dyDescent="0.2">
      <c r="A62" t="str">
        <f>[412]L!A62</f>
        <v>CGI005-qtz04-CL-fit-5-offset</v>
      </c>
      <c r="B62">
        <v>750</v>
      </c>
      <c r="C62">
        <f t="shared" si="3"/>
        <v>1.1456341375347871E-23</v>
      </c>
      <c r="D62">
        <v>1900</v>
      </c>
      <c r="E62">
        <v>1024</v>
      </c>
      <c r="F62">
        <f t="shared" si="0"/>
        <v>1.85546875</v>
      </c>
      <c r="I62" s="2">
        <f>([412]L!J62*'D(Ti_Audétat23) Times'!$F62*0.000001)^2/(4*'D(Ti_Audétat23) Times'!$C62)/(365.35*24*3600)</f>
        <v>8748.7007709893314</v>
      </c>
      <c r="J62" s="2">
        <f>([412]L!K62*'D(Ti_Audétat23) Times'!$F62*0.000001)^2/(4*'D(Ti_Audétat23) Times'!$C62)/(365.35*24*3600)</f>
        <v>13441.43891808433</v>
      </c>
      <c r="K62" s="2">
        <f>([412]L!L62*'D(Ti_Audétat23) Times'!$F62*0.000001)^2/(4*'D(Ti_Audétat23) Times'!$C62)/(365.35*24*3600)</f>
        <v>10512.892075953525</v>
      </c>
      <c r="L62" s="2">
        <f>([412]L!M62*'D(Ti_Audétat23) Times'!$F62*0.000001)^2/(4*'D(Ti_Audétat23) Times'!$C62)/(365.35*24*3600)</f>
        <v>12718.230758877768</v>
      </c>
      <c r="M62" s="2">
        <f>([412]L!N62*'D(Ti_Audétat23) Times'!$F62*0.000001)^2/(4*'D(Ti_Audétat23) Times'!$C62)/(365.35*24*3600)</f>
        <v>16464.971313492468</v>
      </c>
      <c r="N62" s="2">
        <f>([412]L!O62*'D(Ti_Audétat23) Times'!$F62*0.000001)^2/(4*'D(Ti_Audétat23) Times'!$C62)/(365.35*24*3600)</f>
        <v>10166.189511415472</v>
      </c>
      <c r="O62" s="2">
        <f>([412]L!P62*'D(Ti_Audétat23) Times'!$F62*0.000001)^2/(4*'D(Ti_Audétat23) Times'!$C62)/(365.35*24*3600)</f>
        <v>12315.827552654053</v>
      </c>
      <c r="P62" s="2">
        <f>([412]L!Q62*'D(Ti_Audétat23) Times'!$F62*0.000001)^2/(4*'D(Ti_Audétat23) Times'!$C62)/(365.35*24*3600)</f>
        <v>13793.166112800374</v>
      </c>
      <c r="Q62" s="2">
        <f>([412]L!R62*'D(Ti_Audétat23) Times'!$F62*0.000001)^2/(4*'D(Ti_Audétat23) Times'!$C62)/(365.35*24*3600)</f>
        <v>18176.893607313265</v>
      </c>
      <c r="R62" s="2">
        <f>([412]L!S62*'D(Ti_Audétat23) Times'!$F62*0.000001)^2/(4*'D(Ti_Audétat23) Times'!$C62)/(365.35*24*3600)</f>
        <v>9972.1675741262043</v>
      </c>
      <c r="S62" s="2">
        <f>([412]L!T62*'D(Ti_Audétat23) Times'!$F62*0.000001)^2/(4*'D(Ti_Audétat23) Times'!$C62)/(365.35*24*3600)</f>
        <v>17660.196452850196</v>
      </c>
      <c r="T62" s="2"/>
      <c r="U62" s="2">
        <f>([412]L!V62*'D(Ti_Audétat23) Times'!$F62*0.000001)^2/(4*'D(Ti_Audétat23) Times'!$C62)/(365.35*24*3600)</f>
        <v>13529.404422569907</v>
      </c>
      <c r="V62" s="2">
        <f>([412]L!W62*'D(Ti_Audétat23) Times'!$F62*0.000001)^2/(4*'D(Ti_Audétat23) Times'!$C62)/(365.35*24*3600)</f>
        <v>12911.524816566414</v>
      </c>
      <c r="W62" s="2">
        <f>([412]L!X62*'D(Ti_Audétat23) Times'!$F62*0.000001)^2/(4*'D(Ti_Audétat23) Times'!$C62)/(365.35*24*3600)</f>
        <v>12718.230758877768</v>
      </c>
      <c r="X62" s="2"/>
      <c r="Y62" s="2">
        <f>([412]L!Z62*'D(Ti_Audétat23) Times'!$F62*0.000001)^2/(4*'D(Ti_Audétat23) Times'!$C62)/(365.35*24*3600)</f>
        <v>13356.506834567674</v>
      </c>
      <c r="Z62" s="2">
        <f>([412]L!AB62*'D(Ti_Audétat23) Times'!$F62*0.000001)^2/(4*'D(Ti_Audétat23) Times'!$C62)/(365.35*24*3600)</f>
        <v>13766.503649021883</v>
      </c>
      <c r="AA62" s="2">
        <f>([412]L!AC62*'D(Ti_Audétat23) Times'!$F62*0.000001)^2/(4*'D(Ti_Audétat23) Times'!$C62)/(365.35*24*3600)</f>
        <v>6103.554658091889</v>
      </c>
      <c r="AB62" s="2">
        <f>([412]L!AD62*'D(Ti_Audétat23) Times'!$F62*0.000001)^2/(4*'D(Ti_Audétat23) Times'!$C62)/(365.35*24*3600)</f>
        <v>26772.063693102122</v>
      </c>
      <c r="AC62" s="2">
        <f t="shared" si="1"/>
        <v>7662.9489909299937</v>
      </c>
      <c r="AD62" s="2">
        <f t="shared" si="2"/>
        <v>13005.560044080239</v>
      </c>
    </row>
    <row r="63" spans="1:51" x14ac:dyDescent="0.2">
      <c r="A63" t="str">
        <f>[412]L!A63</f>
        <v>CGI005-qtz05-CL-fit-1-offset</v>
      </c>
      <c r="B63">
        <v>750</v>
      </c>
      <c r="C63">
        <f t="shared" si="3"/>
        <v>1.1456341375347871E-23</v>
      </c>
      <c r="D63">
        <v>1900</v>
      </c>
      <c r="E63">
        <v>1024</v>
      </c>
      <c r="F63">
        <f t="shared" si="0"/>
        <v>1.85546875</v>
      </c>
      <c r="I63" s="2">
        <f>([412]L!J63*'D(Ti_Audétat23) Times'!$F63*0.000001)^2/(4*'D(Ti_Audétat23) Times'!$C63)/(365.35*24*3600)</f>
        <v>34583.376769066359</v>
      </c>
      <c r="J63" s="2">
        <f>([412]L!K63*'D(Ti_Audétat23) Times'!$F63*0.000001)^2/(4*'D(Ti_Audétat23) Times'!$C63)/(365.35*24*3600)</f>
        <v>100.79780251453872</v>
      </c>
      <c r="K63" s="2">
        <f>([412]L!L63*'D(Ti_Audétat23) Times'!$F63*0.000001)^2/(4*'D(Ti_Audétat23) Times'!$C63)/(365.35*24*3600)</f>
        <v>66667.952659728355</v>
      </c>
      <c r="L63" s="2">
        <f>([412]L!M63*'D(Ti_Audétat23) Times'!$F63*0.000001)^2/(4*'D(Ti_Audétat23) Times'!$C63)/(365.35*24*3600)</f>
        <v>206.92871602909614</v>
      </c>
      <c r="M63" s="2">
        <f>([412]L!N63*'D(Ti_Audétat23) Times'!$F63*0.000001)^2/(4*'D(Ti_Audétat23) Times'!$C63)/(365.35*24*3600)</f>
        <v>92973.64228616163</v>
      </c>
      <c r="N63" s="2">
        <f>([412]L!O63*'D(Ti_Audétat23) Times'!$F63*0.000001)^2/(4*'D(Ti_Audétat23) Times'!$C63)/(365.35*24*3600)</f>
        <v>1220.9155960167573</v>
      </c>
      <c r="O63" s="2">
        <f>([412]L!P63*'D(Ti_Audétat23) Times'!$F63*0.000001)^2/(4*'D(Ti_Audétat23) Times'!$C63)/(365.35*24*3600)</f>
        <v>12929.351784715129</v>
      </c>
      <c r="P63" s="2">
        <f>([412]L!Q63*'D(Ti_Audétat23) Times'!$F63*0.000001)^2/(4*'D(Ti_Audétat23) Times'!$C63)/(365.35*24*3600)</f>
        <v>23827.466118409448</v>
      </c>
      <c r="Q63" s="2">
        <f>([412]L!R63*'D(Ti_Audétat23) Times'!$F63*0.000001)^2/(4*'D(Ti_Audétat23) Times'!$C63)/(365.35*24*3600)</f>
        <v>169462.02302932902</v>
      </c>
      <c r="R63" s="2">
        <f>([412]L!S63*'D(Ti_Audétat23) Times'!$F63*0.000001)^2/(4*'D(Ti_Audétat23) Times'!$C63)/(365.35*24*3600)</f>
        <v>37098.911771102656</v>
      </c>
      <c r="S63" s="2">
        <f>([412]L!T63*'D(Ti_Audétat23) Times'!$F63*0.000001)^2/(4*'D(Ti_Audétat23) Times'!$C63)/(365.35*24*3600)</f>
        <v>5.0859952449605972</v>
      </c>
      <c r="T63" s="2"/>
      <c r="U63" s="2">
        <f>([412]L!V63*'D(Ti_Audétat23) Times'!$F63*0.000001)^2/(4*'D(Ti_Audétat23) Times'!$C63)/(365.35*24*3600)</f>
        <v>32830.903336644522</v>
      </c>
      <c r="V63" s="2">
        <f>([412]L!W63*'D(Ti_Audétat23) Times'!$F63*0.000001)^2/(4*'D(Ti_Audétat23) Times'!$C63)/(365.35*24*3600)</f>
        <v>23410.17120327488</v>
      </c>
      <c r="W63" s="2">
        <f>([412]L!X63*'D(Ti_Audétat23) Times'!$F63*0.000001)^2/(4*'D(Ti_Audétat23) Times'!$C63)/(365.35*24*3600)</f>
        <v>23827.466118409448</v>
      </c>
      <c r="X63" s="2"/>
      <c r="Y63" s="2">
        <f>([412]L!Z63*'D(Ti_Audétat23) Times'!$F63*0.000001)^2/(4*'D(Ti_Audétat23) Times'!$C63)/(365.35*24*3600)</f>
        <v>26116.44593908047</v>
      </c>
      <c r="Z63" s="2">
        <f>([412]L!AB63*'D(Ti_Audétat23) Times'!$F63*0.000001)^2/(4*'D(Ti_Audétat23) Times'!$C63)/(365.35*24*3600)</f>
        <v>26579.320411949935</v>
      </c>
      <c r="AA63" s="2">
        <f>([412]L!AC63*'D(Ti_Audétat23) Times'!$F63*0.000001)^2/(4*'D(Ti_Audétat23) Times'!$C63)/(365.35*24*3600)</f>
        <v>1.7529543539832344E-7</v>
      </c>
      <c r="AB63" s="2">
        <f>([412]L!AD63*'D(Ti_Audétat23) Times'!$F63*0.000001)^2/(4*'D(Ti_Audétat23) Times'!$C63)/(365.35*24*3600)</f>
        <v>113329.53965090611</v>
      </c>
      <c r="AC63" s="2">
        <f t="shared" si="1"/>
        <v>26579.320411774639</v>
      </c>
      <c r="AD63" s="2">
        <f t="shared" si="2"/>
        <v>86750.219238956168</v>
      </c>
    </row>
    <row r="64" spans="1:51" x14ac:dyDescent="0.2">
      <c r="A64" t="str">
        <f>[412]L!A64</f>
        <v>CGI005-qtz05-CL-fit-2-offset</v>
      </c>
      <c r="B64">
        <v>750</v>
      </c>
      <c r="C64">
        <f t="shared" si="3"/>
        <v>1.1456341375347871E-23</v>
      </c>
      <c r="D64">
        <v>1900</v>
      </c>
      <c r="E64">
        <v>1024</v>
      </c>
      <c r="F64">
        <f t="shared" si="0"/>
        <v>1.85546875</v>
      </c>
      <c r="I64" s="2">
        <f>([412]L!J64*'D(Ti_Audétat23) Times'!$F64*0.000001)^2/(4*'D(Ti_Audétat23) Times'!$C64)/(365.35*24*3600)</f>
        <v>122827.48670406851</v>
      </c>
      <c r="J64" s="2">
        <f>([412]L!K64*'D(Ti_Audétat23) Times'!$F64*0.000001)^2/(4*'D(Ti_Audétat23) Times'!$C64)/(365.35*24*3600)</f>
        <v>66741.697252139522</v>
      </c>
      <c r="K64" s="2">
        <f>([412]L!L64*'D(Ti_Audétat23) Times'!$F64*0.000001)^2/(4*'D(Ti_Audétat23) Times'!$C64)/(365.35*24*3600)</f>
        <v>61243.171434209456</v>
      </c>
      <c r="L64" s="2">
        <f>([412]L!M64*'D(Ti_Audétat23) Times'!$F64*0.000001)^2/(4*'D(Ti_Audétat23) Times'!$C64)/(365.35*24*3600)</f>
        <v>168204.42457675555</v>
      </c>
      <c r="M64" s="2">
        <f>([412]L!N64*'D(Ti_Audétat23) Times'!$F64*0.000001)^2/(4*'D(Ti_Audétat23) Times'!$C64)/(365.35*24*3600)</f>
        <v>115318.6079265521</v>
      </c>
      <c r="N64" s="2">
        <f>([412]L!O64*'D(Ti_Audétat23) Times'!$F64*0.000001)^2/(4*'D(Ti_Audétat23) Times'!$C64)/(365.35*24*3600)</f>
        <v>68878.871108179927</v>
      </c>
      <c r="O64" s="2">
        <f>([412]L!P64*'D(Ti_Audétat23) Times'!$F64*0.000001)^2/(4*'D(Ti_Audétat23) Times'!$C64)/(365.35*24*3600)</f>
        <v>103654.51725045839</v>
      </c>
      <c r="P64" s="2">
        <f>([412]L!Q64*'D(Ti_Audétat23) Times'!$F64*0.000001)^2/(4*'D(Ti_Audétat23) Times'!$C64)/(365.35*24*3600)</f>
        <v>67498.837360854013</v>
      </c>
      <c r="Q64" s="2">
        <f>([412]L!R64*'D(Ti_Audétat23) Times'!$F64*0.000001)^2/(4*'D(Ti_Audétat23) Times'!$C64)/(365.35*24*3600)</f>
        <v>134531.80712777737</v>
      </c>
      <c r="R64" s="2">
        <f>([412]L!S64*'D(Ti_Audétat23) Times'!$F64*0.000001)^2/(4*'D(Ti_Audétat23) Times'!$C64)/(365.35*24*3600)</f>
        <v>306036.5330817565</v>
      </c>
      <c r="S64" s="2">
        <f>([412]L!T64*'D(Ti_Audétat23) Times'!$F64*0.000001)^2/(4*'D(Ti_Audétat23) Times'!$C64)/(365.35*24*3600)</f>
        <v>177063.30184447207</v>
      </c>
      <c r="T64" s="2"/>
      <c r="U64" s="2">
        <f>([412]L!V64*'D(Ti_Audétat23) Times'!$F64*0.000001)^2/(4*'D(Ti_Audétat23) Times'!$C64)/(365.35*24*3600)</f>
        <v>106929.06240855946</v>
      </c>
      <c r="V64" s="2">
        <f>([412]L!W64*'D(Ti_Audétat23) Times'!$F64*0.000001)^2/(4*'D(Ti_Audétat23) Times'!$C64)/(365.35*24*3600)</f>
        <v>118773.36630712717</v>
      </c>
      <c r="W64" s="2">
        <f>([412]L!X64*'D(Ti_Audétat23) Times'!$F64*0.000001)^2/(4*'D(Ti_Audétat23) Times'!$C64)/(365.35*24*3600)</f>
        <v>115318.6079265521</v>
      </c>
      <c r="X64" s="2"/>
      <c r="Y64" s="2">
        <f>([412]L!Z64*'D(Ti_Audétat23) Times'!$F64*0.000001)^2/(4*'D(Ti_Audétat23) Times'!$C64)/(365.35*24*3600)</f>
        <v>114479.1235458156</v>
      </c>
      <c r="Z64" s="2">
        <f>([412]L!AB64*'D(Ti_Audétat23) Times'!$F64*0.000001)^2/(4*'D(Ti_Audétat23) Times'!$C64)/(365.35*24*3600)</f>
        <v>123332.24201138114</v>
      </c>
      <c r="AA64" s="2">
        <f>([412]L!AC64*'D(Ti_Audétat23) Times'!$F64*0.000001)^2/(4*'D(Ti_Audétat23) Times'!$C64)/(365.35*24*3600)</f>
        <v>6024.2066153734604</v>
      </c>
      <c r="AB64" s="2">
        <f>([412]L!AD64*'D(Ti_Audétat23) Times'!$F64*0.000001)^2/(4*'D(Ti_Audétat23) Times'!$C64)/(365.35*24*3600)</f>
        <v>553690.46378192282</v>
      </c>
      <c r="AC64" s="2">
        <f t="shared" si="1"/>
        <v>117308.03539600768</v>
      </c>
      <c r="AD64" s="2">
        <f t="shared" si="2"/>
        <v>430358.22177054168</v>
      </c>
    </row>
    <row r="65" spans="1:30" x14ac:dyDescent="0.2">
      <c r="A65" t="str">
        <f>[412]L!A65</f>
        <v>CGI005-qtz05-CL-fit-3-offset</v>
      </c>
      <c r="B65">
        <v>750</v>
      </c>
      <c r="C65">
        <f t="shared" si="3"/>
        <v>1.1456341375347871E-23</v>
      </c>
      <c r="D65">
        <v>1900</v>
      </c>
      <c r="E65">
        <v>1024</v>
      </c>
      <c r="F65">
        <f t="shared" si="0"/>
        <v>1.85546875</v>
      </c>
      <c r="I65" s="2">
        <f>([412]L!J65*'D(Ti_Audétat23) Times'!$F65*0.000001)^2/(4*'D(Ti_Audétat23) Times'!$C65)/(365.35*24*3600)</f>
        <v>51706.846596002375</v>
      </c>
      <c r="J65" s="2">
        <f>([412]L!K65*'D(Ti_Audétat23) Times'!$F65*0.000001)^2/(4*'D(Ti_Audétat23) Times'!$C65)/(365.35*24*3600)</f>
        <v>544.56783220355794</v>
      </c>
      <c r="K65" s="2">
        <f>([412]L!L65*'D(Ti_Audétat23) Times'!$F65*0.000001)^2/(4*'D(Ti_Audétat23) Times'!$C65)/(365.35*24*3600)</f>
        <v>98253.062472477424</v>
      </c>
      <c r="L65" s="2">
        <f>([412]L!M65*'D(Ti_Audétat23) Times'!$F65*0.000001)^2/(4*'D(Ti_Audétat23) Times'!$C65)/(365.35*24*3600)</f>
        <v>60869.767050160503</v>
      </c>
      <c r="M65" s="2">
        <f>([412]L!N65*'D(Ti_Audétat23) Times'!$F65*0.000001)^2/(4*'D(Ti_Audétat23) Times'!$C65)/(365.35*24*3600)</f>
        <v>107969.36746642357</v>
      </c>
      <c r="N65" s="2">
        <f>([412]L!O65*'D(Ti_Audétat23) Times'!$F65*0.000001)^2/(4*'D(Ti_Audétat23) Times'!$C65)/(365.35*24*3600)</f>
        <v>111225.67502319875</v>
      </c>
      <c r="O65" s="2">
        <f>([412]L!P65*'D(Ti_Audétat23) Times'!$F65*0.000001)^2/(4*'D(Ti_Audétat23) Times'!$C65)/(365.35*24*3600)</f>
        <v>54838.846625755614</v>
      </c>
      <c r="P65" s="2">
        <f>([412]L!Q65*'D(Ti_Audétat23) Times'!$F65*0.000001)^2/(4*'D(Ti_Audétat23) Times'!$C65)/(365.35*24*3600)</f>
        <v>0</v>
      </c>
      <c r="Q65" s="2">
        <f>([412]L!R65*'D(Ti_Audétat23) Times'!$F65*0.000001)^2/(4*'D(Ti_Audétat23) Times'!$C65)/(365.35*24*3600)</f>
        <v>181966.86550494502</v>
      </c>
      <c r="R65" s="2">
        <f>([412]L!S65*'D(Ti_Audétat23) Times'!$F65*0.000001)^2/(4*'D(Ti_Audétat23) Times'!$C65)/(365.35*24*3600)</f>
        <v>104515.4254061024</v>
      </c>
      <c r="S65" s="2">
        <f>([412]L!T65*'D(Ti_Audétat23) Times'!$F65*0.000001)^2/(4*'D(Ti_Audétat23) Times'!$C65)/(365.35*24*3600)</f>
        <v>88507.628532005023</v>
      </c>
      <c r="T65" s="2"/>
      <c r="U65" s="2">
        <f>([412]L!V65*'D(Ti_Audétat23) Times'!$F65*0.000001)^2/(4*'D(Ti_Audétat23) Times'!$C65)/(365.35*24*3600)</f>
        <v>95351.114692331583</v>
      </c>
      <c r="V65" s="2">
        <f>([412]L!W65*'D(Ti_Audétat23) Times'!$F65*0.000001)^2/(4*'D(Ti_Audétat23) Times'!$C65)/(365.35*24*3600)</f>
        <v>75874.594368705933</v>
      </c>
      <c r="W65" s="2">
        <f>([412]L!X65*'D(Ti_Audétat23) Times'!$F65*0.000001)^2/(4*'D(Ti_Audétat23) Times'!$C65)/(365.35*24*3600)</f>
        <v>93316.735876247956</v>
      </c>
      <c r="X65" s="2"/>
      <c r="Y65" s="2">
        <f>([412]L!Z65*'D(Ti_Audétat23) Times'!$F65*0.000001)^2/(4*'D(Ti_Audétat23) Times'!$C65)/(365.35*24*3600)</f>
        <v>90904.703276014654</v>
      </c>
      <c r="Z65" s="2">
        <f>([412]L!AB65*'D(Ti_Audétat23) Times'!$F65*0.000001)^2/(4*'D(Ti_Audétat23) Times'!$C65)/(365.35*24*3600)</f>
        <v>96747.592619607181</v>
      </c>
      <c r="AA65" s="2">
        <f>([412]L!AC65*'D(Ti_Audétat23) Times'!$F65*0.000001)^2/(4*'D(Ti_Audétat23) Times'!$C65)/(365.35*24*3600)</f>
        <v>23502.401884167481</v>
      </c>
      <c r="AB65" s="2">
        <f>([412]L!AD65*'D(Ti_Audétat23) Times'!$F65*0.000001)^2/(4*'D(Ti_Audétat23) Times'!$C65)/(365.35*24*3600)</f>
        <v>335809.60235318664</v>
      </c>
      <c r="AC65" s="2">
        <f t="shared" si="1"/>
        <v>73245.190735439697</v>
      </c>
      <c r="AD65" s="2">
        <f t="shared" si="2"/>
        <v>239062.00973357947</v>
      </c>
    </row>
    <row r="66" spans="1:30" x14ac:dyDescent="0.2">
      <c r="A66" t="str">
        <f>[412]L!A66</f>
        <v>CGI005-qtz06-CL-fit-1-offset</v>
      </c>
      <c r="B66">
        <v>750</v>
      </c>
      <c r="C66">
        <f t="shared" si="3"/>
        <v>1.1456341375347871E-23</v>
      </c>
      <c r="D66">
        <v>2050</v>
      </c>
      <c r="E66">
        <v>1024</v>
      </c>
      <c r="F66">
        <f t="shared" si="0"/>
        <v>2.001953125</v>
      </c>
      <c r="I66" s="2">
        <f>([412]L!J66*'D(Ti_Audétat23) Times'!$F66*0.000001)^2/(4*'D(Ti_Audétat23) Times'!$C66)/(365.35*24*3600)</f>
        <v>361972.37026322656</v>
      </c>
      <c r="J66" s="2">
        <f>([412]L!K66*'D(Ti_Audétat23) Times'!$F66*0.000001)^2/(4*'D(Ti_Audétat23) Times'!$C66)/(365.35*24*3600)</f>
        <v>280903.74739350897</v>
      </c>
      <c r="K66" s="2">
        <f>([412]L!L66*'D(Ti_Audétat23) Times'!$F66*0.000001)^2/(4*'D(Ti_Audétat23) Times'!$C66)/(365.35*24*3600)</f>
        <v>475896.52342927596</v>
      </c>
      <c r="L66" s="2">
        <f>([412]L!M66*'D(Ti_Audétat23) Times'!$F66*0.000001)^2/(4*'D(Ti_Audétat23) Times'!$C66)/(365.35*24*3600)</f>
        <v>360115.11068639648</v>
      </c>
      <c r="M66" s="2">
        <f>([412]L!N66*'D(Ti_Audétat23) Times'!$F66*0.000001)^2/(4*'D(Ti_Audétat23) Times'!$C66)/(365.35*24*3600)</f>
        <v>285462.75350638636</v>
      </c>
      <c r="N66" s="2">
        <f>([412]L!O66*'D(Ti_Audétat23) Times'!$F66*0.000001)^2/(4*'D(Ti_Audétat23) Times'!$C66)/(365.35*24*3600)</f>
        <v>298795.36786375486</v>
      </c>
      <c r="O66" s="2">
        <f>([412]L!P66*'D(Ti_Audétat23) Times'!$F66*0.000001)^2/(4*'D(Ti_Audétat23) Times'!$C66)/(365.35*24*3600)</f>
        <v>423655.88648114697</v>
      </c>
      <c r="P66" s="2">
        <f>([412]L!Q66*'D(Ti_Audétat23) Times'!$F66*0.000001)^2/(4*'D(Ti_Audétat23) Times'!$C66)/(365.35*24*3600)</f>
        <v>415251.18638775864</v>
      </c>
      <c r="Q66" s="2">
        <f>([412]L!R66*'D(Ti_Audétat23) Times'!$F66*0.000001)^2/(4*'D(Ti_Audétat23) Times'!$C66)/(365.35*24*3600)</f>
        <v>251353.81703191655</v>
      </c>
      <c r="R66" s="2">
        <f>([412]L!S66*'D(Ti_Audétat23) Times'!$F66*0.000001)^2/(4*'D(Ti_Audétat23) Times'!$C66)/(365.35*24*3600)</f>
        <v>469649.58278782206</v>
      </c>
      <c r="S66" s="2">
        <f>([412]L!T66*'D(Ti_Audétat23) Times'!$F66*0.000001)^2/(4*'D(Ti_Audétat23) Times'!$C66)/(365.35*24*3600)</f>
        <v>302957.31496441556</v>
      </c>
      <c r="T66" s="2"/>
      <c r="U66" s="2">
        <f>([412]L!V66*'D(Ti_Audétat23) Times'!$F66*0.000001)^2/(4*'D(Ti_Audétat23) Times'!$C66)/(365.35*24*3600)</f>
        <v>351755.50741635438</v>
      </c>
      <c r="V66" s="2">
        <f>([412]L!W66*'D(Ti_Audétat23) Times'!$F66*0.000001)^2/(4*'D(Ti_Audétat23) Times'!$C66)/(365.35*24*3600)</f>
        <v>352929.76416819275</v>
      </c>
      <c r="W66" s="2">
        <f>([412]L!X66*'D(Ti_Audétat23) Times'!$F66*0.000001)^2/(4*'D(Ti_Audétat23) Times'!$C66)/(365.35*24*3600)</f>
        <v>360115.11068639648</v>
      </c>
      <c r="X66" s="2"/>
      <c r="Y66" s="2">
        <f>([412]L!Z66*'D(Ti_Audétat23) Times'!$F66*0.000001)^2/(4*'D(Ti_Audétat23) Times'!$C66)/(365.35*24*3600)</f>
        <v>354071.5883303259</v>
      </c>
      <c r="Z66" s="2">
        <f>([412]L!AB66*'D(Ti_Audétat23) Times'!$F66*0.000001)^2/(4*'D(Ti_Audétat23) Times'!$C66)/(365.35*24*3600)</f>
        <v>356017.98570934916</v>
      </c>
      <c r="AA66" s="2">
        <f>([412]L!AC66*'D(Ti_Audétat23) Times'!$F66*0.000001)^2/(4*'D(Ti_Audétat23) Times'!$C66)/(365.35*24*3600)</f>
        <v>248012.64161075925</v>
      </c>
      <c r="AB66" s="2">
        <f>([412]L!AD66*'D(Ti_Audétat23) Times'!$F66*0.000001)^2/(4*'D(Ti_Audétat23) Times'!$C66)/(365.35*24*3600)</f>
        <v>489474.97314945812</v>
      </c>
      <c r="AC66" s="2">
        <f t="shared" si="1"/>
        <v>108005.34409858991</v>
      </c>
      <c r="AD66" s="2">
        <f t="shared" si="2"/>
        <v>133456.98744010896</v>
      </c>
    </row>
    <row r="67" spans="1:30" x14ac:dyDescent="0.2">
      <c r="A67" t="str">
        <f>[412]L!A67</f>
        <v>CGI005-qtz06-CL-fit-2-offset</v>
      </c>
      <c r="B67">
        <v>750</v>
      </c>
      <c r="C67">
        <f t="shared" si="3"/>
        <v>1.1456341375347871E-23</v>
      </c>
      <c r="D67">
        <v>2050</v>
      </c>
      <c r="E67">
        <v>1024</v>
      </c>
      <c r="F67">
        <f t="shared" ref="F67:F130" si="4">D67/E67</f>
        <v>2.001953125</v>
      </c>
      <c r="I67" s="2">
        <f>([412]L!J67*'D(Ti_Audétat23) Times'!$F67*0.000001)^2/(4*'D(Ti_Audétat23) Times'!$C67)/(365.35*24*3600)</f>
        <v>108605.03205081703</v>
      </c>
      <c r="J67" s="2">
        <f>([412]L!K67*'D(Ti_Audétat23) Times'!$F67*0.000001)^2/(4*'D(Ti_Audétat23) Times'!$C67)/(365.35*24*3600)</f>
        <v>105301.53502830426</v>
      </c>
      <c r="K67" s="2">
        <f>([412]L!L67*'D(Ti_Audétat23) Times'!$F67*0.000001)^2/(4*'D(Ti_Audétat23) Times'!$C67)/(365.35*24*3600)</f>
        <v>122471.63282551707</v>
      </c>
      <c r="L67" s="2">
        <f>([412]L!M67*'D(Ti_Audétat23) Times'!$F67*0.000001)^2/(4*'D(Ti_Audétat23) Times'!$C67)/(365.35*24*3600)</f>
        <v>101848.86251203138</v>
      </c>
      <c r="M67" s="2">
        <f>([412]L!N67*'D(Ti_Audétat23) Times'!$F67*0.000001)^2/(4*'D(Ti_Audétat23) Times'!$C67)/(365.35*24*3600)</f>
        <v>92924.855010084066</v>
      </c>
      <c r="N67" s="2">
        <f>([412]L!O67*'D(Ti_Audétat23) Times'!$F67*0.000001)^2/(4*'D(Ti_Audétat23) Times'!$C67)/(365.35*24*3600)</f>
        <v>103265.56727381943</v>
      </c>
      <c r="O67" s="2">
        <f>([412]L!P67*'D(Ti_Audétat23) Times'!$F67*0.000001)^2/(4*'D(Ti_Audétat23) Times'!$C67)/(365.35*24*3600)</f>
        <v>94913.56410717986</v>
      </c>
      <c r="P67" s="2">
        <f>([412]L!Q67*'D(Ti_Audétat23) Times'!$F67*0.000001)^2/(4*'D(Ti_Audétat23) Times'!$C67)/(365.35*24*3600)</f>
        <v>89576.870760315258</v>
      </c>
      <c r="Q67" s="2">
        <f>([412]L!R67*'D(Ti_Audétat23) Times'!$F67*0.000001)^2/(4*'D(Ti_Audétat23) Times'!$C67)/(365.35*24*3600)</f>
        <v>115956.30034093325</v>
      </c>
      <c r="R67" s="2">
        <f>([412]L!S67*'D(Ti_Audétat23) Times'!$F67*0.000001)^2/(4*'D(Ti_Audétat23) Times'!$C67)/(365.35*24*3600)</f>
        <v>133481.1808597057</v>
      </c>
      <c r="S67" s="2">
        <f>([412]L!T67*'D(Ti_Audétat23) Times'!$F67*0.000001)^2/(4*'D(Ti_Audétat23) Times'!$C67)/(365.35*24*3600)</f>
        <v>105027.85516939613</v>
      </c>
      <c r="T67" s="2"/>
      <c r="U67" s="2">
        <f>([412]L!V67*'D(Ti_Audétat23) Times'!$F67*0.000001)^2/(4*'D(Ti_Audétat23) Times'!$C67)/(365.35*24*3600)</f>
        <v>107079.71500751724</v>
      </c>
      <c r="V67" s="2">
        <f>([412]L!W67*'D(Ti_Audétat23) Times'!$F67*0.000001)^2/(4*'D(Ti_Audétat23) Times'!$C67)/(365.35*24*3600)</f>
        <v>106315.48235165654</v>
      </c>
      <c r="W67" s="2">
        <f>([412]L!X67*'D(Ti_Audétat23) Times'!$F67*0.000001)^2/(4*'D(Ti_Audétat23) Times'!$C67)/(365.35*24*3600)</f>
        <v>105027.85516939613</v>
      </c>
      <c r="X67" s="2"/>
      <c r="Y67" s="2">
        <f>([412]L!Z67*'D(Ti_Audétat23) Times'!$F67*0.000001)^2/(4*'D(Ti_Audétat23) Times'!$C67)/(365.35*24*3600)</f>
        <v>105342.04629629498</v>
      </c>
      <c r="Z67" s="2">
        <f>([412]L!AB67*'D(Ti_Audétat23) Times'!$F67*0.000001)^2/(4*'D(Ti_Audétat23) Times'!$C67)/(365.35*24*3600)</f>
        <v>105680.29390796275</v>
      </c>
      <c r="AA67" s="2">
        <f>([412]L!AC67*'D(Ti_Audétat23) Times'!$F67*0.000001)^2/(4*'D(Ti_Audétat23) Times'!$C67)/(365.35*24*3600)</f>
        <v>72618.804474200602</v>
      </c>
      <c r="AB67" s="2">
        <f>([412]L!AD67*'D(Ti_Audétat23) Times'!$F67*0.000001)^2/(4*'D(Ti_Audétat23) Times'!$C67)/(365.35*24*3600)</f>
        <v>145766.161005534</v>
      </c>
      <c r="AC67" s="2">
        <f t="shared" ref="AC67:AC130" si="5">Z67-AA67</f>
        <v>33061.489433762152</v>
      </c>
      <c r="AD67" s="2">
        <f t="shared" ref="AD67:AD130" si="6">AB67-Z67</f>
        <v>40085.867097571245</v>
      </c>
    </row>
    <row r="68" spans="1:30" x14ac:dyDescent="0.2">
      <c r="A68" t="str">
        <f>[412]L!A68</f>
        <v>CGI005-qtz06-CL-fit-3-offset</v>
      </c>
      <c r="B68">
        <v>750</v>
      </c>
      <c r="C68">
        <f t="shared" ref="C68:C131" si="7">10^(-1.2133*(10000/(B68+273)-10.17)-23.42)</f>
        <v>1.1456341375347871E-23</v>
      </c>
      <c r="D68">
        <v>2050</v>
      </c>
      <c r="E68">
        <v>1024</v>
      </c>
      <c r="F68">
        <f t="shared" si="4"/>
        <v>2.001953125</v>
      </c>
      <c r="I68" s="2">
        <f>([412]L!J68*'D(Ti_Audétat23) Times'!$F68*0.000001)^2/(4*'D(Ti_Audétat23) Times'!$C68)/(365.35*24*3600)</f>
        <v>55335.837688348627</v>
      </c>
      <c r="J68" s="2">
        <f>([412]L!K68*'D(Ti_Audétat23) Times'!$F68*0.000001)^2/(4*'D(Ti_Audétat23) Times'!$C68)/(365.35*24*3600)</f>
        <v>67180.471881036763</v>
      </c>
      <c r="K68" s="2">
        <f>([412]L!L68*'D(Ti_Audétat23) Times'!$F68*0.000001)^2/(4*'D(Ti_Audétat23) Times'!$C68)/(365.35*24*3600)</f>
        <v>88725.706720186819</v>
      </c>
      <c r="L68" s="2">
        <f>([412]L!M68*'D(Ti_Audétat23) Times'!$F68*0.000001)^2/(4*'D(Ti_Audétat23) Times'!$C68)/(365.35*24*3600)</f>
        <v>64905.602013237352</v>
      </c>
      <c r="M68" s="2">
        <f>([412]L!N68*'D(Ti_Audétat23) Times'!$F68*0.000001)^2/(4*'D(Ti_Audétat23) Times'!$C68)/(365.35*24*3600)</f>
        <v>92125.450706516858</v>
      </c>
      <c r="N68" s="2">
        <f>([412]L!O68*'D(Ti_Audétat23) Times'!$F68*0.000001)^2/(4*'D(Ti_Audétat23) Times'!$C68)/(365.35*24*3600)</f>
        <v>117958.58075171725</v>
      </c>
      <c r="O68" s="2">
        <f>([412]L!P68*'D(Ti_Audétat23) Times'!$F68*0.000001)^2/(4*'D(Ti_Audétat23) Times'!$C68)/(365.35*24*3600)</f>
        <v>76770.24656188536</v>
      </c>
      <c r="P68" s="2">
        <f>([412]L!Q68*'D(Ti_Audétat23) Times'!$F68*0.000001)^2/(4*'D(Ti_Audétat23) Times'!$C68)/(365.35*24*3600)</f>
        <v>40241.666112867679</v>
      </c>
      <c r="Q68" s="2">
        <f>([412]L!R68*'D(Ti_Audétat23) Times'!$F68*0.000001)^2/(4*'D(Ti_Audétat23) Times'!$C68)/(365.35*24*3600)</f>
        <v>66932.300458659665</v>
      </c>
      <c r="R68" s="2">
        <f>([412]L!S68*'D(Ti_Audétat23) Times'!$F68*0.000001)^2/(4*'D(Ti_Audétat23) Times'!$C68)/(365.35*24*3600)</f>
        <v>31741.658877422091</v>
      </c>
      <c r="S68" s="2">
        <f>([412]L!T68*'D(Ti_Audétat23) Times'!$F68*0.000001)^2/(4*'D(Ti_Audétat23) Times'!$C68)/(365.35*24*3600)</f>
        <v>79633.781208258748</v>
      </c>
      <c r="T68" s="2"/>
      <c r="U68" s="2">
        <f>([412]L!V68*'D(Ti_Audétat23) Times'!$F68*0.000001)^2/(4*'D(Ti_Audétat23) Times'!$C68)/(365.35*24*3600)</f>
        <v>68874.98939683153</v>
      </c>
      <c r="V68" s="2">
        <f>([412]L!W68*'D(Ti_Audétat23) Times'!$F68*0.000001)^2/(4*'D(Ti_Audétat23) Times'!$C68)/(365.35*24*3600)</f>
        <v>69062.966988081345</v>
      </c>
      <c r="W68" s="2">
        <f>([412]L!X68*'D(Ti_Audétat23) Times'!$F68*0.000001)^2/(4*'D(Ti_Audétat23) Times'!$C68)/(365.35*24*3600)</f>
        <v>67180.471881036763</v>
      </c>
      <c r="X68" s="2"/>
      <c r="Y68" s="2">
        <f>([412]L!Z68*'D(Ti_Audétat23) Times'!$F68*0.000001)^2/(4*'D(Ti_Audétat23) Times'!$C68)/(365.35*24*3600)</f>
        <v>72253.209129269861</v>
      </c>
      <c r="Z68" s="2">
        <f>([412]L!AB68*'D(Ti_Audétat23) Times'!$F68*0.000001)^2/(4*'D(Ti_Audétat23) Times'!$C68)/(365.35*24*3600)</f>
        <v>73815.552739333114</v>
      </c>
      <c r="AA68" s="2">
        <f>([412]L!AC68*'D(Ti_Audétat23) Times'!$F68*0.000001)^2/(4*'D(Ti_Audétat23) Times'!$C68)/(365.35*24*3600)</f>
        <v>32903.452283900813</v>
      </c>
      <c r="AB68" s="2">
        <f>([412]L!AD68*'D(Ti_Audétat23) Times'!$F68*0.000001)^2/(4*'D(Ti_Audétat23) Times'!$C68)/(365.35*24*3600)</f>
        <v>150595.38433889134</v>
      </c>
      <c r="AC68" s="2">
        <f t="shared" si="5"/>
        <v>40912.100455432301</v>
      </c>
      <c r="AD68" s="2">
        <f t="shared" si="6"/>
        <v>76779.831599558223</v>
      </c>
    </row>
    <row r="69" spans="1:30" x14ac:dyDescent="0.2">
      <c r="A69" t="str">
        <f>[412]L!A69</f>
        <v>CGI005-qtz06-CL-fit-4</v>
      </c>
      <c r="B69">
        <v>750</v>
      </c>
      <c r="C69">
        <f t="shared" si="7"/>
        <v>1.1456341375347871E-23</v>
      </c>
      <c r="D69">
        <v>2050</v>
      </c>
      <c r="E69">
        <v>1024</v>
      </c>
      <c r="F69">
        <f t="shared" si="4"/>
        <v>2.001953125</v>
      </c>
      <c r="I69" s="2">
        <f>([412]L!J69*'D(Ti_Audétat23) Times'!$F69*0.000001)^2/(4*'D(Ti_Audétat23) Times'!$C69)/(365.35*24*3600)</f>
        <v>3125.7590277865456</v>
      </c>
      <c r="J69" s="2">
        <f>([412]L!K69*'D(Ti_Audétat23) Times'!$F69*0.000001)^2/(4*'D(Ti_Audétat23) Times'!$C69)/(365.35*24*3600)</f>
        <v>10228.82391164981</v>
      </c>
      <c r="K69" s="2">
        <f>([412]L!L69*'D(Ti_Audétat23) Times'!$F69*0.000001)^2/(4*'D(Ti_Audétat23) Times'!$C69)/(365.35*24*3600)</f>
        <v>3548.6466310286714</v>
      </c>
      <c r="L69" s="2">
        <f>([412]L!M69*'D(Ti_Audétat23) Times'!$F69*0.000001)^2/(4*'D(Ti_Audétat23) Times'!$C69)/(365.35*24*3600)</f>
        <v>2180.0287628733831</v>
      </c>
      <c r="M69" s="2">
        <f>([412]L!N69*'D(Ti_Audétat23) Times'!$F69*0.000001)^2/(4*'D(Ti_Audétat23) Times'!$C69)/(365.35*24*3600)</f>
        <v>3769.6448684421766</v>
      </c>
      <c r="N69" s="2">
        <f>([412]L!O69*'D(Ti_Audétat23) Times'!$F69*0.000001)^2/(4*'D(Ti_Audétat23) Times'!$C69)/(365.35*24*3600)</f>
        <v>6075.0804489141838</v>
      </c>
      <c r="O69" s="2">
        <f>([412]L!P69*'D(Ti_Audétat23) Times'!$F69*0.000001)^2/(4*'D(Ti_Audétat23) Times'!$C69)/(365.35*24*3600)</f>
        <v>82.550790794820543</v>
      </c>
      <c r="P69" s="2">
        <f>([412]L!Q69*'D(Ti_Audétat23) Times'!$F69*0.000001)^2/(4*'D(Ti_Audétat23) Times'!$C69)/(365.35*24*3600)</f>
        <v>3816.20568416574</v>
      </c>
      <c r="Q69" s="2">
        <f>([412]L!R69*'D(Ti_Audétat23) Times'!$F69*0.000001)^2/(4*'D(Ti_Audétat23) Times'!$C69)/(365.35*24*3600)</f>
        <v>6684.4591141285173</v>
      </c>
      <c r="R69" s="2">
        <f>([412]L!S69*'D(Ti_Audétat23) Times'!$F69*0.000001)^2/(4*'D(Ti_Audétat23) Times'!$C69)/(365.35*24*3600)</f>
        <v>5834.0832749309511</v>
      </c>
      <c r="S69" s="2">
        <f>([412]L!T69*'D(Ti_Audétat23) Times'!$F69*0.000001)^2/(4*'D(Ti_Audétat23) Times'!$C69)/(365.35*24*3600)</f>
        <v>5863.5996527410571</v>
      </c>
      <c r="T69" s="2"/>
      <c r="U69" s="2">
        <f>([412]L!V69*'D(Ti_Audétat23) Times'!$F69*0.000001)^2/(4*'D(Ti_Audétat23) Times'!$C69)/(365.35*24*3600)</f>
        <v>5411.8854067732054</v>
      </c>
      <c r="V69" s="2">
        <f>([412]L!W69*'D(Ti_Audétat23) Times'!$F69*0.000001)^2/(4*'D(Ti_Audétat23) Times'!$C69)/(365.35*24*3600)</f>
        <v>4145.2844514536355</v>
      </c>
      <c r="W69" s="2">
        <f>([412]L!X69*'D(Ti_Audétat23) Times'!$F69*0.000001)^2/(4*'D(Ti_Audétat23) Times'!$C69)/(365.35*24*3600)</f>
        <v>3816.20568416574</v>
      </c>
      <c r="X69" s="2"/>
      <c r="Y69" s="2">
        <f>([412]L!Z69*'D(Ti_Audétat23) Times'!$F69*0.000001)^2/(4*'D(Ti_Audétat23) Times'!$C69)/(365.35*24*3600)</f>
        <v>4982.3802789777383</v>
      </c>
      <c r="Z69" s="2">
        <f>([412]L!AB69*'D(Ti_Audétat23) Times'!$F69*0.000001)^2/(4*'D(Ti_Audétat23) Times'!$C69)/(365.35*24*3600)</f>
        <v>4988.3163466989627</v>
      </c>
      <c r="AA69" s="2">
        <f>([412]L!AC69*'D(Ti_Audétat23) Times'!$F69*0.000001)^2/(4*'D(Ti_Audétat23) Times'!$C69)/(365.35*24*3600)</f>
        <v>171.28665579859583</v>
      </c>
      <c r="AB69" s="2">
        <f>([412]L!AD69*'D(Ti_Audétat23) Times'!$F69*0.000001)^2/(4*'D(Ti_Audétat23) Times'!$C69)/(365.35*24*3600)</f>
        <v>16957.937918155858</v>
      </c>
      <c r="AC69" s="2">
        <f t="shared" si="5"/>
        <v>4817.0296909003664</v>
      </c>
      <c r="AD69" s="2">
        <f t="shared" si="6"/>
        <v>11969.621571456895</v>
      </c>
    </row>
    <row r="70" spans="1:30" x14ac:dyDescent="0.2">
      <c r="A70" t="str">
        <f>[412]L!A70</f>
        <v>CGI005-qtz07-CL-fit-1-offset</v>
      </c>
      <c r="B70">
        <v>750</v>
      </c>
      <c r="C70">
        <f t="shared" si="7"/>
        <v>1.1456341375347871E-23</v>
      </c>
      <c r="D70">
        <v>2100</v>
      </c>
      <c r="E70">
        <v>1024</v>
      </c>
      <c r="F70">
        <f t="shared" si="4"/>
        <v>2.05078125</v>
      </c>
      <c r="I70" s="2">
        <f>([412]L!J70*'D(Ti_Audétat23) Times'!$F70*0.000001)^2/(4*'D(Ti_Audétat23) Times'!$C70)/(365.35*24*3600)</f>
        <v>77850.700021859899</v>
      </c>
      <c r="J70" s="2">
        <f>([412]L!K70*'D(Ti_Audétat23) Times'!$F70*0.000001)^2/(4*'D(Ti_Audétat23) Times'!$C70)/(365.35*24*3600)</f>
        <v>73172.621367798274</v>
      </c>
      <c r="K70" s="2">
        <f>([412]L!L70*'D(Ti_Audétat23) Times'!$F70*0.000001)^2/(4*'D(Ti_Audétat23) Times'!$C70)/(365.35*24*3600)</f>
        <v>105116.43988886352</v>
      </c>
      <c r="L70" s="2">
        <f>([412]L!M70*'D(Ti_Audétat23) Times'!$F70*0.000001)^2/(4*'D(Ti_Audétat23) Times'!$C70)/(365.35*24*3600)</f>
        <v>123119.81434268634</v>
      </c>
      <c r="M70" s="2">
        <f>([412]L!N70*'D(Ti_Audétat23) Times'!$F70*0.000001)^2/(4*'D(Ti_Audétat23) Times'!$C70)/(365.35*24*3600)</f>
        <v>125804.30043481155</v>
      </c>
      <c r="N70" s="2">
        <f>([412]L!O70*'D(Ti_Audétat23) Times'!$F70*0.000001)^2/(4*'D(Ti_Audétat23) Times'!$C70)/(365.35*24*3600)</f>
        <v>107623.01930142519</v>
      </c>
      <c r="O70" s="2">
        <f>([412]L!P70*'D(Ti_Audétat23) Times'!$F70*0.000001)^2/(4*'D(Ti_Audétat23) Times'!$C70)/(365.35*24*3600)</f>
        <v>87260.60303125401</v>
      </c>
      <c r="P70" s="2">
        <f>([412]L!Q70*'D(Ti_Audétat23) Times'!$F70*0.000001)^2/(4*'D(Ti_Audétat23) Times'!$C70)/(365.35*24*3600)</f>
        <v>60844.062705886186</v>
      </c>
      <c r="Q70" s="2">
        <f>([412]L!R70*'D(Ti_Audétat23) Times'!$F70*0.000001)^2/(4*'D(Ti_Audétat23) Times'!$C70)/(365.35*24*3600)</f>
        <v>76259.633663664426</v>
      </c>
      <c r="R70" s="2">
        <f>([412]L!S70*'D(Ti_Audétat23) Times'!$F70*0.000001)^2/(4*'D(Ti_Audétat23) Times'!$C70)/(365.35*24*3600)</f>
        <v>48789.107851737295</v>
      </c>
      <c r="S70" s="2">
        <f>([412]L!T70*'D(Ti_Audétat23) Times'!$F70*0.000001)^2/(4*'D(Ti_Audétat23) Times'!$C70)/(365.35*24*3600)</f>
        <v>69896.071724004913</v>
      </c>
      <c r="T70" s="2"/>
      <c r="U70" s="2">
        <f>([412]L!V70*'D(Ti_Audétat23) Times'!$F70*0.000001)^2/(4*'D(Ti_Audétat23) Times'!$C70)/(365.35*24*3600)</f>
        <v>85926.315148066817</v>
      </c>
      <c r="V70" s="2">
        <f>([412]L!W70*'D(Ti_Audétat23) Times'!$F70*0.000001)^2/(4*'D(Ti_Audétat23) Times'!$C70)/(365.35*24*3600)</f>
        <v>85202.897222660613</v>
      </c>
      <c r="W70" s="2">
        <f>([412]L!X70*'D(Ti_Audétat23) Times'!$F70*0.000001)^2/(4*'D(Ti_Audétat23) Times'!$C70)/(365.35*24*3600)</f>
        <v>77850.700021859899</v>
      </c>
      <c r="X70" s="2"/>
      <c r="Y70" s="2">
        <f>([412]L!Z70*'D(Ti_Audétat23) Times'!$F70*0.000001)^2/(4*'D(Ti_Audétat23) Times'!$C70)/(365.35*24*3600)</f>
        <v>83541.216608582239</v>
      </c>
      <c r="Z70" s="2">
        <f>([412]L!AB70*'D(Ti_Audétat23) Times'!$F70*0.000001)^2/(4*'D(Ti_Audétat23) Times'!$C70)/(365.35*24*3600)</f>
        <v>83884.719835090349</v>
      </c>
      <c r="AA70" s="2">
        <f>([412]L!AC70*'D(Ti_Audétat23) Times'!$F70*0.000001)^2/(4*'D(Ti_Audétat23) Times'!$C70)/(365.35*24*3600)</f>
        <v>60047.170794921687</v>
      </c>
      <c r="AB70" s="2">
        <f>([412]L!AD70*'D(Ti_Audétat23) Times'!$F70*0.000001)^2/(4*'D(Ti_Audétat23) Times'!$C70)/(365.35*24*3600)</f>
        <v>116231.86600219423</v>
      </c>
      <c r="AC70" s="2">
        <f t="shared" si="5"/>
        <v>23837.549040168662</v>
      </c>
      <c r="AD70" s="2">
        <f t="shared" si="6"/>
        <v>32347.146167103885</v>
      </c>
    </row>
    <row r="71" spans="1:30" x14ac:dyDescent="0.2">
      <c r="A71" t="str">
        <f>[412]L!A71</f>
        <v>CGI005-qtz07-CL-fit-2-offset</v>
      </c>
      <c r="B71">
        <v>750</v>
      </c>
      <c r="C71">
        <f t="shared" si="7"/>
        <v>1.1456341375347871E-23</v>
      </c>
      <c r="D71">
        <v>2100</v>
      </c>
      <c r="E71">
        <v>1024</v>
      </c>
      <c r="F71">
        <f t="shared" si="4"/>
        <v>2.05078125</v>
      </c>
      <c r="I71" s="2">
        <f>([412]L!J71*'D(Ti_Audétat23) Times'!$F71*0.000001)^2/(4*'D(Ti_Audétat23) Times'!$C71)/(365.35*24*3600)</f>
        <v>3143.1731051071338</v>
      </c>
      <c r="J71" s="2">
        <f>([412]L!K71*'D(Ti_Audétat23) Times'!$F71*0.000001)^2/(4*'D(Ti_Audétat23) Times'!$C71)/(365.35*24*3600)</f>
        <v>3963.7862883332245</v>
      </c>
      <c r="K71" s="2">
        <f>([412]L!L71*'D(Ti_Audétat23) Times'!$F71*0.000001)^2/(4*'D(Ti_Audétat23) Times'!$C71)/(365.35*24*3600)</f>
        <v>9781.6784088245167</v>
      </c>
      <c r="L71" s="2">
        <f>([412]L!M71*'D(Ti_Audétat23) Times'!$F71*0.000001)^2/(4*'D(Ti_Audétat23) Times'!$C71)/(365.35*24*3600)</f>
        <v>9677.7545412139734</v>
      </c>
      <c r="M71" s="2">
        <f>([412]L!N71*'D(Ti_Audétat23) Times'!$F71*0.000001)^2/(4*'D(Ti_Audétat23) Times'!$C71)/(365.35*24*3600)</f>
        <v>7715.5598288916162</v>
      </c>
      <c r="N71" s="2">
        <f>([412]L!O71*'D(Ti_Audétat23) Times'!$F71*0.000001)^2/(4*'D(Ti_Audétat23) Times'!$C71)/(365.35*24*3600)</f>
        <v>5589.7821993987836</v>
      </c>
      <c r="O71" s="2">
        <f>([412]L!P71*'D(Ti_Audétat23) Times'!$F71*0.000001)^2/(4*'D(Ti_Audétat23) Times'!$C71)/(365.35*24*3600)</f>
        <v>6270.5149114279347</v>
      </c>
      <c r="P71" s="2">
        <f>([412]L!Q71*'D(Ti_Audétat23) Times'!$F71*0.000001)^2/(4*'D(Ti_Audétat23) Times'!$C71)/(365.35*24*3600)</f>
        <v>7481.1802066129858</v>
      </c>
      <c r="Q71" s="2">
        <f>([412]L!R71*'D(Ti_Audétat23) Times'!$F71*0.000001)^2/(4*'D(Ti_Audétat23) Times'!$C71)/(365.35*24*3600)</f>
        <v>8672.3837210602305</v>
      </c>
      <c r="R71" s="2">
        <f>([412]L!S71*'D(Ti_Audétat23) Times'!$F71*0.000001)^2/(4*'D(Ti_Audétat23) Times'!$C71)/(365.35*24*3600)</f>
        <v>5760.3433830645154</v>
      </c>
      <c r="S71" s="2">
        <f>([412]L!T71*'D(Ti_Audétat23) Times'!$F71*0.000001)^2/(4*'D(Ti_Audétat23) Times'!$C71)/(365.35*24*3600)</f>
        <v>7384.5203441836002</v>
      </c>
      <c r="T71" s="2"/>
      <c r="U71" s="2">
        <f>([412]L!V71*'D(Ti_Audétat23) Times'!$F71*0.000001)^2/(4*'D(Ti_Audétat23) Times'!$C71)/(365.35*24*3600)</f>
        <v>6881.8656558259891</v>
      </c>
      <c r="V71" s="2">
        <f>([412]L!W71*'D(Ti_Audétat23) Times'!$F71*0.000001)^2/(4*'D(Ti_Audétat23) Times'!$C71)/(365.35*24*3600)</f>
        <v>6687.3715709922735</v>
      </c>
      <c r="W71" s="2">
        <f>([412]L!X71*'D(Ti_Audétat23) Times'!$F71*0.000001)^2/(4*'D(Ti_Audétat23) Times'!$C71)/(365.35*24*3600)</f>
        <v>7384.5203441836002</v>
      </c>
      <c r="X71" s="2"/>
      <c r="Y71" s="2">
        <f>([412]L!Z71*'D(Ti_Audétat23) Times'!$F71*0.000001)^2/(4*'D(Ti_Audétat23) Times'!$C71)/(365.35*24*3600)</f>
        <v>6785.0343680384703</v>
      </c>
      <c r="Z71" s="2">
        <f>([412]L!AB71*'D(Ti_Audétat23) Times'!$F71*0.000001)^2/(4*'D(Ti_Audétat23) Times'!$C71)/(365.35*24*3600)</f>
        <v>6416.1700443043537</v>
      </c>
      <c r="AA71" s="2">
        <f>([412]L!AC71*'D(Ti_Audétat23) Times'!$F71*0.000001)^2/(4*'D(Ti_Audétat23) Times'!$C71)/(365.35*24*3600)</f>
        <v>983.34852392733012</v>
      </c>
      <c r="AB71" s="2">
        <f>([412]L!AD71*'D(Ti_Audétat23) Times'!$F71*0.000001)^2/(4*'D(Ti_Audétat23) Times'!$C71)/(365.35*24*3600)</f>
        <v>13205.501423634098</v>
      </c>
      <c r="AC71" s="2">
        <f t="shared" si="5"/>
        <v>5432.8215203770233</v>
      </c>
      <c r="AD71" s="2">
        <f t="shared" si="6"/>
        <v>6789.3313793297439</v>
      </c>
    </row>
    <row r="72" spans="1:30" x14ac:dyDescent="0.2">
      <c r="A72" t="str">
        <f>[412]L!A72</f>
        <v>CGI005-qtz07-CL-fit-3-offset</v>
      </c>
      <c r="B72">
        <v>750</v>
      </c>
      <c r="C72">
        <f t="shared" si="7"/>
        <v>1.1456341375347871E-23</v>
      </c>
      <c r="D72">
        <v>2100</v>
      </c>
      <c r="E72">
        <v>1024</v>
      </c>
      <c r="F72">
        <f t="shared" si="4"/>
        <v>2.05078125</v>
      </c>
      <c r="I72" s="2">
        <f>([412]L!J72*'D(Ti_Audétat23) Times'!$F72*0.000001)^2/(4*'D(Ti_Audétat23) Times'!$C72)/(365.35*24*3600)</f>
        <v>8322.6126806296761</v>
      </c>
      <c r="J72" s="2">
        <f>([412]L!K72*'D(Ti_Audétat23) Times'!$F72*0.000001)^2/(4*'D(Ti_Audétat23) Times'!$C72)/(365.35*24*3600)</f>
        <v>1077.240332978613</v>
      </c>
      <c r="K72" s="2">
        <f>([412]L!L72*'D(Ti_Audétat23) Times'!$F72*0.000001)^2/(4*'D(Ti_Audétat23) Times'!$C72)/(365.35*24*3600)</f>
        <v>16939.236498713573</v>
      </c>
      <c r="L72" s="2">
        <f>([412]L!M72*'D(Ti_Audétat23) Times'!$F72*0.000001)^2/(4*'D(Ti_Audétat23) Times'!$C72)/(365.35*24*3600)</f>
        <v>11319.906631986772</v>
      </c>
      <c r="M72" s="2">
        <f>([412]L!N72*'D(Ti_Audétat23) Times'!$F72*0.000001)^2/(4*'D(Ti_Audétat23) Times'!$C72)/(365.35*24*3600)</f>
        <v>1942.7371886605181</v>
      </c>
      <c r="N72" s="2">
        <f>([412]L!O72*'D(Ti_Audétat23) Times'!$F72*0.000001)^2/(4*'D(Ti_Audétat23) Times'!$C72)/(365.35*24*3600)</f>
        <v>2294.1724404502479</v>
      </c>
      <c r="O72" s="2">
        <f>([412]L!P72*'D(Ti_Audétat23) Times'!$F72*0.000001)^2/(4*'D(Ti_Audétat23) Times'!$C72)/(365.35*24*3600)</f>
        <v>3106.2238692288238</v>
      </c>
      <c r="P72" s="2">
        <f>([412]L!Q72*'D(Ti_Audétat23) Times'!$F72*0.000001)^2/(4*'D(Ti_Audétat23) Times'!$C72)/(365.35*24*3600)</f>
        <v>35415.336527905405</v>
      </c>
      <c r="Q72" s="2">
        <f>([412]L!R72*'D(Ti_Audétat23) Times'!$F72*0.000001)^2/(4*'D(Ti_Audétat23) Times'!$C72)/(365.35*24*3600)</f>
        <v>18676.348778134419</v>
      </c>
      <c r="R72" s="2">
        <f>([412]L!S72*'D(Ti_Audétat23) Times'!$F72*0.000001)^2/(4*'D(Ti_Audétat23) Times'!$C72)/(365.35*24*3600)</f>
        <v>8260.8272350779807</v>
      </c>
      <c r="S72" s="2">
        <f>([412]L!T72*'D(Ti_Audétat23) Times'!$F72*0.000001)^2/(4*'D(Ti_Audétat23) Times'!$C72)/(365.35*24*3600)</f>
        <v>17446.908945857933</v>
      </c>
      <c r="T72" s="2"/>
      <c r="U72" s="2">
        <f>([412]L!V72*'D(Ti_Audétat23) Times'!$F72*0.000001)^2/(4*'D(Ti_Audétat23) Times'!$C72)/(365.35*24*3600)</f>
        <v>11068.648952481732</v>
      </c>
      <c r="V72" s="2">
        <f>([412]L!W72*'D(Ti_Audétat23) Times'!$F72*0.000001)^2/(4*'D(Ti_Audétat23) Times'!$C72)/(365.35*24*3600)</f>
        <v>9218.2691425787543</v>
      </c>
      <c r="W72" s="2">
        <f>([412]L!X72*'D(Ti_Audétat23) Times'!$F72*0.000001)^2/(4*'D(Ti_Audétat23) Times'!$C72)/(365.35*24*3600)</f>
        <v>8322.6126806296761</v>
      </c>
      <c r="X72" s="2"/>
      <c r="Y72" s="2">
        <f>([412]L!Z72*'D(Ti_Audétat23) Times'!$F72*0.000001)^2/(4*'D(Ti_Audétat23) Times'!$C72)/(365.35*24*3600)</f>
        <v>9789.0076310432833</v>
      </c>
      <c r="Z72" s="2">
        <f>([412]L!AB72*'D(Ti_Audétat23) Times'!$F72*0.000001)^2/(4*'D(Ti_Audétat23) Times'!$C72)/(365.35*24*3600)</f>
        <v>9128.7296381034212</v>
      </c>
      <c r="AA72" s="2">
        <f>([412]L!AC72*'D(Ti_Audétat23) Times'!$F72*0.000001)^2/(4*'D(Ti_Audétat23) Times'!$C72)/(365.35*24*3600)</f>
        <v>183.68596046189742</v>
      </c>
      <c r="AB72" s="2">
        <f>([412]L!AD72*'D(Ti_Audétat23) Times'!$F72*0.000001)^2/(4*'D(Ti_Audétat23) Times'!$C72)/(365.35*24*3600)</f>
        <v>28615.689874876327</v>
      </c>
      <c r="AC72" s="2">
        <f t="shared" si="5"/>
        <v>8945.0436776415245</v>
      </c>
      <c r="AD72" s="2">
        <f t="shared" si="6"/>
        <v>19486.960236772906</v>
      </c>
    </row>
    <row r="73" spans="1:30" x14ac:dyDescent="0.2">
      <c r="A73" t="str">
        <f>[412]L!A73</f>
        <v>CGI005-qtz07-CL-fit-4-offset</v>
      </c>
      <c r="B73">
        <v>750</v>
      </c>
      <c r="C73">
        <f t="shared" si="7"/>
        <v>1.1456341375347871E-23</v>
      </c>
      <c r="D73">
        <v>2100</v>
      </c>
      <c r="E73">
        <v>1024</v>
      </c>
      <c r="F73">
        <f t="shared" si="4"/>
        <v>2.05078125</v>
      </c>
      <c r="I73" s="2">
        <f>([412]L!J73*'D(Ti_Audétat23) Times'!$F73*0.000001)^2/(4*'D(Ti_Audétat23) Times'!$C73)/(365.35*24*3600)</f>
        <v>6129.0410951865597</v>
      </c>
      <c r="J73" s="2">
        <f>([412]L!K73*'D(Ti_Audétat23) Times'!$F73*0.000001)^2/(4*'D(Ti_Audétat23) Times'!$C73)/(365.35*24*3600)</f>
        <v>32022.323461202428</v>
      </c>
      <c r="K73" s="2">
        <f>([412]L!L73*'D(Ti_Audétat23) Times'!$F73*0.000001)^2/(4*'D(Ti_Audétat23) Times'!$C73)/(365.35*24*3600)</f>
        <v>8315.9130752838337</v>
      </c>
      <c r="L73" s="2">
        <f>([412]L!M73*'D(Ti_Audétat23) Times'!$F73*0.000001)^2/(4*'D(Ti_Audétat23) Times'!$C73)/(365.35*24*3600)</f>
        <v>61551.948811566326</v>
      </c>
      <c r="M73" s="2">
        <f>([412]L!N73*'D(Ti_Audétat23) Times'!$F73*0.000001)^2/(4*'D(Ti_Audétat23) Times'!$C73)/(365.35*24*3600)</f>
        <v>46734.305527135119</v>
      </c>
      <c r="N73" s="2">
        <f>([412]L!O73*'D(Ti_Audétat23) Times'!$F73*0.000001)^2/(4*'D(Ti_Audétat23) Times'!$C73)/(365.35*24*3600)</f>
        <v>46569.219503335589</v>
      </c>
      <c r="O73" s="2">
        <f>([412]L!P73*'D(Ti_Audétat23) Times'!$F73*0.000001)^2/(4*'D(Ti_Audétat23) Times'!$C73)/(365.35*24*3600)</f>
        <v>41063.768759422834</v>
      </c>
      <c r="P73" s="2">
        <f>([412]L!Q73*'D(Ti_Audétat23) Times'!$F73*0.000001)^2/(4*'D(Ti_Audétat23) Times'!$C73)/(365.35*24*3600)</f>
        <v>152189.63608226131</v>
      </c>
      <c r="Q73" s="2">
        <f>([412]L!R73*'D(Ti_Audétat23) Times'!$F73*0.000001)^2/(4*'D(Ti_Audétat23) Times'!$C73)/(365.35*24*3600)</f>
        <v>59476.873237537606</v>
      </c>
      <c r="R73" s="2">
        <f>([412]L!S73*'D(Ti_Audétat23) Times'!$F73*0.000001)^2/(4*'D(Ti_Audétat23) Times'!$C73)/(365.35*24*3600)</f>
        <v>11104.502500955126</v>
      </c>
      <c r="S73" s="2">
        <f>([412]L!T73*'D(Ti_Audétat23) Times'!$F73*0.000001)^2/(4*'D(Ti_Audétat23) Times'!$C73)/(365.35*24*3600)</f>
        <v>7127.9199026744373</v>
      </c>
      <c r="T73" s="2"/>
      <c r="U73" s="2">
        <f>([412]L!V73*'D(Ti_Audétat23) Times'!$F73*0.000001)^2/(4*'D(Ti_Audétat23) Times'!$C73)/(365.35*24*3600)</f>
        <v>32179.157723246837</v>
      </c>
      <c r="V73" s="2">
        <f>([412]L!W73*'D(Ti_Audétat23) Times'!$F73*0.000001)^2/(4*'D(Ti_Audétat23) Times'!$C73)/(365.35*24*3600)</f>
        <v>34899.168398103029</v>
      </c>
      <c r="W73" s="2">
        <f>([412]L!X73*'D(Ti_Audétat23) Times'!$F73*0.000001)^2/(4*'D(Ti_Audétat23) Times'!$C73)/(365.35*24*3600)</f>
        <v>41063.768759422834</v>
      </c>
      <c r="X73" s="2"/>
      <c r="Y73" s="2">
        <f>([412]L!Z73*'D(Ti_Audétat23) Times'!$F73*0.000001)^2/(4*'D(Ti_Audétat23) Times'!$C73)/(365.35*24*3600)</f>
        <v>29958.063177411481</v>
      </c>
      <c r="Z73" s="2">
        <f>([412]L!AB73*'D(Ti_Audétat23) Times'!$F73*0.000001)^2/(4*'D(Ti_Audétat23) Times'!$C73)/(365.35*24*3600)</f>
        <v>34039.758817780588</v>
      </c>
      <c r="AA73" s="2">
        <f>([412]L!AC73*'D(Ti_Audétat23) Times'!$F73*0.000001)^2/(4*'D(Ti_Audétat23) Times'!$C73)/(365.35*24*3600)</f>
        <v>1376.8257968367811</v>
      </c>
      <c r="AB73" s="2">
        <f>([412]L!AD73*'D(Ti_Audétat23) Times'!$F73*0.000001)^2/(4*'D(Ti_Audétat23) Times'!$C73)/(365.35*24*3600)</f>
        <v>127226.60738908751</v>
      </c>
      <c r="AC73" s="2">
        <f t="shared" si="5"/>
        <v>32662.933020943809</v>
      </c>
      <c r="AD73" s="2">
        <f t="shared" si="6"/>
        <v>93186.848571306924</v>
      </c>
    </row>
    <row r="74" spans="1:30" x14ac:dyDescent="0.2">
      <c r="A74" t="str">
        <f>[412]L!A74</f>
        <v>CGI005-qtz08-CL-fit-1-offset</v>
      </c>
      <c r="B74">
        <v>750</v>
      </c>
      <c r="C74">
        <f t="shared" si="7"/>
        <v>1.1456341375347871E-23</v>
      </c>
      <c r="D74">
        <v>1900</v>
      </c>
      <c r="E74">
        <v>1024</v>
      </c>
      <c r="F74">
        <f t="shared" si="4"/>
        <v>1.85546875</v>
      </c>
      <c r="I74" s="2">
        <f>([412]L!J74*'D(Ti_Audétat23) Times'!$F74*0.000001)^2/(4*'D(Ti_Audétat23) Times'!$C74)/(365.35*24*3600)</f>
        <v>20989.188555655364</v>
      </c>
      <c r="J74" s="2">
        <f>([412]L!K74*'D(Ti_Audétat23) Times'!$F74*0.000001)^2/(4*'D(Ti_Audétat23) Times'!$C74)/(365.35*24*3600)</f>
        <v>27902.421570377872</v>
      </c>
      <c r="K74" s="2">
        <f>([412]L!L74*'D(Ti_Audétat23) Times'!$F74*0.000001)^2/(4*'D(Ti_Audétat23) Times'!$C74)/(365.35*24*3600)</f>
        <v>41488.732303151213</v>
      </c>
      <c r="L74" s="2">
        <f>([412]L!M74*'D(Ti_Audétat23) Times'!$F74*0.000001)^2/(4*'D(Ti_Audétat23) Times'!$C74)/(365.35*24*3600)</f>
        <v>22471.749809770507</v>
      </c>
      <c r="M74" s="2">
        <f>([412]L!N74*'D(Ti_Audétat23) Times'!$F74*0.000001)^2/(4*'D(Ti_Audétat23) Times'!$C74)/(365.35*24*3600)</f>
        <v>70357.400351986478</v>
      </c>
      <c r="N74" s="2">
        <f>([412]L!O74*'D(Ti_Audétat23) Times'!$F74*0.000001)^2/(4*'D(Ti_Audétat23) Times'!$C74)/(365.35*24*3600)</f>
        <v>25200.615019298082</v>
      </c>
      <c r="O74" s="2">
        <f>([412]L!P74*'D(Ti_Audétat23) Times'!$F74*0.000001)^2/(4*'D(Ti_Audétat23) Times'!$C74)/(365.35*24*3600)</f>
        <v>49032.81922006917</v>
      </c>
      <c r="P74" s="2">
        <f>([412]L!Q74*'D(Ti_Audétat23) Times'!$F74*0.000001)^2/(4*'D(Ti_Audétat23) Times'!$C74)/(365.35*24*3600)</f>
        <v>35051.554813480972</v>
      </c>
      <c r="Q74" s="2">
        <f>([412]L!R74*'D(Ti_Audétat23) Times'!$F74*0.000001)^2/(4*'D(Ti_Audétat23) Times'!$C74)/(365.35*24*3600)</f>
        <v>53417.296674654048</v>
      </c>
      <c r="R74" s="2">
        <f>([412]L!S74*'D(Ti_Audétat23) Times'!$F74*0.000001)^2/(4*'D(Ti_Audétat23) Times'!$C74)/(365.35*24*3600)</f>
        <v>38193.85445176487</v>
      </c>
      <c r="S74" s="2">
        <f>([412]L!T74*'D(Ti_Audétat23) Times'!$F74*0.000001)^2/(4*'D(Ti_Audétat23) Times'!$C74)/(365.35*24*3600)</f>
        <v>35483.93112502274</v>
      </c>
      <c r="T74" s="2"/>
      <c r="U74" s="2">
        <f>([412]L!V74*'D(Ti_Audétat23) Times'!$F74*0.000001)^2/(4*'D(Ti_Audétat23) Times'!$C74)/(365.35*24*3600)</f>
        <v>35999.089786246943</v>
      </c>
      <c r="V74" s="2">
        <f>([412]L!W74*'D(Ti_Audétat23) Times'!$F74*0.000001)^2/(4*'D(Ti_Audétat23) Times'!$C74)/(365.35*24*3600)</f>
        <v>36901.964146650753</v>
      </c>
      <c r="W74" s="2">
        <f>([412]L!X74*'D(Ti_Audétat23) Times'!$F74*0.000001)^2/(4*'D(Ti_Audétat23) Times'!$C74)/(365.35*24*3600)</f>
        <v>35483.93112502274</v>
      </c>
      <c r="X74" s="2"/>
      <c r="Y74" s="2">
        <f>([412]L!Z74*'D(Ti_Audétat23) Times'!$F74*0.000001)^2/(4*'D(Ti_Audétat23) Times'!$C74)/(365.35*24*3600)</f>
        <v>34345.869999374409</v>
      </c>
      <c r="Z74" s="2">
        <f>([412]L!AB74*'D(Ti_Audétat23) Times'!$F74*0.000001)^2/(4*'D(Ti_Audétat23) Times'!$C74)/(365.35*24*3600)</f>
        <v>34009.253885153128</v>
      </c>
      <c r="AA74" s="2">
        <f>([412]L!AC74*'D(Ti_Audétat23) Times'!$F74*0.000001)^2/(4*'D(Ti_Audétat23) Times'!$C74)/(365.35*24*3600)</f>
        <v>7003.500312446211</v>
      </c>
      <c r="AB74" s="2">
        <f>([412]L!AD74*'D(Ti_Audétat23) Times'!$F74*0.000001)^2/(4*'D(Ti_Audétat23) Times'!$C74)/(365.35*24*3600)</f>
        <v>81481.412267608001</v>
      </c>
      <c r="AC74" s="2">
        <f t="shared" si="5"/>
        <v>27005.753572706919</v>
      </c>
      <c r="AD74" s="2">
        <f t="shared" si="6"/>
        <v>47472.158382454872</v>
      </c>
    </row>
    <row r="75" spans="1:30" x14ac:dyDescent="0.2">
      <c r="A75" t="str">
        <f>[412]L!A75</f>
        <v>CGI005-qtz08-CL-fit-2-offset</v>
      </c>
      <c r="B75">
        <v>750</v>
      </c>
      <c r="C75">
        <f t="shared" si="7"/>
        <v>1.1456341375347871E-23</v>
      </c>
      <c r="D75">
        <v>1900</v>
      </c>
      <c r="E75">
        <v>1024</v>
      </c>
      <c r="F75">
        <f t="shared" si="4"/>
        <v>1.85546875</v>
      </c>
      <c r="I75" s="2">
        <f>([412]L!J75*'D(Ti_Audétat23) Times'!$F75*0.000001)^2/(4*'D(Ti_Audétat23) Times'!$C75)/(365.35*24*3600)</f>
        <v>19962.62086737941</v>
      </c>
      <c r="J75" s="2">
        <f>([412]L!K75*'D(Ti_Audétat23) Times'!$F75*0.000001)^2/(4*'D(Ti_Audétat23) Times'!$C75)/(365.35*24*3600)</f>
        <v>16193.044163992843</v>
      </c>
      <c r="K75" s="2">
        <f>([412]L!L75*'D(Ti_Audétat23) Times'!$F75*0.000001)^2/(4*'D(Ti_Audétat23) Times'!$C75)/(365.35*24*3600)</f>
        <v>12191.69269799436</v>
      </c>
      <c r="L75" s="2">
        <f>([412]L!M75*'D(Ti_Audétat23) Times'!$F75*0.000001)^2/(4*'D(Ti_Audétat23) Times'!$C75)/(365.35*24*3600)</f>
        <v>21298.172620009555</v>
      </c>
      <c r="M75" s="2">
        <f>([412]L!N75*'D(Ti_Audétat23) Times'!$F75*0.000001)^2/(4*'D(Ti_Audétat23) Times'!$C75)/(365.35*24*3600)</f>
        <v>13252.096892555192</v>
      </c>
      <c r="N75" s="2">
        <f>([412]L!O75*'D(Ti_Audétat23) Times'!$F75*0.000001)^2/(4*'D(Ti_Audétat23) Times'!$C75)/(365.35*24*3600)</f>
        <v>12913.869062021475</v>
      </c>
      <c r="O75" s="2">
        <f>([412]L!P75*'D(Ti_Audétat23) Times'!$F75*0.000001)^2/(4*'D(Ti_Audétat23) Times'!$C75)/(365.35*24*3600)</f>
        <v>10537.990582104043</v>
      </c>
      <c r="P75" s="2">
        <f>([412]L!Q75*'D(Ti_Audétat23) Times'!$F75*0.000001)^2/(4*'D(Ti_Audétat23) Times'!$C75)/(365.35*24*3600)</f>
        <v>21539.467666495479</v>
      </c>
      <c r="Q75" s="2">
        <f>([412]L!R75*'D(Ti_Audétat23) Times'!$F75*0.000001)^2/(4*'D(Ti_Audétat23) Times'!$C75)/(365.35*24*3600)</f>
        <v>24438.88104978</v>
      </c>
      <c r="R75" s="2">
        <f>([412]L!S75*'D(Ti_Audétat23) Times'!$F75*0.000001)^2/(4*'D(Ti_Audétat23) Times'!$C75)/(365.35*24*3600)</f>
        <v>21402.269727282772</v>
      </c>
      <c r="S75" s="2">
        <f>([412]L!T75*'D(Ti_Audétat23) Times'!$F75*0.000001)^2/(4*'D(Ti_Audétat23) Times'!$C75)/(365.35*24*3600)</f>
        <v>17178.773061705746</v>
      </c>
      <c r="T75" s="2"/>
      <c r="U75" s="2">
        <f>([412]L!V75*'D(Ti_Audétat23) Times'!$F75*0.000001)^2/(4*'D(Ti_Audétat23) Times'!$C75)/(365.35*24*3600)</f>
        <v>17350.998605720415</v>
      </c>
      <c r="V75" s="2">
        <f>([412]L!W75*'D(Ti_Audétat23) Times'!$F75*0.000001)^2/(4*'D(Ti_Audétat23) Times'!$C75)/(365.35*24*3600)</f>
        <v>17060.238010733858</v>
      </c>
      <c r="W75" s="2">
        <f>([412]L!X75*'D(Ti_Audétat23) Times'!$F75*0.000001)^2/(4*'D(Ti_Audétat23) Times'!$C75)/(365.35*24*3600)</f>
        <v>17178.773061705746</v>
      </c>
      <c r="X75" s="2"/>
      <c r="Y75" s="2">
        <f>([412]L!Z75*'D(Ti_Audétat23) Times'!$F75*0.000001)^2/(4*'D(Ti_Audétat23) Times'!$C75)/(365.35*24*3600)</f>
        <v>17359.749561274428</v>
      </c>
      <c r="Z75" s="2">
        <f>([412]L!AB75*'D(Ti_Audétat23) Times'!$F75*0.000001)^2/(4*'D(Ti_Audétat23) Times'!$C75)/(365.35*24*3600)</f>
        <v>17743.179925153418</v>
      </c>
      <c r="AA75" s="2">
        <f>([412]L!AC75*'D(Ti_Audétat23) Times'!$F75*0.000001)^2/(4*'D(Ti_Audétat23) Times'!$C75)/(365.35*24*3600)</f>
        <v>8367.3782040849528</v>
      </c>
      <c r="AB75" s="2">
        <f>([412]L!AD75*'D(Ti_Audétat23) Times'!$F75*0.000001)^2/(4*'D(Ti_Audétat23) Times'!$C75)/(365.35*24*3600)</f>
        <v>33651.072740177042</v>
      </c>
      <c r="AC75" s="2">
        <f t="shared" si="5"/>
        <v>9375.8017210684648</v>
      </c>
      <c r="AD75" s="2">
        <f t="shared" si="6"/>
        <v>15907.892815023624</v>
      </c>
    </row>
    <row r="76" spans="1:30" x14ac:dyDescent="0.2">
      <c r="A76" t="str">
        <f>[412]L!A76</f>
        <v>CGI005-qtz08-CL-fit-3</v>
      </c>
      <c r="B76">
        <v>750</v>
      </c>
      <c r="C76">
        <f t="shared" si="7"/>
        <v>1.1456341375347871E-23</v>
      </c>
      <c r="D76">
        <v>1900</v>
      </c>
      <c r="E76">
        <v>1024</v>
      </c>
      <c r="F76">
        <f t="shared" si="4"/>
        <v>1.85546875</v>
      </c>
      <c r="I76" s="2">
        <f>([412]L!J76*'D(Ti_Audétat23) Times'!$F76*0.000001)^2/(4*'D(Ti_Audétat23) Times'!$C76)/(365.35*24*3600)</f>
        <v>12147.351573319422</v>
      </c>
      <c r="J76" s="2">
        <f>([412]L!K76*'D(Ti_Audétat23) Times'!$F76*0.000001)^2/(4*'D(Ti_Audétat23) Times'!$C76)/(365.35*24*3600)</f>
        <v>5863.2518671093976</v>
      </c>
      <c r="K76" s="2">
        <f>([412]L!L76*'D(Ti_Audétat23) Times'!$F76*0.000001)^2/(4*'D(Ti_Audétat23) Times'!$C76)/(365.35*24*3600)</f>
        <v>167.42088757932021</v>
      </c>
      <c r="L76" s="2">
        <f>([412]L!M76*'D(Ti_Audétat23) Times'!$F76*0.000001)^2/(4*'D(Ti_Audétat23) Times'!$C76)/(365.35*24*3600)</f>
        <v>7949.9284899870054</v>
      </c>
      <c r="M76" s="2">
        <f>([412]L!N76*'D(Ti_Audétat23) Times'!$F76*0.000001)^2/(4*'D(Ti_Audétat23) Times'!$C76)/(365.35*24*3600)</f>
        <v>7090.3743521662209</v>
      </c>
      <c r="N76" s="2">
        <f>([412]L!O76*'D(Ti_Audétat23) Times'!$F76*0.000001)^2/(4*'D(Ti_Audétat23) Times'!$C76)/(365.35*24*3600)</f>
        <v>11365.939977946653</v>
      </c>
      <c r="O76" s="2">
        <f>([412]L!P76*'D(Ti_Audétat23) Times'!$F76*0.000001)^2/(4*'D(Ti_Audétat23) Times'!$C76)/(365.35*24*3600)</f>
        <v>0.31065963835550231</v>
      </c>
      <c r="P76" s="2">
        <f>([412]L!Q76*'D(Ti_Audétat23) Times'!$F76*0.000001)^2/(4*'D(Ti_Audétat23) Times'!$C76)/(365.35*24*3600)</f>
        <v>1740.0646317324888</v>
      </c>
      <c r="Q76" s="2">
        <f>([412]L!R76*'D(Ti_Audétat23) Times'!$F76*0.000001)^2/(4*'D(Ti_Audétat23) Times'!$C76)/(365.35*24*3600)</f>
        <v>2898.8677397858505</v>
      </c>
      <c r="R76" s="2">
        <f>([412]L!S76*'D(Ti_Audétat23) Times'!$F76*0.000001)^2/(4*'D(Ti_Audétat23) Times'!$C76)/(365.35*24*3600)</f>
        <v>2750.3635892976781</v>
      </c>
      <c r="S76" s="2">
        <f>([412]L!T76*'D(Ti_Audétat23) Times'!$F76*0.000001)^2/(4*'D(Ti_Audétat23) Times'!$C76)/(365.35*24*3600)</f>
        <v>12227.223487860896</v>
      </c>
      <c r="T76" s="2"/>
      <c r="U76" s="2">
        <f>([412]L!V76*'D(Ti_Audétat23) Times'!$F76*0.000001)^2/(4*'D(Ti_Audétat23) Times'!$C76)/(365.35*24*3600)</f>
        <v>7010.4532255797303</v>
      </c>
      <c r="V76" s="2">
        <f>([412]L!W76*'D(Ti_Audétat23) Times'!$F76*0.000001)^2/(4*'D(Ti_Audétat23) Times'!$C76)/(365.35*24*3600)</f>
        <v>4511.4081518687408</v>
      </c>
      <c r="W76" s="2">
        <f>([412]L!X76*'D(Ti_Audétat23) Times'!$F76*0.000001)^2/(4*'D(Ti_Audétat23) Times'!$C76)/(365.35*24*3600)</f>
        <v>5863.2518671093976</v>
      </c>
      <c r="X76" s="2"/>
      <c r="Y76" s="2">
        <f>([412]L!Z76*'D(Ti_Audétat23) Times'!$F76*0.000001)^2/(4*'D(Ti_Audétat23) Times'!$C76)/(365.35*24*3600)</f>
        <v>6371.4721345811558</v>
      </c>
      <c r="Z76" s="2">
        <f>([412]L!AB76*'D(Ti_Audétat23) Times'!$F76*0.000001)^2/(4*'D(Ti_Audétat23) Times'!$C76)/(365.35*24*3600)</f>
        <v>5980.4681400636327</v>
      </c>
      <c r="AA76" s="2">
        <f>([412]L!AC76*'D(Ti_Audétat23) Times'!$F76*0.000001)^2/(4*'D(Ti_Audétat23) Times'!$C76)/(365.35*24*3600)</f>
        <v>4.2059830828013199E-2</v>
      </c>
      <c r="AB76" s="2">
        <f>([412]L!AD76*'D(Ti_Audétat23) Times'!$F76*0.000001)^2/(4*'D(Ti_Audétat23) Times'!$C76)/(365.35*24*3600)</f>
        <v>20749.740214163776</v>
      </c>
      <c r="AC76" s="2">
        <f t="shared" si="5"/>
        <v>5980.4260802328045</v>
      </c>
      <c r="AD76" s="2">
        <f t="shared" si="6"/>
        <v>14769.272074100143</v>
      </c>
    </row>
    <row r="77" spans="1:30" x14ac:dyDescent="0.2">
      <c r="A77" t="str">
        <f>[412]L!A77</f>
        <v>CGI005-qtz08-CL-fit-4-offset</v>
      </c>
      <c r="B77">
        <v>750</v>
      </c>
      <c r="C77">
        <f t="shared" si="7"/>
        <v>1.1456341375347871E-23</v>
      </c>
      <c r="D77">
        <v>1900</v>
      </c>
      <c r="E77">
        <v>1024</v>
      </c>
      <c r="F77">
        <f t="shared" si="4"/>
        <v>1.85546875</v>
      </c>
      <c r="I77" s="2">
        <f>([412]L!J77*'D(Ti_Audétat23) Times'!$F77*0.000001)^2/(4*'D(Ti_Audétat23) Times'!$C77)/(365.35*24*3600)</f>
        <v>8825.4781405217873</v>
      </c>
      <c r="J77" s="2">
        <f>([412]L!K77*'D(Ti_Audétat23) Times'!$F77*0.000001)^2/(4*'D(Ti_Audétat23) Times'!$C77)/(365.35*24*3600)</f>
        <v>15536.497787550947</v>
      </c>
      <c r="K77" s="2">
        <f>([412]L!L77*'D(Ti_Audétat23) Times'!$F77*0.000001)^2/(4*'D(Ti_Audétat23) Times'!$C77)/(365.35*24*3600)</f>
        <v>10134.696432093262</v>
      </c>
      <c r="L77" s="2">
        <f>([412]L!M77*'D(Ti_Audétat23) Times'!$F77*0.000001)^2/(4*'D(Ti_Audétat23) Times'!$C77)/(365.35*24*3600)</f>
        <v>4040.1191329077824</v>
      </c>
      <c r="M77" s="2">
        <f>([412]L!N77*'D(Ti_Audétat23) Times'!$F77*0.000001)^2/(4*'D(Ti_Audétat23) Times'!$C77)/(365.35*24*3600)</f>
        <v>9159.5972979683538</v>
      </c>
      <c r="N77" s="2">
        <f>([412]L!O77*'D(Ti_Audétat23) Times'!$F77*0.000001)^2/(4*'D(Ti_Audétat23) Times'!$C77)/(365.35*24*3600)</f>
        <v>12308.314947405494</v>
      </c>
      <c r="O77" s="2">
        <f>([412]L!P77*'D(Ti_Audétat23) Times'!$F77*0.000001)^2/(4*'D(Ti_Audétat23) Times'!$C77)/(365.35*24*3600)</f>
        <v>25286.209914660496</v>
      </c>
      <c r="P77" s="2">
        <f>([412]L!Q77*'D(Ti_Audétat23) Times'!$F77*0.000001)^2/(4*'D(Ti_Audétat23) Times'!$C77)/(365.35*24*3600)</f>
        <v>12106.450624929708</v>
      </c>
      <c r="Q77" s="2">
        <f>([412]L!R77*'D(Ti_Audétat23) Times'!$F77*0.000001)^2/(4*'D(Ti_Audétat23) Times'!$C77)/(365.35*24*3600)</f>
        <v>1559.6212548643693</v>
      </c>
      <c r="R77" s="2">
        <f>([412]L!S77*'D(Ti_Audétat23) Times'!$F77*0.000001)^2/(4*'D(Ti_Audétat23) Times'!$C77)/(365.35*24*3600)</f>
        <v>10726.256665158737</v>
      </c>
      <c r="S77" s="2">
        <f>([412]L!T77*'D(Ti_Audétat23) Times'!$F77*0.000001)^2/(4*'D(Ti_Audétat23) Times'!$C77)/(365.35*24*3600)</f>
        <v>6377.633502163033</v>
      </c>
      <c r="T77" s="2"/>
      <c r="U77" s="2">
        <f>([412]L!V77*'D(Ti_Audétat23) Times'!$F77*0.000001)^2/(4*'D(Ti_Audétat23) Times'!$C77)/(365.35*24*3600)</f>
        <v>12026.159136081342</v>
      </c>
      <c r="V77" s="2">
        <f>([412]L!W77*'D(Ti_Audétat23) Times'!$F77*0.000001)^2/(4*'D(Ti_Audétat23) Times'!$C77)/(365.35*24*3600)</f>
        <v>9665.3345332204608</v>
      </c>
      <c r="W77" s="2">
        <f>([412]L!X77*'D(Ti_Audétat23) Times'!$F77*0.000001)^2/(4*'D(Ti_Audétat23) Times'!$C77)/(365.35*24*3600)</f>
        <v>10134.696432093262</v>
      </c>
      <c r="X77" s="2"/>
      <c r="Y77" s="2">
        <f>([412]L!Z77*'D(Ti_Audétat23) Times'!$F77*0.000001)^2/(4*'D(Ti_Audétat23) Times'!$C77)/(365.35*24*3600)</f>
        <v>10856.228931820404</v>
      </c>
      <c r="Z77" s="2">
        <f>([412]L!AB77*'D(Ti_Audétat23) Times'!$F77*0.000001)^2/(4*'D(Ti_Audétat23) Times'!$C77)/(365.35*24*3600)</f>
        <v>11241.910179006374</v>
      </c>
      <c r="AA77" s="2">
        <f>([412]L!AC77*'D(Ti_Audétat23) Times'!$F77*0.000001)^2/(4*'D(Ti_Audétat23) Times'!$C77)/(365.35*24*3600)</f>
        <v>178.37135223119398</v>
      </c>
      <c r="AB77" s="2">
        <f>([412]L!AD77*'D(Ti_Audétat23) Times'!$F77*0.000001)^2/(4*'D(Ti_Audétat23) Times'!$C77)/(365.35*24*3600)</f>
        <v>46163.42206712543</v>
      </c>
      <c r="AC77" s="2">
        <f t="shared" si="5"/>
        <v>11063.53882677518</v>
      </c>
      <c r="AD77" s="2">
        <f t="shared" si="6"/>
        <v>34921.511888119057</v>
      </c>
    </row>
    <row r="78" spans="1:30" x14ac:dyDescent="0.2">
      <c r="A78" t="str">
        <f>[412]L!A78</f>
        <v>CGI005-qtz08-CL-fit-5-offset</v>
      </c>
      <c r="B78">
        <v>750</v>
      </c>
      <c r="C78">
        <f t="shared" si="7"/>
        <v>1.1456341375347871E-23</v>
      </c>
      <c r="D78">
        <v>1900</v>
      </c>
      <c r="E78">
        <v>1024</v>
      </c>
      <c r="F78">
        <f t="shared" si="4"/>
        <v>1.85546875</v>
      </c>
      <c r="I78" s="2">
        <f>([412]L!J78*'D(Ti_Audétat23) Times'!$F78*0.000001)^2/(4*'D(Ti_Audétat23) Times'!$C78)/(365.35*24*3600)</f>
        <v>3039.8089471026788</v>
      </c>
      <c r="J78" s="2">
        <f>([412]L!K78*'D(Ti_Audétat23) Times'!$F78*0.000001)^2/(4*'D(Ti_Audétat23) Times'!$C78)/(365.35*24*3600)</f>
        <v>106.42632734025452</v>
      </c>
      <c r="K78" s="2">
        <f>([412]L!L78*'D(Ti_Audétat23) Times'!$F78*0.000001)^2/(4*'D(Ti_Audétat23) Times'!$C78)/(365.35*24*3600)</f>
        <v>31.325812623589723</v>
      </c>
      <c r="L78" s="2">
        <f>([412]L!M78*'D(Ti_Audétat23) Times'!$F78*0.000001)^2/(4*'D(Ti_Audétat23) Times'!$C78)/(365.35*24*3600)</f>
        <v>3806.5492286998956</v>
      </c>
      <c r="M78" s="2">
        <f>([412]L!N78*'D(Ti_Audétat23) Times'!$F78*0.000001)^2/(4*'D(Ti_Audétat23) Times'!$C78)/(365.35*24*3600)</f>
        <v>1730.0979263134263</v>
      </c>
      <c r="N78" s="2">
        <f>([412]L!O78*'D(Ti_Audétat23) Times'!$F78*0.000001)^2/(4*'D(Ti_Audétat23) Times'!$C78)/(365.35*24*3600)</f>
        <v>1174.666185324777</v>
      </c>
      <c r="O78" s="2">
        <f>([412]L!P78*'D(Ti_Audétat23) Times'!$F78*0.000001)^2/(4*'D(Ti_Audétat23) Times'!$C78)/(365.35*24*3600)</f>
        <v>3019.8999382814786</v>
      </c>
      <c r="P78" s="2">
        <f>([412]L!Q78*'D(Ti_Audétat23) Times'!$F78*0.000001)^2/(4*'D(Ti_Audétat23) Times'!$C78)/(365.35*24*3600)</f>
        <v>145.05572672091188</v>
      </c>
      <c r="Q78" s="2">
        <f>([412]L!R78*'D(Ti_Audétat23) Times'!$F78*0.000001)^2/(4*'D(Ti_Audétat23) Times'!$C78)/(365.35*24*3600)</f>
        <v>10873.102641136764</v>
      </c>
      <c r="R78" s="2">
        <f>([412]L!S78*'D(Ti_Audétat23) Times'!$F78*0.000001)^2/(4*'D(Ti_Audétat23) Times'!$C78)/(365.35*24*3600)</f>
        <v>3244.9240968206818</v>
      </c>
      <c r="S78" s="2">
        <f>([412]L!T78*'D(Ti_Audétat23) Times'!$F78*0.000001)^2/(4*'D(Ti_Audétat23) Times'!$C78)/(365.35*24*3600)</f>
        <v>3880.8096284391759</v>
      </c>
      <c r="T78" s="2"/>
      <c r="U78" s="2">
        <f>([412]L!V78*'D(Ti_Audétat23) Times'!$F78*0.000001)^2/(4*'D(Ti_Audétat23) Times'!$C78)/(365.35*24*3600)</f>
        <v>3621.8630886740734</v>
      </c>
      <c r="V78" s="2">
        <f>([412]L!W78*'D(Ti_Audétat23) Times'!$F78*0.000001)^2/(4*'D(Ti_Audétat23) Times'!$C78)/(365.35*24*3600)</f>
        <v>2059.0546830365333</v>
      </c>
      <c r="W78" s="2">
        <f>([412]L!X78*'D(Ti_Audétat23) Times'!$F78*0.000001)^2/(4*'D(Ti_Audétat23) Times'!$C78)/(365.35*24*3600)</f>
        <v>3019.8999382814786</v>
      </c>
      <c r="X78" s="2"/>
      <c r="Y78" s="2">
        <f>([412]L!Z78*'D(Ti_Audétat23) Times'!$F78*0.000001)^2/(4*'D(Ti_Audétat23) Times'!$C78)/(365.35*24*3600)</f>
        <v>2770.1606703631519</v>
      </c>
      <c r="Z78" s="2">
        <f>([412]L!AB78*'D(Ti_Audétat23) Times'!$F78*0.000001)^2/(4*'D(Ti_Audétat23) Times'!$C78)/(365.35*24*3600)</f>
        <v>2796.7567919243816</v>
      </c>
      <c r="AA78" s="2">
        <f>([412]L!AC78*'D(Ti_Audétat23) Times'!$F78*0.000001)^2/(4*'D(Ti_Audétat23) Times'!$C78)/(365.35*24*3600)</f>
        <v>53.768043217269131</v>
      </c>
      <c r="AB78" s="2">
        <f>([412]L!AD78*'D(Ti_Audétat23) Times'!$F78*0.000001)^2/(4*'D(Ti_Audétat23) Times'!$C78)/(365.35*24*3600)</f>
        <v>17588.792434998846</v>
      </c>
      <c r="AC78" s="2">
        <f t="shared" si="5"/>
        <v>2742.9887487071123</v>
      </c>
      <c r="AD78" s="2">
        <f t="shared" si="6"/>
        <v>14792.035643074465</v>
      </c>
    </row>
    <row r="79" spans="1:30" x14ac:dyDescent="0.2">
      <c r="A79" t="str">
        <f>[412]L!A79</f>
        <v>CGI005-qtz08-CL-fit-6-offset</v>
      </c>
      <c r="B79">
        <v>750</v>
      </c>
      <c r="C79">
        <f t="shared" si="7"/>
        <v>1.1456341375347871E-23</v>
      </c>
      <c r="D79">
        <v>1900</v>
      </c>
      <c r="E79">
        <v>1024</v>
      </c>
      <c r="F79">
        <f t="shared" si="4"/>
        <v>1.85546875</v>
      </c>
      <c r="I79" s="2">
        <f>([412]L!J79*'D(Ti_Audétat23) Times'!$F79*0.000001)^2/(4*'D(Ti_Audétat23) Times'!$C79)/(365.35*24*3600)</f>
        <v>1065.6710768653629</v>
      </c>
      <c r="J79" s="2">
        <f>([412]L!K79*'D(Ti_Audétat23) Times'!$F79*0.000001)^2/(4*'D(Ti_Audétat23) Times'!$C79)/(365.35*24*3600)</f>
        <v>3774.872475870734</v>
      </c>
      <c r="K79" s="2">
        <f>([412]L!L79*'D(Ti_Audétat23) Times'!$F79*0.000001)^2/(4*'D(Ti_Audétat23) Times'!$C79)/(365.35*24*3600)</f>
        <v>1448.0606436518171</v>
      </c>
      <c r="L79" s="2">
        <f>([412]L!M79*'D(Ti_Audétat23) Times'!$F79*0.000001)^2/(4*'D(Ti_Audétat23) Times'!$C79)/(365.35*24*3600)</f>
        <v>2356.1144898125121</v>
      </c>
      <c r="M79" s="2">
        <f>([412]L!N79*'D(Ti_Audétat23) Times'!$F79*0.000001)^2/(4*'D(Ti_Audétat23) Times'!$C79)/(365.35*24*3600)</f>
        <v>2338.588707274183</v>
      </c>
      <c r="N79" s="2">
        <f>([412]L!O79*'D(Ti_Audétat23) Times'!$F79*0.000001)^2/(4*'D(Ti_Audétat23) Times'!$C79)/(365.35*24*3600)</f>
        <v>2428.4566840478283</v>
      </c>
      <c r="O79" s="2">
        <f>([412]L!P79*'D(Ti_Audétat23) Times'!$F79*0.000001)^2/(4*'D(Ti_Audétat23) Times'!$C79)/(365.35*24*3600)</f>
        <v>1168.9547164982864</v>
      </c>
      <c r="P79" s="2">
        <f>([412]L!Q79*'D(Ti_Audétat23) Times'!$F79*0.000001)^2/(4*'D(Ti_Audétat23) Times'!$C79)/(365.35*24*3600)</f>
        <v>5102.0135003287469</v>
      </c>
      <c r="Q79" s="2">
        <f>([412]L!R79*'D(Ti_Audétat23) Times'!$F79*0.000001)^2/(4*'D(Ti_Audétat23) Times'!$C79)/(365.35*24*3600)</f>
        <v>2963.32140524436</v>
      </c>
      <c r="R79" s="2">
        <f>([412]L!S79*'D(Ti_Audétat23) Times'!$F79*0.000001)^2/(4*'D(Ti_Audétat23) Times'!$C79)/(365.35*24*3600)</f>
        <v>2780.8539829393867</v>
      </c>
      <c r="S79" s="2">
        <f>([412]L!T79*'D(Ti_Audétat23) Times'!$F79*0.000001)^2/(4*'D(Ti_Audétat23) Times'!$C79)/(365.35*24*3600)</f>
        <v>1361.3539994123557</v>
      </c>
      <c r="T79" s="2"/>
      <c r="U79" s="2">
        <f>([412]L!V79*'D(Ti_Audétat23) Times'!$F79*0.000001)^2/(4*'D(Ti_Audétat23) Times'!$C79)/(365.35*24*3600)</f>
        <v>2726.8095070022873</v>
      </c>
      <c r="V79" s="2">
        <f>([412]L!W79*'D(Ti_Audétat23) Times'!$F79*0.000001)^2/(4*'D(Ti_Audétat23) Times'!$C79)/(365.35*24*3600)</f>
        <v>2304.0108827631625</v>
      </c>
      <c r="W79" s="2">
        <f>([412]L!X79*'D(Ti_Audétat23) Times'!$F79*0.000001)^2/(4*'D(Ti_Audétat23) Times'!$C79)/(365.35*24*3600)</f>
        <v>2356.1144898125121</v>
      </c>
      <c r="X79" s="2"/>
      <c r="Y79" s="2">
        <f>([412]L!Z79*'D(Ti_Audétat23) Times'!$F79*0.000001)^2/(4*'D(Ti_Audétat23) Times'!$C79)/(365.35*24*3600)</f>
        <v>2063.5211390308309</v>
      </c>
      <c r="Z79" s="2">
        <f>([412]L!AB79*'D(Ti_Audétat23) Times'!$F79*0.000001)^2/(4*'D(Ti_Audétat23) Times'!$C79)/(365.35*24*3600)</f>
        <v>2055.42693405822</v>
      </c>
      <c r="AA79" s="2">
        <f>([412]L!AC79*'D(Ti_Audétat23) Times'!$F79*0.000001)^2/(4*'D(Ti_Audétat23) Times'!$C79)/(365.35*24*3600)</f>
        <v>25.854821265120581</v>
      </c>
      <c r="AB79" s="2">
        <f>([412]L!AD79*'D(Ti_Audétat23) Times'!$F79*0.000001)^2/(4*'D(Ti_Audétat23) Times'!$C79)/(365.35*24*3600)</f>
        <v>7249.3554525622185</v>
      </c>
      <c r="AC79" s="2">
        <f t="shared" si="5"/>
        <v>2029.5721127930994</v>
      </c>
      <c r="AD79" s="2">
        <f t="shared" si="6"/>
        <v>5193.9285185039989</v>
      </c>
    </row>
    <row r="80" spans="1:30" x14ac:dyDescent="0.2">
      <c r="A80" t="str">
        <f>[412]L!A80</f>
        <v>CGI005-qtz09-CL-fit-1-offset</v>
      </c>
      <c r="B80">
        <v>750</v>
      </c>
      <c r="C80">
        <f t="shared" si="7"/>
        <v>1.1456341375347871E-23</v>
      </c>
      <c r="D80">
        <v>2400</v>
      </c>
      <c r="E80">
        <v>1024</v>
      </c>
      <c r="F80">
        <f t="shared" si="4"/>
        <v>2.34375</v>
      </c>
      <c r="I80" s="2">
        <f>([412]L!J80*'D(Ti_Audétat23) Times'!$F80*0.000001)^2/(4*'D(Ti_Audétat23) Times'!$C80)/(365.35*24*3600)</f>
        <v>0</v>
      </c>
      <c r="J80" s="2">
        <f>([412]L!K80*'D(Ti_Audétat23) Times'!$F80*0.000001)^2/(4*'D(Ti_Audétat23) Times'!$C80)/(365.35*24*3600)</f>
        <v>10294.332066341827</v>
      </c>
      <c r="K80" s="2">
        <f>([412]L!L80*'D(Ti_Audétat23) Times'!$F80*0.000001)^2/(4*'D(Ti_Audétat23) Times'!$C80)/(365.35*24*3600)</f>
        <v>138488.35114738374</v>
      </c>
      <c r="L80" s="2">
        <f>([412]L!M80*'D(Ti_Audétat23) Times'!$F80*0.000001)^2/(4*'D(Ti_Audétat23) Times'!$C80)/(365.35*24*3600)</f>
        <v>37283.546338975553</v>
      </c>
      <c r="M80" s="2">
        <f>([412]L!N80*'D(Ti_Audétat23) Times'!$F80*0.000001)^2/(4*'D(Ti_Audétat23) Times'!$C80)/(365.35*24*3600)</f>
        <v>87.73233882871277</v>
      </c>
      <c r="N80" s="2">
        <f>([412]L!O80*'D(Ti_Audétat23) Times'!$F80*0.000001)^2/(4*'D(Ti_Audétat23) Times'!$C80)/(365.35*24*3600)</f>
        <v>4115.4073910277111</v>
      </c>
      <c r="O80" s="2">
        <f>([412]L!P80*'D(Ti_Audétat23) Times'!$F80*0.000001)^2/(4*'D(Ti_Audétat23) Times'!$C80)/(365.35*24*3600)</f>
        <v>549.30497519890662</v>
      </c>
      <c r="P80" s="2">
        <f>([412]L!Q80*'D(Ti_Audétat23) Times'!$F80*0.000001)^2/(4*'D(Ti_Audétat23) Times'!$C80)/(365.35*24*3600)</f>
        <v>112920.95922023722</v>
      </c>
      <c r="Q80" s="2">
        <f>([412]L!R80*'D(Ti_Audétat23) Times'!$F80*0.000001)^2/(4*'D(Ti_Audétat23) Times'!$C80)/(365.35*24*3600)</f>
        <v>43256.553319238359</v>
      </c>
      <c r="R80" s="2">
        <f>([412]L!S80*'D(Ti_Audétat23) Times'!$F80*0.000001)^2/(4*'D(Ti_Audétat23) Times'!$C80)/(365.35*24*3600)</f>
        <v>17879.604614365537</v>
      </c>
      <c r="S80" s="2">
        <f>([412]L!T80*'D(Ti_Audétat23) Times'!$F80*0.000001)^2/(4*'D(Ti_Audétat23) Times'!$C80)/(365.35*24*3600)</f>
        <v>644.00119248499288</v>
      </c>
      <c r="T80" s="2"/>
      <c r="U80" s="2">
        <f>([412]L!V80*'D(Ti_Audétat23) Times'!$F80*0.000001)^2/(4*'D(Ti_Audétat23) Times'!$C80)/(365.35*24*3600)</f>
        <v>37543.665050031886</v>
      </c>
      <c r="V80" s="2">
        <f>([412]L!W80*'D(Ti_Audétat23) Times'!$F80*0.000001)^2/(4*'D(Ti_Audétat23) Times'!$C80)/(365.35*24*3600)</f>
        <v>21513.761056328527</v>
      </c>
      <c r="W80" s="2">
        <f>([412]L!X80*'D(Ti_Audétat23) Times'!$F80*0.000001)^2/(4*'D(Ti_Audétat23) Times'!$C80)/(365.35*24*3600)</f>
        <v>13826.893842221882</v>
      </c>
      <c r="X80" s="2"/>
      <c r="Y80" s="2">
        <f>([412]L!Z80*'D(Ti_Audétat23) Times'!$F80*0.000001)^2/(4*'D(Ti_Audétat23) Times'!$C80)/(365.35*24*3600)</f>
        <v>42448.348183688184</v>
      </c>
      <c r="Z80" s="2">
        <f>([412]L!AB80*'D(Ti_Audétat23) Times'!$F80*0.000001)^2/(4*'D(Ti_Audétat23) Times'!$C80)/(365.35*24*3600)</f>
        <v>432537.6535102023</v>
      </c>
      <c r="AA80" s="2">
        <f>([412]L!AC80*'D(Ti_Audétat23) Times'!$F80*0.000001)^2/(4*'D(Ti_Audétat23) Times'!$C80)/(365.35*24*3600)</f>
        <v>5.3175275082196549</v>
      </c>
      <c r="AB80" s="2">
        <f>([412]L!AD80*'D(Ti_Audétat23) Times'!$F80*0.000001)^2/(4*'D(Ti_Audétat23) Times'!$C80)/(365.35*24*3600)</f>
        <v>15654244.18700299</v>
      </c>
      <c r="AC80" s="2">
        <f t="shared" si="5"/>
        <v>432532.33598269406</v>
      </c>
      <c r="AD80" s="2">
        <f t="shared" si="6"/>
        <v>15221706.533492789</v>
      </c>
    </row>
    <row r="81" spans="1:30" x14ac:dyDescent="0.2">
      <c r="A81" t="str">
        <f>[412]L!A81</f>
        <v>CGI005-qtz09-CL-fit-2-offset</v>
      </c>
      <c r="B81">
        <v>750</v>
      </c>
      <c r="C81">
        <f t="shared" si="7"/>
        <v>1.1456341375347871E-23</v>
      </c>
      <c r="D81">
        <v>2400</v>
      </c>
      <c r="E81">
        <v>1024</v>
      </c>
      <c r="F81">
        <f t="shared" si="4"/>
        <v>2.34375</v>
      </c>
      <c r="I81" s="2">
        <f>([412]L!J81*'D(Ti_Audétat23) Times'!$F81*0.000001)^2/(4*'D(Ti_Audétat23) Times'!$C81)/(365.35*24*3600)</f>
        <v>57520.334487331209</v>
      </c>
      <c r="J81" s="2">
        <f>([412]L!K81*'D(Ti_Audétat23) Times'!$F81*0.000001)^2/(4*'D(Ti_Audétat23) Times'!$C81)/(365.35*24*3600)</f>
        <v>53411.586484894353</v>
      </c>
      <c r="K81" s="2">
        <f>([412]L!L81*'D(Ti_Audétat23) Times'!$F81*0.000001)^2/(4*'D(Ti_Audétat23) Times'!$C81)/(365.35*24*3600)</f>
        <v>90656.046213034264</v>
      </c>
      <c r="L81" s="2">
        <f>([412]L!M81*'D(Ti_Audétat23) Times'!$F81*0.000001)^2/(4*'D(Ti_Audétat23) Times'!$C81)/(365.35*24*3600)</f>
        <v>114319.24081851388</v>
      </c>
      <c r="M81" s="2">
        <f>([412]L!N81*'D(Ti_Audétat23) Times'!$F81*0.000001)^2/(4*'D(Ti_Audétat23) Times'!$C81)/(365.35*24*3600)</f>
        <v>67626.190352675956</v>
      </c>
      <c r="N81" s="2">
        <f>([412]L!O81*'D(Ti_Audétat23) Times'!$F81*0.000001)^2/(4*'D(Ti_Audétat23) Times'!$C81)/(365.35*24*3600)</f>
        <v>98789.266046586054</v>
      </c>
      <c r="O81" s="2">
        <f>([412]L!P81*'D(Ti_Audétat23) Times'!$F81*0.000001)^2/(4*'D(Ti_Audétat23) Times'!$C81)/(365.35*24*3600)</f>
        <v>33132.251600402458</v>
      </c>
      <c r="P81" s="2">
        <f>([412]L!Q81*'D(Ti_Audétat23) Times'!$F81*0.000001)^2/(4*'D(Ti_Audétat23) Times'!$C81)/(365.35*24*3600)</f>
        <v>100449.18079945823</v>
      </c>
      <c r="Q81" s="2">
        <f>([412]L!R81*'D(Ti_Audétat23) Times'!$F81*0.000001)^2/(4*'D(Ti_Audétat23) Times'!$C81)/(365.35*24*3600)</f>
        <v>101885.63497415662</v>
      </c>
      <c r="R81" s="2">
        <f>([412]L!S81*'D(Ti_Audétat23) Times'!$F81*0.000001)^2/(4*'D(Ti_Audétat23) Times'!$C81)/(365.35*24*3600)</f>
        <v>216117.06204496213</v>
      </c>
      <c r="S81" s="2">
        <f>([412]L!T81*'D(Ti_Audétat23) Times'!$F81*0.000001)^2/(4*'D(Ti_Audétat23) Times'!$C81)/(365.35*24*3600)</f>
        <v>141171.55215746566</v>
      </c>
      <c r="T81" s="2"/>
      <c r="U81" s="2">
        <f>([412]L!V81*'D(Ti_Audétat23) Times'!$F81*0.000001)^2/(4*'D(Ti_Audétat23) Times'!$C81)/(365.35*24*3600)</f>
        <v>93928.402758645723</v>
      </c>
      <c r="V81" s="2">
        <f>([412]L!W81*'D(Ti_Audétat23) Times'!$F81*0.000001)^2/(4*'D(Ti_Audétat23) Times'!$C81)/(365.35*24*3600)</f>
        <v>92375.722227505772</v>
      </c>
      <c r="W81" s="2">
        <f>([412]L!X81*'D(Ti_Audétat23) Times'!$F81*0.000001)^2/(4*'D(Ti_Audétat23) Times'!$C81)/(365.35*24*3600)</f>
        <v>98789.266046586054</v>
      </c>
      <c r="X81" s="2"/>
      <c r="Y81" s="2">
        <f>([412]L!Z81*'D(Ti_Audétat23) Times'!$F81*0.000001)^2/(4*'D(Ti_Audétat23) Times'!$C81)/(365.35*24*3600)</f>
        <v>89950.526842089035</v>
      </c>
      <c r="Z81" s="2">
        <f>([412]L!AB81*'D(Ti_Audétat23) Times'!$F81*0.000001)^2/(4*'D(Ti_Audétat23) Times'!$C81)/(365.35*24*3600)</f>
        <v>89413.368712987591</v>
      </c>
      <c r="AA81" s="2">
        <f>([412]L!AC81*'D(Ti_Audétat23) Times'!$F81*0.000001)^2/(4*'D(Ti_Audétat23) Times'!$C81)/(365.35*24*3600)</f>
        <v>27693.845776104376</v>
      </c>
      <c r="AB81" s="2">
        <f>([412]L!AD81*'D(Ti_Audétat23) Times'!$F81*0.000001)^2/(4*'D(Ti_Audétat23) Times'!$C81)/(365.35*24*3600)</f>
        <v>176462.09814409167</v>
      </c>
      <c r="AC81" s="2">
        <f t="shared" si="5"/>
        <v>61719.522936883215</v>
      </c>
      <c r="AD81" s="2">
        <f t="shared" si="6"/>
        <v>87048.729431104075</v>
      </c>
    </row>
    <row r="82" spans="1:30" x14ac:dyDescent="0.2">
      <c r="A82" t="str">
        <f>[412]L!A82</f>
        <v>CGI005-qtz09-CL-fit-3-offset</v>
      </c>
      <c r="B82">
        <v>750</v>
      </c>
      <c r="C82">
        <f t="shared" si="7"/>
        <v>1.1456341375347871E-23</v>
      </c>
      <c r="D82">
        <v>2400</v>
      </c>
      <c r="E82">
        <v>1024</v>
      </c>
      <c r="F82">
        <f t="shared" si="4"/>
        <v>2.34375</v>
      </c>
      <c r="I82" s="2">
        <f>([412]L!J82*'D(Ti_Audétat23) Times'!$F82*0.000001)^2/(4*'D(Ti_Audétat23) Times'!$C82)/(365.35*24*3600)</f>
        <v>71231.314447229073</v>
      </c>
      <c r="J82" s="2">
        <f>([412]L!K82*'D(Ti_Audétat23) Times'!$F82*0.000001)^2/(4*'D(Ti_Audétat23) Times'!$C82)/(365.35*24*3600)</f>
        <v>35626.378558714445</v>
      </c>
      <c r="K82" s="2">
        <f>([412]L!L82*'D(Ti_Audétat23) Times'!$F82*0.000001)^2/(4*'D(Ti_Audétat23) Times'!$C82)/(365.35*24*3600)</f>
        <v>54689.448341648</v>
      </c>
      <c r="L82" s="2">
        <f>([412]L!M82*'D(Ti_Audétat23) Times'!$F82*0.000001)^2/(4*'D(Ti_Audétat23) Times'!$C82)/(365.35*24*3600)</f>
        <v>57067.709101302469</v>
      </c>
      <c r="M82" s="2">
        <f>([412]L!N82*'D(Ti_Audétat23) Times'!$F82*0.000001)^2/(4*'D(Ti_Audétat23) Times'!$C82)/(365.35*24*3600)</f>
        <v>77668.265181824507</v>
      </c>
      <c r="N82" s="2">
        <f>([412]L!O82*'D(Ti_Audétat23) Times'!$F82*0.000001)^2/(4*'D(Ti_Audétat23) Times'!$C82)/(365.35*24*3600)</f>
        <v>62563.433835789292</v>
      </c>
      <c r="O82" s="2">
        <f>([412]L!P82*'D(Ti_Audétat23) Times'!$F82*0.000001)^2/(4*'D(Ti_Audétat23) Times'!$C82)/(365.35*24*3600)</f>
        <v>83004.808993797138</v>
      </c>
      <c r="P82" s="2">
        <f>([412]L!Q82*'D(Ti_Audétat23) Times'!$F82*0.000001)^2/(4*'D(Ti_Audétat23) Times'!$C82)/(365.35*24*3600)</f>
        <v>88967.834642906193</v>
      </c>
      <c r="Q82" s="2">
        <f>([412]L!R82*'D(Ti_Audétat23) Times'!$F82*0.000001)^2/(4*'D(Ti_Audétat23) Times'!$C82)/(365.35*24*3600)</f>
        <v>91095.870092821337</v>
      </c>
      <c r="R82" s="2">
        <f>([412]L!S82*'D(Ti_Audétat23) Times'!$F82*0.000001)^2/(4*'D(Ti_Audétat23) Times'!$C82)/(365.35*24*3600)</f>
        <v>75615.414809636102</v>
      </c>
      <c r="S82" s="2">
        <f>([412]L!T82*'D(Ti_Audétat23) Times'!$F82*0.000001)^2/(4*'D(Ti_Audétat23) Times'!$C82)/(365.35*24*3600)</f>
        <v>195492.06836251338</v>
      </c>
      <c r="T82" s="2"/>
      <c r="U82" s="2">
        <f>([412]L!V82*'D(Ti_Audétat23) Times'!$F82*0.000001)^2/(4*'D(Ti_Audétat23) Times'!$C82)/(365.35*24*3600)</f>
        <v>72838.006977333367</v>
      </c>
      <c r="V82" s="2">
        <f>([412]L!W82*'D(Ti_Audétat23) Times'!$F82*0.000001)^2/(4*'D(Ti_Audétat23) Times'!$C82)/(365.35*24*3600)</f>
        <v>77513.316093414425</v>
      </c>
      <c r="W82" s="2">
        <f>([412]L!X82*'D(Ti_Audétat23) Times'!$F82*0.000001)^2/(4*'D(Ti_Audétat23) Times'!$C82)/(365.35*24*3600)</f>
        <v>75615.414809636102</v>
      </c>
      <c r="X82" s="2"/>
      <c r="Y82" s="2">
        <f>([412]L!Z82*'D(Ti_Audétat23) Times'!$F82*0.000001)^2/(4*'D(Ti_Audétat23) Times'!$C82)/(365.35*24*3600)</f>
        <v>73494.507223395252</v>
      </c>
      <c r="Z82" s="2">
        <f>([412]L!AB82*'D(Ti_Audétat23) Times'!$F82*0.000001)^2/(4*'D(Ti_Audétat23) Times'!$C82)/(365.35*24*3600)</f>
        <v>74887.166868730317</v>
      </c>
      <c r="AA82" s="2">
        <f>([412]L!AC82*'D(Ti_Audétat23) Times'!$F82*0.000001)^2/(4*'D(Ti_Audétat23) Times'!$C82)/(365.35*24*3600)</f>
        <v>20355.170990240247</v>
      </c>
      <c r="AB82" s="2">
        <f>([412]L!AD82*'D(Ti_Audétat23) Times'!$F82*0.000001)^2/(4*'D(Ti_Audétat23) Times'!$C82)/(365.35*24*3600)</f>
        <v>175181.29001249434</v>
      </c>
      <c r="AC82" s="2">
        <f t="shared" si="5"/>
        <v>54531.995878490066</v>
      </c>
      <c r="AD82" s="2">
        <f t="shared" si="6"/>
        <v>100294.12314376402</v>
      </c>
    </row>
    <row r="83" spans="1:30" x14ac:dyDescent="0.2">
      <c r="A83" t="str">
        <f>[412]L!A83</f>
        <v>CGI005-qtz09-CL-fit-4-offset</v>
      </c>
      <c r="B83">
        <v>750</v>
      </c>
      <c r="C83">
        <f t="shared" si="7"/>
        <v>1.1456341375347871E-23</v>
      </c>
      <c r="D83">
        <v>2400</v>
      </c>
      <c r="E83">
        <v>1024</v>
      </c>
      <c r="F83">
        <f t="shared" si="4"/>
        <v>2.34375</v>
      </c>
      <c r="I83" s="2">
        <f>([412]L!J83*'D(Ti_Audétat23) Times'!$F83*0.000001)^2/(4*'D(Ti_Audétat23) Times'!$C83)/(365.35*24*3600)</f>
        <v>24259.148927158327</v>
      </c>
      <c r="J83" s="2">
        <f>([412]L!K83*'D(Ti_Audétat23) Times'!$F83*0.000001)^2/(4*'D(Ti_Audétat23) Times'!$C83)/(365.35*24*3600)</f>
        <v>28313.031198395503</v>
      </c>
      <c r="K83" s="2">
        <f>([412]L!L83*'D(Ti_Audétat23) Times'!$F83*0.000001)^2/(4*'D(Ti_Audétat23) Times'!$C83)/(365.35*24*3600)</f>
        <v>17349.484848485583</v>
      </c>
      <c r="L83" s="2">
        <f>([412]L!M83*'D(Ti_Audétat23) Times'!$F83*0.000001)^2/(4*'D(Ti_Audétat23) Times'!$C83)/(365.35*24*3600)</f>
        <v>41473.773417446515</v>
      </c>
      <c r="M83" s="2">
        <f>([412]L!N83*'D(Ti_Audétat23) Times'!$F83*0.000001)^2/(4*'D(Ti_Audétat23) Times'!$C83)/(365.35*24*3600)</f>
        <v>49207.643379989393</v>
      </c>
      <c r="N83" s="2">
        <f>([412]L!O83*'D(Ti_Audétat23) Times'!$F83*0.000001)^2/(4*'D(Ti_Audétat23) Times'!$C83)/(365.35*24*3600)</f>
        <v>36781.482880903968</v>
      </c>
      <c r="O83" s="2">
        <f>([412]L!P83*'D(Ti_Audétat23) Times'!$F83*0.000001)^2/(4*'D(Ti_Audétat23) Times'!$C83)/(365.35*24*3600)</f>
        <v>39777.90134492168</v>
      </c>
      <c r="P83" s="2">
        <f>([412]L!Q83*'D(Ti_Audétat23) Times'!$F83*0.000001)^2/(4*'D(Ti_Audétat23) Times'!$C83)/(365.35*24*3600)</f>
        <v>33420.934619265558</v>
      </c>
      <c r="Q83" s="2">
        <f>([412]L!R83*'D(Ti_Audétat23) Times'!$F83*0.000001)^2/(4*'D(Ti_Audétat23) Times'!$C83)/(365.35*24*3600)</f>
        <v>34275.2128576205</v>
      </c>
      <c r="R83" s="2">
        <f>([412]L!S83*'D(Ti_Audétat23) Times'!$F83*0.000001)^2/(4*'D(Ti_Audétat23) Times'!$C83)/(365.35*24*3600)</f>
        <v>29622.086361117632</v>
      </c>
      <c r="S83" s="2">
        <f>([412]L!T83*'D(Ti_Audétat23) Times'!$F83*0.000001)^2/(4*'D(Ti_Audétat23) Times'!$C83)/(365.35*24*3600)</f>
        <v>20972.047681896929</v>
      </c>
      <c r="T83" s="2"/>
      <c r="U83" s="2">
        <f>([412]L!V83*'D(Ti_Audétat23) Times'!$F83*0.000001)^2/(4*'D(Ti_Audétat23) Times'!$C83)/(365.35*24*3600)</f>
        <v>34097.180728491607</v>
      </c>
      <c r="V83" s="2">
        <f>([412]L!W83*'D(Ti_Audétat23) Times'!$F83*0.000001)^2/(4*'D(Ti_Audétat23) Times'!$C83)/(365.35*24*3600)</f>
        <v>31662.038614524157</v>
      </c>
      <c r="W83" s="2">
        <f>([412]L!X83*'D(Ti_Audétat23) Times'!$F83*0.000001)^2/(4*'D(Ti_Audétat23) Times'!$C83)/(365.35*24*3600)</f>
        <v>33420.934619265558</v>
      </c>
      <c r="X83" s="2"/>
      <c r="Y83" s="2">
        <f>([412]L!Z83*'D(Ti_Audétat23) Times'!$F83*0.000001)^2/(4*'D(Ti_Audétat23) Times'!$C83)/(365.35*24*3600)</f>
        <v>31518.163286834158</v>
      </c>
      <c r="Z83" s="2">
        <f>([412]L!AB83*'D(Ti_Audétat23) Times'!$F83*0.000001)^2/(4*'D(Ti_Audétat23) Times'!$C83)/(365.35*24*3600)</f>
        <v>30201.811190889392</v>
      </c>
      <c r="AA83" s="2">
        <f>([412]L!AC83*'D(Ti_Audétat23) Times'!$F83*0.000001)^2/(4*'D(Ti_Audétat23) Times'!$C83)/(365.35*24*3600)</f>
        <v>9028.0984030792897</v>
      </c>
      <c r="AB83" s="2">
        <f>([412]L!AD83*'D(Ti_Audétat23) Times'!$F83*0.000001)^2/(4*'D(Ti_Audétat23) Times'!$C83)/(365.35*24*3600)</f>
        <v>58837.285113283244</v>
      </c>
      <c r="AC83" s="2">
        <f t="shared" si="5"/>
        <v>21173.712787810102</v>
      </c>
      <c r="AD83" s="2">
        <f t="shared" si="6"/>
        <v>28635.473922393852</v>
      </c>
    </row>
    <row r="84" spans="1:30" x14ac:dyDescent="0.2">
      <c r="A84" t="str">
        <f>[412]L!A84</f>
        <v>CGI005-qtz09-CL-fit-5-offset</v>
      </c>
      <c r="B84">
        <v>750</v>
      </c>
      <c r="C84">
        <f t="shared" si="7"/>
        <v>1.1456341375347871E-23</v>
      </c>
      <c r="D84">
        <v>2400</v>
      </c>
      <c r="E84">
        <v>1024</v>
      </c>
      <c r="F84">
        <f t="shared" si="4"/>
        <v>2.34375</v>
      </c>
      <c r="I84" s="2">
        <f>([412]L!J84*'D(Ti_Audétat23) Times'!$F84*0.000001)^2/(4*'D(Ti_Audétat23) Times'!$C84)/(365.35*24*3600)</f>
        <v>19475.752728838394</v>
      </c>
      <c r="J84" s="2">
        <f>([412]L!K84*'D(Ti_Audétat23) Times'!$F84*0.000001)^2/(4*'D(Ti_Audétat23) Times'!$C84)/(365.35*24*3600)</f>
        <v>17566.694641245915</v>
      </c>
      <c r="K84" s="2">
        <f>([412]L!L84*'D(Ti_Audétat23) Times'!$F84*0.000001)^2/(4*'D(Ti_Audétat23) Times'!$C84)/(365.35*24*3600)</f>
        <v>34481.140459516952</v>
      </c>
      <c r="L84" s="2">
        <f>([412]L!M84*'D(Ti_Audétat23) Times'!$F84*0.000001)^2/(4*'D(Ti_Audétat23) Times'!$C84)/(365.35*24*3600)</f>
        <v>21375.189835827823</v>
      </c>
      <c r="M84" s="2">
        <f>([412]L!N84*'D(Ti_Audétat23) Times'!$F84*0.000001)^2/(4*'D(Ti_Audétat23) Times'!$C84)/(365.35*24*3600)</f>
        <v>21961.455853651922</v>
      </c>
      <c r="N84" s="2">
        <f>([412]L!O84*'D(Ti_Audétat23) Times'!$F84*0.000001)^2/(4*'D(Ti_Audétat23) Times'!$C84)/(365.35*24*3600)</f>
        <v>16002.765862908935</v>
      </c>
      <c r="O84" s="2">
        <f>([412]L!P84*'D(Ti_Audétat23) Times'!$F84*0.000001)^2/(4*'D(Ti_Audétat23) Times'!$C84)/(365.35*24*3600)</f>
        <v>7789.0963288717357</v>
      </c>
      <c r="P84" s="2">
        <f>([412]L!Q84*'D(Ti_Audétat23) Times'!$F84*0.000001)^2/(4*'D(Ti_Audétat23) Times'!$C84)/(365.35*24*3600)</f>
        <v>11211.501457121829</v>
      </c>
      <c r="Q84" s="2">
        <f>([412]L!R84*'D(Ti_Audétat23) Times'!$F84*0.000001)^2/(4*'D(Ti_Audétat23) Times'!$C84)/(365.35*24*3600)</f>
        <v>15979.130887304966</v>
      </c>
      <c r="R84" s="2">
        <f>([412]L!S84*'D(Ti_Audétat23) Times'!$F84*0.000001)^2/(4*'D(Ti_Audétat23) Times'!$C84)/(365.35*24*3600)</f>
        <v>14648.950916825837</v>
      </c>
      <c r="S84" s="2">
        <f>([412]L!T84*'D(Ti_Audétat23) Times'!$F84*0.000001)^2/(4*'D(Ti_Audétat23) Times'!$C84)/(365.35*24*3600)</f>
        <v>15713.009057096553</v>
      </c>
      <c r="T84" s="2"/>
      <c r="U84" s="2">
        <f>([412]L!V84*'D(Ti_Audétat23) Times'!$F84*0.000001)^2/(4*'D(Ti_Audétat23) Times'!$C84)/(365.35*24*3600)</f>
        <v>18678.846676639252</v>
      </c>
      <c r="V84" s="2">
        <f>([412]L!W84*'D(Ti_Audétat23) Times'!$F84*0.000001)^2/(4*'D(Ti_Audétat23) Times'!$C84)/(365.35*24*3600)</f>
        <v>17271.162437096733</v>
      </c>
      <c r="W84" s="2">
        <f>([412]L!X84*'D(Ti_Audétat23) Times'!$F84*0.000001)^2/(4*'D(Ti_Audétat23) Times'!$C84)/(365.35*24*3600)</f>
        <v>16002.765862908935</v>
      </c>
      <c r="X84" s="2"/>
      <c r="Y84" s="2">
        <f>([412]L!Z84*'D(Ti_Audétat23) Times'!$F84*0.000001)^2/(4*'D(Ti_Audétat23) Times'!$C84)/(365.35*24*3600)</f>
        <v>18561.785734338562</v>
      </c>
      <c r="Z84" s="2">
        <f>([412]L!AB84*'D(Ti_Audétat23) Times'!$F84*0.000001)^2/(4*'D(Ti_Audétat23) Times'!$C84)/(365.35*24*3600)</f>
        <v>17904.800232048106</v>
      </c>
      <c r="AA84" s="2">
        <f>([412]L!AC84*'D(Ti_Audétat23) Times'!$F84*0.000001)^2/(4*'D(Ti_Audétat23) Times'!$C84)/(365.35*24*3600)</f>
        <v>1846.1867632944263</v>
      </c>
      <c r="AB84" s="2">
        <f>([412]L!AD84*'D(Ti_Audétat23) Times'!$F84*0.000001)^2/(4*'D(Ti_Audétat23) Times'!$C84)/(365.35*24*3600)</f>
        <v>41151.752225048433</v>
      </c>
      <c r="AC84" s="2">
        <f t="shared" si="5"/>
        <v>16058.61346875368</v>
      </c>
      <c r="AD84" s="2">
        <f t="shared" si="6"/>
        <v>23246.951993000326</v>
      </c>
    </row>
    <row r="85" spans="1:30" x14ac:dyDescent="0.2">
      <c r="A85" t="str">
        <f>[412]L!A85</f>
        <v>CGI005-qtz10-CL-fit-1</v>
      </c>
      <c r="B85">
        <v>750</v>
      </c>
      <c r="C85">
        <f t="shared" si="7"/>
        <v>1.1456341375347871E-23</v>
      </c>
      <c r="D85">
        <v>2100</v>
      </c>
      <c r="E85">
        <v>1024</v>
      </c>
      <c r="F85">
        <f t="shared" si="4"/>
        <v>2.05078125</v>
      </c>
      <c r="I85" s="2">
        <f>([412]L!J85*'D(Ti_Audétat23) Times'!$F85*0.000001)^2/(4*'D(Ti_Audétat23) Times'!$C85)/(365.35*24*3600)</f>
        <v>452354.32119978289</v>
      </c>
      <c r="J85" s="2">
        <f>([412]L!K85*'D(Ti_Audétat23) Times'!$F85*0.000001)^2/(4*'D(Ti_Audétat23) Times'!$C85)/(365.35*24*3600)</f>
        <v>608935.0461161189</v>
      </c>
      <c r="K85" s="2">
        <f>([412]L!L85*'D(Ti_Audétat23) Times'!$F85*0.000001)^2/(4*'D(Ti_Audétat23) Times'!$C85)/(365.35*24*3600)</f>
        <v>553378.36265425279</v>
      </c>
      <c r="L85" s="2">
        <f>([412]L!M85*'D(Ti_Audétat23) Times'!$F85*0.000001)^2/(4*'D(Ti_Audétat23) Times'!$C85)/(365.35*24*3600)</f>
        <v>620469.39035106672</v>
      </c>
      <c r="M85" s="2">
        <f>([412]L!N85*'D(Ti_Audétat23) Times'!$F85*0.000001)^2/(4*'D(Ti_Audétat23) Times'!$C85)/(365.35*24*3600)</f>
        <v>546841.67979189788</v>
      </c>
      <c r="N85" s="2">
        <f>([412]L!O85*'D(Ti_Audétat23) Times'!$F85*0.000001)^2/(4*'D(Ti_Audétat23) Times'!$C85)/(365.35*24*3600)</f>
        <v>522270.74487167411</v>
      </c>
      <c r="O85" s="2">
        <f>([412]L!P85*'D(Ti_Audétat23) Times'!$F85*0.000001)^2/(4*'D(Ti_Audétat23) Times'!$C85)/(365.35*24*3600)</f>
        <v>547203.15462287574</v>
      </c>
      <c r="P85" s="2">
        <f>([412]L!Q85*'D(Ti_Audétat23) Times'!$F85*0.000001)^2/(4*'D(Ti_Audétat23) Times'!$C85)/(365.35*24*3600)</f>
        <v>537881.36407157406</v>
      </c>
      <c r="Q85" s="2">
        <f>([412]L!R85*'D(Ti_Audétat23) Times'!$F85*0.000001)^2/(4*'D(Ti_Audétat23) Times'!$C85)/(365.35*24*3600)</f>
        <v>533322.75596293807</v>
      </c>
      <c r="R85" s="2">
        <f>([412]L!S85*'D(Ti_Audétat23) Times'!$F85*0.000001)^2/(4*'D(Ti_Audétat23) Times'!$C85)/(365.35*24*3600)</f>
        <v>545225.91974563315</v>
      </c>
      <c r="S85" s="2">
        <f>([412]L!T85*'D(Ti_Audétat23) Times'!$F85*0.000001)^2/(4*'D(Ti_Audétat23) Times'!$C85)/(365.35*24*3600)</f>
        <v>577421.23497949308</v>
      </c>
      <c r="T85" s="2"/>
      <c r="U85" s="2">
        <f>([412]L!V85*'D(Ti_Audétat23) Times'!$F85*0.000001)^2/(4*'D(Ti_Audétat23) Times'!$C85)/(365.35*24*3600)</f>
        <v>548629.23750233138</v>
      </c>
      <c r="V85" s="2">
        <f>([412]L!W85*'D(Ti_Audétat23) Times'!$F85*0.000001)^2/(4*'D(Ti_Audétat23) Times'!$C85)/(365.35*24*3600)</f>
        <v>548728.19610609417</v>
      </c>
      <c r="W85" s="2">
        <f>([412]L!X85*'D(Ti_Audétat23) Times'!$F85*0.000001)^2/(4*'D(Ti_Audétat23) Times'!$C85)/(365.35*24*3600)</f>
        <v>546841.67979189788</v>
      </c>
      <c r="X85" s="2"/>
      <c r="Y85" s="2">
        <f>([412]L!Z85*'D(Ti_Audétat23) Times'!$F85*0.000001)^2/(4*'D(Ti_Audétat23) Times'!$C85)/(365.35*24*3600)</f>
        <v>546002.77560698497</v>
      </c>
      <c r="Z85" s="2">
        <f>([412]L!AB85*'D(Ti_Audétat23) Times'!$F85*0.000001)^2/(4*'D(Ti_Audétat23) Times'!$C85)/(365.35*24*3600)</f>
        <v>544500.50400199846</v>
      </c>
      <c r="AA85" s="2">
        <f>([412]L!AC85*'D(Ti_Audétat23) Times'!$F85*0.000001)^2/(4*'D(Ti_Audétat23) Times'!$C85)/(365.35*24*3600)</f>
        <v>463573.1633594702</v>
      </c>
      <c r="AB85" s="2">
        <f>([412]L!AD85*'D(Ti_Audétat23) Times'!$F85*0.000001)^2/(4*'D(Ti_Audétat23) Times'!$C85)/(365.35*24*3600)</f>
        <v>649093.81225615682</v>
      </c>
      <c r="AC85" s="2">
        <f t="shared" si="5"/>
        <v>80927.340642528259</v>
      </c>
      <c r="AD85" s="2">
        <f t="shared" si="6"/>
        <v>104593.30825415836</v>
      </c>
    </row>
    <row r="86" spans="1:30" x14ac:dyDescent="0.2">
      <c r="A86" t="str">
        <f>[412]L!A86</f>
        <v>CGI005-qtz10-CL-fit-2</v>
      </c>
      <c r="B86">
        <v>750</v>
      </c>
      <c r="C86">
        <f t="shared" si="7"/>
        <v>1.1456341375347871E-23</v>
      </c>
      <c r="D86">
        <v>2100</v>
      </c>
      <c r="E86">
        <v>1024</v>
      </c>
      <c r="F86">
        <f t="shared" si="4"/>
        <v>2.05078125</v>
      </c>
      <c r="I86" s="2">
        <f>([412]L!J86*'D(Ti_Audétat23) Times'!$F86*0.000001)^2/(4*'D(Ti_Audétat23) Times'!$C86)/(365.35*24*3600)</f>
        <v>104681.7139768526</v>
      </c>
      <c r="J86" s="2">
        <f>([412]L!K86*'D(Ti_Audétat23) Times'!$F86*0.000001)^2/(4*'D(Ti_Audétat23) Times'!$C86)/(365.35*24*3600)</f>
        <v>90589.821359345922</v>
      </c>
      <c r="K86" s="2">
        <f>([412]L!L86*'D(Ti_Audétat23) Times'!$F86*0.000001)^2/(4*'D(Ti_Audétat23) Times'!$C86)/(365.35*24*3600)</f>
        <v>98034.783788358836</v>
      </c>
      <c r="L86" s="2">
        <f>([412]L!M86*'D(Ti_Audétat23) Times'!$F86*0.000001)^2/(4*'D(Ti_Audétat23) Times'!$C86)/(365.35*24*3600)</f>
        <v>101159.99709672475</v>
      </c>
      <c r="M86" s="2">
        <f>([412]L!N86*'D(Ti_Audétat23) Times'!$F86*0.000001)^2/(4*'D(Ti_Audétat23) Times'!$C86)/(365.35*24*3600)</f>
        <v>143493.84279690831</v>
      </c>
      <c r="N86" s="2">
        <f>([412]L!O86*'D(Ti_Audétat23) Times'!$F86*0.000001)^2/(4*'D(Ti_Audétat23) Times'!$C86)/(365.35*24*3600)</f>
        <v>108964.88041835481</v>
      </c>
      <c r="O86" s="2">
        <f>([412]L!P86*'D(Ti_Audétat23) Times'!$F86*0.000001)^2/(4*'D(Ti_Audétat23) Times'!$C86)/(365.35*24*3600)</f>
        <v>113397.99662879643</v>
      </c>
      <c r="P86" s="2">
        <f>([412]L!Q86*'D(Ti_Audétat23) Times'!$F86*0.000001)^2/(4*'D(Ti_Audétat23) Times'!$C86)/(365.35*24*3600)</f>
        <v>110009.56711230795</v>
      </c>
      <c r="Q86" s="2">
        <f>([412]L!R86*'D(Ti_Audétat23) Times'!$F86*0.000001)^2/(4*'D(Ti_Audétat23) Times'!$C86)/(365.35*24*3600)</f>
        <v>95885.931864334401</v>
      </c>
      <c r="R86" s="2">
        <f>([412]L!S86*'D(Ti_Audétat23) Times'!$F86*0.000001)^2/(4*'D(Ti_Audétat23) Times'!$C86)/(365.35*24*3600)</f>
        <v>120402.86378801876</v>
      </c>
      <c r="S86" s="2">
        <f>([412]L!T86*'D(Ti_Audétat23) Times'!$F86*0.000001)^2/(4*'D(Ti_Audétat23) Times'!$C86)/(365.35*24*3600)</f>
        <v>143233.84260800254</v>
      </c>
      <c r="T86" s="2"/>
      <c r="U86" s="2">
        <f>([412]L!V86*'D(Ti_Audétat23) Times'!$F86*0.000001)^2/(4*'D(Ti_Audétat23) Times'!$C86)/(365.35*24*3600)</f>
        <v>111340.83045579689</v>
      </c>
      <c r="V86" s="2">
        <f>([412]L!W86*'D(Ti_Audétat23) Times'!$F86*0.000001)^2/(4*'D(Ti_Audétat23) Times'!$C86)/(365.35*24*3600)</f>
        <v>111199.45114103217</v>
      </c>
      <c r="W86" s="2">
        <f>([412]L!X86*'D(Ti_Audétat23) Times'!$F86*0.000001)^2/(4*'D(Ti_Audétat23) Times'!$C86)/(365.35*24*3600)</f>
        <v>108964.88041835481</v>
      </c>
      <c r="X86" s="2"/>
      <c r="Y86" s="2">
        <f>([412]L!Z86*'D(Ti_Audétat23) Times'!$F86*0.000001)^2/(4*'D(Ti_Audétat23) Times'!$C86)/(365.35*24*3600)</f>
        <v>111466.00437201922</v>
      </c>
      <c r="Z86" s="2">
        <f>([412]L!AB86*'D(Ti_Audétat23) Times'!$F86*0.000001)^2/(4*'D(Ti_Audétat23) Times'!$C86)/(365.35*24*3600)</f>
        <v>112718.0924173438</v>
      </c>
      <c r="AA86" s="2">
        <f>([412]L!AC86*'D(Ti_Audétat23) Times'!$F86*0.000001)^2/(4*'D(Ti_Audétat23) Times'!$C86)/(365.35*24*3600)</f>
        <v>87319.833804911133</v>
      </c>
      <c r="AB86" s="2">
        <f>([412]L!AD86*'D(Ti_Audétat23) Times'!$F86*0.000001)^2/(4*'D(Ti_Audétat23) Times'!$C86)/(365.35*24*3600)</f>
        <v>150274.39462940695</v>
      </c>
      <c r="AC86" s="2">
        <f t="shared" si="5"/>
        <v>25398.258612432663</v>
      </c>
      <c r="AD86" s="2">
        <f t="shared" si="6"/>
        <v>37556.30221206315</v>
      </c>
    </row>
    <row r="87" spans="1:30" x14ac:dyDescent="0.2">
      <c r="A87" t="str">
        <f>[412]L!A87</f>
        <v>CGI005-qtz10-CL-fit-3-offset</v>
      </c>
      <c r="B87">
        <v>750</v>
      </c>
      <c r="C87">
        <f t="shared" si="7"/>
        <v>1.1456341375347871E-23</v>
      </c>
      <c r="D87">
        <v>2100</v>
      </c>
      <c r="E87">
        <v>1024</v>
      </c>
      <c r="F87">
        <f t="shared" si="4"/>
        <v>2.05078125</v>
      </c>
      <c r="I87" s="2">
        <f>([412]L!J87*'D(Ti_Audétat23) Times'!$F87*0.000001)^2/(4*'D(Ti_Audétat23) Times'!$C87)/(365.35*24*3600)</f>
        <v>175397.16917884376</v>
      </c>
      <c r="J87" s="2">
        <f>([412]L!K87*'D(Ti_Audétat23) Times'!$F87*0.000001)^2/(4*'D(Ti_Audétat23) Times'!$C87)/(365.35*24*3600)</f>
        <v>196777.23055432847</v>
      </c>
      <c r="K87" s="2">
        <f>([412]L!L87*'D(Ti_Audétat23) Times'!$F87*0.000001)^2/(4*'D(Ti_Audétat23) Times'!$C87)/(365.35*24*3600)</f>
        <v>218619.75068260604</v>
      </c>
      <c r="L87" s="2">
        <f>([412]L!M87*'D(Ti_Audétat23) Times'!$F87*0.000001)^2/(4*'D(Ti_Audétat23) Times'!$C87)/(365.35*24*3600)</f>
        <v>217299.78434870095</v>
      </c>
      <c r="M87" s="2">
        <f>([412]L!N87*'D(Ti_Audétat23) Times'!$F87*0.000001)^2/(4*'D(Ti_Audétat23) Times'!$C87)/(365.35*24*3600)</f>
        <v>169158.77807882411</v>
      </c>
      <c r="N87" s="2">
        <f>([412]L!O87*'D(Ti_Audétat23) Times'!$F87*0.000001)^2/(4*'D(Ti_Audétat23) Times'!$C87)/(365.35*24*3600)</f>
        <v>96552.110836362204</v>
      </c>
      <c r="O87" s="2">
        <f>([412]L!P87*'D(Ti_Audétat23) Times'!$F87*0.000001)^2/(4*'D(Ti_Audétat23) Times'!$C87)/(365.35*24*3600)</f>
        <v>141423.941999128</v>
      </c>
      <c r="P87" s="2">
        <f>([412]L!Q87*'D(Ti_Audétat23) Times'!$F87*0.000001)^2/(4*'D(Ti_Audétat23) Times'!$C87)/(365.35*24*3600)</f>
        <v>71339.687856797507</v>
      </c>
      <c r="Q87" s="2">
        <f>([412]L!R87*'D(Ti_Audétat23) Times'!$F87*0.000001)^2/(4*'D(Ti_Audétat23) Times'!$C87)/(365.35*24*3600)</f>
        <v>47094.982545119608</v>
      </c>
      <c r="R87" s="2">
        <f>([412]L!S87*'D(Ti_Audétat23) Times'!$F87*0.000001)^2/(4*'D(Ti_Audétat23) Times'!$C87)/(365.35*24*3600)</f>
        <v>140721.34552991908</v>
      </c>
      <c r="S87" s="2">
        <f>([412]L!T87*'D(Ti_Audétat23) Times'!$F87*0.000001)^2/(4*'D(Ti_Audétat23) Times'!$C87)/(365.35*24*3600)</f>
        <v>102653.51395433534</v>
      </c>
      <c r="T87" s="2"/>
      <c r="U87" s="2">
        <f>([412]L!V87*'D(Ti_Audétat23) Times'!$F87*0.000001)^2/(4*'D(Ti_Audétat23) Times'!$C87)/(365.35*24*3600)</f>
        <v>146214.07174935978</v>
      </c>
      <c r="V87" s="2">
        <f>([412]L!W87*'D(Ti_Audétat23) Times'!$F87*0.000001)^2/(4*'D(Ti_Audétat23) Times'!$C87)/(365.35*24*3600)</f>
        <v>137158.22523155317</v>
      </c>
      <c r="W87" s="2">
        <f>([412]L!X87*'D(Ti_Audétat23) Times'!$F87*0.000001)^2/(4*'D(Ti_Audétat23) Times'!$C87)/(365.35*24*3600)</f>
        <v>141423.941999128</v>
      </c>
      <c r="X87" s="2"/>
      <c r="Y87" s="2">
        <f>([412]L!Z87*'D(Ti_Audétat23) Times'!$F87*0.000001)^2/(4*'D(Ti_Audétat23) Times'!$C87)/(365.35*24*3600)</f>
        <v>145522.9099037734</v>
      </c>
      <c r="Z87" s="2">
        <f>([412]L!AB87*'D(Ti_Audétat23) Times'!$F87*0.000001)^2/(4*'D(Ti_Audétat23) Times'!$C87)/(365.35*24*3600)</f>
        <v>147026.73569754433</v>
      </c>
      <c r="AA87" s="2">
        <f>([412]L!AC87*'D(Ti_Audétat23) Times'!$F87*0.000001)^2/(4*'D(Ti_Audétat23) Times'!$C87)/(365.35*24*3600)</f>
        <v>65785.472810409963</v>
      </c>
      <c r="AB87" s="2">
        <f>([412]L!AD87*'D(Ti_Audétat23) Times'!$F87*0.000001)^2/(4*'D(Ti_Audétat23) Times'!$C87)/(365.35*24*3600)</f>
        <v>269921.62993219739</v>
      </c>
      <c r="AC87" s="2">
        <f t="shared" si="5"/>
        <v>81241.262887134362</v>
      </c>
      <c r="AD87" s="2">
        <f t="shared" si="6"/>
        <v>122894.89423465307</v>
      </c>
    </row>
    <row r="88" spans="1:30" x14ac:dyDescent="0.2">
      <c r="A88" t="str">
        <f>[412]L!A88</f>
        <v>CGI005-qtz10-CL-fit-4-offset</v>
      </c>
      <c r="B88">
        <v>750</v>
      </c>
      <c r="C88">
        <f t="shared" si="7"/>
        <v>1.1456341375347871E-23</v>
      </c>
      <c r="D88">
        <v>2100</v>
      </c>
      <c r="E88">
        <v>1024</v>
      </c>
      <c r="F88">
        <f t="shared" si="4"/>
        <v>2.05078125</v>
      </c>
      <c r="I88" s="2">
        <f>([412]L!J88*'D(Ti_Audétat23) Times'!$F88*0.000001)^2/(4*'D(Ti_Audétat23) Times'!$C88)/(365.35*24*3600)</f>
        <v>30450.25997719037</v>
      </c>
      <c r="J88" s="2">
        <f>([412]L!K88*'D(Ti_Audétat23) Times'!$F88*0.000001)^2/(4*'D(Ti_Audétat23) Times'!$C88)/(365.35*24*3600)</f>
        <v>35293.346031065645</v>
      </c>
      <c r="K88" s="2">
        <f>([412]L!L88*'D(Ti_Audétat23) Times'!$F88*0.000001)^2/(4*'D(Ti_Audétat23) Times'!$C88)/(365.35*24*3600)</f>
        <v>31371.987542585688</v>
      </c>
      <c r="L88" s="2">
        <f>([412]L!M88*'D(Ti_Audétat23) Times'!$F88*0.000001)^2/(4*'D(Ti_Audétat23) Times'!$C88)/(365.35*24*3600)</f>
        <v>25069.001747653409</v>
      </c>
      <c r="M88" s="2">
        <f>([412]L!N88*'D(Ti_Audétat23) Times'!$F88*0.000001)^2/(4*'D(Ti_Audétat23) Times'!$C88)/(365.35*24*3600)</f>
        <v>45720.718658904625</v>
      </c>
      <c r="N88" s="2">
        <f>([412]L!O88*'D(Ti_Audétat23) Times'!$F88*0.000001)^2/(4*'D(Ti_Audétat23) Times'!$C88)/(365.35*24*3600)</f>
        <v>50278.567029200494</v>
      </c>
      <c r="O88" s="2">
        <f>([412]L!P88*'D(Ti_Audétat23) Times'!$F88*0.000001)^2/(4*'D(Ti_Audétat23) Times'!$C88)/(365.35*24*3600)</f>
        <v>33352.300506248917</v>
      </c>
      <c r="P88" s="2">
        <f>([412]L!Q88*'D(Ti_Audétat23) Times'!$F88*0.000001)^2/(4*'D(Ti_Audétat23) Times'!$C88)/(365.35*24*3600)</f>
        <v>35130.969707558186</v>
      </c>
      <c r="Q88" s="2">
        <f>([412]L!R88*'D(Ti_Audétat23) Times'!$F88*0.000001)^2/(4*'D(Ti_Audétat23) Times'!$C88)/(365.35*24*3600)</f>
        <v>33900.266728182352</v>
      </c>
      <c r="R88" s="2">
        <f>([412]L!S88*'D(Ti_Audétat23) Times'!$F88*0.000001)^2/(4*'D(Ti_Audétat23) Times'!$C88)/(365.35*24*3600)</f>
        <v>48478.04636074225</v>
      </c>
      <c r="S88" s="2">
        <f>([412]L!T88*'D(Ti_Audétat23) Times'!$F88*0.000001)^2/(4*'D(Ti_Audétat23) Times'!$C88)/(365.35*24*3600)</f>
        <v>37893.327621723976</v>
      </c>
      <c r="T88" s="2"/>
      <c r="U88" s="2">
        <f>([412]L!V88*'D(Ti_Audétat23) Times'!$F88*0.000001)^2/(4*'D(Ti_Audétat23) Times'!$C88)/(365.35*24*3600)</f>
        <v>37385.231402161153</v>
      </c>
      <c r="V88" s="2">
        <f>([412]L!W88*'D(Ti_Audétat23) Times'!$F88*0.000001)^2/(4*'D(Ti_Audétat23) Times'!$C88)/(365.35*24*3600)</f>
        <v>36616.206942194243</v>
      </c>
      <c r="W88" s="2">
        <f>([412]L!X88*'D(Ti_Audétat23) Times'!$F88*0.000001)^2/(4*'D(Ti_Audétat23) Times'!$C88)/(365.35*24*3600)</f>
        <v>35130.969707558186</v>
      </c>
      <c r="X88" s="2"/>
      <c r="Y88" s="2">
        <f>([412]L!Z88*'D(Ti_Audétat23) Times'!$F88*0.000001)^2/(4*'D(Ti_Audétat23) Times'!$C88)/(365.35*24*3600)</f>
        <v>36724.264407654468</v>
      </c>
      <c r="Z88" s="2">
        <f>([412]L!AB88*'D(Ti_Audétat23) Times'!$F88*0.000001)^2/(4*'D(Ti_Audétat23) Times'!$C88)/(365.35*24*3600)</f>
        <v>36988.825380445596</v>
      </c>
      <c r="AA88" s="2">
        <f>([412]L!AC88*'D(Ti_Audétat23) Times'!$F88*0.000001)^2/(4*'D(Ti_Audétat23) Times'!$C88)/(365.35*24*3600)</f>
        <v>22397.627791613566</v>
      </c>
      <c r="AB88" s="2">
        <f>([412]L!AD88*'D(Ti_Audétat23) Times'!$F88*0.000001)^2/(4*'D(Ti_Audétat23) Times'!$C88)/(365.35*24*3600)</f>
        <v>54037.321503658175</v>
      </c>
      <c r="AC88" s="2">
        <f t="shared" si="5"/>
        <v>14591.19758883203</v>
      </c>
      <c r="AD88" s="2">
        <f t="shared" si="6"/>
        <v>17048.496123212579</v>
      </c>
    </row>
    <row r="89" spans="1:30" x14ac:dyDescent="0.2">
      <c r="A89" t="str">
        <f>[412]L!A89</f>
        <v>CGI005-qtz10-CL-fit-5-offset</v>
      </c>
      <c r="B89">
        <v>750</v>
      </c>
      <c r="C89">
        <f t="shared" si="7"/>
        <v>1.1456341375347871E-23</v>
      </c>
      <c r="D89">
        <v>2100</v>
      </c>
      <c r="E89">
        <v>1024</v>
      </c>
      <c r="F89">
        <f t="shared" si="4"/>
        <v>2.05078125</v>
      </c>
      <c r="I89" s="2">
        <f>([412]L!J89*'D(Ti_Audétat23) Times'!$F89*0.000001)^2/(4*'D(Ti_Audétat23) Times'!$C89)/(365.35*24*3600)</f>
        <v>19360.292313722086</v>
      </c>
      <c r="J89" s="2">
        <f>([412]L!K89*'D(Ti_Audétat23) Times'!$F89*0.000001)^2/(4*'D(Ti_Audétat23) Times'!$C89)/(365.35*24*3600)</f>
        <v>18817.799241296281</v>
      </c>
      <c r="K89" s="2">
        <f>([412]L!L89*'D(Ti_Audétat23) Times'!$F89*0.000001)^2/(4*'D(Ti_Audétat23) Times'!$C89)/(365.35*24*3600)</f>
        <v>3791.1741829770262</v>
      </c>
      <c r="L89" s="2">
        <f>([412]L!M89*'D(Ti_Audétat23) Times'!$F89*0.000001)^2/(4*'D(Ti_Audétat23) Times'!$C89)/(365.35*24*3600)</f>
        <v>16612.826964035248</v>
      </c>
      <c r="M89" s="2">
        <f>([412]L!N89*'D(Ti_Audétat23) Times'!$F89*0.000001)^2/(4*'D(Ti_Audétat23) Times'!$C89)/(365.35*24*3600)</f>
        <v>19529.871468768026</v>
      </c>
      <c r="N89" s="2">
        <f>([412]L!O89*'D(Ti_Audétat23) Times'!$F89*0.000001)^2/(4*'D(Ti_Audétat23) Times'!$C89)/(365.35*24*3600)</f>
        <v>31824.637328045876</v>
      </c>
      <c r="O89" s="2">
        <f>([412]L!P89*'D(Ti_Audétat23) Times'!$F89*0.000001)^2/(4*'D(Ti_Audétat23) Times'!$C89)/(365.35*24*3600)</f>
        <v>30658.253533699608</v>
      </c>
      <c r="P89" s="2">
        <f>([412]L!Q89*'D(Ti_Audétat23) Times'!$F89*0.000001)^2/(4*'D(Ti_Audétat23) Times'!$C89)/(365.35*24*3600)</f>
        <v>19088.764620434456</v>
      </c>
      <c r="Q89" s="2">
        <f>([412]L!R89*'D(Ti_Audétat23) Times'!$F89*0.000001)^2/(4*'D(Ti_Audétat23) Times'!$C89)/(365.35*24*3600)</f>
        <v>16984.077541123541</v>
      </c>
      <c r="R89" s="2">
        <f>([412]L!S89*'D(Ti_Audétat23) Times'!$F89*0.000001)^2/(4*'D(Ti_Audétat23) Times'!$C89)/(365.35*24*3600)</f>
        <v>33600.08037400616</v>
      </c>
      <c r="S89" s="2">
        <f>([412]L!T89*'D(Ti_Audétat23) Times'!$F89*0.000001)^2/(4*'D(Ti_Audétat23) Times'!$C89)/(365.35*24*3600)</f>
        <v>22830.176694711598</v>
      </c>
      <c r="T89" s="2"/>
      <c r="U89" s="2">
        <f>([412]L!V89*'D(Ti_Audétat23) Times'!$F89*0.000001)^2/(4*'D(Ti_Audétat23) Times'!$C89)/(365.35*24*3600)</f>
        <v>22069.288017215731</v>
      </c>
      <c r="V89" s="2">
        <f>([412]L!W89*'D(Ti_Audétat23) Times'!$F89*0.000001)^2/(4*'D(Ti_Audétat23) Times'!$C89)/(365.35*24*3600)</f>
        <v>20187.406530647077</v>
      </c>
      <c r="W89" s="2">
        <f>([412]L!X89*'D(Ti_Audétat23) Times'!$F89*0.000001)^2/(4*'D(Ti_Audétat23) Times'!$C89)/(365.35*24*3600)</f>
        <v>19360.292313722086</v>
      </c>
      <c r="X89" s="2"/>
      <c r="Y89" s="2">
        <f>([412]L!Z89*'D(Ti_Audétat23) Times'!$F89*0.000001)^2/(4*'D(Ti_Audétat23) Times'!$C89)/(365.35*24*3600)</f>
        <v>20755.711985534901</v>
      </c>
      <c r="Z89" s="2">
        <f>([412]L!AB89*'D(Ti_Audétat23) Times'!$F89*0.000001)^2/(4*'D(Ti_Audétat23) Times'!$C89)/(365.35*24*3600)</f>
        <v>20825.368571275238</v>
      </c>
      <c r="AA89" s="2">
        <f>([412]L!AC89*'D(Ti_Audétat23) Times'!$F89*0.000001)^2/(4*'D(Ti_Audétat23) Times'!$C89)/(365.35*24*3600)</f>
        <v>3523.4209779153603</v>
      </c>
      <c r="AB89" s="2">
        <f>([412]L!AD89*'D(Ti_Audétat23) Times'!$F89*0.000001)^2/(4*'D(Ti_Audétat23) Times'!$C89)/(365.35*24*3600)</f>
        <v>61173.468526178389</v>
      </c>
      <c r="AC89" s="2">
        <f t="shared" si="5"/>
        <v>17301.947593359877</v>
      </c>
      <c r="AD89" s="2">
        <f t="shared" si="6"/>
        <v>40348.099954903155</v>
      </c>
    </row>
    <row r="90" spans="1:30" x14ac:dyDescent="0.2">
      <c r="A90" t="str">
        <f>[412]L!A90</f>
        <v>CGI005-qtz10-CL-fit-6-offset</v>
      </c>
      <c r="B90">
        <v>750</v>
      </c>
      <c r="C90">
        <f t="shared" si="7"/>
        <v>1.1456341375347871E-23</v>
      </c>
      <c r="D90">
        <v>2100</v>
      </c>
      <c r="E90">
        <v>1024</v>
      </c>
      <c r="F90">
        <f t="shared" si="4"/>
        <v>2.05078125</v>
      </c>
      <c r="I90" s="2">
        <f>([412]L!J90*'D(Ti_Audétat23) Times'!$F90*0.000001)^2/(4*'D(Ti_Audétat23) Times'!$C90)/(365.35*24*3600)</f>
        <v>2224.0377510490375</v>
      </c>
      <c r="J90" s="2">
        <f>([412]L!K90*'D(Ti_Audétat23) Times'!$F90*0.000001)^2/(4*'D(Ti_Audétat23) Times'!$C90)/(365.35*24*3600)</f>
        <v>157.98200014526239</v>
      </c>
      <c r="K90" s="2">
        <f>([412]L!L90*'D(Ti_Audétat23) Times'!$F90*0.000001)^2/(4*'D(Ti_Audétat23) Times'!$C90)/(365.35*24*3600)</f>
        <v>10707.982826802392</v>
      </c>
      <c r="L90" s="2">
        <f>([412]L!M90*'D(Ti_Audétat23) Times'!$F90*0.000001)^2/(4*'D(Ti_Audétat23) Times'!$C90)/(365.35*24*3600)</f>
        <v>3.5075065315354976</v>
      </c>
      <c r="M90" s="2">
        <f>([412]L!N90*'D(Ti_Audétat23) Times'!$F90*0.000001)^2/(4*'D(Ti_Audétat23) Times'!$C90)/(365.35*24*3600)</f>
        <v>18801.14500578713</v>
      </c>
      <c r="N90" s="2">
        <f>([412]L!O90*'D(Ti_Audétat23) Times'!$F90*0.000001)^2/(4*'D(Ti_Audétat23) Times'!$C90)/(365.35*24*3600)</f>
        <v>1734.4073117404487</v>
      </c>
      <c r="O90" s="2">
        <f>([412]L!P90*'D(Ti_Audétat23) Times'!$F90*0.000001)^2/(4*'D(Ti_Audétat23) Times'!$C90)/(365.35*24*3600)</f>
        <v>17618.121616347315</v>
      </c>
      <c r="P90" s="2">
        <f>([412]L!Q90*'D(Ti_Audétat23) Times'!$F90*0.000001)^2/(4*'D(Ti_Audétat23) Times'!$C90)/(365.35*24*3600)</f>
        <v>12716.228964200292</v>
      </c>
      <c r="Q90" s="2">
        <f>([412]L!R90*'D(Ti_Audétat23) Times'!$F90*0.000001)^2/(4*'D(Ti_Audétat23) Times'!$C90)/(365.35*24*3600)</f>
        <v>2578.2332721775761</v>
      </c>
      <c r="R90" s="2">
        <f>([412]L!S90*'D(Ti_Audétat23) Times'!$F90*0.000001)^2/(4*'D(Ti_Audétat23) Times'!$C90)/(365.35*24*3600)</f>
        <v>25932.697510885813</v>
      </c>
      <c r="S90" s="2">
        <f>([412]L!T90*'D(Ti_Audétat23) Times'!$F90*0.000001)^2/(4*'D(Ti_Audétat23) Times'!$C90)/(365.35*24*3600)</f>
        <v>30137.741177666296</v>
      </c>
      <c r="T90" s="2"/>
      <c r="U90" s="2">
        <f>([412]L!V90*'D(Ti_Audétat23) Times'!$F90*0.000001)^2/(4*'D(Ti_Audétat23) Times'!$C90)/(365.35*24*3600)</f>
        <v>10549.254527643916</v>
      </c>
      <c r="V90" s="2">
        <f>([412]L!W90*'D(Ti_Audétat23) Times'!$F90*0.000001)^2/(4*'D(Ti_Audétat23) Times'!$C90)/(365.35*24*3600)</f>
        <v>7852.5200218158752</v>
      </c>
      <c r="W90" s="2">
        <f>([412]L!X90*'D(Ti_Audétat23) Times'!$F90*0.000001)^2/(4*'D(Ti_Audétat23) Times'!$C90)/(365.35*24*3600)</f>
        <v>10707.982826802392</v>
      </c>
      <c r="X90" s="2"/>
      <c r="Y90" s="2">
        <f>([412]L!Z90*'D(Ti_Audétat23) Times'!$F90*0.000001)^2/(4*'D(Ti_Audétat23) Times'!$C90)/(365.35*24*3600)</f>
        <v>7675.0928942814608</v>
      </c>
      <c r="Z90" s="2">
        <f>([412]L!AB90*'D(Ti_Audétat23) Times'!$F90*0.000001)^2/(4*'D(Ti_Audétat23) Times'!$C90)/(365.35*24*3600)</f>
        <v>8220.5693572761738</v>
      </c>
      <c r="AA90" s="2">
        <f>([412]L!AC90*'D(Ti_Audétat23) Times'!$F90*0.000001)^2/(4*'D(Ti_Audétat23) Times'!$C90)/(365.35*24*3600)</f>
        <v>24.003930895097547</v>
      </c>
      <c r="AB90" s="2">
        <f>([412]L!AD90*'D(Ti_Audétat23) Times'!$F90*0.000001)^2/(4*'D(Ti_Audétat23) Times'!$C90)/(365.35*24*3600)</f>
        <v>48916.748999481606</v>
      </c>
      <c r="AC90" s="2">
        <f t="shared" si="5"/>
        <v>8196.5654263810757</v>
      </c>
      <c r="AD90" s="2">
        <f t="shared" si="6"/>
        <v>40696.179642205432</v>
      </c>
    </row>
    <row r="91" spans="1:30" x14ac:dyDescent="0.2">
      <c r="A91" t="str">
        <f>[412]L!A91</f>
        <v>CGI005-qtz11-CL-fit-1-offset</v>
      </c>
      <c r="B91">
        <v>750</v>
      </c>
      <c r="C91">
        <f t="shared" si="7"/>
        <v>1.1456341375347871E-23</v>
      </c>
      <c r="D91">
        <v>2300</v>
      </c>
      <c r="E91">
        <v>1024</v>
      </c>
      <c r="F91">
        <f t="shared" si="4"/>
        <v>2.24609375</v>
      </c>
      <c r="I91" s="2">
        <f>([412]L!J91*'D(Ti_Audétat23) Times'!$F91*0.000001)^2/(4*'D(Ti_Audétat23) Times'!$C91)/(365.35*24*3600)</f>
        <v>88916.245149046939</v>
      </c>
      <c r="J91" s="2">
        <f>([412]L!K91*'D(Ti_Audétat23) Times'!$F91*0.000001)^2/(4*'D(Ti_Audétat23) Times'!$C91)/(365.35*24*3600)</f>
        <v>101103.33190438956</v>
      </c>
      <c r="K91" s="2">
        <f>([412]L!L91*'D(Ti_Audétat23) Times'!$F91*0.000001)^2/(4*'D(Ti_Audétat23) Times'!$C91)/(365.35*24*3600)</f>
        <v>108009.32012209437</v>
      </c>
      <c r="L91" s="2">
        <f>([412]L!M91*'D(Ti_Audétat23) Times'!$F91*0.000001)^2/(4*'D(Ti_Audétat23) Times'!$C91)/(365.35*24*3600)</f>
        <v>104136.18649794831</v>
      </c>
      <c r="M91" s="2">
        <f>([412]L!N91*'D(Ti_Audétat23) Times'!$F91*0.000001)^2/(4*'D(Ti_Audétat23) Times'!$C91)/(365.35*24*3600)</f>
        <v>75657.973473808495</v>
      </c>
      <c r="N91" s="2">
        <f>([412]L!O91*'D(Ti_Audétat23) Times'!$F91*0.000001)^2/(4*'D(Ti_Audétat23) Times'!$C91)/(365.35*24*3600)</f>
        <v>95672.800675446211</v>
      </c>
      <c r="O91" s="2">
        <f>([412]L!P91*'D(Ti_Audétat23) Times'!$F91*0.000001)^2/(4*'D(Ti_Audétat23) Times'!$C91)/(365.35*24*3600)</f>
        <v>78069.086568494793</v>
      </c>
      <c r="P91" s="2">
        <f>([412]L!Q91*'D(Ti_Audétat23) Times'!$F91*0.000001)^2/(4*'D(Ti_Audétat23) Times'!$C91)/(365.35*24*3600)</f>
        <v>89400.681803208776</v>
      </c>
      <c r="Q91" s="2">
        <f>([412]L!R91*'D(Ti_Audétat23) Times'!$F91*0.000001)^2/(4*'D(Ti_Audétat23) Times'!$C91)/(365.35*24*3600)</f>
        <v>85966.958190491161</v>
      </c>
      <c r="R91" s="2">
        <f>([412]L!S91*'D(Ti_Audétat23) Times'!$F91*0.000001)^2/(4*'D(Ti_Audétat23) Times'!$C91)/(365.35*24*3600)</f>
        <v>78103.678126979314</v>
      </c>
      <c r="S91" s="2">
        <f>([412]L!T91*'D(Ti_Audétat23) Times'!$F91*0.000001)^2/(4*'D(Ti_Audétat23) Times'!$C91)/(365.35*24*3600)</f>
        <v>76084.237203592958</v>
      </c>
      <c r="T91" s="2"/>
      <c r="U91" s="2">
        <f>([412]L!V91*'D(Ti_Audétat23) Times'!$F91*0.000001)^2/(4*'D(Ti_Audétat23) Times'!$C91)/(365.35*24*3600)</f>
        <v>88795.094661014649</v>
      </c>
      <c r="V91" s="2">
        <f>([412]L!W91*'D(Ti_Audétat23) Times'!$F91*0.000001)^2/(4*'D(Ti_Audétat23) Times'!$C91)/(365.35*24*3600)</f>
        <v>88846.713377713066</v>
      </c>
      <c r="W91" s="2">
        <f>([412]L!X91*'D(Ti_Audétat23) Times'!$F91*0.000001)^2/(4*'D(Ti_Audétat23) Times'!$C91)/(365.35*24*3600)</f>
        <v>88916.245149046939</v>
      </c>
      <c r="X91" s="2"/>
      <c r="Y91" s="2">
        <f>([412]L!Z91*'D(Ti_Audétat23) Times'!$F91*0.000001)^2/(4*'D(Ti_Audétat23) Times'!$C91)/(365.35*24*3600)</f>
        <v>88008.708680265074</v>
      </c>
      <c r="Z91" s="2">
        <f>([412]L!AB91*'D(Ti_Audétat23) Times'!$F91*0.000001)^2/(4*'D(Ti_Audétat23) Times'!$C91)/(365.35*24*3600)</f>
        <v>87183.234866320097</v>
      </c>
      <c r="AA91" s="2">
        <f>([412]L!AC91*'D(Ti_Audétat23) Times'!$F91*0.000001)^2/(4*'D(Ti_Audétat23) Times'!$C91)/(365.35*24*3600)</f>
        <v>67011.63570906817</v>
      </c>
      <c r="AB91" s="2">
        <f>([412]L!AD91*'D(Ti_Audétat23) Times'!$F91*0.000001)^2/(4*'D(Ti_Audétat23) Times'!$C91)/(365.35*24*3600)</f>
        <v>113350.07883878746</v>
      </c>
      <c r="AC91" s="2">
        <f t="shared" si="5"/>
        <v>20171.599157251927</v>
      </c>
      <c r="AD91" s="2">
        <f t="shared" si="6"/>
        <v>26166.843972467366</v>
      </c>
    </row>
    <row r="92" spans="1:30" x14ac:dyDescent="0.2">
      <c r="A92" t="str">
        <f>[412]L!A92</f>
        <v>CGI005-qtz11-CL-fit-2-offset</v>
      </c>
      <c r="B92">
        <v>750</v>
      </c>
      <c r="C92">
        <f t="shared" si="7"/>
        <v>1.1456341375347871E-23</v>
      </c>
      <c r="D92">
        <v>2300</v>
      </c>
      <c r="E92">
        <v>1024</v>
      </c>
      <c r="F92">
        <f t="shared" si="4"/>
        <v>2.24609375</v>
      </c>
      <c r="I92" s="2">
        <f>([412]L!J92*'D(Ti_Audétat23) Times'!$F92*0.000001)^2/(4*'D(Ti_Audétat23) Times'!$C92)/(365.35*24*3600)</f>
        <v>45386.365705618649</v>
      </c>
      <c r="J92" s="2">
        <f>([412]L!K92*'D(Ti_Audétat23) Times'!$F92*0.000001)^2/(4*'D(Ti_Audétat23) Times'!$C92)/(365.35*24*3600)</f>
        <v>93742.749425061731</v>
      </c>
      <c r="K92" s="2">
        <f>([412]L!L92*'D(Ti_Audétat23) Times'!$F92*0.000001)^2/(4*'D(Ti_Audétat23) Times'!$C92)/(365.35*24*3600)</f>
        <v>104203.45733515533</v>
      </c>
      <c r="L92" s="2">
        <f>([412]L!M92*'D(Ti_Audétat23) Times'!$F92*0.000001)^2/(4*'D(Ti_Audétat23) Times'!$C92)/(365.35*24*3600)</f>
        <v>31703.968147290088</v>
      </c>
      <c r="M92" s="2">
        <f>([412]L!N92*'D(Ti_Audétat23) Times'!$F92*0.000001)^2/(4*'D(Ti_Audétat23) Times'!$C92)/(365.35*24*3600)</f>
        <v>69315.996432222935</v>
      </c>
      <c r="N92" s="2">
        <f>([412]L!O92*'D(Ti_Audétat23) Times'!$F92*0.000001)^2/(4*'D(Ti_Audétat23) Times'!$C92)/(365.35*24*3600)</f>
        <v>74565.912543404615</v>
      </c>
      <c r="O92" s="2">
        <f>([412]L!P92*'D(Ti_Audétat23) Times'!$F92*0.000001)^2/(4*'D(Ti_Audétat23) Times'!$C92)/(365.35*24*3600)</f>
        <v>67953.187587262248</v>
      </c>
      <c r="P92" s="2">
        <f>([412]L!Q92*'D(Ti_Audétat23) Times'!$F92*0.000001)^2/(4*'D(Ti_Audétat23) Times'!$C92)/(365.35*24*3600)</f>
        <v>103315.16646749662</v>
      </c>
      <c r="Q92" s="2">
        <f>([412]L!R92*'D(Ti_Audétat23) Times'!$F92*0.000001)^2/(4*'D(Ti_Audétat23) Times'!$C92)/(365.35*24*3600)</f>
        <v>146450.54160043062</v>
      </c>
      <c r="R92" s="2">
        <f>([412]L!S92*'D(Ti_Audétat23) Times'!$F92*0.000001)^2/(4*'D(Ti_Audétat23) Times'!$C92)/(365.35*24*3600)</f>
        <v>108176.87435765183</v>
      </c>
      <c r="S92" s="2">
        <f>([412]L!T92*'D(Ti_Audétat23) Times'!$F92*0.000001)^2/(4*'D(Ti_Audétat23) Times'!$C92)/(365.35*24*3600)</f>
        <v>97151.184307559466</v>
      </c>
      <c r="T92" s="2"/>
      <c r="U92" s="2">
        <f>([412]L!V92*'D(Ti_Audétat23) Times'!$F92*0.000001)^2/(4*'D(Ti_Audétat23) Times'!$C92)/(365.35*24*3600)</f>
        <v>82403.628571467139</v>
      </c>
      <c r="V92" s="2">
        <f>([412]L!W92*'D(Ti_Audétat23) Times'!$F92*0.000001)^2/(4*'D(Ti_Audétat23) Times'!$C92)/(365.35*24*3600)</f>
        <v>82620.225923674749</v>
      </c>
      <c r="W92" s="2">
        <f>([412]L!X92*'D(Ti_Audétat23) Times'!$F92*0.000001)^2/(4*'D(Ti_Audétat23) Times'!$C92)/(365.35*24*3600)</f>
        <v>93742.749425061731</v>
      </c>
      <c r="X92" s="2"/>
      <c r="Y92" s="2">
        <f>([412]L!Z92*'D(Ti_Audétat23) Times'!$F92*0.000001)^2/(4*'D(Ti_Audétat23) Times'!$C92)/(365.35*24*3600)</f>
        <v>81769.862754921443</v>
      </c>
      <c r="Z92" s="2">
        <f>([412]L!AB92*'D(Ti_Audétat23) Times'!$F92*0.000001)^2/(4*'D(Ti_Audétat23) Times'!$C92)/(365.35*24*3600)</f>
        <v>82290.310989705555</v>
      </c>
      <c r="AA92" s="2">
        <f>([412]L!AC92*'D(Ti_Audétat23) Times'!$F92*0.000001)^2/(4*'D(Ti_Audétat23) Times'!$C92)/(365.35*24*3600)</f>
        <v>37376.838529692337</v>
      </c>
      <c r="AB92" s="2">
        <f>([412]L!AD92*'D(Ti_Audétat23) Times'!$F92*0.000001)^2/(4*'D(Ti_Audétat23) Times'!$C92)/(365.35*24*3600)</f>
        <v>151124.66113048969</v>
      </c>
      <c r="AC92" s="2">
        <f t="shared" si="5"/>
        <v>44913.472460013218</v>
      </c>
      <c r="AD92" s="2">
        <f t="shared" si="6"/>
        <v>68834.35014078414</v>
      </c>
    </row>
    <row r="93" spans="1:30" x14ac:dyDescent="0.2">
      <c r="A93" t="str">
        <f>[412]L!A93</f>
        <v>CGI005-qtz11-CL-fit-3</v>
      </c>
      <c r="B93">
        <v>750</v>
      </c>
      <c r="C93">
        <f t="shared" si="7"/>
        <v>1.1456341375347871E-23</v>
      </c>
      <c r="D93">
        <v>2300</v>
      </c>
      <c r="E93">
        <v>1024</v>
      </c>
      <c r="F93">
        <f t="shared" si="4"/>
        <v>2.24609375</v>
      </c>
      <c r="I93" s="2">
        <f>([412]L!J93*'D(Ti_Audétat23) Times'!$F93*0.000001)^2/(4*'D(Ti_Audétat23) Times'!$C93)/(365.35*24*3600)</f>
        <v>9910.4597892676338</v>
      </c>
      <c r="J93" s="2">
        <f>([412]L!K93*'D(Ti_Audétat23) Times'!$F93*0.000001)^2/(4*'D(Ti_Audétat23) Times'!$C93)/(365.35*24*3600)</f>
        <v>10107.180412408661</v>
      </c>
      <c r="K93" s="2">
        <f>([412]L!L93*'D(Ti_Audétat23) Times'!$F93*0.000001)^2/(4*'D(Ti_Audétat23) Times'!$C93)/(365.35*24*3600)</f>
        <v>11706.814876328022</v>
      </c>
      <c r="L93" s="2">
        <f>([412]L!M93*'D(Ti_Audétat23) Times'!$F93*0.000001)^2/(4*'D(Ti_Audétat23) Times'!$C93)/(365.35*24*3600)</f>
        <v>5714.0458240031567</v>
      </c>
      <c r="M93" s="2">
        <f>([412]L!N93*'D(Ti_Audétat23) Times'!$F93*0.000001)^2/(4*'D(Ti_Audétat23) Times'!$C93)/(365.35*24*3600)</f>
        <v>7974.3465563095115</v>
      </c>
      <c r="N93" s="2">
        <f>([412]L!O93*'D(Ti_Audétat23) Times'!$F93*0.000001)^2/(4*'D(Ti_Audétat23) Times'!$C93)/(365.35*24*3600)</f>
        <v>10967.614590682162</v>
      </c>
      <c r="O93" s="2">
        <f>([412]L!P93*'D(Ti_Audétat23) Times'!$F93*0.000001)^2/(4*'D(Ti_Audétat23) Times'!$C93)/(365.35*24*3600)</f>
        <v>11127.140330855331</v>
      </c>
      <c r="P93" s="2">
        <f>([412]L!Q93*'D(Ti_Audétat23) Times'!$F93*0.000001)^2/(4*'D(Ti_Audétat23) Times'!$C93)/(365.35*24*3600)</f>
        <v>11281.560159593648</v>
      </c>
      <c r="Q93" s="2">
        <f>([412]L!R93*'D(Ti_Audétat23) Times'!$F93*0.000001)^2/(4*'D(Ti_Audétat23) Times'!$C93)/(365.35*24*3600)</f>
        <v>13990.85020204787</v>
      </c>
      <c r="R93" s="2">
        <f>([412]L!S93*'D(Ti_Audétat23) Times'!$F93*0.000001)^2/(4*'D(Ti_Audétat23) Times'!$C93)/(365.35*24*3600)</f>
        <v>8173.666219346328</v>
      </c>
      <c r="S93" s="2">
        <f>([412]L!T93*'D(Ti_Audétat23) Times'!$F93*0.000001)^2/(4*'D(Ti_Audétat23) Times'!$C93)/(365.35*24*3600)</f>
        <v>11613.599860710832</v>
      </c>
      <c r="T93" s="2"/>
      <c r="U93" s="2">
        <f>([412]L!V93*'D(Ti_Audétat23) Times'!$F93*0.000001)^2/(4*'D(Ti_Audétat23) Times'!$C93)/(365.35*24*3600)</f>
        <v>10125.633152303957</v>
      </c>
      <c r="V93" s="2">
        <f>([412]L!W93*'D(Ti_Audétat23) Times'!$F93*0.000001)^2/(4*'D(Ti_Audétat23) Times'!$C93)/(365.35*24*3600)</f>
        <v>10110.454317820422</v>
      </c>
      <c r="W93" s="2">
        <f>([412]L!X93*'D(Ti_Audétat23) Times'!$F93*0.000001)^2/(4*'D(Ti_Audétat23) Times'!$C93)/(365.35*24*3600)</f>
        <v>10967.614590682162</v>
      </c>
      <c r="X93" s="2"/>
      <c r="Y93" s="2">
        <f>([412]L!Z93*'D(Ti_Audétat23) Times'!$F93*0.000001)^2/(4*'D(Ti_Audétat23) Times'!$C93)/(365.35*24*3600)</f>
        <v>9866.739036806237</v>
      </c>
      <c r="Z93" s="2">
        <f>([412]L!AB93*'D(Ti_Audétat23) Times'!$F93*0.000001)^2/(4*'D(Ti_Audétat23) Times'!$C93)/(365.35*24*3600)</f>
        <v>9920.7436637955871</v>
      </c>
      <c r="AA93" s="2">
        <f>([412]L!AC93*'D(Ti_Audétat23) Times'!$F93*0.000001)^2/(4*'D(Ti_Audétat23) Times'!$C93)/(365.35*24*3600)</f>
        <v>6314.229709447417</v>
      </c>
      <c r="AB93" s="2">
        <f>([412]L!AD93*'D(Ti_Audétat23) Times'!$F93*0.000001)^2/(4*'D(Ti_Audétat23) Times'!$C93)/(365.35*24*3600)</f>
        <v>14752.478182612282</v>
      </c>
      <c r="AC93" s="2">
        <f t="shared" si="5"/>
        <v>3606.51395434817</v>
      </c>
      <c r="AD93" s="2">
        <f t="shared" si="6"/>
        <v>4831.7345188166946</v>
      </c>
    </row>
    <row r="94" spans="1:30" x14ac:dyDescent="0.2">
      <c r="A94" t="str">
        <f>[412]L!A94</f>
        <v>CGI005-qtz11-CL-fit-4-offset</v>
      </c>
      <c r="B94">
        <v>750</v>
      </c>
      <c r="C94">
        <f t="shared" si="7"/>
        <v>1.1456341375347871E-23</v>
      </c>
      <c r="D94">
        <v>2300</v>
      </c>
      <c r="E94">
        <v>1024</v>
      </c>
      <c r="F94">
        <f t="shared" si="4"/>
        <v>2.24609375</v>
      </c>
      <c r="I94" s="2">
        <f>([412]L!J94*'D(Ti_Audétat23) Times'!$F94*0.000001)^2/(4*'D(Ti_Audétat23) Times'!$C94)/(365.35*24*3600)</f>
        <v>8146.5956442058741</v>
      </c>
      <c r="J94" s="2">
        <f>([412]L!K94*'D(Ti_Audétat23) Times'!$F94*0.000001)^2/(4*'D(Ti_Audétat23) Times'!$C94)/(365.35*24*3600)</f>
        <v>1808.967798499549</v>
      </c>
      <c r="K94" s="2">
        <f>([412]L!L94*'D(Ti_Audétat23) Times'!$F94*0.000001)^2/(4*'D(Ti_Audétat23) Times'!$C94)/(365.35*24*3600)</f>
        <v>6794.7613365849593</v>
      </c>
      <c r="L94" s="2">
        <f>([412]L!M94*'D(Ti_Audétat23) Times'!$F94*0.000001)^2/(4*'D(Ti_Audétat23) Times'!$C94)/(365.35*24*3600)</f>
        <v>77.302171600590142</v>
      </c>
      <c r="M94" s="2">
        <f>([412]L!N94*'D(Ti_Audétat23) Times'!$F94*0.000001)^2/(4*'D(Ti_Audétat23) Times'!$C94)/(365.35*24*3600)</f>
        <v>5198.8708906401762</v>
      </c>
      <c r="N94" s="2">
        <f>([412]L!O94*'D(Ti_Audétat23) Times'!$F94*0.000001)^2/(4*'D(Ti_Audétat23) Times'!$C94)/(365.35*24*3600)</f>
        <v>5242.445978937425</v>
      </c>
      <c r="O94" s="2">
        <f>([412]L!P94*'D(Ti_Audétat23) Times'!$F94*0.000001)^2/(4*'D(Ti_Audétat23) Times'!$C94)/(365.35*24*3600)</f>
        <v>2549.6091329360729</v>
      </c>
      <c r="P94" s="2">
        <f>([412]L!Q94*'D(Ti_Audétat23) Times'!$F94*0.000001)^2/(4*'D(Ti_Audétat23) Times'!$C94)/(365.35*24*3600)</f>
        <v>4354.3368165148058</v>
      </c>
      <c r="Q94" s="2">
        <f>([412]L!R94*'D(Ti_Audétat23) Times'!$F94*0.000001)^2/(4*'D(Ti_Audétat23) Times'!$C94)/(365.35*24*3600)</f>
        <v>3596.6772404457793</v>
      </c>
      <c r="R94" s="2">
        <f>([412]L!S94*'D(Ti_Audétat23) Times'!$F94*0.000001)^2/(4*'D(Ti_Audétat23) Times'!$C94)/(365.35*24*3600)</f>
        <v>5221.6138392299808</v>
      </c>
      <c r="S94" s="2">
        <f>([412]L!T94*'D(Ti_Audétat23) Times'!$F94*0.000001)^2/(4*'D(Ti_Audétat23) Times'!$C94)/(365.35*24*3600)</f>
        <v>3339.2060414799334</v>
      </c>
      <c r="T94" s="2"/>
      <c r="U94" s="2">
        <f>([412]L!V94*'D(Ti_Audétat23) Times'!$F94*0.000001)^2/(4*'D(Ti_Audétat23) Times'!$C94)/(365.35*24*3600)</f>
        <v>5089.4299007510499</v>
      </c>
      <c r="V94" s="2">
        <f>([412]L!W94*'D(Ti_Audétat23) Times'!$F94*0.000001)^2/(4*'D(Ti_Audétat23) Times'!$C94)/(365.35*24*3600)</f>
        <v>3765.7285251471631</v>
      </c>
      <c r="W94" s="2">
        <f>([412]L!X94*'D(Ti_Audétat23) Times'!$F94*0.000001)^2/(4*'D(Ti_Audétat23) Times'!$C94)/(365.35*24*3600)</f>
        <v>4354.3368165148058</v>
      </c>
      <c r="X94" s="2"/>
      <c r="Y94" s="2">
        <f>([412]L!Z94*'D(Ti_Audétat23) Times'!$F94*0.000001)^2/(4*'D(Ti_Audétat23) Times'!$C94)/(365.35*24*3600)</f>
        <v>4612.3662003059007</v>
      </c>
      <c r="Z94" s="2">
        <f>([412]L!AB94*'D(Ti_Audétat23) Times'!$F94*0.000001)^2/(4*'D(Ti_Audétat23) Times'!$C94)/(365.35*24*3600)</f>
        <v>4371.724860753573</v>
      </c>
      <c r="AA94" s="2">
        <f>([412]L!AC94*'D(Ti_Audétat23) Times'!$F94*0.000001)^2/(4*'D(Ti_Audétat23) Times'!$C94)/(365.35*24*3600)</f>
        <v>122.31606221908793</v>
      </c>
      <c r="AB94" s="2">
        <f>([412]L!AD94*'D(Ti_Audétat23) Times'!$F94*0.000001)^2/(4*'D(Ti_Audétat23) Times'!$C94)/(365.35*24*3600)</f>
        <v>17101.588392370457</v>
      </c>
      <c r="AC94" s="2">
        <f t="shared" si="5"/>
        <v>4249.408798534485</v>
      </c>
      <c r="AD94" s="2">
        <f t="shared" si="6"/>
        <v>12729.863531616884</v>
      </c>
    </row>
    <row r="95" spans="1:30" x14ac:dyDescent="0.2">
      <c r="A95" t="str">
        <f>[412]L!A95</f>
        <v>CGI005-qtz12-CL-fit-1-offset</v>
      </c>
      <c r="B95">
        <v>750</v>
      </c>
      <c r="C95">
        <f t="shared" si="7"/>
        <v>1.1456341375347871E-23</v>
      </c>
      <c r="D95">
        <v>2700</v>
      </c>
      <c r="E95">
        <v>1024</v>
      </c>
      <c r="F95">
        <f t="shared" si="4"/>
        <v>2.63671875</v>
      </c>
      <c r="I95" s="2">
        <f>([412]L!J95*'D(Ti_Audétat23) Times'!$F95*0.000001)^2/(4*'D(Ti_Audétat23) Times'!$C95)/(365.35*24*3600)</f>
        <v>109316.99760013503</v>
      </c>
      <c r="J95" s="2">
        <f>([412]L!K95*'D(Ti_Audétat23) Times'!$F95*0.000001)^2/(4*'D(Ti_Audétat23) Times'!$C95)/(365.35*24*3600)</f>
        <v>164815.6210084254</v>
      </c>
      <c r="K95" s="2">
        <f>([412]L!L95*'D(Ti_Audétat23) Times'!$F95*0.000001)^2/(4*'D(Ti_Audétat23) Times'!$C95)/(365.35*24*3600)</f>
        <v>22163.364380006184</v>
      </c>
      <c r="L95" s="2">
        <f>([412]L!M95*'D(Ti_Audétat23) Times'!$F95*0.000001)^2/(4*'D(Ti_Audétat23) Times'!$C95)/(365.35*24*3600)</f>
        <v>49427.284211544713</v>
      </c>
      <c r="M95" s="2">
        <f>([412]L!N95*'D(Ti_Audétat23) Times'!$F95*0.000001)^2/(4*'D(Ti_Audétat23) Times'!$C95)/(365.35*24*3600)</f>
        <v>94830.605618185262</v>
      </c>
      <c r="N95" s="2">
        <f>([412]L!O95*'D(Ti_Audétat23) Times'!$F95*0.000001)^2/(4*'D(Ti_Audétat23) Times'!$C95)/(365.35*24*3600)</f>
        <v>80732.106767921257</v>
      </c>
      <c r="O95" s="2">
        <f>([412]L!P95*'D(Ti_Audétat23) Times'!$F95*0.000001)^2/(4*'D(Ti_Audétat23) Times'!$C95)/(365.35*24*3600)</f>
        <v>17839.540967789533</v>
      </c>
      <c r="P95" s="2">
        <f>([412]L!Q95*'D(Ti_Audétat23) Times'!$F95*0.000001)^2/(4*'D(Ti_Audétat23) Times'!$C95)/(365.35*24*3600)</f>
        <v>14111.970879474686</v>
      </c>
      <c r="Q95" s="2">
        <f>([412]L!R95*'D(Ti_Audétat23) Times'!$F95*0.000001)^2/(4*'D(Ti_Audétat23) Times'!$C95)/(365.35*24*3600)</f>
        <v>79116.82925355823</v>
      </c>
      <c r="R95" s="2">
        <f>([412]L!S95*'D(Ti_Audétat23) Times'!$F95*0.000001)^2/(4*'D(Ti_Audétat23) Times'!$C95)/(365.35*24*3600)</f>
        <v>49971.988888652319</v>
      </c>
      <c r="S95" s="2">
        <f>([412]L!T95*'D(Ti_Audétat23) Times'!$F95*0.000001)^2/(4*'D(Ti_Audétat23) Times'!$C95)/(365.35*24*3600)</f>
        <v>60449.932386452514</v>
      </c>
      <c r="T95" s="2"/>
      <c r="U95" s="2">
        <f>([412]L!V95*'D(Ti_Audétat23) Times'!$F95*0.000001)^2/(4*'D(Ti_Audétat23) Times'!$C95)/(365.35*24*3600)</f>
        <v>68846.40342370866</v>
      </c>
      <c r="V95" s="2">
        <f>([412]L!W95*'D(Ti_Audétat23) Times'!$F95*0.000001)^2/(4*'D(Ti_Audétat23) Times'!$C95)/(365.35*24*3600)</f>
        <v>60378.654388036863</v>
      </c>
      <c r="W95" s="2">
        <f>([412]L!X95*'D(Ti_Audétat23) Times'!$F95*0.000001)^2/(4*'D(Ti_Audétat23) Times'!$C95)/(365.35*24*3600)</f>
        <v>60449.932386452514</v>
      </c>
      <c r="X95" s="2"/>
      <c r="Y95" s="2">
        <f>([412]L!Z95*'D(Ti_Audétat23) Times'!$F95*0.000001)^2/(4*'D(Ti_Audétat23) Times'!$C95)/(365.35*24*3600)</f>
        <v>69645.44468401029</v>
      </c>
      <c r="Z95" s="2">
        <f>([412]L!AB95*'D(Ti_Audétat23) Times'!$F95*0.000001)^2/(4*'D(Ti_Audétat23) Times'!$C95)/(365.35*24*3600)</f>
        <v>69974.56596206846</v>
      </c>
      <c r="AA95" s="2">
        <f>([412]L!AC95*'D(Ti_Audétat23) Times'!$F95*0.000001)^2/(4*'D(Ti_Audétat23) Times'!$C95)/(365.35*24*3600)</f>
        <v>7718.4700328891249</v>
      </c>
      <c r="AB95" s="2">
        <f>([412]L!AD95*'D(Ti_Audétat23) Times'!$F95*0.000001)^2/(4*'D(Ti_Audétat23) Times'!$C95)/(365.35*24*3600)</f>
        <v>195573.93734417856</v>
      </c>
      <c r="AC95" s="2">
        <f t="shared" si="5"/>
        <v>62256.095929179333</v>
      </c>
      <c r="AD95" s="2">
        <f t="shared" si="6"/>
        <v>125599.3713821101</v>
      </c>
    </row>
    <row r="96" spans="1:30" x14ac:dyDescent="0.2">
      <c r="A96" t="str">
        <f>[412]L!A96</f>
        <v>CGI005-qtz12-CL-fit-2-offset</v>
      </c>
      <c r="B96">
        <v>750</v>
      </c>
      <c r="C96">
        <f t="shared" si="7"/>
        <v>1.1456341375347871E-23</v>
      </c>
      <c r="D96">
        <v>2700</v>
      </c>
      <c r="E96">
        <v>1024</v>
      </c>
      <c r="F96">
        <f t="shared" si="4"/>
        <v>2.63671875</v>
      </c>
      <c r="I96" s="2">
        <f>([412]L!J96*'D(Ti_Audétat23) Times'!$F96*0.000001)^2/(4*'D(Ti_Audétat23) Times'!$C96)/(365.35*24*3600)</f>
        <v>83794.058857590135</v>
      </c>
      <c r="J96" s="2">
        <f>([412]L!K96*'D(Ti_Audétat23) Times'!$F96*0.000001)^2/(4*'D(Ti_Audétat23) Times'!$C96)/(365.35*24*3600)</f>
        <v>70024.870989807678</v>
      </c>
      <c r="K96" s="2">
        <f>([412]L!L96*'D(Ti_Audétat23) Times'!$F96*0.000001)^2/(4*'D(Ti_Audétat23) Times'!$C96)/(365.35*24*3600)</f>
        <v>151636.13557012749</v>
      </c>
      <c r="L96" s="2">
        <f>([412]L!M96*'D(Ti_Audétat23) Times'!$F96*0.000001)^2/(4*'D(Ti_Audétat23) Times'!$C96)/(365.35*24*3600)</f>
        <v>314115.76138670411</v>
      </c>
      <c r="M96" s="2">
        <f>([412]L!N96*'D(Ti_Audétat23) Times'!$F96*0.000001)^2/(4*'D(Ti_Audétat23) Times'!$C96)/(365.35*24*3600)</f>
        <v>89407.576570765843</v>
      </c>
      <c r="N96" s="2">
        <f>([412]L!O96*'D(Ti_Audétat23) Times'!$F96*0.000001)^2/(4*'D(Ti_Audétat23) Times'!$C96)/(365.35*24*3600)</f>
        <v>176143.78615413728</v>
      </c>
      <c r="O96" s="2">
        <f>([412]L!P96*'D(Ti_Audétat23) Times'!$F96*0.000001)^2/(4*'D(Ti_Audétat23) Times'!$C96)/(365.35*24*3600)</f>
        <v>68564.240189386197</v>
      </c>
      <c r="P96" s="2">
        <f>([412]L!Q96*'D(Ti_Audétat23) Times'!$F96*0.000001)^2/(4*'D(Ti_Audétat23) Times'!$C96)/(365.35*24*3600)</f>
        <v>79754.603732989708</v>
      </c>
      <c r="Q96" s="2">
        <f>([412]L!R96*'D(Ti_Audétat23) Times'!$F96*0.000001)^2/(4*'D(Ti_Audétat23) Times'!$C96)/(365.35*24*3600)</f>
        <v>111225.61477011431</v>
      </c>
      <c r="R96" s="2">
        <f>([412]L!S96*'D(Ti_Audétat23) Times'!$F96*0.000001)^2/(4*'D(Ti_Audétat23) Times'!$C96)/(365.35*24*3600)</f>
        <v>76560.640655512878</v>
      </c>
      <c r="S96" s="2">
        <f>([412]L!T96*'D(Ti_Audétat23) Times'!$F96*0.000001)^2/(4*'D(Ti_Audétat23) Times'!$C96)/(365.35*24*3600)</f>
        <v>90535.511535815705</v>
      </c>
      <c r="T96" s="2"/>
      <c r="U96" s="2">
        <f>([412]L!V96*'D(Ti_Audétat23) Times'!$F96*0.000001)^2/(4*'D(Ti_Audétat23) Times'!$C96)/(365.35*24*3600)</f>
        <v>104324.06698440357</v>
      </c>
      <c r="V96" s="2">
        <f>([412]L!W96*'D(Ti_Audétat23) Times'!$F96*0.000001)^2/(4*'D(Ti_Audétat23) Times'!$C96)/(365.35*24*3600)</f>
        <v>111799.87341212193</v>
      </c>
      <c r="W96" s="2">
        <f>([412]L!X96*'D(Ti_Audétat23) Times'!$F96*0.000001)^2/(4*'D(Ti_Audétat23) Times'!$C96)/(365.35*24*3600)</f>
        <v>89407.576570765843</v>
      </c>
      <c r="X96" s="2"/>
      <c r="Y96" s="2">
        <f>([412]L!Z96*'D(Ti_Audétat23) Times'!$F96*0.000001)^2/(4*'D(Ti_Audétat23) Times'!$C96)/(365.35*24*3600)</f>
        <v>100570.5542179824</v>
      </c>
      <c r="Z96" s="2">
        <f>([412]L!AB96*'D(Ti_Audétat23) Times'!$F96*0.000001)^2/(4*'D(Ti_Audétat23) Times'!$C96)/(365.35*24*3600)</f>
        <v>109406.77082529821</v>
      </c>
      <c r="AA96" s="2">
        <f>([412]L!AC96*'D(Ti_Audétat23) Times'!$F96*0.000001)^2/(4*'D(Ti_Audétat23) Times'!$C96)/(365.35*24*3600)</f>
        <v>41376.276727707402</v>
      </c>
      <c r="AB96" s="2">
        <f>([412]L!AD96*'D(Ti_Audétat23) Times'!$F96*0.000001)^2/(4*'D(Ti_Audétat23) Times'!$C96)/(365.35*24*3600)</f>
        <v>325265.52777393552</v>
      </c>
      <c r="AC96" s="2">
        <f t="shared" si="5"/>
        <v>68030.49409759081</v>
      </c>
      <c r="AD96" s="2">
        <f t="shared" si="6"/>
        <v>215858.75694863731</v>
      </c>
    </row>
    <row r="97" spans="1:30" x14ac:dyDescent="0.2">
      <c r="A97" t="str">
        <f>[412]L!A97</f>
        <v>CGI005-qtz12-CL-fit-3</v>
      </c>
      <c r="B97">
        <v>750</v>
      </c>
      <c r="C97">
        <f t="shared" si="7"/>
        <v>1.1456341375347871E-23</v>
      </c>
      <c r="D97">
        <v>2700</v>
      </c>
      <c r="E97">
        <v>1024</v>
      </c>
      <c r="F97">
        <f t="shared" si="4"/>
        <v>2.63671875</v>
      </c>
      <c r="I97" s="2">
        <f>([412]L!J97*'D(Ti_Audétat23) Times'!$F97*0.000001)^2/(4*'D(Ti_Audétat23) Times'!$C97)/(365.35*24*3600)</f>
        <v>97915.947828197124</v>
      </c>
      <c r="J97" s="2">
        <f>([412]L!K97*'D(Ti_Audétat23) Times'!$F97*0.000001)^2/(4*'D(Ti_Audétat23) Times'!$C97)/(365.35*24*3600)</f>
        <v>69415.751934748056</v>
      </c>
      <c r="K97" s="2">
        <f>([412]L!L97*'D(Ti_Audétat23) Times'!$F97*0.000001)^2/(4*'D(Ti_Audétat23) Times'!$C97)/(365.35*24*3600)</f>
        <v>112817.83986863497</v>
      </c>
      <c r="L97" s="2">
        <f>([412]L!M97*'D(Ti_Audétat23) Times'!$F97*0.000001)^2/(4*'D(Ti_Audétat23) Times'!$C97)/(365.35*24*3600)</f>
        <v>108527.64800409316</v>
      </c>
      <c r="M97" s="2">
        <f>([412]L!N97*'D(Ti_Audétat23) Times'!$F97*0.000001)^2/(4*'D(Ti_Audétat23) Times'!$C97)/(365.35*24*3600)</f>
        <v>150681.22617905168</v>
      </c>
      <c r="N97" s="2">
        <f>([412]L!O97*'D(Ti_Audétat23) Times'!$F97*0.000001)^2/(4*'D(Ti_Audétat23) Times'!$C97)/(365.35*24*3600)</f>
        <v>35562.442147437272</v>
      </c>
      <c r="O97" s="2">
        <f>([412]L!P97*'D(Ti_Audétat23) Times'!$F97*0.000001)^2/(4*'D(Ti_Audétat23) Times'!$C97)/(365.35*24*3600)</f>
        <v>34944.175432774093</v>
      </c>
      <c r="P97" s="2">
        <f>([412]L!Q97*'D(Ti_Audétat23) Times'!$F97*0.000001)^2/(4*'D(Ti_Audétat23) Times'!$C97)/(365.35*24*3600)</f>
        <v>25998.853864523797</v>
      </c>
      <c r="Q97" s="2">
        <f>([412]L!R97*'D(Ti_Audétat23) Times'!$F97*0.000001)^2/(4*'D(Ti_Audétat23) Times'!$C97)/(365.35*24*3600)</f>
        <v>39442.179828449902</v>
      </c>
      <c r="R97" s="2">
        <f>([412]L!S97*'D(Ti_Audétat23) Times'!$F97*0.000001)^2/(4*'D(Ti_Audétat23) Times'!$C97)/(365.35*24*3600)</f>
        <v>146182.07062447353</v>
      </c>
      <c r="S97" s="2">
        <f>([412]L!T97*'D(Ti_Audétat23) Times'!$F97*0.000001)^2/(4*'D(Ti_Audétat23) Times'!$C97)/(365.35*24*3600)</f>
        <v>103831.49297781975</v>
      </c>
      <c r="T97" s="2"/>
      <c r="U97" s="2">
        <f>([412]L!V97*'D(Ti_Audétat23) Times'!$F97*0.000001)^2/(4*'D(Ti_Audétat23) Times'!$C97)/(365.35*24*3600)</f>
        <v>86161.550506913976</v>
      </c>
      <c r="V97" s="2">
        <f>([412]L!W97*'D(Ti_Audétat23) Times'!$F97*0.000001)^2/(4*'D(Ti_Audétat23) Times'!$C97)/(365.35*24*3600)</f>
        <v>77881.697094249437</v>
      </c>
      <c r="W97" s="2">
        <f>([412]L!X97*'D(Ti_Audétat23) Times'!$F97*0.000001)^2/(4*'D(Ti_Audétat23) Times'!$C97)/(365.35*24*3600)</f>
        <v>97915.947828197124</v>
      </c>
      <c r="X97" s="2"/>
      <c r="Y97" s="2">
        <f>([412]L!Z97*'D(Ti_Audétat23) Times'!$F97*0.000001)^2/(4*'D(Ti_Audétat23) Times'!$C97)/(365.35*24*3600)</f>
        <v>83725.459107868926</v>
      </c>
      <c r="Z97" s="2">
        <f>([412]L!AB97*'D(Ti_Audétat23) Times'!$F97*0.000001)^2/(4*'D(Ti_Audétat23) Times'!$C97)/(365.35*24*3600)</f>
        <v>90479.61446090354</v>
      </c>
      <c r="AA97" s="2">
        <f>([412]L!AC97*'D(Ti_Audétat23) Times'!$F97*0.000001)^2/(4*'D(Ti_Audétat23) Times'!$C97)/(365.35*24*3600)</f>
        <v>14511.1070780923</v>
      </c>
      <c r="AB97" s="2">
        <f>([412]L!AD97*'D(Ti_Audétat23) Times'!$F97*0.000001)^2/(4*'D(Ti_Audétat23) Times'!$C97)/(365.35*24*3600)</f>
        <v>264872.42889608775</v>
      </c>
      <c r="AC97" s="2">
        <f t="shared" si="5"/>
        <v>75968.507382811236</v>
      </c>
      <c r="AD97" s="2">
        <f t="shared" si="6"/>
        <v>174392.81443518421</v>
      </c>
    </row>
    <row r="98" spans="1:30" x14ac:dyDescent="0.2">
      <c r="A98" t="str">
        <f>[412]L!A98</f>
        <v>CGI005-qtz12-CL-fit-4-offset</v>
      </c>
      <c r="B98">
        <v>750</v>
      </c>
      <c r="C98">
        <f t="shared" si="7"/>
        <v>1.1456341375347871E-23</v>
      </c>
      <c r="D98">
        <v>2700</v>
      </c>
      <c r="E98">
        <v>1024</v>
      </c>
      <c r="F98">
        <f t="shared" si="4"/>
        <v>2.63671875</v>
      </c>
      <c r="I98" s="2">
        <f>([412]L!J98*'D(Ti_Audétat23) Times'!$F98*0.000001)^2/(4*'D(Ti_Audétat23) Times'!$C98)/(365.35*24*3600)</f>
        <v>7262.5453309419336</v>
      </c>
      <c r="J98" s="2">
        <f>([412]L!K98*'D(Ti_Audétat23) Times'!$F98*0.000001)^2/(4*'D(Ti_Audétat23) Times'!$C98)/(365.35*24*3600)</f>
        <v>7391.6415864147839</v>
      </c>
      <c r="K98" s="2">
        <f>([412]L!L98*'D(Ti_Audétat23) Times'!$F98*0.000001)^2/(4*'D(Ti_Audétat23) Times'!$C98)/(365.35*24*3600)</f>
        <v>9319.7052646229731</v>
      </c>
      <c r="L98" s="2">
        <f>([412]L!M98*'D(Ti_Audétat23) Times'!$F98*0.000001)^2/(4*'D(Ti_Audétat23) Times'!$C98)/(365.35*24*3600)</f>
        <v>8838.2120258547802</v>
      </c>
      <c r="M98" s="2">
        <f>([412]L!N98*'D(Ti_Audétat23) Times'!$F98*0.000001)^2/(4*'D(Ti_Audétat23) Times'!$C98)/(365.35*24*3600)</f>
        <v>12030.000042061149</v>
      </c>
      <c r="N98" s="2">
        <f>([412]L!O98*'D(Ti_Audétat23) Times'!$F98*0.000001)^2/(4*'D(Ti_Audétat23) Times'!$C98)/(365.35*24*3600)</f>
        <v>11757.71555801362</v>
      </c>
      <c r="O98" s="2">
        <f>([412]L!P98*'D(Ti_Audétat23) Times'!$F98*0.000001)^2/(4*'D(Ti_Audétat23) Times'!$C98)/(365.35*24*3600)</f>
        <v>8584.1939159871054</v>
      </c>
      <c r="P98" s="2">
        <f>([412]L!Q98*'D(Ti_Audétat23) Times'!$F98*0.000001)^2/(4*'D(Ti_Audétat23) Times'!$C98)/(365.35*24*3600)</f>
        <v>5938.1485896296954</v>
      </c>
      <c r="Q98" s="2">
        <f>([412]L!R98*'D(Ti_Audétat23) Times'!$F98*0.000001)^2/(4*'D(Ti_Audétat23) Times'!$C98)/(365.35*24*3600)</f>
        <v>8018.9885142138592</v>
      </c>
      <c r="R98" s="2">
        <f>([412]L!S98*'D(Ti_Audétat23) Times'!$F98*0.000001)^2/(4*'D(Ti_Audétat23) Times'!$C98)/(365.35*24*3600)</f>
        <v>10490.134511976354</v>
      </c>
      <c r="S98" s="2">
        <f>([412]L!T98*'D(Ti_Audétat23) Times'!$F98*0.000001)^2/(4*'D(Ti_Audétat23) Times'!$C98)/(365.35*24*3600)</f>
        <v>11870.922417317977</v>
      </c>
      <c r="T98" s="2"/>
      <c r="U98" s="2">
        <f>([412]L!V98*'D(Ti_Audétat23) Times'!$F98*0.000001)^2/(4*'D(Ti_Audétat23) Times'!$C98)/(365.35*24*3600)</f>
        <v>10705.814555452962</v>
      </c>
      <c r="V98" s="2">
        <f>([412]L!W98*'D(Ti_Audétat23) Times'!$F98*0.000001)^2/(4*'D(Ti_Audétat23) Times'!$C98)/(365.35*24*3600)</f>
        <v>9120.1493385570011</v>
      </c>
      <c r="W98" s="2">
        <f>([412]L!X98*'D(Ti_Audétat23) Times'!$F98*0.000001)^2/(4*'D(Ti_Audétat23) Times'!$C98)/(365.35*24*3600)</f>
        <v>8838.2120258547802</v>
      </c>
      <c r="X98" s="2"/>
      <c r="Y98" s="2">
        <f>([412]L!Z98*'D(Ti_Audétat23) Times'!$F98*0.000001)^2/(4*'D(Ti_Audétat23) Times'!$C98)/(365.35*24*3600)</f>
        <v>10067.11435249512</v>
      </c>
      <c r="Z98" s="2">
        <f>([412]L!AB98*'D(Ti_Audétat23) Times'!$F98*0.000001)^2/(4*'D(Ti_Audétat23) Times'!$C98)/(365.35*24*3600)</f>
        <v>9804.1520447347939</v>
      </c>
      <c r="AA98" s="2">
        <f>([412]L!AC98*'D(Ti_Audétat23) Times'!$F98*0.000001)^2/(4*'D(Ti_Audétat23) Times'!$C98)/(365.35*24*3600)</f>
        <v>636.77083623896135</v>
      </c>
      <c r="AB98" s="2">
        <f>([412]L!AD98*'D(Ti_Audétat23) Times'!$F98*0.000001)^2/(4*'D(Ti_Audétat23) Times'!$C98)/(365.35*24*3600)</f>
        <v>20273.426341437058</v>
      </c>
      <c r="AC98" s="2">
        <f t="shared" si="5"/>
        <v>9167.3812084958317</v>
      </c>
      <c r="AD98" s="2">
        <f t="shared" si="6"/>
        <v>10469.274296702264</v>
      </c>
    </row>
    <row r="99" spans="1:30" x14ac:dyDescent="0.2">
      <c r="A99" t="str">
        <f>[412]L!A99</f>
        <v>CGI008-qtz01-CL-fit-1-offset</v>
      </c>
      <c r="B99">
        <v>750</v>
      </c>
      <c r="C99">
        <f t="shared" si="7"/>
        <v>1.1456341375347871E-23</v>
      </c>
      <c r="D99">
        <v>1500</v>
      </c>
      <c r="E99">
        <v>1024</v>
      </c>
      <c r="F99">
        <f t="shared" si="4"/>
        <v>1.46484375</v>
      </c>
      <c r="I99" s="2">
        <f>([412]L!J99*'D(Ti_Audétat23) Times'!$F99*0.000001)^2/(4*'D(Ti_Audétat23) Times'!$C99)/(365.35*24*3600)</f>
        <v>14628.479476406643</v>
      </c>
      <c r="J99" s="2">
        <f>([412]L!K99*'D(Ti_Audétat23) Times'!$F99*0.000001)^2/(4*'D(Ti_Audétat23) Times'!$C99)/(365.35*24*3600)</f>
        <v>14012.498192164268</v>
      </c>
      <c r="K99" s="2">
        <f>([412]L!L99*'D(Ti_Audétat23) Times'!$F99*0.000001)^2/(4*'D(Ti_Audétat23) Times'!$C99)/(365.35*24*3600)</f>
        <v>3798.6816827496418</v>
      </c>
      <c r="L99" s="2">
        <f>([412]L!M99*'D(Ti_Audétat23) Times'!$F99*0.000001)^2/(4*'D(Ti_Audétat23) Times'!$C99)/(365.35*24*3600)</f>
        <v>3611.4362675100174</v>
      </c>
      <c r="M99" s="2">
        <f>([412]L!N99*'D(Ti_Audétat23) Times'!$F99*0.000001)^2/(4*'D(Ti_Audétat23) Times'!$C99)/(365.35*24*3600)</f>
        <v>9483.4102954575155</v>
      </c>
      <c r="N99" s="2">
        <f>([412]L!O99*'D(Ti_Audétat23) Times'!$F99*0.000001)^2/(4*'D(Ti_Audétat23) Times'!$C99)/(365.35*24*3600)</f>
        <v>9196.3691123127646</v>
      </c>
      <c r="O99" s="2">
        <f>([412]L!P99*'D(Ti_Audétat23) Times'!$F99*0.000001)^2/(4*'D(Ti_Audétat23) Times'!$C99)/(365.35*24*3600)</f>
        <v>35641.903744473915</v>
      </c>
      <c r="P99" s="2">
        <f>([412]L!Q99*'D(Ti_Audétat23) Times'!$F99*0.000001)^2/(4*'D(Ti_Audétat23) Times'!$C99)/(365.35*24*3600)</f>
        <v>36964.193342748265</v>
      </c>
      <c r="Q99" s="2">
        <f>([412]L!R99*'D(Ti_Audétat23) Times'!$F99*0.000001)^2/(4*'D(Ti_Audétat23) Times'!$C99)/(365.35*24*3600)</f>
        <v>52699.7399443389</v>
      </c>
      <c r="R99" s="2">
        <f>([412]L!S99*'D(Ti_Audétat23) Times'!$F99*0.000001)^2/(4*'D(Ti_Audétat23) Times'!$C99)/(365.35*24*3600)</f>
        <v>25503.431285380899</v>
      </c>
      <c r="S99" s="2">
        <f>([412]L!T99*'D(Ti_Audétat23) Times'!$F99*0.000001)^2/(4*'D(Ti_Audétat23) Times'!$C99)/(365.35*24*3600)</f>
        <v>16644.533366222986</v>
      </c>
      <c r="T99" s="2"/>
      <c r="U99" s="2">
        <f>([412]L!V99*'D(Ti_Audétat23) Times'!$F99*0.000001)^2/(4*'D(Ti_Audétat23) Times'!$C99)/(365.35*24*3600)</f>
        <v>16592.955067024002</v>
      </c>
      <c r="V99" s="2">
        <f>([412]L!W99*'D(Ti_Audétat23) Times'!$F99*0.000001)^2/(4*'D(Ti_Audétat23) Times'!$C99)/(365.35*24*3600)</f>
        <v>17463.840566317602</v>
      </c>
      <c r="W99" s="2">
        <f>([412]L!X99*'D(Ti_Audétat23) Times'!$F99*0.000001)^2/(4*'D(Ti_Audétat23) Times'!$C99)/(365.35*24*3600)</f>
        <v>14628.479476406643</v>
      </c>
      <c r="X99" s="2"/>
      <c r="Y99" s="2">
        <f>([412]L!Z99*'D(Ti_Audétat23) Times'!$F99*0.000001)^2/(4*'D(Ti_Audétat23) Times'!$C99)/(365.35*24*3600)</f>
        <v>15984.574640881574</v>
      </c>
      <c r="Z99" s="2">
        <f>([412]L!AB99*'D(Ti_Audétat23) Times'!$F99*0.000001)^2/(4*'D(Ti_Audétat23) Times'!$C99)/(365.35*24*3600)</f>
        <v>17582.655649104196</v>
      </c>
      <c r="AA99" s="2">
        <f>([412]L!AC99*'D(Ti_Audétat23) Times'!$F99*0.000001)^2/(4*'D(Ti_Audétat23) Times'!$C99)/(365.35*24*3600)</f>
        <v>3867.0954871676799</v>
      </c>
      <c r="AB99" s="2">
        <f>([412]L!AD99*'D(Ti_Audétat23) Times'!$F99*0.000001)^2/(4*'D(Ti_Audétat23) Times'!$C99)/(365.35*24*3600)</f>
        <v>59436.02878921316</v>
      </c>
      <c r="AC99" s="2">
        <f t="shared" si="5"/>
        <v>13715.560161936515</v>
      </c>
      <c r="AD99" s="2">
        <f t="shared" si="6"/>
        <v>41853.373140108961</v>
      </c>
    </row>
    <row r="100" spans="1:30" x14ac:dyDescent="0.2">
      <c r="A100" t="str">
        <f>[412]L!A100</f>
        <v>CGI008-qtz01-CL-fit-2-offset</v>
      </c>
      <c r="B100">
        <v>750</v>
      </c>
      <c r="C100">
        <f t="shared" si="7"/>
        <v>1.1456341375347871E-23</v>
      </c>
      <c r="D100">
        <v>1500</v>
      </c>
      <c r="E100">
        <v>1024</v>
      </c>
      <c r="F100">
        <f t="shared" si="4"/>
        <v>1.46484375</v>
      </c>
      <c r="I100" s="2">
        <f>([412]L!J100*'D(Ti_Audétat23) Times'!$F100*0.000001)^2/(4*'D(Ti_Audétat23) Times'!$C100)/(365.35*24*3600)</f>
        <v>22918.435203801175</v>
      </c>
      <c r="J100" s="2">
        <f>([412]L!K100*'D(Ti_Audétat23) Times'!$F100*0.000001)^2/(4*'D(Ti_Audétat23) Times'!$C100)/(365.35*24*3600)</f>
        <v>5696.0257939640351</v>
      </c>
      <c r="K100" s="2">
        <f>([412]L!L100*'D(Ti_Audétat23) Times'!$F100*0.000001)^2/(4*'D(Ti_Audétat23) Times'!$C100)/(365.35*24*3600)</f>
        <v>62259.830834462489</v>
      </c>
      <c r="L100" s="2">
        <f>([412]L!M100*'D(Ti_Audétat23) Times'!$F100*0.000001)^2/(4*'D(Ti_Audétat23) Times'!$C100)/(365.35*24*3600)</f>
        <v>14358.486935852594</v>
      </c>
      <c r="M100" s="2">
        <f>([412]L!N100*'D(Ti_Audétat23) Times'!$F100*0.000001)^2/(4*'D(Ti_Audétat23) Times'!$C100)/(365.35*24*3600)</f>
        <v>1170.4717356900321</v>
      </c>
      <c r="N100" s="2">
        <f>([412]L!O100*'D(Ti_Audétat23) Times'!$F100*0.000001)^2/(4*'D(Ti_Audétat23) Times'!$C100)/(365.35*24*3600)</f>
        <v>124814.71476953691</v>
      </c>
      <c r="O100" s="2">
        <f>([412]L!P100*'D(Ti_Audétat23) Times'!$F100*0.000001)^2/(4*'D(Ti_Audétat23) Times'!$C100)/(365.35*24*3600)</f>
        <v>18005.201658333292</v>
      </c>
      <c r="P100" s="2">
        <f>([412]L!Q100*'D(Ti_Audétat23) Times'!$F100*0.000001)^2/(4*'D(Ti_Audétat23) Times'!$C100)/(365.35*24*3600)</f>
        <v>53963.024140002562</v>
      </c>
      <c r="Q100" s="2">
        <f>([412]L!R100*'D(Ti_Audétat23) Times'!$F100*0.000001)^2/(4*'D(Ti_Audétat23) Times'!$C100)/(365.35*24*3600)</f>
        <v>59317.800893357693</v>
      </c>
      <c r="R100" s="2">
        <f>([412]L!S100*'D(Ti_Audétat23) Times'!$F100*0.000001)^2/(4*'D(Ti_Audétat23) Times'!$C100)/(365.35*24*3600)</f>
        <v>56479.842326898251</v>
      </c>
      <c r="S100" s="2">
        <f>([412]L!T100*'D(Ti_Audétat23) Times'!$F100*0.000001)^2/(4*'D(Ti_Audétat23) Times'!$C100)/(365.35*24*3600)</f>
        <v>23562.787103019196</v>
      </c>
      <c r="T100" s="2"/>
      <c r="U100" s="2">
        <f>([412]L!V100*'D(Ti_Audétat23) Times'!$F100*0.000001)^2/(4*'D(Ti_Audétat23) Times'!$C100)/(365.35*24*3600)</f>
        <v>29062.383826024256</v>
      </c>
      <c r="V100" s="2">
        <f>([412]L!W100*'D(Ti_Audétat23) Times'!$F100*0.000001)^2/(4*'D(Ti_Audétat23) Times'!$C100)/(365.35*24*3600)</f>
        <v>32560.623791026293</v>
      </c>
      <c r="W100" s="2">
        <f>([412]L!X100*'D(Ti_Audétat23) Times'!$F100*0.000001)^2/(4*'D(Ti_Audétat23) Times'!$C100)/(365.35*24*3600)</f>
        <v>23562.787103019196</v>
      </c>
      <c r="X100" s="2"/>
      <c r="Y100" s="2">
        <f>([412]L!Z100*'D(Ti_Audétat23) Times'!$F100*0.000001)^2/(4*'D(Ti_Audétat23) Times'!$C100)/(365.35*24*3600)</f>
        <v>29810.622077264805</v>
      </c>
      <c r="Z100" s="2">
        <f>([412]L!AB100*'D(Ti_Audétat23) Times'!$F100*0.000001)^2/(4*'D(Ti_Audétat23) Times'!$C100)/(365.35*24*3600)</f>
        <v>28368.748803958257</v>
      </c>
      <c r="AA100" s="2">
        <f>([412]L!AC100*'D(Ti_Audétat23) Times'!$F100*0.000001)^2/(4*'D(Ti_Audétat23) Times'!$C100)/(365.35*24*3600)</f>
        <v>66.149046787933003</v>
      </c>
      <c r="AB100" s="2">
        <f>([412]L!AD100*'D(Ti_Audétat23) Times'!$F100*0.000001)^2/(4*'D(Ti_Audétat23) Times'!$C100)/(365.35*24*3600)</f>
        <v>132878.94864925821</v>
      </c>
      <c r="AC100" s="2">
        <f t="shared" si="5"/>
        <v>28302.599757170323</v>
      </c>
      <c r="AD100" s="2">
        <f t="shared" si="6"/>
        <v>104510.19984529995</v>
      </c>
    </row>
    <row r="101" spans="1:30" x14ac:dyDescent="0.2">
      <c r="A101" t="str">
        <f>[412]L!A101</f>
        <v>CGI008-qtz01-CL-fit-3-offset</v>
      </c>
      <c r="B101">
        <v>750</v>
      </c>
      <c r="C101">
        <f t="shared" si="7"/>
        <v>1.1456341375347871E-23</v>
      </c>
      <c r="D101">
        <v>1500</v>
      </c>
      <c r="E101">
        <v>1024</v>
      </c>
      <c r="F101">
        <f t="shared" si="4"/>
        <v>1.46484375</v>
      </c>
      <c r="I101" s="2">
        <f>([412]L!J101*'D(Ti_Audétat23) Times'!$F101*0.000001)^2/(4*'D(Ti_Audétat23) Times'!$C101)/(365.35*24*3600)</f>
        <v>22990.566248031824</v>
      </c>
      <c r="J101" s="2">
        <f>([412]L!K101*'D(Ti_Audétat23) Times'!$F101*0.000001)^2/(4*'D(Ti_Audétat23) Times'!$C101)/(365.35*24*3600)</f>
        <v>47900.295949893858</v>
      </c>
      <c r="K101" s="2">
        <f>([412]L!L101*'D(Ti_Audétat23) Times'!$F101*0.000001)^2/(4*'D(Ti_Audétat23) Times'!$C101)/(365.35*24*3600)</f>
        <v>21959.074882067045</v>
      </c>
      <c r="L101" s="2">
        <f>([412]L!M101*'D(Ti_Audétat23) Times'!$F101*0.000001)^2/(4*'D(Ti_Audétat23) Times'!$C101)/(365.35*24*3600)</f>
        <v>31686.748160805386</v>
      </c>
      <c r="M101" s="2">
        <f>([412]L!N101*'D(Ti_Audétat23) Times'!$F101*0.000001)^2/(4*'D(Ti_Audétat23) Times'!$C101)/(365.35*24*3600)</f>
        <v>33573.266804353501</v>
      </c>
      <c r="N101" s="2">
        <f>([412]L!O101*'D(Ti_Audétat23) Times'!$F101*0.000001)^2/(4*'D(Ti_Audétat23) Times'!$C101)/(365.35*24*3600)</f>
        <v>26275.727957722756</v>
      </c>
      <c r="O101" s="2">
        <f>([412]L!P101*'D(Ti_Audétat23) Times'!$F101*0.000001)^2/(4*'D(Ti_Audétat23) Times'!$C101)/(365.35*24*3600)</f>
        <v>104713.94847649186</v>
      </c>
      <c r="P101" s="2">
        <f>([412]L!Q101*'D(Ti_Audétat23) Times'!$F101*0.000001)^2/(4*'D(Ti_Audétat23) Times'!$C101)/(365.35*24*3600)</f>
        <v>52679.237113867355</v>
      </c>
      <c r="Q101" s="2">
        <f>([412]L!R101*'D(Ti_Audétat23) Times'!$F101*0.000001)^2/(4*'D(Ti_Audétat23) Times'!$C101)/(365.35*24*3600)</f>
        <v>62435.798711936804</v>
      </c>
      <c r="R101" s="2">
        <f>([412]L!S101*'D(Ti_Audétat23) Times'!$F101*0.000001)^2/(4*'D(Ti_Audétat23) Times'!$C101)/(365.35*24*3600)</f>
        <v>68876.977320674487</v>
      </c>
      <c r="S101" s="2">
        <f>([412]L!T101*'D(Ti_Audétat23) Times'!$F101*0.000001)^2/(4*'D(Ti_Audétat23) Times'!$C101)/(365.35*24*3600)</f>
        <v>30467.70940986841</v>
      </c>
      <c r="T101" s="2"/>
      <c r="U101" s="2">
        <f>([412]L!V101*'D(Ti_Audétat23) Times'!$F101*0.000001)^2/(4*'D(Ti_Audétat23) Times'!$C101)/(365.35*24*3600)</f>
        <v>41148.419866844131</v>
      </c>
      <c r="V101" s="2">
        <f>([412]L!W101*'D(Ti_Audétat23) Times'!$F101*0.000001)^2/(4*'D(Ti_Audétat23) Times'!$C101)/(365.35*24*3600)</f>
        <v>43037.017561739071</v>
      </c>
      <c r="W101" s="2">
        <f>([412]L!X101*'D(Ti_Audétat23) Times'!$F101*0.000001)^2/(4*'D(Ti_Audétat23) Times'!$C101)/(365.35*24*3600)</f>
        <v>33573.266804353501</v>
      </c>
      <c r="X101" s="2"/>
      <c r="Y101" s="2">
        <f>([412]L!Z101*'D(Ti_Audétat23) Times'!$F101*0.000001)^2/(4*'D(Ti_Audétat23) Times'!$C101)/(365.35*24*3600)</f>
        <v>42390.794932396653</v>
      </c>
      <c r="Z101" s="2">
        <f>([412]L!AB101*'D(Ti_Audétat23) Times'!$F101*0.000001)^2/(4*'D(Ti_Audétat23) Times'!$C101)/(365.35*24*3600)</f>
        <v>40731.124319747876</v>
      </c>
      <c r="AA101" s="2">
        <f>([412]L!AC101*'D(Ti_Audétat23) Times'!$F101*0.000001)^2/(4*'D(Ti_Audétat23) Times'!$C101)/(365.35*24*3600)</f>
        <v>13009.28202938162</v>
      </c>
      <c r="AB101" s="2">
        <f>([412]L!AD101*'D(Ti_Audétat23) Times'!$F101*0.000001)^2/(4*'D(Ti_Audétat23) Times'!$C101)/(365.35*24*3600)</f>
        <v>79740.667132914517</v>
      </c>
      <c r="AC101" s="2">
        <f t="shared" si="5"/>
        <v>27721.842290366258</v>
      </c>
      <c r="AD101" s="2">
        <f t="shared" si="6"/>
        <v>39009.542813166641</v>
      </c>
    </row>
    <row r="102" spans="1:30" x14ac:dyDescent="0.2">
      <c r="A102" t="str">
        <f>[412]L!A102</f>
        <v>CGI008-qtz01-CL-fit-4-offset</v>
      </c>
      <c r="B102">
        <v>750</v>
      </c>
      <c r="C102">
        <f t="shared" si="7"/>
        <v>1.1456341375347871E-23</v>
      </c>
      <c r="D102">
        <v>1500</v>
      </c>
      <c r="E102">
        <v>1024</v>
      </c>
      <c r="F102">
        <f t="shared" si="4"/>
        <v>1.46484375</v>
      </c>
      <c r="I102" s="2">
        <f>([412]L!J102*'D(Ti_Audétat23) Times'!$F102*0.000001)^2/(4*'D(Ti_Audétat23) Times'!$C102)/(365.35*24*3600)</f>
        <v>3.4042716270687647E-2</v>
      </c>
      <c r="J102" s="2">
        <f>([412]L!K102*'D(Ti_Audétat23) Times'!$F102*0.000001)^2/(4*'D(Ti_Audétat23) Times'!$C102)/(365.35*24*3600)</f>
        <v>244.19234786056654</v>
      </c>
      <c r="K102" s="2">
        <f>([412]L!L102*'D(Ti_Audétat23) Times'!$F102*0.000001)^2/(4*'D(Ti_Audétat23) Times'!$C102)/(365.35*24*3600)</f>
        <v>443.63915426276276</v>
      </c>
      <c r="L102" s="2">
        <f>([412]L!M102*'D(Ti_Audétat23) Times'!$F102*0.000001)^2/(4*'D(Ti_Audétat23) Times'!$C102)/(365.35*24*3600)</f>
        <v>6165.7441199225941</v>
      </c>
      <c r="M102" s="2">
        <f>([412]L!N102*'D(Ti_Audétat23) Times'!$F102*0.000001)^2/(4*'D(Ti_Audétat23) Times'!$C102)/(365.35*24*3600)</f>
        <v>4555.7294609259752</v>
      </c>
      <c r="N102" s="2">
        <f>([412]L!O102*'D(Ti_Audétat23) Times'!$F102*0.000001)^2/(4*'D(Ti_Audétat23) Times'!$C102)/(365.35*24*3600)</f>
        <v>8659.9578640686614</v>
      </c>
      <c r="O102" s="2">
        <f>([412]L!P102*'D(Ti_Audétat23) Times'!$F102*0.000001)^2/(4*'D(Ti_Audétat23) Times'!$C102)/(365.35*24*3600)</f>
        <v>2965.7281756006237</v>
      </c>
      <c r="P102" s="2">
        <f>([412]L!Q102*'D(Ti_Audétat23) Times'!$F102*0.000001)^2/(4*'D(Ti_Audétat23) Times'!$C102)/(365.35*24*3600)</f>
        <v>1329.2540706360417</v>
      </c>
      <c r="Q102" s="2">
        <f>([412]L!R102*'D(Ti_Audétat23) Times'!$F102*0.000001)^2/(4*'D(Ti_Audétat23) Times'!$C102)/(365.35*24*3600)</f>
        <v>3.8125245856282679E-2</v>
      </c>
      <c r="R102" s="2">
        <f>([412]L!S102*'D(Ti_Audétat23) Times'!$F102*0.000001)^2/(4*'D(Ti_Audétat23) Times'!$C102)/(365.35*24*3600)</f>
        <v>12307.195825433291</v>
      </c>
      <c r="S102" s="2">
        <f>([412]L!T102*'D(Ti_Audétat23) Times'!$F102*0.000001)^2/(4*'D(Ti_Audétat23) Times'!$C102)/(365.35*24*3600)</f>
        <v>18615.972852964849</v>
      </c>
      <c r="T102" s="2"/>
      <c r="U102" s="2">
        <f>([412]L!V102*'D(Ti_Audétat23) Times'!$F102*0.000001)^2/(4*'D(Ti_Audétat23) Times'!$C102)/(365.35*24*3600)</f>
        <v>7836.211053662495</v>
      </c>
      <c r="V102" s="2">
        <f>([412]L!W102*'D(Ti_Audétat23) Times'!$F102*0.000001)^2/(4*'D(Ti_Audétat23) Times'!$C102)/(365.35*24*3600)</f>
        <v>3120.1573424556705</v>
      </c>
      <c r="W102" s="2">
        <f>([412]L!X102*'D(Ti_Audétat23) Times'!$F102*0.000001)^2/(4*'D(Ti_Audétat23) Times'!$C102)/(365.35*24*3600)</f>
        <v>2965.7281756006237</v>
      </c>
      <c r="X102" s="2"/>
      <c r="Y102" s="2">
        <f>([412]L!Z102*'D(Ti_Audétat23) Times'!$F102*0.000001)^2/(4*'D(Ti_Audétat23) Times'!$C102)/(365.35*24*3600)</f>
        <v>5536.2133807419332</v>
      </c>
      <c r="Z102" s="2">
        <f>([412]L!AB102*'D(Ti_Audétat23) Times'!$F102*0.000001)^2/(4*'D(Ti_Audétat23) Times'!$C102)/(365.35*24*3600)</f>
        <v>5187.2703446341857</v>
      </c>
      <c r="AA102" s="2">
        <f>([412]L!AC102*'D(Ti_Audétat23) Times'!$F102*0.000001)^2/(4*'D(Ti_Audétat23) Times'!$C102)/(365.35*24*3600)</f>
        <v>6.563070529993535</v>
      </c>
      <c r="AB102" s="2">
        <f>([412]L!AD102*'D(Ti_Audétat23) Times'!$F102*0.000001)^2/(4*'D(Ti_Audétat23) Times'!$C102)/(365.35*24*3600)</f>
        <v>23995.551319422582</v>
      </c>
      <c r="AC102" s="2">
        <f t="shared" si="5"/>
        <v>5180.707274104192</v>
      </c>
      <c r="AD102" s="2">
        <f t="shared" si="6"/>
        <v>18808.280974788395</v>
      </c>
    </row>
    <row r="103" spans="1:30" x14ac:dyDescent="0.2">
      <c r="A103" t="str">
        <f>[412]L!A103</f>
        <v>CGI008-qtz01-CL-fit-5-offset</v>
      </c>
      <c r="B103">
        <v>750</v>
      </c>
      <c r="C103">
        <f t="shared" si="7"/>
        <v>1.1456341375347871E-23</v>
      </c>
      <c r="D103">
        <v>1500</v>
      </c>
      <c r="E103">
        <v>1024</v>
      </c>
      <c r="F103">
        <f t="shared" si="4"/>
        <v>1.46484375</v>
      </c>
      <c r="I103" s="2">
        <f>([412]L!J103*'D(Ti_Audétat23) Times'!$F103*0.000001)^2/(4*'D(Ti_Audétat23) Times'!$C103)/(365.35*24*3600)</f>
        <v>2774.2845426508584</v>
      </c>
      <c r="J103" s="2">
        <f>([412]L!K103*'D(Ti_Audétat23) Times'!$F103*0.000001)^2/(4*'D(Ti_Audétat23) Times'!$C103)/(365.35*24*3600)</f>
        <v>1649.9343340641499</v>
      </c>
      <c r="K103" s="2">
        <f>([412]L!L103*'D(Ti_Audétat23) Times'!$F103*0.000001)^2/(4*'D(Ti_Audétat23) Times'!$C103)/(365.35*24*3600)</f>
        <v>2320.8563712316768</v>
      </c>
      <c r="L103" s="2">
        <f>([412]L!M103*'D(Ti_Audétat23) Times'!$F103*0.000001)^2/(4*'D(Ti_Audétat23) Times'!$C103)/(365.35*24*3600)</f>
        <v>1525.8314452301452</v>
      </c>
      <c r="M103" s="2">
        <f>([412]L!N103*'D(Ti_Audétat23) Times'!$F103*0.000001)^2/(4*'D(Ti_Audétat23) Times'!$C103)/(365.35*24*3600)</f>
        <v>968.58909933044947</v>
      </c>
      <c r="N103" s="2">
        <f>([412]L!O103*'D(Ti_Audétat23) Times'!$F103*0.000001)^2/(4*'D(Ti_Audétat23) Times'!$C103)/(365.35*24*3600)</f>
        <v>734.01900856535372</v>
      </c>
      <c r="O103" s="2">
        <f>([412]L!P103*'D(Ti_Audétat23) Times'!$F103*0.000001)^2/(4*'D(Ti_Audétat23) Times'!$C103)/(365.35*24*3600)</f>
        <v>1328.8867819140182</v>
      </c>
      <c r="P103" s="2">
        <f>([412]L!Q103*'D(Ti_Audétat23) Times'!$F103*0.000001)^2/(4*'D(Ti_Audétat23) Times'!$C103)/(365.35*24*3600)</f>
        <v>1307.5741695385441</v>
      </c>
      <c r="Q103" s="2">
        <f>([412]L!R103*'D(Ti_Audétat23) Times'!$F103*0.000001)^2/(4*'D(Ti_Audétat23) Times'!$C103)/(365.35*24*3600)</f>
        <v>606.37536533159687</v>
      </c>
      <c r="R103" s="2">
        <f>([412]L!S103*'D(Ti_Audétat23) Times'!$F103*0.000001)^2/(4*'D(Ti_Audétat23) Times'!$C103)/(365.35*24*3600)</f>
        <v>2113.6670078451366</v>
      </c>
      <c r="S103" s="2">
        <f>([412]L!T103*'D(Ti_Audétat23) Times'!$F103*0.000001)^2/(4*'D(Ti_Audétat23) Times'!$C103)/(365.35*24*3600)</f>
        <v>1279.5649298731316</v>
      </c>
      <c r="T103" s="2"/>
      <c r="U103" s="2">
        <f>([412]L!V103*'D(Ti_Audétat23) Times'!$F103*0.000001)^2/(4*'D(Ti_Audétat23) Times'!$C103)/(365.35*24*3600)</f>
        <v>1632.9933603731781</v>
      </c>
      <c r="V103" s="2">
        <f>([412]L!W103*'D(Ti_Audétat23) Times'!$F103*0.000001)^2/(4*'D(Ti_Audétat23) Times'!$C103)/(365.35*24*3600)</f>
        <v>1442.1185497029469</v>
      </c>
      <c r="W103" s="2">
        <f>([412]L!X103*'D(Ti_Audétat23) Times'!$F103*0.000001)^2/(4*'D(Ti_Audétat23) Times'!$C103)/(365.35*24*3600)</f>
        <v>1328.8867819140182</v>
      </c>
      <c r="X103" s="2"/>
      <c r="Y103" s="2">
        <f>([412]L!Z103*'D(Ti_Audétat23) Times'!$F103*0.000001)^2/(4*'D(Ti_Audétat23) Times'!$C103)/(365.35*24*3600)</f>
        <v>1589.6130417079162</v>
      </c>
      <c r="Z103" s="2">
        <f>([412]L!AB103*'D(Ti_Audétat23) Times'!$F103*0.000001)^2/(4*'D(Ti_Audétat23) Times'!$C103)/(365.35*24*3600)</f>
        <v>1613.2374912992011</v>
      </c>
      <c r="AA103" s="2">
        <f>([412]L!AC103*'D(Ti_Audétat23) Times'!$F103*0.000001)^2/(4*'D(Ti_Audétat23) Times'!$C103)/(365.35*24*3600)</f>
        <v>75.930404920502994</v>
      </c>
      <c r="AB103" s="2">
        <f>([412]L!AD103*'D(Ti_Audétat23) Times'!$F103*0.000001)^2/(4*'D(Ti_Audétat23) Times'!$C103)/(365.35*24*3600)</f>
        <v>4349.3266982170098</v>
      </c>
      <c r="AC103" s="2">
        <f t="shared" si="5"/>
        <v>1537.3070863786982</v>
      </c>
      <c r="AD103" s="2">
        <f t="shared" si="6"/>
        <v>2736.089206917809</v>
      </c>
    </row>
    <row r="104" spans="1:30" x14ac:dyDescent="0.2">
      <c r="A104" t="str">
        <f>[412]L!A104</f>
        <v>CGI008-qtz02-CL-fit-1-offset</v>
      </c>
      <c r="B104">
        <v>750</v>
      </c>
      <c r="C104">
        <f t="shared" si="7"/>
        <v>1.1456341375347871E-23</v>
      </c>
      <c r="D104">
        <v>2400</v>
      </c>
      <c r="E104">
        <v>1024</v>
      </c>
      <c r="F104">
        <f t="shared" si="4"/>
        <v>2.34375</v>
      </c>
      <c r="I104" s="2">
        <f>([412]L!J104*'D(Ti_Audétat23) Times'!$F104*0.000001)^2/(4*'D(Ti_Audétat23) Times'!$C104)/(365.35*24*3600)</f>
        <v>267267.66962169064</v>
      </c>
      <c r="J104" s="2">
        <f>([412]L!K104*'D(Ti_Audétat23) Times'!$F104*0.000001)^2/(4*'D(Ti_Audétat23) Times'!$C104)/(365.35*24*3600)</f>
        <v>164035.60242047047</v>
      </c>
      <c r="K104" s="2">
        <f>([412]L!L104*'D(Ti_Audétat23) Times'!$F104*0.000001)^2/(4*'D(Ti_Audétat23) Times'!$C104)/(365.35*24*3600)</f>
        <v>131693.40743471056</v>
      </c>
      <c r="L104" s="2">
        <f>([412]L!M104*'D(Ti_Audétat23) Times'!$F104*0.000001)^2/(4*'D(Ti_Audétat23) Times'!$C104)/(365.35*24*3600)</f>
        <v>358036.25051575922</v>
      </c>
      <c r="M104" s="2">
        <f>([412]L!N104*'D(Ti_Audétat23) Times'!$F104*0.000001)^2/(4*'D(Ti_Audétat23) Times'!$C104)/(365.35*24*3600)</f>
        <v>163708.61054339146</v>
      </c>
      <c r="N104" s="2">
        <f>([412]L!O104*'D(Ti_Audétat23) Times'!$F104*0.000001)^2/(4*'D(Ti_Audétat23) Times'!$C104)/(365.35*24*3600)</f>
        <v>122541.45762565306</v>
      </c>
      <c r="O104" s="2">
        <f>([412]L!P104*'D(Ti_Audétat23) Times'!$F104*0.000001)^2/(4*'D(Ti_Audétat23) Times'!$C104)/(365.35*24*3600)</f>
        <v>181.89074047110108</v>
      </c>
      <c r="P104" s="2">
        <f>([412]L!Q104*'D(Ti_Audétat23) Times'!$F104*0.000001)^2/(4*'D(Ti_Audétat23) Times'!$C104)/(365.35*24*3600)</f>
        <v>273.52930639481269</v>
      </c>
      <c r="Q104" s="2">
        <f>([412]L!R104*'D(Ti_Audétat23) Times'!$F104*0.000001)^2/(4*'D(Ti_Audétat23) Times'!$C104)/(365.35*24*3600)</f>
        <v>162324.78163501655</v>
      </c>
      <c r="R104" s="2">
        <f>([412]L!S104*'D(Ti_Audétat23) Times'!$F104*0.000001)^2/(4*'D(Ti_Audétat23) Times'!$C104)/(365.35*24*3600)</f>
        <v>92025.285593017732</v>
      </c>
      <c r="S104" s="2">
        <f>([412]L!T104*'D(Ti_Audétat23) Times'!$F104*0.000001)^2/(4*'D(Ti_Audétat23) Times'!$C104)/(365.35*24*3600)</f>
        <v>35321.931855122362</v>
      </c>
      <c r="T104" s="2"/>
      <c r="U104" s="2">
        <f>([412]L!V104*'D(Ti_Audétat23) Times'!$F104*0.000001)^2/(4*'D(Ti_Audétat23) Times'!$C104)/(365.35*24*3600)</f>
        <v>180303.06858030564</v>
      </c>
      <c r="V104" s="2">
        <f>([412]L!W104*'D(Ti_Audétat23) Times'!$F104*0.000001)^2/(4*'D(Ti_Audétat23) Times'!$C104)/(365.35*24*3600)</f>
        <v>104866.27849198587</v>
      </c>
      <c r="W104" s="2">
        <f>([412]L!X104*'D(Ti_Audétat23) Times'!$F104*0.000001)^2/(4*'D(Ti_Audétat23) Times'!$C104)/(365.35*24*3600)</f>
        <v>131693.40743471056</v>
      </c>
      <c r="X104" s="2"/>
      <c r="Y104" s="2">
        <f>([412]L!Z104*'D(Ti_Audétat23) Times'!$F104*0.000001)^2/(4*'D(Ti_Audétat23) Times'!$C104)/(365.35*24*3600)</f>
        <v>165439.98219429218</v>
      </c>
      <c r="Z104" s="2">
        <f>([412]L!AB104*'D(Ti_Audétat23) Times'!$F104*0.000001)^2/(4*'D(Ti_Audétat23) Times'!$C104)/(365.35*24*3600)</f>
        <v>176685.60147575714</v>
      </c>
      <c r="AA104" s="2">
        <f>([412]L!AC104*'D(Ti_Audétat23) Times'!$F104*0.000001)^2/(4*'D(Ti_Audétat23) Times'!$C104)/(365.35*24*3600)</f>
        <v>10299.387167918838</v>
      </c>
      <c r="AB104" s="2">
        <f>([412]L!AD104*'D(Ti_Audétat23) Times'!$F104*0.000001)^2/(4*'D(Ti_Audétat23) Times'!$C104)/(365.35*24*3600)</f>
        <v>562705.23864228325</v>
      </c>
      <c r="AC104" s="2">
        <f t="shared" si="5"/>
        <v>166386.21430783829</v>
      </c>
      <c r="AD104" s="2">
        <f t="shared" si="6"/>
        <v>386019.63716652611</v>
      </c>
    </row>
    <row r="105" spans="1:30" x14ac:dyDescent="0.2">
      <c r="A105" t="str">
        <f>[412]L!A105</f>
        <v>CGI008-qtz02-CL-fit-2-offset</v>
      </c>
      <c r="B105">
        <v>750</v>
      </c>
      <c r="C105">
        <f t="shared" si="7"/>
        <v>1.1456341375347871E-23</v>
      </c>
      <c r="D105">
        <v>2400</v>
      </c>
      <c r="E105">
        <v>1024</v>
      </c>
      <c r="F105">
        <f t="shared" si="4"/>
        <v>2.34375</v>
      </c>
      <c r="I105" s="2">
        <f>([412]L!J105*'D(Ti_Audétat23) Times'!$F105*0.000001)^2/(4*'D(Ti_Audétat23) Times'!$C105)/(365.35*24*3600)</f>
        <v>429776.38638483401</v>
      </c>
      <c r="J105" s="2">
        <f>([412]L!K105*'D(Ti_Audétat23) Times'!$F105*0.000001)^2/(4*'D(Ti_Audétat23) Times'!$C105)/(365.35*24*3600)</f>
        <v>52376.426490068174</v>
      </c>
      <c r="K105" s="2">
        <f>([412]L!L105*'D(Ti_Audétat23) Times'!$F105*0.000001)^2/(4*'D(Ti_Audétat23) Times'!$C105)/(365.35*24*3600)</f>
        <v>197960.67520438769</v>
      </c>
      <c r="L105" s="2">
        <f>([412]L!M105*'D(Ti_Audétat23) Times'!$F105*0.000001)^2/(4*'D(Ti_Audétat23) Times'!$C105)/(365.35*24*3600)</f>
        <v>59105.710792705722</v>
      </c>
      <c r="M105" s="2">
        <f>([412]L!N105*'D(Ti_Audétat23) Times'!$F105*0.000001)^2/(4*'D(Ti_Audétat23) Times'!$C105)/(365.35*24*3600)</f>
        <v>0</v>
      </c>
      <c r="N105" s="2">
        <f>([412]L!O105*'D(Ti_Audétat23) Times'!$F105*0.000001)^2/(4*'D(Ti_Audétat23) Times'!$C105)/(365.35*24*3600)</f>
        <v>262404.37797731801</v>
      </c>
      <c r="O105" s="2">
        <f>([412]L!P105*'D(Ti_Audétat23) Times'!$F105*0.000001)^2/(4*'D(Ti_Audétat23) Times'!$C105)/(365.35*24*3600)</f>
        <v>1547.8372563777828</v>
      </c>
      <c r="P105" s="2">
        <f>([412]L!Q105*'D(Ti_Audétat23) Times'!$F105*0.000001)^2/(4*'D(Ti_Audétat23) Times'!$C105)/(365.35*24*3600)</f>
        <v>301.96131449221406</v>
      </c>
      <c r="Q105" s="2">
        <f>([412]L!R105*'D(Ti_Audétat23) Times'!$F105*0.000001)^2/(4*'D(Ti_Audétat23) Times'!$C105)/(365.35*24*3600)</f>
        <v>23.711271124248416</v>
      </c>
      <c r="R105" s="2">
        <f>([412]L!S105*'D(Ti_Audétat23) Times'!$F105*0.000001)^2/(4*'D(Ti_Audétat23) Times'!$C105)/(365.35*24*3600)</f>
        <v>133576.0867349341</v>
      </c>
      <c r="S105" s="2">
        <f>([412]L!T105*'D(Ti_Audétat23) Times'!$F105*0.000001)^2/(4*'D(Ti_Audétat23) Times'!$C105)/(365.35*24*3600)</f>
        <v>226.07466908661669</v>
      </c>
      <c r="T105" s="2"/>
      <c r="U105" s="2">
        <f>([412]L!V105*'D(Ti_Audétat23) Times'!$F105*0.000001)^2/(4*'D(Ti_Audétat23) Times'!$C105)/(365.35*24*3600)</f>
        <v>121463.14612483897</v>
      </c>
      <c r="V105" s="2">
        <f>([412]L!W105*'D(Ti_Audétat23) Times'!$F105*0.000001)^2/(4*'D(Ti_Audétat23) Times'!$C105)/(365.35*24*3600)</f>
        <v>63849.017277102677</v>
      </c>
      <c r="W105" s="2">
        <f>([412]L!X105*'D(Ti_Audétat23) Times'!$F105*0.000001)^2/(4*'D(Ti_Audétat23) Times'!$C105)/(365.35*24*3600)</f>
        <v>55690.24817830434</v>
      </c>
      <c r="X105" s="2"/>
      <c r="Y105" s="2">
        <f>([412]L!Z105*'D(Ti_Audétat23) Times'!$F105*0.000001)^2/(4*'D(Ti_Audétat23) Times'!$C105)/(365.35*24*3600)</f>
        <v>75141.440888061363</v>
      </c>
      <c r="Z105" s="2">
        <f>([412]L!AB105*'D(Ti_Audétat23) Times'!$F105*0.000001)^2/(4*'D(Ti_Audétat23) Times'!$C105)/(365.35*24*3600)</f>
        <v>81115.66412595952</v>
      </c>
      <c r="AA105" s="2">
        <f>([412]L!AC105*'D(Ti_Audétat23) Times'!$F105*0.000001)^2/(4*'D(Ti_Audétat23) Times'!$C105)/(365.35*24*3600)</f>
        <v>204.75371279942223</v>
      </c>
      <c r="AB105" s="2">
        <f>([412]L!AD105*'D(Ti_Audétat23) Times'!$F105*0.000001)^2/(4*'D(Ti_Audétat23) Times'!$C105)/(365.35*24*3600)</f>
        <v>388218.75933465059</v>
      </c>
      <c r="AC105" s="2">
        <f t="shared" si="5"/>
        <v>80910.910413160091</v>
      </c>
      <c r="AD105" s="2">
        <f t="shared" si="6"/>
        <v>307103.09520869108</v>
      </c>
    </row>
    <row r="106" spans="1:30" x14ac:dyDescent="0.2">
      <c r="A106" t="str">
        <f>[412]L!A106</f>
        <v>CGI008-qtz02-CL-fit-3-offset</v>
      </c>
      <c r="B106">
        <v>750</v>
      </c>
      <c r="C106">
        <f t="shared" si="7"/>
        <v>1.1456341375347871E-23</v>
      </c>
      <c r="D106">
        <v>2400</v>
      </c>
      <c r="E106">
        <v>1024</v>
      </c>
      <c r="F106">
        <f t="shared" si="4"/>
        <v>2.34375</v>
      </c>
      <c r="I106" s="2">
        <f>([412]L!J106*'D(Ti_Audétat23) Times'!$F106*0.000001)^2/(4*'D(Ti_Audétat23) Times'!$C106)/(365.35*24*3600)</f>
        <v>16631.309698432648</v>
      </c>
      <c r="J106" s="2">
        <f>([412]L!K106*'D(Ti_Audétat23) Times'!$F106*0.000001)^2/(4*'D(Ti_Audétat23) Times'!$C106)/(365.35*24*3600)</f>
        <v>18098.660442432498</v>
      </c>
      <c r="K106" s="2">
        <f>([412]L!L106*'D(Ti_Audétat23) Times'!$F106*0.000001)^2/(4*'D(Ti_Audétat23) Times'!$C106)/(365.35*24*3600)</f>
        <v>29361.92479569315</v>
      </c>
      <c r="L106" s="2">
        <f>([412]L!M106*'D(Ti_Audétat23) Times'!$F106*0.000001)^2/(4*'D(Ti_Audétat23) Times'!$C106)/(365.35*24*3600)</f>
        <v>21794.91726836246</v>
      </c>
      <c r="M106" s="2">
        <f>([412]L!N106*'D(Ti_Audétat23) Times'!$F106*0.000001)^2/(4*'D(Ti_Audétat23) Times'!$C106)/(365.35*24*3600)</f>
        <v>21738.780002558029</v>
      </c>
      <c r="N106" s="2">
        <f>([412]L!O106*'D(Ti_Audétat23) Times'!$F106*0.000001)^2/(4*'D(Ti_Audétat23) Times'!$C106)/(365.35*24*3600)</f>
        <v>8148.4570366951903</v>
      </c>
      <c r="O106" s="2">
        <f>([412]L!P106*'D(Ti_Audétat23) Times'!$F106*0.000001)^2/(4*'D(Ti_Audétat23) Times'!$C106)/(365.35*24*3600)</f>
        <v>32682.759136159908</v>
      </c>
      <c r="P106" s="2">
        <f>([412]L!Q106*'D(Ti_Audétat23) Times'!$F106*0.000001)^2/(4*'D(Ti_Audétat23) Times'!$C106)/(365.35*24*3600)</f>
        <v>33086.885800290038</v>
      </c>
      <c r="Q106" s="2">
        <f>([412]L!R106*'D(Ti_Audétat23) Times'!$F106*0.000001)^2/(4*'D(Ti_Audétat23) Times'!$C106)/(365.35*24*3600)</f>
        <v>19773.329730337089</v>
      </c>
      <c r="R106" s="2">
        <f>([412]L!S106*'D(Ti_Audétat23) Times'!$F106*0.000001)^2/(4*'D(Ti_Audétat23) Times'!$C106)/(365.35*24*3600)</f>
        <v>7561.7810130151656</v>
      </c>
      <c r="S106" s="2">
        <f>([412]L!T106*'D(Ti_Audétat23) Times'!$F106*0.000001)^2/(4*'D(Ti_Audétat23) Times'!$C106)/(365.35*24*3600)</f>
        <v>29477.467161424818</v>
      </c>
      <c r="T106" s="2"/>
      <c r="U106" s="2">
        <f>([412]L!V106*'D(Ti_Audétat23) Times'!$F106*0.000001)^2/(4*'D(Ti_Audétat23) Times'!$C106)/(365.35*24*3600)</f>
        <v>19294.571565238817</v>
      </c>
      <c r="V106" s="2">
        <f>([412]L!W106*'D(Ti_Audétat23) Times'!$F106*0.000001)^2/(4*'D(Ti_Audétat23) Times'!$C106)/(365.35*24*3600)</f>
        <v>20687.211534688071</v>
      </c>
      <c r="W106" s="2">
        <f>([412]L!X106*'D(Ti_Audétat23) Times'!$F106*0.000001)^2/(4*'D(Ti_Audétat23) Times'!$C106)/(365.35*24*3600)</f>
        <v>21738.780002558029</v>
      </c>
      <c r="X106" s="2"/>
      <c r="Y106" s="2">
        <f>([412]L!Z106*'D(Ti_Audétat23) Times'!$F106*0.000001)^2/(4*'D(Ti_Audétat23) Times'!$C106)/(365.35*24*3600)</f>
        <v>19561.842302235244</v>
      </c>
      <c r="Z106" s="2">
        <f>([412]L!AB106*'D(Ti_Audétat23) Times'!$F106*0.000001)^2/(4*'D(Ti_Audétat23) Times'!$C106)/(365.35*24*3600)</f>
        <v>20252.494753097351</v>
      </c>
      <c r="AA106" s="2">
        <f>([412]L!AC106*'D(Ti_Audétat23) Times'!$F106*0.000001)^2/(4*'D(Ti_Audétat23) Times'!$C106)/(365.35*24*3600)</f>
        <v>7140.5107494557396</v>
      </c>
      <c r="AB106" s="2">
        <f>([412]L!AD106*'D(Ti_Audétat23) Times'!$F106*0.000001)^2/(4*'D(Ti_Audétat23) Times'!$C106)/(365.35*24*3600)</f>
        <v>48555.792553630468</v>
      </c>
      <c r="AC106" s="2">
        <f t="shared" si="5"/>
        <v>13111.984003641612</v>
      </c>
      <c r="AD106" s="2">
        <f t="shared" si="6"/>
        <v>28303.297800533117</v>
      </c>
    </row>
    <row r="107" spans="1:30" x14ac:dyDescent="0.2">
      <c r="A107" t="str">
        <f>[412]L!A107</f>
        <v>CGI008-qtz02-CL-fit-4-offset</v>
      </c>
      <c r="B107">
        <v>750</v>
      </c>
      <c r="C107">
        <f t="shared" si="7"/>
        <v>1.1456341375347871E-23</v>
      </c>
      <c r="D107">
        <v>2400</v>
      </c>
      <c r="E107">
        <v>1024</v>
      </c>
      <c r="F107">
        <f t="shared" si="4"/>
        <v>2.34375</v>
      </c>
      <c r="I107" s="2">
        <f>([412]L!J107*'D(Ti_Audétat23) Times'!$F107*0.000001)^2/(4*'D(Ti_Audétat23) Times'!$C107)/(365.35*24*3600)</f>
        <v>197.95792797373397</v>
      </c>
      <c r="J107" s="2">
        <f>([412]L!K107*'D(Ti_Audétat23) Times'!$F107*0.000001)^2/(4*'D(Ti_Audétat23) Times'!$C107)/(365.35*24*3600)</f>
        <v>96.101122604271552</v>
      </c>
      <c r="K107" s="2">
        <f>([412]L!L107*'D(Ti_Audétat23) Times'!$F107*0.000001)^2/(4*'D(Ti_Audétat23) Times'!$C107)/(365.35*24*3600)</f>
        <v>265.49744347210253</v>
      </c>
      <c r="L107" s="2">
        <f>([412]L!M107*'D(Ti_Audétat23) Times'!$F107*0.000001)^2/(4*'D(Ti_Audétat23) Times'!$C107)/(365.35*24*3600)</f>
        <v>1021.3277771597658</v>
      </c>
      <c r="M107" s="2">
        <f>([412]L!N107*'D(Ti_Audétat23) Times'!$F107*0.000001)^2/(4*'D(Ti_Audétat23) Times'!$C107)/(365.35*24*3600)</f>
        <v>14.641856949023206</v>
      </c>
      <c r="N107" s="2">
        <f>([412]L!O107*'D(Ti_Audétat23) Times'!$F107*0.000001)^2/(4*'D(Ti_Audétat23) Times'!$C107)/(365.35*24*3600)</f>
        <v>31673.887421875221</v>
      </c>
      <c r="O107" s="2">
        <f>([412]L!P107*'D(Ti_Audétat23) Times'!$F107*0.000001)^2/(4*'D(Ti_Audétat23) Times'!$C107)/(365.35*24*3600)</f>
        <v>23876.199826136555</v>
      </c>
      <c r="P107" s="2">
        <f>([412]L!Q107*'D(Ti_Audétat23) Times'!$F107*0.000001)^2/(4*'D(Ti_Audétat23) Times'!$C107)/(365.35*24*3600)</f>
        <v>15298.27894047798</v>
      </c>
      <c r="Q107" s="2">
        <f>([412]L!R107*'D(Ti_Audétat23) Times'!$F107*0.000001)^2/(4*'D(Ti_Audétat23) Times'!$C107)/(365.35*24*3600)</f>
        <v>291.17130002360727</v>
      </c>
      <c r="R107" s="2">
        <f>([412]L!S107*'D(Ti_Audétat23) Times'!$F107*0.000001)^2/(4*'D(Ti_Audétat23) Times'!$C107)/(365.35*24*3600)</f>
        <v>0.29312871551368042</v>
      </c>
      <c r="S107" s="2">
        <f>([412]L!T107*'D(Ti_Audétat23) Times'!$F107*0.000001)^2/(4*'D(Ti_Audétat23) Times'!$C107)/(365.35*24*3600)</f>
        <v>374.17285759617323</v>
      </c>
      <c r="T107" s="2"/>
      <c r="U107" s="2">
        <f>([412]L!V107*'D(Ti_Audétat23) Times'!$F107*0.000001)^2/(4*'D(Ti_Audétat23) Times'!$C107)/(365.35*24*3600)</f>
        <v>462.83225965615503</v>
      </c>
      <c r="V107" s="2">
        <f>([412]L!W107*'D(Ti_Audétat23) Times'!$F107*0.000001)^2/(4*'D(Ti_Audétat23) Times'!$C107)/(365.35*24*3600)</f>
        <v>2676.4388400297021</v>
      </c>
      <c r="W107" s="2">
        <f>([412]L!X107*'D(Ti_Audétat23) Times'!$F107*0.000001)^2/(4*'D(Ti_Audétat23) Times'!$C107)/(365.35*24*3600)</f>
        <v>291.17130002360727</v>
      </c>
      <c r="X107" s="2"/>
      <c r="Y107" s="2">
        <f>([412]L!Z107*'D(Ti_Audétat23) Times'!$F107*0.000001)^2/(4*'D(Ti_Audétat23) Times'!$C107)/(365.35*24*3600)</f>
        <v>415.27712643769979</v>
      </c>
      <c r="Z107" s="2">
        <f>([412]L!AB107*'D(Ti_Audétat23) Times'!$F107*0.000001)^2/(4*'D(Ti_Audétat23) Times'!$C107)/(365.35*24*3600)</f>
        <v>1128.3010861465057</v>
      </c>
      <c r="AA107" s="2">
        <f>([412]L!AC107*'D(Ti_Audétat23) Times'!$F107*0.000001)^2/(4*'D(Ti_Audétat23) Times'!$C107)/(365.35*24*3600)</f>
        <v>41.00790989717413</v>
      </c>
      <c r="AB107" s="2">
        <f>([412]L!AD107*'D(Ti_Audétat23) Times'!$F107*0.000001)^2/(4*'D(Ti_Audétat23) Times'!$C107)/(365.35*24*3600)</f>
        <v>49997.999228623266</v>
      </c>
      <c r="AC107" s="2">
        <f t="shared" si="5"/>
        <v>1087.2931762493315</v>
      </c>
      <c r="AD107" s="2">
        <f t="shared" si="6"/>
        <v>48869.698142476758</v>
      </c>
    </row>
    <row r="108" spans="1:30" x14ac:dyDescent="0.2">
      <c r="A108" t="str">
        <f>[412]L!A108</f>
        <v>CGI008-qtz03-CL-fit-1-offset</v>
      </c>
      <c r="B108">
        <v>750</v>
      </c>
      <c r="C108">
        <f t="shared" si="7"/>
        <v>1.1456341375347871E-23</v>
      </c>
      <c r="D108">
        <v>2800</v>
      </c>
      <c r="E108">
        <v>1024</v>
      </c>
      <c r="F108">
        <f t="shared" si="4"/>
        <v>2.734375</v>
      </c>
      <c r="I108" s="2">
        <f>([412]L!J108*'D(Ti_Audétat23) Times'!$F108*0.000001)^2/(4*'D(Ti_Audétat23) Times'!$C108)/(365.35*24*3600)</f>
        <v>75879.01894095866</v>
      </c>
      <c r="J108" s="2">
        <f>([412]L!K108*'D(Ti_Audétat23) Times'!$F108*0.000001)^2/(4*'D(Ti_Audétat23) Times'!$C108)/(365.35*24*3600)</f>
        <v>67367.640447364422</v>
      </c>
      <c r="K108" s="2">
        <f>([412]L!L108*'D(Ti_Audétat23) Times'!$F108*0.000001)^2/(4*'D(Ti_Audétat23) Times'!$C108)/(365.35*24*3600)</f>
        <v>110844.76356127561</v>
      </c>
      <c r="L108" s="2">
        <f>([412]L!M108*'D(Ti_Audétat23) Times'!$F108*0.000001)^2/(4*'D(Ti_Audétat23) Times'!$C108)/(365.35*24*3600)</f>
        <v>64517.741586611381</v>
      </c>
      <c r="M108" s="2">
        <f>([412]L!N108*'D(Ti_Audétat23) Times'!$F108*0.000001)^2/(4*'D(Ti_Audétat23) Times'!$C108)/(365.35*24*3600)</f>
        <v>230.2393288760868</v>
      </c>
      <c r="N108" s="2">
        <f>([412]L!O108*'D(Ti_Audétat23) Times'!$F108*0.000001)^2/(4*'D(Ti_Audétat23) Times'!$C108)/(365.35*24*3600)</f>
        <v>131392.84452598807</v>
      </c>
      <c r="O108" s="2">
        <f>([412]L!P108*'D(Ti_Audétat23) Times'!$F108*0.000001)^2/(4*'D(Ti_Audétat23) Times'!$C108)/(365.35*24*3600)</f>
        <v>68965.464565457864</v>
      </c>
      <c r="P108" s="2">
        <f>([412]L!Q108*'D(Ti_Audétat23) Times'!$F108*0.000001)^2/(4*'D(Ti_Audétat23) Times'!$C108)/(365.35*24*3600)</f>
        <v>42994.883513918227</v>
      </c>
      <c r="Q108" s="2">
        <f>([412]L!R108*'D(Ti_Audétat23) Times'!$F108*0.000001)^2/(4*'D(Ti_Audétat23) Times'!$C108)/(365.35*24*3600)</f>
        <v>109909.96110856334</v>
      </c>
      <c r="R108" s="2">
        <f>([412]L!S108*'D(Ti_Audétat23) Times'!$F108*0.000001)^2/(4*'D(Ti_Audétat23) Times'!$C108)/(365.35*24*3600)</f>
        <v>85252.232299646363</v>
      </c>
      <c r="S108" s="2">
        <f>([412]L!T108*'D(Ti_Audétat23) Times'!$F108*0.000001)^2/(4*'D(Ti_Audétat23) Times'!$C108)/(365.35*24*3600)</f>
        <v>41987.052886552272</v>
      </c>
      <c r="T108" s="2"/>
      <c r="U108" s="2">
        <f>([412]L!V108*'D(Ti_Audétat23) Times'!$F108*0.000001)^2/(4*'D(Ti_Audétat23) Times'!$C108)/(365.35*24*3600)</f>
        <v>74322.206361316858</v>
      </c>
      <c r="V108" s="2">
        <f>([412]L!W108*'D(Ti_Audétat23) Times'!$F108*0.000001)^2/(4*'D(Ti_Audétat23) Times'!$C108)/(365.35*24*3600)</f>
        <v>64700.175639801506</v>
      </c>
      <c r="W108" s="2">
        <f>([412]L!X108*'D(Ti_Audétat23) Times'!$F108*0.000001)^2/(4*'D(Ti_Audétat23) Times'!$C108)/(365.35*24*3600)</f>
        <v>68965.464565457864</v>
      </c>
      <c r="X108" s="2"/>
      <c r="Y108" s="2">
        <f>([412]L!Z108*'D(Ti_Audétat23) Times'!$F108*0.000001)^2/(4*'D(Ti_Audétat23) Times'!$C108)/(365.35*24*3600)</f>
        <v>69966.035497751742</v>
      </c>
      <c r="Z108" s="2">
        <f>([412]L!AB108*'D(Ti_Audétat23) Times'!$F108*0.000001)^2/(4*'D(Ti_Audétat23) Times'!$C108)/(365.35*24*3600)</f>
        <v>69163.684662268177</v>
      </c>
      <c r="AA108" s="2">
        <f>([412]L!AC108*'D(Ti_Audétat23) Times'!$F108*0.000001)^2/(4*'D(Ti_Audétat23) Times'!$C108)/(365.35*24*3600)</f>
        <v>2480.6119878687646</v>
      </c>
      <c r="AB108" s="2">
        <f>([412]L!AD108*'D(Ti_Audétat23) Times'!$F108*0.000001)^2/(4*'D(Ti_Audétat23) Times'!$C108)/(365.35*24*3600)</f>
        <v>214512.25752701089</v>
      </c>
      <c r="AC108" s="2">
        <f t="shared" si="5"/>
        <v>66683.072674399416</v>
      </c>
      <c r="AD108" s="2">
        <f t="shared" si="6"/>
        <v>145348.57286474272</v>
      </c>
    </row>
    <row r="109" spans="1:30" x14ac:dyDescent="0.2">
      <c r="A109" t="str">
        <f>[412]L!A109</f>
        <v>CGI008-qtz03-CL-fit-2-offset</v>
      </c>
      <c r="B109">
        <v>750</v>
      </c>
      <c r="C109">
        <f t="shared" si="7"/>
        <v>1.1456341375347871E-23</v>
      </c>
      <c r="D109">
        <v>2800</v>
      </c>
      <c r="E109">
        <v>1024</v>
      </c>
      <c r="F109">
        <f>D109/E109</f>
        <v>2.734375</v>
      </c>
      <c r="I109" s="2">
        <f>([412]L!J109*'D(Ti_Audétat23) Times'!$F109*0.000001)^2/(4*'D(Ti_Audétat23) Times'!$C109)/(365.35*24*3600)</f>
        <v>32860.717530892813</v>
      </c>
      <c r="J109" s="2">
        <f>([412]L!K109*'D(Ti_Audétat23) Times'!$F109*0.000001)^2/(4*'D(Ti_Audétat23) Times'!$C109)/(365.35*24*3600)</f>
        <v>85354.145672692146</v>
      </c>
      <c r="K109" s="2">
        <f>([412]L!L109*'D(Ti_Audétat23) Times'!$F109*0.000001)^2/(4*'D(Ti_Audétat23) Times'!$C109)/(365.35*24*3600)</f>
        <v>107.04376034584075</v>
      </c>
      <c r="L109" s="2">
        <f>([412]L!M109*'D(Ti_Audétat23) Times'!$F109*0.000001)^2/(4*'D(Ti_Audétat23) Times'!$C109)/(365.35*24*3600)</f>
        <v>36.771869707334176</v>
      </c>
      <c r="M109" s="2">
        <f>([412]L!N109*'D(Ti_Audétat23) Times'!$F109*0.000001)^2/(4*'D(Ti_Audétat23) Times'!$C109)/(365.35*24*3600)</f>
        <v>22980.594330194312</v>
      </c>
      <c r="N109" s="2">
        <f>([412]L!O109*'D(Ti_Audétat23) Times'!$F109*0.000001)^2/(4*'D(Ti_Audétat23) Times'!$C109)/(365.35*24*3600)</f>
        <v>7598.2612207884276</v>
      </c>
      <c r="O109" s="2">
        <f>([412]L!P109*'D(Ti_Audétat23) Times'!$F109*0.000001)^2/(4*'D(Ti_Audétat23) Times'!$C109)/(365.35*24*3600)</f>
        <v>18344.070002841025</v>
      </c>
      <c r="P109" s="2">
        <f>([412]L!Q109*'D(Ti_Audétat23) Times'!$F109*0.000001)^2/(4*'D(Ti_Audétat23) Times'!$C109)/(365.35*24*3600)</f>
        <v>174.96497990602026</v>
      </c>
      <c r="Q109" s="2">
        <f>([412]L!R109*'D(Ti_Audétat23) Times'!$F109*0.000001)^2/(4*'D(Ti_Audétat23) Times'!$C109)/(365.35*24*3600)</f>
        <v>75869.996595567267</v>
      </c>
      <c r="R109" s="2">
        <f>([412]L!S109*'D(Ti_Audétat23) Times'!$F109*0.000001)^2/(4*'D(Ti_Audétat23) Times'!$C109)/(365.35*24*3600)</f>
        <v>84183.269330941068</v>
      </c>
      <c r="S109" s="2">
        <f>([412]L!T109*'D(Ti_Audétat23) Times'!$F109*0.000001)^2/(4*'D(Ti_Audétat23) Times'!$C109)/(365.35*24*3600)</f>
        <v>8796.0945713155143</v>
      </c>
      <c r="T109" s="2"/>
      <c r="U109" s="2">
        <f>([412]L!V109*'D(Ti_Audétat23) Times'!$F109*0.000001)^2/(4*'D(Ti_Audétat23) Times'!$C109)/(365.35*24*3600)</f>
        <v>41116.776566085951</v>
      </c>
      <c r="V109" s="2">
        <f>([412]L!W109*'D(Ti_Audétat23) Times'!$F109*0.000001)^2/(4*'D(Ti_Audétat23) Times'!$C109)/(365.35*24*3600)</f>
        <v>19514.695648510136</v>
      </c>
      <c r="W109" s="2">
        <f>([412]L!X109*'D(Ti_Audétat23) Times'!$F109*0.000001)^2/(4*'D(Ti_Audétat23) Times'!$C109)/(365.35*24*3600)</f>
        <v>18344.070002841025</v>
      </c>
      <c r="X109" s="2"/>
      <c r="Y109" s="2">
        <f>([412]L!Z109*'D(Ti_Audétat23) Times'!$F109*0.000001)^2/(4*'D(Ti_Audétat23) Times'!$C109)/(365.35*24*3600)</f>
        <v>42788.980651686499</v>
      </c>
      <c r="Z109" s="2">
        <f>([412]L!AB109*'D(Ti_Audétat23) Times'!$F109*0.000001)^2/(4*'D(Ti_Audétat23) Times'!$C109)/(365.35*24*3600)</f>
        <v>48848.08674834609</v>
      </c>
      <c r="AA109" s="2">
        <f>([412]L!AC109*'D(Ti_Audétat23) Times'!$F109*0.000001)^2/(4*'D(Ti_Audétat23) Times'!$C109)/(365.35*24*3600)</f>
        <v>261.33270294852588</v>
      </c>
      <c r="AB109" s="2">
        <f>([412]L!AD109*'D(Ti_Audétat23) Times'!$F109*0.000001)^2/(4*'D(Ti_Audétat23) Times'!$C109)/(365.35*24*3600)</f>
        <v>302769.53670118441</v>
      </c>
      <c r="AC109" s="2">
        <f t="shared" si="5"/>
        <v>48586.754045397567</v>
      </c>
      <c r="AD109" s="2">
        <f t="shared" si="6"/>
        <v>253921.4499528383</v>
      </c>
    </row>
    <row r="110" spans="1:30" x14ac:dyDescent="0.2">
      <c r="A110" t="str">
        <f>[412]L!A110</f>
        <v>CGI008-qtz03-CL-fit-3-offset</v>
      </c>
      <c r="B110">
        <v>750</v>
      </c>
      <c r="C110">
        <f t="shared" si="7"/>
        <v>1.1456341375347871E-23</v>
      </c>
      <c r="D110">
        <v>2800</v>
      </c>
      <c r="E110">
        <v>1024</v>
      </c>
      <c r="F110">
        <f t="shared" si="4"/>
        <v>2.734375</v>
      </c>
      <c r="I110" s="2">
        <f>([412]L!J110*'D(Ti_Audétat23) Times'!$F110*0.000001)^2/(4*'D(Ti_Audétat23) Times'!$C110)/(365.35*24*3600)</f>
        <v>63111.616628045434</v>
      </c>
      <c r="J110" s="2">
        <f>([412]L!K110*'D(Ti_Audétat23) Times'!$F110*0.000001)^2/(4*'D(Ti_Audétat23) Times'!$C110)/(365.35*24*3600)</f>
        <v>9853.4331495075276</v>
      </c>
      <c r="K110" s="2">
        <f>([412]L!L110*'D(Ti_Audétat23) Times'!$F110*0.000001)^2/(4*'D(Ti_Audétat23) Times'!$C110)/(365.35*24*3600)</f>
        <v>4159.2988310083365</v>
      </c>
      <c r="L110" s="2">
        <f>([412]L!M110*'D(Ti_Audétat23) Times'!$F110*0.000001)^2/(4*'D(Ti_Audétat23) Times'!$C110)/(365.35*24*3600)</f>
        <v>32330.969017485881</v>
      </c>
      <c r="M110" s="2">
        <f>([412]L!N110*'D(Ti_Audétat23) Times'!$F110*0.000001)^2/(4*'D(Ti_Audétat23) Times'!$C110)/(365.35*24*3600)</f>
        <v>17103.062615539369</v>
      </c>
      <c r="N110" s="2">
        <f>([412]L!O110*'D(Ti_Audétat23) Times'!$F110*0.000001)^2/(4*'D(Ti_Audétat23) Times'!$C110)/(365.35*24*3600)</f>
        <v>16634.37335512392</v>
      </c>
      <c r="O110" s="2">
        <f>([412]L!P110*'D(Ti_Audétat23) Times'!$F110*0.000001)^2/(4*'D(Ti_Audétat23) Times'!$C110)/(365.35*24*3600)</f>
        <v>20101.077604420545</v>
      </c>
      <c r="P110" s="2">
        <f>([412]L!Q110*'D(Ti_Audétat23) Times'!$F110*0.000001)^2/(4*'D(Ti_Audétat23) Times'!$C110)/(365.35*24*3600)</f>
        <v>21517.56705772315</v>
      </c>
      <c r="Q110" s="2">
        <f>([412]L!R110*'D(Ti_Audétat23) Times'!$F110*0.000001)^2/(4*'D(Ti_Audétat23) Times'!$C110)/(365.35*24*3600)</f>
        <v>29768.255338107632</v>
      </c>
      <c r="R110" s="2">
        <f>([412]L!S110*'D(Ti_Audétat23) Times'!$F110*0.000001)^2/(4*'D(Ti_Audétat23) Times'!$C110)/(365.35*24*3600)</f>
        <v>18380.541179223106</v>
      </c>
      <c r="S110" s="2">
        <f>([412]L!T110*'D(Ti_Audétat23) Times'!$F110*0.000001)^2/(4*'D(Ti_Audétat23) Times'!$C110)/(365.35*24*3600)</f>
        <v>29463.006778107316</v>
      </c>
      <c r="T110" s="2"/>
      <c r="U110" s="2">
        <f>([412]L!V110*'D(Ti_Audétat23) Times'!$F110*0.000001)^2/(4*'D(Ti_Audétat23) Times'!$C110)/(365.35*24*3600)</f>
        <v>15571.567917847775</v>
      </c>
      <c r="V110" s="2">
        <f>([412]L!W110*'D(Ti_Audétat23) Times'!$F110*0.000001)^2/(4*'D(Ti_Audétat23) Times'!$C110)/(365.35*24*3600)</f>
        <v>21763.303355396183</v>
      </c>
      <c r="W110" s="2">
        <f>([412]L!X110*'D(Ti_Audétat23) Times'!$F110*0.000001)^2/(4*'D(Ti_Audétat23) Times'!$C110)/(365.35*24*3600)</f>
        <v>20101.077604420545</v>
      </c>
      <c r="X110" s="2"/>
      <c r="Y110" s="2">
        <f>([412]L!Z110*'D(Ti_Audétat23) Times'!$F110*0.000001)^2/(4*'D(Ti_Audétat23) Times'!$C110)/(365.35*24*3600)</f>
        <v>14656.064367196996</v>
      </c>
      <c r="Z110" s="2">
        <f>([412]L!AB110*'D(Ti_Audétat23) Times'!$F110*0.000001)^2/(4*'D(Ti_Audétat23) Times'!$C110)/(365.35*24*3600)</f>
        <v>14711.216825350284</v>
      </c>
      <c r="AA110" s="2">
        <f>([412]L!AC110*'D(Ti_Audétat23) Times'!$F110*0.000001)^2/(4*'D(Ti_Audétat23) Times'!$C110)/(365.35*24*3600)</f>
        <v>3019.4222153706132</v>
      </c>
      <c r="AB110" s="2">
        <f>([412]L!AD110*'D(Ti_Audétat23) Times'!$F110*0.000001)^2/(4*'D(Ti_Audétat23) Times'!$C110)/(365.35*24*3600)</f>
        <v>38604.760131775955</v>
      </c>
      <c r="AC110" s="2">
        <f t="shared" si="5"/>
        <v>11691.794609979672</v>
      </c>
      <c r="AD110" s="2">
        <f t="shared" si="6"/>
        <v>23893.543306425672</v>
      </c>
    </row>
    <row r="111" spans="1:30" x14ac:dyDescent="0.2">
      <c r="A111" t="str">
        <f>[412]L!A111</f>
        <v>CGI008-qtz03-CL-fit-4-offset</v>
      </c>
      <c r="B111">
        <v>750</v>
      </c>
      <c r="C111">
        <f t="shared" si="7"/>
        <v>1.1456341375347871E-23</v>
      </c>
      <c r="D111">
        <v>2800</v>
      </c>
      <c r="E111">
        <v>1024</v>
      </c>
      <c r="F111">
        <f t="shared" si="4"/>
        <v>2.734375</v>
      </c>
      <c r="I111" s="2">
        <f>([412]L!J111*'D(Ti_Audétat23) Times'!$F111*0.000001)^2/(4*'D(Ti_Audétat23) Times'!$C111)/(365.35*24*3600)</f>
        <v>0.15694323896520804</v>
      </c>
      <c r="J111" s="2">
        <f>([412]L!K111*'D(Ti_Audétat23) Times'!$F111*0.000001)^2/(4*'D(Ti_Audétat23) Times'!$C111)/(365.35*24*3600)</f>
        <v>2736.1871908606436</v>
      </c>
      <c r="K111" s="2">
        <f>([412]L!L111*'D(Ti_Audétat23) Times'!$F111*0.000001)^2/(4*'D(Ti_Audétat23) Times'!$C111)/(365.35*24*3600)</f>
        <v>27637.337347265275</v>
      </c>
      <c r="L111" s="2">
        <f>([412]L!M111*'D(Ti_Audétat23) Times'!$F111*0.000001)^2/(4*'D(Ti_Audétat23) Times'!$C111)/(365.35*24*3600)</f>
        <v>50295.119841680826</v>
      </c>
      <c r="M111" s="2">
        <f>([412]L!N111*'D(Ti_Audétat23) Times'!$F111*0.000001)^2/(4*'D(Ti_Audétat23) Times'!$C111)/(365.35*24*3600)</f>
        <v>2082.6591455967955</v>
      </c>
      <c r="N111" s="2">
        <f>([412]L!O111*'D(Ti_Audétat23) Times'!$F111*0.000001)^2/(4*'D(Ti_Audétat23) Times'!$C111)/(365.35*24*3600)</f>
        <v>1502.2984493603892</v>
      </c>
      <c r="O111" s="2">
        <f>([412]L!P111*'D(Ti_Audétat23) Times'!$F111*0.000001)^2/(4*'D(Ti_Audétat23) Times'!$C111)/(365.35*24*3600)</f>
        <v>2217.6792684791671</v>
      </c>
      <c r="P111" s="2">
        <f>([412]L!Q111*'D(Ti_Audétat23) Times'!$F111*0.000001)^2/(4*'D(Ti_Audétat23) Times'!$C111)/(365.35*24*3600)</f>
        <v>11.631841752859529</v>
      </c>
      <c r="Q111" s="2">
        <f>([412]L!R111*'D(Ti_Audétat23) Times'!$F111*0.000001)^2/(4*'D(Ti_Audétat23) Times'!$C111)/(365.35*24*3600)</f>
        <v>187.94336586908764</v>
      </c>
      <c r="R111" s="2">
        <f>([412]L!S111*'D(Ti_Audétat23) Times'!$F111*0.000001)^2/(4*'D(Ti_Audétat23) Times'!$C111)/(365.35*24*3600)</f>
        <v>3634.2820936844232</v>
      </c>
      <c r="S111" s="2">
        <f>([412]L!T111*'D(Ti_Audétat23) Times'!$F111*0.000001)^2/(4*'D(Ti_Audétat23) Times'!$C111)/(365.35*24*3600)</f>
        <v>7642.6239404638709</v>
      </c>
      <c r="T111" s="2"/>
      <c r="U111" s="2">
        <f>([412]L!V111*'D(Ti_Audétat23) Times'!$F111*0.000001)^2/(4*'D(Ti_Audétat23) Times'!$C111)/(365.35*24*3600)</f>
        <v>232.13623431890574</v>
      </c>
      <c r="V111" s="2">
        <f>([412]L!W111*'D(Ti_Audétat23) Times'!$F111*0.000001)^2/(4*'D(Ti_Audétat23) Times'!$C111)/(365.35*24*3600)</f>
        <v>4519.8739142272898</v>
      </c>
      <c r="W111" s="2">
        <f>([412]L!X111*'D(Ti_Audétat23) Times'!$F111*0.000001)^2/(4*'D(Ti_Audétat23) Times'!$C111)/(365.35*24*3600)</f>
        <v>2217.6792684791671</v>
      </c>
      <c r="X111" s="2"/>
      <c r="Y111" s="2">
        <f>([412]L!Z111*'D(Ti_Audétat23) Times'!$F111*0.000001)^2/(4*'D(Ti_Audétat23) Times'!$C111)/(365.35*24*3600)</f>
        <v>213.44405910775583</v>
      </c>
      <c r="Z111" s="2">
        <f>([412]L!AB111*'D(Ti_Audétat23) Times'!$F111*0.000001)^2/(4*'D(Ti_Audétat23) Times'!$C111)/(365.35*24*3600)</f>
        <v>1563.4653657499516</v>
      </c>
      <c r="AA111" s="2">
        <f>([412]L!AC111*'D(Ti_Audétat23) Times'!$F111*0.000001)^2/(4*'D(Ti_Audétat23) Times'!$C111)/(365.35*24*3600)</f>
        <v>1.3252494867350866E-11</v>
      </c>
      <c r="AB111" s="2">
        <f>([412]L!AD111*'D(Ti_Audétat23) Times'!$F111*0.000001)^2/(4*'D(Ti_Audétat23) Times'!$C111)/(365.35*24*3600)</f>
        <v>126821.95998793667</v>
      </c>
      <c r="AC111" s="2">
        <f t="shared" si="5"/>
        <v>1563.4653657499384</v>
      </c>
      <c r="AD111" s="2">
        <f t="shared" si="6"/>
        <v>125258.49462218671</v>
      </c>
    </row>
    <row r="112" spans="1:30" x14ac:dyDescent="0.2">
      <c r="A112" t="str">
        <f>[412]L!A112</f>
        <v>CGI008-qtz04-CL-fit-1-offset</v>
      </c>
      <c r="B112">
        <v>750</v>
      </c>
      <c r="C112">
        <f t="shared" si="7"/>
        <v>1.1456341375347871E-23</v>
      </c>
      <c r="D112">
        <v>2700</v>
      </c>
      <c r="E112">
        <v>1024</v>
      </c>
      <c r="F112">
        <f t="shared" si="4"/>
        <v>2.63671875</v>
      </c>
      <c r="I112" s="2">
        <f>([412]L!J112*'D(Ti_Audétat23) Times'!$F112*0.000001)^2/(4*'D(Ti_Audétat23) Times'!$C112)/(365.35*24*3600)</f>
        <v>5.3034612434915135E-12</v>
      </c>
      <c r="J112" s="2">
        <f>([412]L!K112*'D(Ti_Audétat23) Times'!$F112*0.000001)^2/(4*'D(Ti_Audétat23) Times'!$C112)/(365.35*24*3600)</f>
        <v>49.312338036723069</v>
      </c>
      <c r="K112" s="2">
        <f>([412]L!L112*'D(Ti_Audétat23) Times'!$F112*0.000001)^2/(4*'D(Ti_Audétat23) Times'!$C112)/(365.35*24*3600)</f>
        <v>9894.5718509468152</v>
      </c>
      <c r="L112" s="2">
        <f>([412]L!M112*'D(Ti_Audétat23) Times'!$F112*0.000001)^2/(4*'D(Ti_Audétat23) Times'!$C112)/(365.35*24*3600)</f>
        <v>56487.900900271699</v>
      </c>
      <c r="M112" s="2">
        <f>([412]L!N112*'D(Ti_Audétat23) Times'!$F112*0.000001)^2/(4*'D(Ti_Audétat23) Times'!$C112)/(365.35*24*3600)</f>
        <v>7.774459267901463</v>
      </c>
      <c r="N112" s="2">
        <f>([412]L!O112*'D(Ti_Audétat23) Times'!$F112*0.000001)^2/(4*'D(Ti_Audétat23) Times'!$C112)/(365.35*24*3600)</f>
        <v>6891.4621219912151</v>
      </c>
      <c r="O112" s="2">
        <f>([412]L!P112*'D(Ti_Audétat23) Times'!$F112*0.000001)^2/(4*'D(Ti_Audétat23) Times'!$C112)/(365.35*24*3600)</f>
        <v>286.84534294513605</v>
      </c>
      <c r="P112" s="2">
        <f>([412]L!Q112*'D(Ti_Audétat23) Times'!$F112*0.000001)^2/(4*'D(Ti_Audétat23) Times'!$C112)/(365.35*24*3600)</f>
        <v>3.1913191621237278</v>
      </c>
      <c r="Q112" s="2">
        <f>([412]L!R112*'D(Ti_Audétat23) Times'!$F112*0.000001)^2/(4*'D(Ti_Audétat23) Times'!$C112)/(365.35*24*3600)</f>
        <v>5568.9127542517272</v>
      </c>
      <c r="R112" s="2">
        <f>([412]L!S112*'D(Ti_Audétat23) Times'!$F112*0.000001)^2/(4*'D(Ti_Audétat23) Times'!$C112)/(365.35*24*3600)</f>
        <v>13060.398924740255</v>
      </c>
      <c r="S112" s="2">
        <f>([412]L!T112*'D(Ti_Audétat23) Times'!$F112*0.000001)^2/(4*'D(Ti_Audétat23) Times'!$C112)/(365.35*24*3600)</f>
        <v>25732.782654451203</v>
      </c>
      <c r="T112" s="2"/>
      <c r="U112" s="2">
        <f>([412]L!V112*'D(Ti_Audétat23) Times'!$F112*0.000001)^2/(4*'D(Ti_Audétat23) Times'!$C112)/(365.35*24*3600)</f>
        <v>6352.1985971856993</v>
      </c>
      <c r="V112" s="2">
        <f>([412]L!W112*'D(Ti_Audétat23) Times'!$F112*0.000001)^2/(4*'D(Ti_Audétat23) Times'!$C112)/(365.35*24*3600)</f>
        <v>5263.018028473457</v>
      </c>
      <c r="W112" s="2">
        <f>([412]L!X112*'D(Ti_Audétat23) Times'!$F112*0.000001)^2/(4*'D(Ti_Audétat23) Times'!$C112)/(365.35*24*3600)</f>
        <v>5568.9127542517272</v>
      </c>
      <c r="X112" s="2"/>
      <c r="Y112" s="2">
        <f>([412]L!Z112*'D(Ti_Audétat23) Times'!$F112*0.000001)^2/(4*'D(Ti_Audétat23) Times'!$C112)/(365.35*24*3600)</f>
        <v>1147.5360392253679</v>
      </c>
      <c r="Z112" s="2">
        <f>([412]L!AB112*'D(Ti_Audétat23) Times'!$F112*0.000001)^2/(4*'D(Ti_Audétat23) Times'!$C112)/(365.35*24*3600)</f>
        <v>3829.0004425831571</v>
      </c>
      <c r="AA112" s="2">
        <f>([412]L!AC112*'D(Ti_Audétat23) Times'!$F112*0.000001)^2/(4*'D(Ti_Audétat23) Times'!$C112)/(365.35*24*3600)</f>
        <v>3.4351016472189081E-11</v>
      </c>
      <c r="AB112" s="2">
        <f>([412]L!AD112*'D(Ti_Audétat23) Times'!$F112*0.000001)^2/(4*'D(Ti_Audétat23) Times'!$C112)/(365.35*24*3600)</f>
        <v>49154.911160709307</v>
      </c>
      <c r="AC112" s="2">
        <f t="shared" si="5"/>
        <v>3829.0004425831225</v>
      </c>
      <c r="AD112" s="2">
        <f t="shared" si="6"/>
        <v>45325.91071812615</v>
      </c>
    </row>
    <row r="113" spans="1:30" x14ac:dyDescent="0.2">
      <c r="A113" t="str">
        <f>[412]L!A113</f>
        <v>CGI008-qtz04-CL-fit-2-offset</v>
      </c>
      <c r="B113">
        <v>750</v>
      </c>
      <c r="C113">
        <f t="shared" si="7"/>
        <v>1.1456341375347871E-23</v>
      </c>
      <c r="D113">
        <v>2700</v>
      </c>
      <c r="E113">
        <v>1024</v>
      </c>
      <c r="F113">
        <f t="shared" si="4"/>
        <v>2.63671875</v>
      </c>
      <c r="I113" s="2">
        <f>([412]L!J113*'D(Ti_Audétat23) Times'!$F113*0.000001)^2/(4*'D(Ti_Audétat23) Times'!$C113)/(365.35*24*3600)</f>
        <v>82714.687517137296</v>
      </c>
      <c r="J113" s="2">
        <f>([412]L!K113*'D(Ti_Audétat23) Times'!$F113*0.000001)^2/(4*'D(Ti_Audétat23) Times'!$C113)/(365.35*24*3600)</f>
        <v>395519.41863643809</v>
      </c>
      <c r="K113" s="2">
        <f>([412]L!L113*'D(Ti_Audétat23) Times'!$F113*0.000001)^2/(4*'D(Ti_Audétat23) Times'!$C113)/(365.35*24*3600)</f>
        <v>14120.515957910218</v>
      </c>
      <c r="L113" s="2">
        <f>([412]L!M113*'D(Ti_Audétat23) Times'!$F113*0.000001)^2/(4*'D(Ti_Audétat23) Times'!$C113)/(365.35*24*3600)</f>
        <v>309618.28263510676</v>
      </c>
      <c r="M113" s="2">
        <f>([412]L!N113*'D(Ti_Audétat23) Times'!$F113*0.000001)^2/(4*'D(Ti_Audétat23) Times'!$C113)/(365.35*24*3600)</f>
        <v>92918.354037635901</v>
      </c>
      <c r="N113" s="2">
        <f>([412]L!O113*'D(Ti_Audétat23) Times'!$F113*0.000001)^2/(4*'D(Ti_Audétat23) Times'!$C113)/(365.35*24*3600)</f>
        <v>173863.54626012911</v>
      </c>
      <c r="O113" s="2">
        <f>([412]L!P113*'D(Ti_Audétat23) Times'!$F113*0.000001)^2/(4*'D(Ti_Audétat23) Times'!$C113)/(365.35*24*3600)</f>
        <v>31508.026815265188</v>
      </c>
      <c r="P113" s="2">
        <f>([412]L!Q113*'D(Ti_Audétat23) Times'!$F113*0.000001)^2/(4*'D(Ti_Audétat23) Times'!$C113)/(365.35*24*3600)</f>
        <v>301734.9978645629</v>
      </c>
      <c r="Q113" s="2">
        <f>([412]L!R113*'D(Ti_Audétat23) Times'!$F113*0.000001)^2/(4*'D(Ti_Audétat23) Times'!$C113)/(365.35*24*3600)</f>
        <v>15152.062312543088</v>
      </c>
      <c r="R113" s="2">
        <f>([412]L!S113*'D(Ti_Audétat23) Times'!$F113*0.000001)^2/(4*'D(Ti_Audétat23) Times'!$C113)/(365.35*24*3600)</f>
        <v>243611.91772836103</v>
      </c>
      <c r="S113" s="2">
        <f>([412]L!T113*'D(Ti_Audétat23) Times'!$F113*0.000001)^2/(4*'D(Ti_Audétat23) Times'!$C113)/(365.35*24*3600)</f>
        <v>108890.79177064418</v>
      </c>
      <c r="T113" s="2"/>
      <c r="U113" s="2">
        <f>([412]L!V113*'D(Ti_Audétat23) Times'!$F113*0.000001)^2/(4*'D(Ti_Audétat23) Times'!$C113)/(365.35*24*3600)</f>
        <v>111376.36266290695</v>
      </c>
      <c r="V113" s="2">
        <f>([412]L!W113*'D(Ti_Audétat23) Times'!$F113*0.000001)^2/(4*'D(Ti_Audétat23) Times'!$C113)/(365.35*24*3600)</f>
        <v>131374.76865225367</v>
      </c>
      <c r="W113" s="2">
        <f>([412]L!X113*'D(Ti_Audétat23) Times'!$F113*0.000001)^2/(4*'D(Ti_Audétat23) Times'!$C113)/(365.35*24*3600)</f>
        <v>108890.79177064418</v>
      </c>
      <c r="X113" s="2"/>
      <c r="Y113" s="2">
        <f>([412]L!Z113*'D(Ti_Audétat23) Times'!$F113*0.000001)^2/(4*'D(Ti_Audétat23) Times'!$C113)/(365.35*24*3600)</f>
        <v>106230.76779689061</v>
      </c>
      <c r="Z113" s="2">
        <f>([412]L!AB113*'D(Ti_Audétat23) Times'!$F113*0.000001)^2/(4*'D(Ti_Audétat23) Times'!$C113)/(365.35*24*3600)</f>
        <v>106907.26897150501</v>
      </c>
      <c r="AA113" s="2">
        <f>([412]L!AC113*'D(Ti_Audétat23) Times'!$F113*0.000001)^2/(4*'D(Ti_Audétat23) Times'!$C113)/(365.35*24*3600)</f>
        <v>9021.3275908338237</v>
      </c>
      <c r="AB113" s="2">
        <f>([412]L!AD113*'D(Ti_Audétat23) Times'!$F113*0.000001)^2/(4*'D(Ti_Audétat23) Times'!$C113)/(365.35*24*3600)</f>
        <v>311198.44942225929</v>
      </c>
      <c r="AC113" s="2">
        <f t="shared" si="5"/>
        <v>97885.941380671182</v>
      </c>
      <c r="AD113" s="2">
        <f t="shared" si="6"/>
        <v>204291.1804507543</v>
      </c>
    </row>
    <row r="114" spans="1:30" x14ac:dyDescent="0.2">
      <c r="A114" t="str">
        <f>[412]L!A114</f>
        <v>CGI008-qtz04-CL-fit-3-offset</v>
      </c>
      <c r="B114">
        <v>750</v>
      </c>
      <c r="C114">
        <f t="shared" si="7"/>
        <v>1.1456341375347871E-23</v>
      </c>
      <c r="D114">
        <v>2700</v>
      </c>
      <c r="E114">
        <v>1024</v>
      </c>
      <c r="F114">
        <f t="shared" si="4"/>
        <v>2.63671875</v>
      </c>
      <c r="I114" s="2">
        <f>([412]L!J114*'D(Ti_Audétat23) Times'!$F114*0.000001)^2/(4*'D(Ti_Audétat23) Times'!$C114)/(365.35*24*3600)</f>
        <v>282611.8461559104</v>
      </c>
      <c r="J114" s="2">
        <f>([412]L!K114*'D(Ti_Audétat23) Times'!$F114*0.000001)^2/(4*'D(Ti_Audétat23) Times'!$C114)/(365.35*24*3600)</f>
        <v>183806.75794142744</v>
      </c>
      <c r="K114" s="2">
        <f>([412]L!L114*'D(Ti_Audétat23) Times'!$F114*0.000001)^2/(4*'D(Ti_Audétat23) Times'!$C114)/(365.35*24*3600)</f>
        <v>174862.83858529141</v>
      </c>
      <c r="L114" s="2">
        <f>([412]L!M114*'D(Ti_Audétat23) Times'!$F114*0.000001)^2/(4*'D(Ti_Audétat23) Times'!$C114)/(365.35*24*3600)</f>
        <v>49316.279695830053</v>
      </c>
      <c r="M114" s="2">
        <f>([412]L!N114*'D(Ti_Audétat23) Times'!$F114*0.000001)^2/(4*'D(Ti_Audétat23) Times'!$C114)/(365.35*24*3600)</f>
        <v>67095.334573882137</v>
      </c>
      <c r="N114" s="2">
        <f>([412]L!O114*'D(Ti_Audétat23) Times'!$F114*0.000001)^2/(4*'D(Ti_Audétat23) Times'!$C114)/(365.35*24*3600)</f>
        <v>253235.32807791283</v>
      </c>
      <c r="O114" s="2">
        <f>([412]L!P114*'D(Ti_Audétat23) Times'!$F114*0.000001)^2/(4*'D(Ti_Audétat23) Times'!$C114)/(365.35*24*3600)</f>
        <v>142140.10838541805</v>
      </c>
      <c r="P114" s="2">
        <f>([412]L!Q114*'D(Ti_Audétat23) Times'!$F114*0.000001)^2/(4*'D(Ti_Audétat23) Times'!$C114)/(365.35*24*3600)</f>
        <v>167429.36649844769</v>
      </c>
      <c r="Q114" s="2">
        <f>([412]L!R114*'D(Ti_Audétat23) Times'!$F114*0.000001)^2/(4*'D(Ti_Audétat23) Times'!$C114)/(365.35*24*3600)</f>
        <v>156444.99840052688</v>
      </c>
      <c r="R114" s="2">
        <f>([412]L!S114*'D(Ti_Audétat23) Times'!$F114*0.000001)^2/(4*'D(Ti_Audétat23) Times'!$C114)/(365.35*24*3600)</f>
        <v>26694.66809850869</v>
      </c>
      <c r="S114" s="2">
        <f>([412]L!T114*'D(Ti_Audétat23) Times'!$F114*0.000001)^2/(4*'D(Ti_Audétat23) Times'!$C114)/(365.35*24*3600)</f>
        <v>15983.70465517232</v>
      </c>
      <c r="T114" s="2"/>
      <c r="U114" s="2">
        <f>([412]L!V114*'D(Ti_Audétat23) Times'!$F114*0.000001)^2/(4*'D(Ti_Audétat23) Times'!$C114)/(365.35*24*3600)</f>
        <v>124927.69820160691</v>
      </c>
      <c r="V114" s="2">
        <f>([412]L!W114*'D(Ti_Audétat23) Times'!$F114*0.000001)^2/(4*'D(Ti_Audétat23) Times'!$C114)/(365.35*24*3600)</f>
        <v>121507.36956285279</v>
      </c>
      <c r="W114" s="2">
        <f>([412]L!X114*'D(Ti_Audétat23) Times'!$F114*0.000001)^2/(4*'D(Ti_Audétat23) Times'!$C114)/(365.35*24*3600)</f>
        <v>156444.99840052688</v>
      </c>
      <c r="X114" s="2"/>
      <c r="Y114" s="2">
        <f>([412]L!Z114*'D(Ti_Audétat23) Times'!$F114*0.000001)^2/(4*'D(Ti_Audétat23) Times'!$C114)/(365.35*24*3600)</f>
        <v>134915.62622563899</v>
      </c>
      <c r="Z114" s="2">
        <f>([412]L!AB114*'D(Ti_Audétat23) Times'!$F114*0.000001)^2/(4*'D(Ti_Audétat23) Times'!$C114)/(365.35*24*3600)</f>
        <v>135294.18434793336</v>
      </c>
      <c r="AA114" s="2">
        <f>([412]L!AC114*'D(Ti_Audétat23) Times'!$F114*0.000001)^2/(4*'D(Ti_Audétat23) Times'!$C114)/(365.35*24*3600)</f>
        <v>13752.792616292272</v>
      </c>
      <c r="AB114" s="2">
        <f>([412]L!AD114*'D(Ti_Audétat23) Times'!$F114*0.000001)^2/(4*'D(Ti_Audétat23) Times'!$C114)/(365.35*24*3600)</f>
        <v>363787.91219562537</v>
      </c>
      <c r="AC114" s="2">
        <f t="shared" si="5"/>
        <v>121541.3917316411</v>
      </c>
      <c r="AD114" s="2">
        <f t="shared" si="6"/>
        <v>228493.727847692</v>
      </c>
    </row>
    <row r="115" spans="1:30" x14ac:dyDescent="0.2">
      <c r="A115" t="str">
        <f>[412]L!A115</f>
        <v>CGI008-qtz05-CL-fit-1-offset</v>
      </c>
      <c r="B115">
        <v>750</v>
      </c>
      <c r="C115">
        <f t="shared" si="7"/>
        <v>1.1456341375347871E-23</v>
      </c>
      <c r="D115">
        <v>1450</v>
      </c>
      <c r="E115">
        <v>1024</v>
      </c>
      <c r="F115">
        <f t="shared" si="4"/>
        <v>1.416015625</v>
      </c>
      <c r="I115" s="2">
        <f>([412]L!J115*'D(Ti_Audétat23) Times'!$F115*0.000001)^2/(4*'D(Ti_Audétat23) Times'!$C115)/(365.35*24*3600)</f>
        <v>18016.476006797562</v>
      </c>
      <c r="J115" s="2">
        <f>([412]L!K115*'D(Ti_Audétat23) Times'!$F115*0.000001)^2/(4*'D(Ti_Audétat23) Times'!$C115)/(365.35*24*3600)</f>
        <v>17302.935153711529</v>
      </c>
      <c r="K115" s="2">
        <f>([412]L!L115*'D(Ti_Audétat23) Times'!$F115*0.000001)^2/(4*'D(Ti_Audétat23) Times'!$C115)/(365.35*24*3600)</f>
        <v>21556.831926920848</v>
      </c>
      <c r="L115" s="2">
        <f>([412]L!M115*'D(Ti_Audétat23) Times'!$F115*0.000001)^2/(4*'D(Ti_Audétat23) Times'!$C115)/(365.35*24*3600)</f>
        <v>8810.5930083845524</v>
      </c>
      <c r="M115" s="2">
        <f>([412]L!N115*'D(Ti_Audétat23) Times'!$F115*0.000001)^2/(4*'D(Ti_Audétat23) Times'!$C115)/(365.35*24*3600)</f>
        <v>26412.337853495919</v>
      </c>
      <c r="N115" s="2">
        <f>([412]L!O115*'D(Ti_Audétat23) Times'!$F115*0.000001)^2/(4*'D(Ti_Audétat23) Times'!$C115)/(365.35*24*3600)</f>
        <v>19559.808971508359</v>
      </c>
      <c r="O115" s="2">
        <f>([412]L!P115*'D(Ti_Audétat23) Times'!$F115*0.000001)^2/(4*'D(Ti_Audétat23) Times'!$C115)/(365.35*24*3600)</f>
        <v>10699.714896054747</v>
      </c>
      <c r="P115" s="2">
        <f>([412]L!Q115*'D(Ti_Audétat23) Times'!$F115*0.000001)^2/(4*'D(Ti_Audétat23) Times'!$C115)/(365.35*24*3600)</f>
        <v>11123.734260747015</v>
      </c>
      <c r="Q115" s="2">
        <f>([412]L!R115*'D(Ti_Audétat23) Times'!$F115*0.000001)^2/(4*'D(Ti_Audétat23) Times'!$C115)/(365.35*24*3600)</f>
        <v>1844.1584260052507</v>
      </c>
      <c r="R115" s="2">
        <f>([412]L!S115*'D(Ti_Audétat23) Times'!$F115*0.000001)^2/(4*'D(Ti_Audétat23) Times'!$C115)/(365.35*24*3600)</f>
        <v>9581.5448872434808</v>
      </c>
      <c r="S115" s="2">
        <f>([412]L!T115*'D(Ti_Audétat23) Times'!$F115*0.000001)^2/(4*'D(Ti_Audétat23) Times'!$C115)/(365.35*24*3600)</f>
        <v>9736.0668046372175</v>
      </c>
      <c r="T115" s="2"/>
      <c r="U115" s="2">
        <f>([412]L!V115*'D(Ti_Audétat23) Times'!$F115*0.000001)^2/(4*'D(Ti_Audétat23) Times'!$C115)/(365.35*24*3600)</f>
        <v>12899.324911626352</v>
      </c>
      <c r="V115" s="2">
        <f>([412]L!W115*'D(Ti_Audétat23) Times'!$F115*0.000001)^2/(4*'D(Ti_Audétat23) Times'!$C115)/(365.35*24*3600)</f>
        <v>13063.19114263082</v>
      </c>
      <c r="W115" s="2">
        <f>([412]L!X115*'D(Ti_Audétat23) Times'!$F115*0.000001)^2/(4*'D(Ti_Audétat23) Times'!$C115)/(365.35*24*3600)</f>
        <v>11123.734260747015</v>
      </c>
      <c r="X115" s="2"/>
      <c r="Y115" s="2">
        <f>([412]L!Z115*'D(Ti_Audétat23) Times'!$F115*0.000001)^2/(4*'D(Ti_Audétat23) Times'!$C115)/(365.35*24*3600)</f>
        <v>12008.54254178904</v>
      </c>
      <c r="Z115" s="2">
        <f>([412]L!AB115*'D(Ti_Audétat23) Times'!$F115*0.000001)^2/(4*'D(Ti_Audétat23) Times'!$C115)/(365.35*24*3600)</f>
        <v>11809.539590065051</v>
      </c>
      <c r="AA115" s="2">
        <f>([412]L!AC115*'D(Ti_Audétat23) Times'!$F115*0.000001)^2/(4*'D(Ti_Audétat23) Times'!$C115)/(365.35*24*3600)</f>
        <v>1893.819250046558</v>
      </c>
      <c r="AB115" s="2">
        <f>([412]L!AD115*'D(Ti_Audétat23) Times'!$F115*0.000001)^2/(4*'D(Ti_Audétat23) Times'!$C115)/(365.35*24*3600)</f>
        <v>25788.692000621504</v>
      </c>
      <c r="AC115" s="2">
        <f t="shared" si="5"/>
        <v>9915.7203400184935</v>
      </c>
      <c r="AD115" s="2">
        <f t="shared" si="6"/>
        <v>13979.152410556453</v>
      </c>
    </row>
    <row r="116" spans="1:30" x14ac:dyDescent="0.2">
      <c r="A116" t="str">
        <f>[412]L!A116</f>
        <v>CGI008-qtz05-CL-fit-2-offset</v>
      </c>
      <c r="B116">
        <v>750</v>
      </c>
      <c r="C116">
        <f t="shared" si="7"/>
        <v>1.1456341375347871E-23</v>
      </c>
      <c r="D116">
        <v>1450</v>
      </c>
      <c r="E116">
        <v>1024</v>
      </c>
      <c r="F116">
        <f t="shared" si="4"/>
        <v>1.416015625</v>
      </c>
      <c r="I116" s="2">
        <f>([412]L!J116*'D(Ti_Audétat23) Times'!$F116*0.000001)^2/(4*'D(Ti_Audétat23) Times'!$C116)/(365.35*24*3600)</f>
        <v>26961.626174257541</v>
      </c>
      <c r="J116" s="2">
        <f>([412]L!K116*'D(Ti_Audétat23) Times'!$F116*0.000001)^2/(4*'D(Ti_Audétat23) Times'!$C116)/(365.35*24*3600)</f>
        <v>10101.000945341228</v>
      </c>
      <c r="K116" s="2">
        <f>([412]L!L116*'D(Ti_Audétat23) Times'!$F116*0.000001)^2/(4*'D(Ti_Audétat23) Times'!$C116)/(365.35*24*3600)</f>
        <v>12756.016587690767</v>
      </c>
      <c r="L116" s="2">
        <f>([412]L!M116*'D(Ti_Audétat23) Times'!$F116*0.000001)^2/(4*'D(Ti_Audétat23) Times'!$C116)/(365.35*24*3600)</f>
        <v>1610.9758909831812</v>
      </c>
      <c r="M116" s="2">
        <f>([412]L!N116*'D(Ti_Audétat23) Times'!$F116*0.000001)^2/(4*'D(Ti_Audétat23) Times'!$C116)/(365.35*24*3600)</f>
        <v>13302.435499207177</v>
      </c>
      <c r="N116" s="2">
        <f>([412]L!O116*'D(Ti_Audétat23) Times'!$F116*0.000001)^2/(4*'D(Ti_Audétat23) Times'!$C116)/(365.35*24*3600)</f>
        <v>19536.900497229417</v>
      </c>
      <c r="O116" s="2">
        <f>([412]L!P116*'D(Ti_Audétat23) Times'!$F116*0.000001)^2/(4*'D(Ti_Audétat23) Times'!$C116)/(365.35*24*3600)</f>
        <v>32825.771328221308</v>
      </c>
      <c r="P116" s="2">
        <f>([412]L!Q116*'D(Ti_Audétat23) Times'!$F116*0.000001)^2/(4*'D(Ti_Audétat23) Times'!$C116)/(365.35*24*3600)</f>
        <v>11402.442337719698</v>
      </c>
      <c r="Q116" s="2">
        <f>([412]L!R116*'D(Ti_Audétat23) Times'!$F116*0.000001)^2/(4*'D(Ti_Audétat23) Times'!$C116)/(365.35*24*3600)</f>
        <v>104.58158841514694</v>
      </c>
      <c r="R116" s="2">
        <f>([412]L!S116*'D(Ti_Audétat23) Times'!$F116*0.000001)^2/(4*'D(Ti_Audétat23) Times'!$C116)/(365.35*24*3600)</f>
        <v>8968.0722150443635</v>
      </c>
      <c r="S116" s="2">
        <f>([412]L!T116*'D(Ti_Audétat23) Times'!$F116*0.000001)^2/(4*'D(Ti_Audétat23) Times'!$C116)/(365.35*24*3600)</f>
        <v>5723.2113878534055</v>
      </c>
      <c r="T116" s="2"/>
      <c r="U116" s="2">
        <f>([412]L!V116*'D(Ti_Audétat23) Times'!$F116*0.000001)^2/(4*'D(Ti_Audétat23) Times'!$C116)/(365.35*24*3600)</f>
        <v>11384.074822869212</v>
      </c>
      <c r="V116" s="2">
        <f>([412]L!W116*'D(Ti_Audétat23) Times'!$F116*0.000001)^2/(4*'D(Ti_Audétat23) Times'!$C116)/(365.35*24*3600)</f>
        <v>10767.51914178974</v>
      </c>
      <c r="W116" s="2">
        <f>([412]L!X116*'D(Ti_Audétat23) Times'!$F116*0.000001)^2/(4*'D(Ti_Audétat23) Times'!$C116)/(365.35*24*3600)</f>
        <v>11402.442337719698</v>
      </c>
      <c r="X116" s="2"/>
      <c r="Y116" s="2">
        <f>([412]L!Z116*'D(Ti_Audétat23) Times'!$F116*0.000001)^2/(4*'D(Ti_Audétat23) Times'!$C116)/(365.35*24*3600)</f>
        <v>10793.988097640475</v>
      </c>
      <c r="Z116" s="2">
        <f>([412]L!AB116*'D(Ti_Audétat23) Times'!$F116*0.000001)^2/(4*'D(Ti_Audétat23) Times'!$C116)/(365.35*24*3600)</f>
        <v>11760.822434203632</v>
      </c>
      <c r="AA116" s="2">
        <f>([412]L!AC116*'D(Ti_Audétat23) Times'!$F116*0.000001)^2/(4*'D(Ti_Audétat23) Times'!$C116)/(365.35*24*3600)</f>
        <v>593.97385530909571</v>
      </c>
      <c r="AB116" s="2">
        <f>([412]L!AD116*'D(Ti_Audétat23) Times'!$F116*0.000001)^2/(4*'D(Ti_Audétat23) Times'!$C116)/(365.35*24*3600)</f>
        <v>57084.975493408434</v>
      </c>
      <c r="AC116" s="2">
        <f t="shared" si="5"/>
        <v>11166.848578894536</v>
      </c>
      <c r="AD116" s="2">
        <f t="shared" si="6"/>
        <v>45324.1530592048</v>
      </c>
    </row>
    <row r="117" spans="1:30" x14ac:dyDescent="0.2">
      <c r="A117" t="str">
        <f>[412]L!A117</f>
        <v>CGI008-qtz05-CL-fit-3-offset</v>
      </c>
      <c r="B117">
        <v>750</v>
      </c>
      <c r="C117">
        <f t="shared" si="7"/>
        <v>1.1456341375347871E-23</v>
      </c>
      <c r="D117">
        <v>1450</v>
      </c>
      <c r="E117">
        <v>1024</v>
      </c>
      <c r="F117">
        <f t="shared" si="4"/>
        <v>1.416015625</v>
      </c>
      <c r="I117" s="2">
        <f>([412]L!J117*'D(Ti_Audétat23) Times'!$F117*0.000001)^2/(4*'D(Ti_Audétat23) Times'!$C117)/(365.35*24*3600)</f>
        <v>20456.351337281638</v>
      </c>
      <c r="J117" s="2">
        <f>([412]L!K117*'D(Ti_Audétat23) Times'!$F117*0.000001)^2/(4*'D(Ti_Audétat23) Times'!$C117)/(365.35*24*3600)</f>
        <v>12737.344203336363</v>
      </c>
      <c r="K117" s="2">
        <f>([412]L!L117*'D(Ti_Audétat23) Times'!$F117*0.000001)^2/(4*'D(Ti_Audétat23) Times'!$C117)/(365.35*24*3600)</f>
        <v>9752.4216958702</v>
      </c>
      <c r="L117" s="2">
        <f>([412]L!M117*'D(Ti_Audétat23) Times'!$F117*0.000001)^2/(4*'D(Ti_Audétat23) Times'!$C117)/(365.35*24*3600)</f>
        <v>2796.9154192742972</v>
      </c>
      <c r="M117" s="2">
        <f>([412]L!N117*'D(Ti_Audétat23) Times'!$F117*0.000001)^2/(4*'D(Ti_Audétat23) Times'!$C117)/(365.35*24*3600)</f>
        <v>1379.0879286554509</v>
      </c>
      <c r="N117" s="2">
        <f>([412]L!O117*'D(Ti_Audétat23) Times'!$F117*0.000001)^2/(4*'D(Ti_Audétat23) Times'!$C117)/(365.35*24*3600)</f>
        <v>10196.806237301793</v>
      </c>
      <c r="O117" s="2">
        <f>([412]L!P117*'D(Ti_Audétat23) Times'!$F117*0.000001)^2/(4*'D(Ti_Audétat23) Times'!$C117)/(365.35*24*3600)</f>
        <v>6926.0022590681574</v>
      </c>
      <c r="P117" s="2">
        <f>([412]L!Q117*'D(Ti_Audétat23) Times'!$F117*0.000001)^2/(4*'D(Ti_Audétat23) Times'!$C117)/(365.35*24*3600)</f>
        <v>6614.5368204253155</v>
      </c>
      <c r="Q117" s="2">
        <f>([412]L!R117*'D(Ti_Audétat23) Times'!$F117*0.000001)^2/(4*'D(Ti_Audétat23) Times'!$C117)/(365.35*24*3600)</f>
        <v>22892.005318810581</v>
      </c>
      <c r="R117" s="2">
        <f>([412]L!S117*'D(Ti_Audétat23) Times'!$F117*0.000001)^2/(4*'D(Ti_Audétat23) Times'!$C117)/(365.35*24*3600)</f>
        <v>9340.9242232932138</v>
      </c>
      <c r="S117" s="2">
        <f>([412]L!T117*'D(Ti_Audétat23) Times'!$F117*0.000001)^2/(4*'D(Ti_Audétat23) Times'!$C117)/(365.35*24*3600)</f>
        <v>2252.148398226102</v>
      </c>
      <c r="T117" s="2"/>
      <c r="U117" s="2">
        <f>([412]L!V117*'D(Ti_Audétat23) Times'!$F117*0.000001)^2/(4*'D(Ti_Audétat23) Times'!$C117)/(365.35*24*3600)</f>
        <v>8961.8882099902821</v>
      </c>
      <c r="V117" s="2">
        <f>([412]L!W117*'D(Ti_Audétat23) Times'!$F117*0.000001)^2/(4*'D(Ti_Audétat23) Times'!$C117)/(365.35*24*3600)</f>
        <v>8357.2804855411778</v>
      </c>
      <c r="W117" s="2">
        <f>([412]L!X117*'D(Ti_Audétat23) Times'!$F117*0.000001)^2/(4*'D(Ti_Audétat23) Times'!$C117)/(365.35*24*3600)</f>
        <v>9340.9242232932138</v>
      </c>
      <c r="X117" s="2"/>
      <c r="Y117" s="2">
        <f>([412]L!Z117*'D(Ti_Audétat23) Times'!$F117*0.000001)^2/(4*'D(Ti_Audétat23) Times'!$C117)/(365.35*24*3600)</f>
        <v>9507.0035393523067</v>
      </c>
      <c r="Z117" s="2">
        <f>([412]L!AB117*'D(Ti_Audétat23) Times'!$F117*0.000001)^2/(4*'D(Ti_Audétat23) Times'!$C117)/(365.35*24*3600)</f>
        <v>9529.6670395909059</v>
      </c>
      <c r="AA117" s="2">
        <f>([412]L!AC117*'D(Ti_Audétat23) Times'!$F117*0.000001)^2/(4*'D(Ti_Audétat23) Times'!$C117)/(365.35*24*3600)</f>
        <v>745.56603867223066</v>
      </c>
      <c r="AB117" s="2">
        <f>([412]L!AD117*'D(Ti_Audétat23) Times'!$F117*0.000001)^2/(4*'D(Ti_Audétat23) Times'!$C117)/(365.35*24*3600)</f>
        <v>28352.521493208595</v>
      </c>
      <c r="AC117" s="2">
        <f t="shared" si="5"/>
        <v>8784.1010009186757</v>
      </c>
      <c r="AD117" s="2">
        <f t="shared" si="6"/>
        <v>18822.854453617689</v>
      </c>
    </row>
    <row r="118" spans="1:30" x14ac:dyDescent="0.2">
      <c r="A118" t="str">
        <f>[412]L!A118</f>
        <v>CGI008-qtz05-CL-fit-4-offset</v>
      </c>
      <c r="B118">
        <v>750</v>
      </c>
      <c r="C118">
        <f t="shared" si="7"/>
        <v>1.1456341375347871E-23</v>
      </c>
      <c r="D118">
        <v>1450</v>
      </c>
      <c r="E118">
        <v>1024</v>
      </c>
      <c r="F118">
        <f t="shared" si="4"/>
        <v>1.416015625</v>
      </c>
      <c r="I118" s="2">
        <f>([412]L!J118*'D(Ti_Audétat23) Times'!$F118*0.000001)^2/(4*'D(Ti_Audétat23) Times'!$C118)/(365.35*24*3600)</f>
        <v>5560.626822457958</v>
      </c>
      <c r="J118" s="2">
        <f>([412]L!K118*'D(Ti_Audétat23) Times'!$F118*0.000001)^2/(4*'D(Ti_Audétat23) Times'!$C118)/(365.35*24*3600)</f>
        <v>3671.5479025230716</v>
      </c>
      <c r="K118" s="2">
        <f>([412]L!L118*'D(Ti_Audétat23) Times'!$F118*0.000001)^2/(4*'D(Ti_Audétat23) Times'!$C118)/(365.35*24*3600)</f>
        <v>3682.4447236353476</v>
      </c>
      <c r="L118" s="2">
        <f>([412]L!M118*'D(Ti_Audétat23) Times'!$F118*0.000001)^2/(4*'D(Ti_Audétat23) Times'!$C118)/(365.35*24*3600)</f>
        <v>3968.3895421212474</v>
      </c>
      <c r="M118" s="2">
        <f>([412]L!N118*'D(Ti_Audétat23) Times'!$F118*0.000001)^2/(4*'D(Ti_Audétat23) Times'!$C118)/(365.35*24*3600)</f>
        <v>2166.0691342676073</v>
      </c>
      <c r="N118" s="2">
        <f>([412]L!O118*'D(Ti_Audétat23) Times'!$F118*0.000001)^2/(4*'D(Ti_Audétat23) Times'!$C118)/(365.35*24*3600)</f>
        <v>3845.502172025454</v>
      </c>
      <c r="O118" s="2">
        <f>([412]L!P118*'D(Ti_Audétat23) Times'!$F118*0.000001)^2/(4*'D(Ti_Audétat23) Times'!$C118)/(365.35*24*3600)</f>
        <v>4037.6606706340872</v>
      </c>
      <c r="P118" s="2">
        <f>([412]L!Q118*'D(Ti_Audétat23) Times'!$F118*0.000001)^2/(4*'D(Ti_Audétat23) Times'!$C118)/(365.35*24*3600)</f>
        <v>6343.9860722418734</v>
      </c>
      <c r="Q118" s="2">
        <f>([412]L!R118*'D(Ti_Audétat23) Times'!$F118*0.000001)^2/(4*'D(Ti_Audétat23) Times'!$C118)/(365.35*24*3600)</f>
        <v>8283.2837617609475</v>
      </c>
      <c r="R118" s="2">
        <f>([412]L!S118*'D(Ti_Audétat23) Times'!$F118*0.000001)^2/(4*'D(Ti_Audétat23) Times'!$C118)/(365.35*24*3600)</f>
        <v>8135.1837993676199</v>
      </c>
      <c r="S118" s="2">
        <f>([412]L!T118*'D(Ti_Audétat23) Times'!$F118*0.000001)^2/(4*'D(Ti_Audétat23) Times'!$C118)/(365.35*24*3600)</f>
        <v>3623.7444289154482</v>
      </c>
      <c r="T118" s="2"/>
      <c r="U118" s="2">
        <f>([412]L!V118*'D(Ti_Audétat23) Times'!$F118*0.000001)^2/(4*'D(Ti_Audétat23) Times'!$C118)/(365.35*24*3600)</f>
        <v>4734.8631982807537</v>
      </c>
      <c r="V118" s="2">
        <f>([412]L!W118*'D(Ti_Audétat23) Times'!$F118*0.000001)^2/(4*'D(Ti_Audétat23) Times'!$C118)/(365.35*24*3600)</f>
        <v>4673.480564111168</v>
      </c>
      <c r="W118" s="2">
        <f>([412]L!X118*'D(Ti_Audétat23) Times'!$F118*0.000001)^2/(4*'D(Ti_Audétat23) Times'!$C118)/(365.35*24*3600)</f>
        <v>3968.3895421212474</v>
      </c>
      <c r="X118" s="2"/>
      <c r="Y118" s="2">
        <f>([412]L!Z118*'D(Ti_Audétat23) Times'!$F118*0.000001)^2/(4*'D(Ti_Audétat23) Times'!$C118)/(365.35*24*3600)</f>
        <v>4833.5340605632864</v>
      </c>
      <c r="Z118" s="2">
        <f>([412]L!AB118*'D(Ti_Audétat23) Times'!$F118*0.000001)^2/(4*'D(Ti_Audétat23) Times'!$C118)/(365.35*24*3600)</f>
        <v>4653.5832143332818</v>
      </c>
      <c r="AA118" s="2">
        <f>([412]L!AC118*'D(Ti_Audétat23) Times'!$F118*0.000001)^2/(4*'D(Ti_Audétat23) Times'!$C118)/(365.35*24*3600)</f>
        <v>705.01162303400906</v>
      </c>
      <c r="AB118" s="2">
        <f>([412]L!AD118*'D(Ti_Audétat23) Times'!$F118*0.000001)^2/(4*'D(Ti_Audétat23) Times'!$C118)/(365.35*24*3600)</f>
        <v>9977.9630206408365</v>
      </c>
      <c r="AC118" s="2">
        <f t="shared" si="5"/>
        <v>3948.5715912992728</v>
      </c>
      <c r="AD118" s="2">
        <f t="shared" si="6"/>
        <v>5324.3798063075546</v>
      </c>
    </row>
    <row r="119" spans="1:30" x14ac:dyDescent="0.2">
      <c r="A119" t="str">
        <f>[412]L!A119</f>
        <v>CGI008-qtz06-CL-fit-1-offset</v>
      </c>
      <c r="B119">
        <v>750</v>
      </c>
      <c r="C119">
        <f t="shared" si="7"/>
        <v>1.1456341375347871E-23</v>
      </c>
      <c r="D119">
        <v>1900</v>
      </c>
      <c r="E119">
        <v>1024</v>
      </c>
      <c r="F119">
        <f t="shared" si="4"/>
        <v>1.85546875</v>
      </c>
      <c r="I119" s="2">
        <f>([412]L!J119*'D(Ti_Audétat23) Times'!$F119*0.000001)^2/(4*'D(Ti_Audétat23) Times'!$C119)/(365.35*24*3600)</f>
        <v>122538.75970147699</v>
      </c>
      <c r="J119" s="2">
        <f>([412]L!K119*'D(Ti_Audétat23) Times'!$F119*0.000001)^2/(4*'D(Ti_Audétat23) Times'!$C119)/(365.35*24*3600)</f>
        <v>220597.98193483788</v>
      </c>
      <c r="K119" s="2">
        <f>([412]L!L119*'D(Ti_Audétat23) Times'!$F119*0.000001)^2/(4*'D(Ti_Audétat23) Times'!$C119)/(365.35*24*3600)</f>
        <v>358220.13556161319</v>
      </c>
      <c r="L119" s="2">
        <f>([412]L!M119*'D(Ti_Audétat23) Times'!$F119*0.000001)^2/(4*'D(Ti_Audétat23) Times'!$C119)/(365.35*24*3600)</f>
        <v>367048.28944825946</v>
      </c>
      <c r="M119" s="2">
        <f>([412]L!N119*'D(Ti_Audétat23) Times'!$F119*0.000001)^2/(4*'D(Ti_Audétat23) Times'!$C119)/(365.35*24*3600)</f>
        <v>233646.31257518355</v>
      </c>
      <c r="N119" s="2">
        <f>([412]L!O119*'D(Ti_Audétat23) Times'!$F119*0.000001)^2/(4*'D(Ti_Audétat23) Times'!$C119)/(365.35*24*3600)</f>
        <v>311102.92697528767</v>
      </c>
      <c r="O119" s="2">
        <f>([412]L!P119*'D(Ti_Audétat23) Times'!$F119*0.000001)^2/(4*'D(Ti_Audétat23) Times'!$C119)/(365.35*24*3600)</f>
        <v>348771.63231481228</v>
      </c>
      <c r="P119" s="2">
        <f>([412]L!Q119*'D(Ti_Audétat23) Times'!$F119*0.000001)^2/(4*'D(Ti_Audétat23) Times'!$C119)/(365.35*24*3600)</f>
        <v>145100.17664828524</v>
      </c>
      <c r="Q119" s="2">
        <f>([412]L!R119*'D(Ti_Audétat23) Times'!$F119*0.000001)^2/(4*'D(Ti_Audétat23) Times'!$C119)/(365.35*24*3600)</f>
        <v>323500.98062951514</v>
      </c>
      <c r="R119" s="2">
        <f>([412]L!S119*'D(Ti_Audétat23) Times'!$F119*0.000001)^2/(4*'D(Ti_Audétat23) Times'!$C119)/(365.35*24*3600)</f>
        <v>257954.75510889463</v>
      </c>
      <c r="S119" s="2">
        <f>([412]L!T119*'D(Ti_Audétat23) Times'!$F119*0.000001)^2/(4*'D(Ti_Audétat23) Times'!$C119)/(365.35*24*3600)</f>
        <v>102217.8512782102</v>
      </c>
      <c r="T119" s="2"/>
      <c r="U119" s="2">
        <f>([412]L!V119*'D(Ti_Audétat23) Times'!$F119*0.000001)^2/(4*'D(Ti_Audétat23) Times'!$C119)/(365.35*24*3600)</f>
        <v>247946.23644734806</v>
      </c>
      <c r="V119" s="2">
        <f>([412]L!W119*'D(Ti_Audétat23) Times'!$F119*0.000001)^2/(4*'D(Ti_Audétat23) Times'!$C119)/(365.35*24*3600)</f>
        <v>243954.99438736401</v>
      </c>
      <c r="W119" s="2">
        <f>([412]L!X119*'D(Ti_Audétat23) Times'!$F119*0.000001)^2/(4*'D(Ti_Audétat23) Times'!$C119)/(365.35*24*3600)</f>
        <v>257954.75510889463</v>
      </c>
      <c r="X119" s="2"/>
      <c r="Y119" s="2">
        <f>([412]L!Z119*'D(Ti_Audétat23) Times'!$F119*0.000001)^2/(4*'D(Ti_Audétat23) Times'!$C119)/(365.35*24*3600)</f>
        <v>228390.52726933846</v>
      </c>
      <c r="Z119" s="2">
        <f>([412]L!AB119*'D(Ti_Audétat23) Times'!$F119*0.000001)^2/(4*'D(Ti_Audétat23) Times'!$C119)/(365.35*24*3600)</f>
        <v>241969.06318502795</v>
      </c>
      <c r="AA119" s="2">
        <f>([412]L!AC119*'D(Ti_Audétat23) Times'!$F119*0.000001)^2/(4*'D(Ti_Audétat23) Times'!$C119)/(365.35*24*3600)</f>
        <v>96997.979012306561</v>
      </c>
      <c r="AB119" s="2">
        <f>([412]L!AD119*'D(Ti_Audétat23) Times'!$F119*0.000001)^2/(4*'D(Ti_Audétat23) Times'!$C119)/(365.35*24*3600)</f>
        <v>540957.67777191906</v>
      </c>
      <c r="AC119" s="2">
        <f t="shared" si="5"/>
        <v>144971.08417272137</v>
      </c>
      <c r="AD119" s="2">
        <f t="shared" si="6"/>
        <v>298988.61458689114</v>
      </c>
    </row>
    <row r="120" spans="1:30" x14ac:dyDescent="0.2">
      <c r="A120" t="str">
        <f>[412]L!A120</f>
        <v>CGI008-qtz06-CL-fit-2-offset</v>
      </c>
      <c r="B120">
        <v>750</v>
      </c>
      <c r="C120">
        <f t="shared" si="7"/>
        <v>1.1456341375347871E-23</v>
      </c>
      <c r="D120">
        <v>1900</v>
      </c>
      <c r="E120">
        <v>1024</v>
      </c>
      <c r="F120">
        <f t="shared" si="4"/>
        <v>1.85546875</v>
      </c>
      <c r="I120" s="2">
        <f>([412]L!J120*'D(Ti_Audétat23) Times'!$F120*0.000001)^2/(4*'D(Ti_Audétat23) Times'!$C120)/(365.35*24*3600)</f>
        <v>135337.3586127958</v>
      </c>
      <c r="J120" s="2">
        <f>([412]L!K120*'D(Ti_Audétat23) Times'!$F120*0.000001)^2/(4*'D(Ti_Audétat23) Times'!$C120)/(365.35*24*3600)</f>
        <v>79982.390573801691</v>
      </c>
      <c r="K120" s="2">
        <f>([412]L!L120*'D(Ti_Audétat23) Times'!$F120*0.000001)^2/(4*'D(Ti_Audétat23) Times'!$C120)/(365.35*24*3600)</f>
        <v>77795.248992689565</v>
      </c>
      <c r="L120" s="2">
        <f>([412]L!M120*'D(Ti_Audétat23) Times'!$F120*0.000001)^2/(4*'D(Ti_Audétat23) Times'!$C120)/(365.35*24*3600)</f>
        <v>72034.148236528505</v>
      </c>
      <c r="M120" s="2">
        <f>([412]L!N120*'D(Ti_Audétat23) Times'!$F120*0.000001)^2/(4*'D(Ti_Audétat23) Times'!$C120)/(365.35*24*3600)</f>
        <v>129062.05689581613</v>
      </c>
      <c r="N120" s="2">
        <f>([412]L!O120*'D(Ti_Audétat23) Times'!$F120*0.000001)^2/(4*'D(Ti_Audétat23) Times'!$C120)/(365.35*24*3600)</f>
        <v>86990.045393699605</v>
      </c>
      <c r="O120" s="2">
        <f>([412]L!P120*'D(Ti_Audétat23) Times'!$F120*0.000001)^2/(4*'D(Ti_Audétat23) Times'!$C120)/(365.35*24*3600)</f>
        <v>94789.340401486406</v>
      </c>
      <c r="P120" s="2">
        <f>([412]L!Q120*'D(Ti_Audétat23) Times'!$F120*0.000001)^2/(4*'D(Ti_Audétat23) Times'!$C120)/(365.35*24*3600)</f>
        <v>100014.79197300784</v>
      </c>
      <c r="Q120" s="2">
        <f>([412]L!R120*'D(Ti_Audétat23) Times'!$F120*0.000001)^2/(4*'D(Ti_Audétat23) Times'!$C120)/(365.35*24*3600)</f>
        <v>69459.123870001422</v>
      </c>
      <c r="R120" s="2">
        <f>([412]L!S120*'D(Ti_Audétat23) Times'!$F120*0.000001)^2/(4*'D(Ti_Audétat23) Times'!$C120)/(365.35*24*3600)</f>
        <v>54468.464052992749</v>
      </c>
      <c r="S120" s="2">
        <f>([412]L!T120*'D(Ti_Audétat23) Times'!$F120*0.000001)^2/(4*'D(Ti_Audétat23) Times'!$C120)/(365.35*24*3600)</f>
        <v>82312.786966469896</v>
      </c>
      <c r="T120" s="2"/>
      <c r="U120" s="2">
        <f>([412]L!V120*'D(Ti_Audétat23) Times'!$F120*0.000001)^2/(4*'D(Ti_Audétat23) Times'!$C120)/(365.35*24*3600)</f>
        <v>86836.911894464662</v>
      </c>
      <c r="V120" s="2">
        <f>([412]L!W120*'D(Ti_Audétat23) Times'!$F120*0.000001)^2/(4*'D(Ti_Audétat23) Times'!$C120)/(365.35*24*3600)</f>
        <v>87840.25393229058</v>
      </c>
      <c r="W120" s="2">
        <f>([412]L!X120*'D(Ti_Audétat23) Times'!$F120*0.000001)^2/(4*'D(Ti_Audétat23) Times'!$C120)/(365.35*24*3600)</f>
        <v>82312.786966469896</v>
      </c>
      <c r="X120" s="2"/>
      <c r="Y120" s="2">
        <f>([412]L!Z120*'D(Ti_Audétat23) Times'!$F120*0.000001)^2/(4*'D(Ti_Audétat23) Times'!$C120)/(365.35*24*3600)</f>
        <v>84375.086512749651</v>
      </c>
      <c r="Z120" s="2">
        <f>([412]L!AB120*'D(Ti_Audétat23) Times'!$F120*0.000001)^2/(4*'D(Ti_Audétat23) Times'!$C120)/(365.35*24*3600)</f>
        <v>86846.192134488127</v>
      </c>
      <c r="AA120" s="2">
        <f>([412]L!AC120*'D(Ti_Audétat23) Times'!$F120*0.000001)^2/(4*'D(Ti_Audétat23) Times'!$C120)/(365.35*24*3600)</f>
        <v>47867.938337529129</v>
      </c>
      <c r="AB120" s="2">
        <f>([412]L!AD120*'D(Ti_Audétat23) Times'!$F120*0.000001)^2/(4*'D(Ti_Audétat23) Times'!$C120)/(365.35*24*3600)</f>
        <v>139552.03952284512</v>
      </c>
      <c r="AC120" s="2">
        <f t="shared" si="5"/>
        <v>38978.253796958998</v>
      </c>
      <c r="AD120" s="2">
        <f t="shared" si="6"/>
        <v>52705.847388356997</v>
      </c>
    </row>
    <row r="121" spans="1:30" x14ac:dyDescent="0.2">
      <c r="A121" t="str">
        <f>[412]L!A121</f>
        <v>CGI008-qtz06-CL-fit-3-offset</v>
      </c>
      <c r="B121">
        <v>750</v>
      </c>
      <c r="C121">
        <f t="shared" si="7"/>
        <v>1.1456341375347871E-23</v>
      </c>
      <c r="D121">
        <v>1900</v>
      </c>
      <c r="E121">
        <v>1024</v>
      </c>
      <c r="F121">
        <f t="shared" si="4"/>
        <v>1.85546875</v>
      </c>
      <c r="I121" s="2">
        <f>([412]L!J121*'D(Ti_Audétat23) Times'!$F121*0.000001)^2/(4*'D(Ti_Audétat23) Times'!$C121)/(365.35*24*3600)</f>
        <v>247527.79509557821</v>
      </c>
      <c r="J121" s="2">
        <f>([412]L!K121*'D(Ti_Audétat23) Times'!$F121*0.000001)^2/(4*'D(Ti_Audétat23) Times'!$C121)/(365.35*24*3600)</f>
        <v>63287.460378015006</v>
      </c>
      <c r="K121" s="2">
        <f>([412]L!L121*'D(Ti_Audétat23) Times'!$F121*0.000001)^2/(4*'D(Ti_Audétat23) Times'!$C121)/(365.35*24*3600)</f>
        <v>92673.762800153083</v>
      </c>
      <c r="L121" s="2">
        <f>([412]L!M121*'D(Ti_Audétat23) Times'!$F121*0.000001)^2/(4*'D(Ti_Audétat23) Times'!$C121)/(365.35*24*3600)</f>
        <v>108241.69832383181</v>
      </c>
      <c r="M121" s="2">
        <f>([412]L!N121*'D(Ti_Audétat23) Times'!$F121*0.000001)^2/(4*'D(Ti_Audétat23) Times'!$C121)/(365.35*24*3600)</f>
        <v>9201.9309211178788</v>
      </c>
      <c r="N121" s="2">
        <f>([412]L!O121*'D(Ti_Audétat23) Times'!$F121*0.000001)^2/(4*'D(Ti_Audétat23) Times'!$C121)/(365.35*24*3600)</f>
        <v>98276.355109088254</v>
      </c>
      <c r="O121" s="2">
        <f>([412]L!P121*'D(Ti_Audétat23) Times'!$F121*0.000001)^2/(4*'D(Ti_Audétat23) Times'!$C121)/(365.35*24*3600)</f>
        <v>92559.26302863087</v>
      </c>
      <c r="P121" s="2">
        <f>([412]L!Q121*'D(Ti_Audétat23) Times'!$F121*0.000001)^2/(4*'D(Ti_Audétat23) Times'!$C121)/(365.35*24*3600)</f>
        <v>76735.120671332945</v>
      </c>
      <c r="Q121" s="2">
        <f>([412]L!R121*'D(Ti_Audétat23) Times'!$F121*0.000001)^2/(4*'D(Ti_Audétat23) Times'!$C121)/(365.35*24*3600)</f>
        <v>201794.22189301846</v>
      </c>
      <c r="R121" s="2">
        <f>([412]L!S121*'D(Ti_Audétat23) Times'!$F121*0.000001)^2/(4*'D(Ti_Audétat23) Times'!$C121)/(365.35*24*3600)</f>
        <v>104877.5958825159</v>
      </c>
      <c r="S121" s="2">
        <f>([412]L!T121*'D(Ti_Audétat23) Times'!$F121*0.000001)^2/(4*'D(Ti_Audétat23) Times'!$C121)/(365.35*24*3600)</f>
        <v>44231.019941002865</v>
      </c>
      <c r="T121" s="2"/>
      <c r="U121" s="2">
        <f>([412]L!V121*'D(Ti_Audétat23) Times'!$F121*0.000001)^2/(4*'D(Ti_Audétat23) Times'!$C121)/(365.35*24*3600)</f>
        <v>101089.58331925103</v>
      </c>
      <c r="V121" s="2">
        <f>([412]L!W121*'D(Ti_Audétat23) Times'!$F121*0.000001)^2/(4*'D(Ti_Audétat23) Times'!$C121)/(365.35*24*3600)</f>
        <v>93111.262175323704</v>
      </c>
      <c r="W121" s="2">
        <f>([412]L!X121*'D(Ti_Audétat23) Times'!$F121*0.000001)^2/(4*'D(Ti_Audétat23) Times'!$C121)/(365.35*24*3600)</f>
        <v>92673.762800153083</v>
      </c>
      <c r="X121" s="2"/>
      <c r="Y121" s="2">
        <f>([412]L!Z121*'D(Ti_Audétat23) Times'!$F121*0.000001)^2/(4*'D(Ti_Audétat23) Times'!$C121)/(365.35*24*3600)</f>
        <v>98119.185543076004</v>
      </c>
      <c r="Z121" s="2">
        <f>([412]L!AB121*'D(Ti_Audétat23) Times'!$F121*0.000001)^2/(4*'D(Ti_Audétat23) Times'!$C121)/(365.35*24*3600)</f>
        <v>136387.92376834425</v>
      </c>
      <c r="AA121" s="2">
        <f>([412]L!AC121*'D(Ti_Audétat23) Times'!$F121*0.000001)^2/(4*'D(Ti_Audétat23) Times'!$C121)/(365.35*24*3600)</f>
        <v>10803.164056881831</v>
      </c>
      <c r="AB121" s="2">
        <f>([412]L!AD121*'D(Ti_Audétat23) Times'!$F121*0.000001)^2/(4*'D(Ti_Audétat23) Times'!$C121)/(365.35*24*3600)</f>
        <v>696801.59871464095</v>
      </c>
      <c r="AC121" s="2">
        <f t="shared" si="5"/>
        <v>125584.75971146242</v>
      </c>
      <c r="AD121" s="2">
        <f t="shared" si="6"/>
        <v>560413.67494629673</v>
      </c>
    </row>
    <row r="122" spans="1:30" x14ac:dyDescent="0.2">
      <c r="A122" t="str">
        <f>[412]L!A122</f>
        <v>CGI008-qtz06-CL-fit-4-offset</v>
      </c>
      <c r="B122">
        <v>750</v>
      </c>
      <c r="C122">
        <f t="shared" si="7"/>
        <v>1.1456341375347871E-23</v>
      </c>
      <c r="D122">
        <v>1900</v>
      </c>
      <c r="E122">
        <v>1024</v>
      </c>
      <c r="F122">
        <f t="shared" si="4"/>
        <v>1.85546875</v>
      </c>
      <c r="I122" s="2">
        <f>([412]L!J122*'D(Ti_Audétat23) Times'!$F122*0.000001)^2/(4*'D(Ti_Audétat23) Times'!$C122)/(365.35*24*3600)</f>
        <v>222.26987418819195</v>
      </c>
      <c r="J122" s="2">
        <f>([412]L!K122*'D(Ti_Audétat23) Times'!$F122*0.000001)^2/(4*'D(Ti_Audétat23) Times'!$C122)/(365.35*24*3600)</f>
        <v>177.35249921063942</v>
      </c>
      <c r="K122" s="2">
        <f>([412]L!L122*'D(Ti_Audétat23) Times'!$F122*0.000001)^2/(4*'D(Ti_Audétat23) Times'!$C122)/(365.35*24*3600)</f>
        <v>29858.704955574234</v>
      </c>
      <c r="L122" s="2">
        <f>([412]L!M122*'D(Ti_Audétat23) Times'!$F122*0.000001)^2/(4*'D(Ti_Audétat23) Times'!$C122)/(365.35*24*3600)</f>
        <v>17107.36560425433</v>
      </c>
      <c r="M122" s="2">
        <f>([412]L!N122*'D(Ti_Audétat23) Times'!$F122*0.000001)^2/(4*'D(Ti_Audétat23) Times'!$C122)/(365.35*24*3600)</f>
        <v>7791.3770104374626</v>
      </c>
      <c r="N122" s="2">
        <f>([412]L!O122*'D(Ti_Audétat23) Times'!$F122*0.000001)^2/(4*'D(Ti_Audétat23) Times'!$C122)/(365.35*24*3600)</f>
        <v>56259.981250209028</v>
      </c>
      <c r="O122" s="2">
        <f>([412]L!P122*'D(Ti_Audétat23) Times'!$F122*0.000001)^2/(4*'D(Ti_Audétat23) Times'!$C122)/(365.35*24*3600)</f>
        <v>1359.3225593531995</v>
      </c>
      <c r="P122" s="2">
        <f>([412]L!Q122*'D(Ti_Audétat23) Times'!$F122*0.000001)^2/(4*'D(Ti_Audétat23) Times'!$C122)/(365.35*24*3600)</f>
        <v>31728.554920775059</v>
      </c>
      <c r="Q122" s="2">
        <f>([412]L!R122*'D(Ti_Audétat23) Times'!$F122*0.000001)^2/(4*'D(Ti_Audétat23) Times'!$C122)/(365.35*24*3600)</f>
        <v>21373.370921128386</v>
      </c>
      <c r="R122" s="2">
        <f>([412]L!S122*'D(Ti_Audétat23) Times'!$F122*0.000001)^2/(4*'D(Ti_Audétat23) Times'!$C122)/(365.35*24*3600)</f>
        <v>83612.301991573331</v>
      </c>
      <c r="S122" s="2">
        <f>([412]L!T122*'D(Ti_Audétat23) Times'!$F122*0.000001)^2/(4*'D(Ti_Audétat23) Times'!$C122)/(365.35*24*3600)</f>
        <v>91720.045346797546</v>
      </c>
      <c r="T122" s="2"/>
      <c r="U122" s="2">
        <f>([412]L!V122*'D(Ti_Audétat23) Times'!$F122*0.000001)^2/(4*'D(Ti_Audétat23) Times'!$C122)/(365.35*24*3600)</f>
        <v>24646.335861537314</v>
      </c>
      <c r="V122" s="2">
        <f>([412]L!W122*'D(Ti_Audétat23) Times'!$F122*0.000001)^2/(4*'D(Ti_Audétat23) Times'!$C122)/(365.35*24*3600)</f>
        <v>21435.092706736046</v>
      </c>
      <c r="W122" s="2">
        <f>([412]L!X122*'D(Ti_Audétat23) Times'!$F122*0.000001)^2/(4*'D(Ti_Audétat23) Times'!$C122)/(365.35*24*3600)</f>
        <v>21373.370921128386</v>
      </c>
      <c r="X122" s="2"/>
      <c r="Y122" s="2">
        <f>([412]L!Z122*'D(Ti_Audétat23) Times'!$F122*0.000001)^2/(4*'D(Ti_Audétat23) Times'!$C122)/(365.35*24*3600)</f>
        <v>22255.88168770869</v>
      </c>
      <c r="Z122" s="2">
        <f>([412]L!AB122*'D(Ti_Audétat23) Times'!$F122*0.000001)^2/(4*'D(Ti_Audétat23) Times'!$C122)/(365.35*24*3600)</f>
        <v>22405.204778489522</v>
      </c>
      <c r="AA122" s="2">
        <f>([412]L!AC122*'D(Ti_Audétat23) Times'!$F122*0.000001)^2/(4*'D(Ti_Audétat23) Times'!$C122)/(365.35*24*3600)</f>
        <v>15.511633000413973</v>
      </c>
      <c r="AB122" s="2">
        <f>([412]L!AD122*'D(Ti_Audétat23) Times'!$F122*0.000001)^2/(4*'D(Ti_Audétat23) Times'!$C122)/(365.35*24*3600)</f>
        <v>137984.44098108998</v>
      </c>
      <c r="AC122" s="2">
        <f t="shared" si="5"/>
        <v>22389.693145489109</v>
      </c>
      <c r="AD122" s="2">
        <f t="shared" si="6"/>
        <v>115579.23620260046</v>
      </c>
    </row>
    <row r="123" spans="1:30" x14ac:dyDescent="0.2">
      <c r="A123" t="str">
        <f>[412]L!A123</f>
        <v>CGI008-qtz07-CL-fit-1-offset</v>
      </c>
      <c r="B123">
        <v>750</v>
      </c>
      <c r="C123">
        <f t="shared" si="7"/>
        <v>1.1456341375347871E-23</v>
      </c>
      <c r="D123">
        <v>1900</v>
      </c>
      <c r="E123">
        <v>1024</v>
      </c>
      <c r="F123">
        <f t="shared" si="4"/>
        <v>1.85546875</v>
      </c>
      <c r="I123" s="2">
        <f>([412]L!J123*'D(Ti_Audétat23) Times'!$F123*0.000001)^2/(4*'D(Ti_Audétat23) Times'!$C123)/(365.35*24*3600)</f>
        <v>64212.961632859326</v>
      </c>
      <c r="J123" s="2">
        <f>([412]L!K123*'D(Ti_Audétat23) Times'!$F123*0.000001)^2/(4*'D(Ti_Audétat23) Times'!$C123)/(365.35*24*3600)</f>
        <v>74199.198755634032</v>
      </c>
      <c r="K123" s="2">
        <f>([412]L!L123*'D(Ti_Audétat23) Times'!$F123*0.000001)^2/(4*'D(Ti_Audétat23) Times'!$C123)/(365.35*24*3600)</f>
        <v>11371.935744037783</v>
      </c>
      <c r="L123" s="2">
        <f>([412]L!M123*'D(Ti_Audétat23) Times'!$F123*0.000001)^2/(4*'D(Ti_Audétat23) Times'!$C123)/(365.35*24*3600)</f>
        <v>30453.954068097046</v>
      </c>
      <c r="M123" s="2">
        <f>([412]L!N123*'D(Ti_Audétat23) Times'!$F123*0.000001)^2/(4*'D(Ti_Audétat23) Times'!$C123)/(365.35*24*3600)</f>
        <v>51344.291628877458</v>
      </c>
      <c r="N123" s="2">
        <f>([412]L!O123*'D(Ti_Audétat23) Times'!$F123*0.000001)^2/(4*'D(Ti_Audétat23) Times'!$C123)/(365.35*24*3600)</f>
        <v>74574.861080012502</v>
      </c>
      <c r="O123" s="2">
        <f>([412]L!P123*'D(Ti_Audétat23) Times'!$F123*0.000001)^2/(4*'D(Ti_Audétat23) Times'!$C123)/(365.35*24*3600)</f>
        <v>33348.558302347752</v>
      </c>
      <c r="P123" s="2">
        <f>([412]L!Q123*'D(Ti_Audétat23) Times'!$F123*0.000001)^2/(4*'D(Ti_Audétat23) Times'!$C123)/(365.35*24*3600)</f>
        <v>10257.951581768712</v>
      </c>
      <c r="Q123" s="2">
        <f>([412]L!R123*'D(Ti_Audétat23) Times'!$F123*0.000001)^2/(4*'D(Ti_Audétat23) Times'!$C123)/(365.35*24*3600)</f>
        <v>58403.904717845915</v>
      </c>
      <c r="R123" s="2">
        <f>([412]L!S123*'D(Ti_Audétat23) Times'!$F123*0.000001)^2/(4*'D(Ti_Audétat23) Times'!$C123)/(365.35*24*3600)</f>
        <v>36905.96125073087</v>
      </c>
      <c r="S123" s="2">
        <f>([412]L!T123*'D(Ti_Audétat23) Times'!$F123*0.000001)^2/(4*'D(Ti_Audétat23) Times'!$C123)/(365.35*24*3600)</f>
        <v>74225.388449150167</v>
      </c>
      <c r="T123" s="2"/>
      <c r="U123" s="2">
        <f>([412]L!V123*'D(Ti_Audétat23) Times'!$F123*0.000001)^2/(4*'D(Ti_Audétat23) Times'!$C123)/(365.35*24*3600)</f>
        <v>49878.211723174019</v>
      </c>
      <c r="V123" s="2">
        <f>([412]L!W123*'D(Ti_Audétat23) Times'!$F123*0.000001)^2/(4*'D(Ti_Audétat23) Times'!$C123)/(365.35*24*3600)</f>
        <v>43595.304838426993</v>
      </c>
      <c r="W123" s="2">
        <f>([412]L!X123*'D(Ti_Audétat23) Times'!$F123*0.000001)^2/(4*'D(Ti_Audétat23) Times'!$C123)/(365.35*24*3600)</f>
        <v>51344.291628877458</v>
      </c>
      <c r="X123" s="2"/>
      <c r="Y123" s="2">
        <f>([412]L!Z123*'D(Ti_Audétat23) Times'!$F123*0.000001)^2/(4*'D(Ti_Audétat23) Times'!$C123)/(365.35*24*3600)</f>
        <v>45940.301199990558</v>
      </c>
      <c r="Z123" s="2">
        <f>([412]L!AB123*'D(Ti_Audétat23) Times'!$F123*0.000001)^2/(4*'D(Ti_Audétat23) Times'!$C123)/(365.35*24*3600)</f>
        <v>39566.8989882799</v>
      </c>
      <c r="AA123" s="2">
        <f>([412]L!AC123*'D(Ti_Audétat23) Times'!$F123*0.000001)^2/(4*'D(Ti_Audétat23) Times'!$C123)/(365.35*24*3600)</f>
        <v>35.076666550623301</v>
      </c>
      <c r="AB123" s="2">
        <f>([412]L!AD123*'D(Ti_Audétat23) Times'!$F123*0.000001)^2/(4*'D(Ti_Audétat23) Times'!$C123)/(365.35*24*3600)</f>
        <v>144276.84421955215</v>
      </c>
      <c r="AC123" s="2">
        <f t="shared" si="5"/>
        <v>39531.822321729276</v>
      </c>
      <c r="AD123" s="2">
        <f t="shared" si="6"/>
        <v>104709.94523127226</v>
      </c>
    </row>
    <row r="124" spans="1:30" x14ac:dyDescent="0.2">
      <c r="A124" t="str">
        <f>[412]L!A124</f>
        <v>CGI008-qtz07-CL-fit-2-offset</v>
      </c>
      <c r="B124">
        <v>750</v>
      </c>
      <c r="C124">
        <f t="shared" si="7"/>
        <v>1.1456341375347871E-23</v>
      </c>
      <c r="D124">
        <v>1900</v>
      </c>
      <c r="E124">
        <v>1024</v>
      </c>
      <c r="F124">
        <f t="shared" si="4"/>
        <v>1.85546875</v>
      </c>
      <c r="I124" s="2">
        <f>([412]L!J124*'D(Ti_Audétat23) Times'!$F124*0.000001)^2/(4*'D(Ti_Audétat23) Times'!$C124)/(365.35*24*3600)</f>
        <v>29196.568528354783</v>
      </c>
      <c r="J124" s="2">
        <f>([412]L!K124*'D(Ti_Audétat23) Times'!$F124*0.000001)^2/(4*'D(Ti_Audétat23) Times'!$C124)/(365.35*24*3600)</f>
        <v>6116.7329813734023</v>
      </c>
      <c r="K124" s="2">
        <f>([412]L!L124*'D(Ti_Audétat23) Times'!$F124*0.000001)^2/(4*'D(Ti_Audétat23) Times'!$C124)/(365.35*24*3600)</f>
        <v>3283.9588951886517</v>
      </c>
      <c r="L124" s="2">
        <f>([412]L!M124*'D(Ti_Audétat23) Times'!$F124*0.000001)^2/(4*'D(Ti_Audétat23) Times'!$C124)/(365.35*24*3600)</f>
        <v>77184.645042141899</v>
      </c>
      <c r="M124" s="2">
        <f>([412]L!N124*'D(Ti_Audétat23) Times'!$F124*0.000001)^2/(4*'D(Ti_Audétat23) Times'!$C124)/(365.35*24*3600)</f>
        <v>40890.74229607742</v>
      </c>
      <c r="N124" s="2">
        <f>([412]L!O124*'D(Ti_Audétat23) Times'!$F124*0.000001)^2/(4*'D(Ti_Audétat23) Times'!$C124)/(365.35*24*3600)</f>
        <v>12347.475370019221</v>
      </c>
      <c r="O124" s="2">
        <f>([412]L!P124*'D(Ti_Audétat23) Times'!$F124*0.000001)^2/(4*'D(Ti_Audétat23) Times'!$C124)/(365.35*24*3600)</f>
        <v>8921.2592202980049</v>
      </c>
      <c r="P124" s="2">
        <f>([412]L!Q124*'D(Ti_Audétat23) Times'!$F124*0.000001)^2/(4*'D(Ti_Audétat23) Times'!$C124)/(365.35*24*3600)</f>
        <v>2684.8966738705808</v>
      </c>
      <c r="Q124" s="2">
        <f>([412]L!R124*'D(Ti_Audétat23) Times'!$F124*0.000001)^2/(4*'D(Ti_Audétat23) Times'!$C124)/(365.35*24*3600)</f>
        <v>1161.5410028747699</v>
      </c>
      <c r="R124" s="2">
        <f>([412]L!S124*'D(Ti_Audétat23) Times'!$F124*0.000001)^2/(4*'D(Ti_Audétat23) Times'!$C124)/(365.35*24*3600)</f>
        <v>24678.779071247471</v>
      </c>
      <c r="S124" s="2">
        <f>([412]L!T124*'D(Ti_Audétat23) Times'!$F124*0.000001)^2/(4*'D(Ti_Audétat23) Times'!$C124)/(365.35*24*3600)</f>
        <v>31430.090671857793</v>
      </c>
      <c r="T124" s="2"/>
      <c r="U124" s="2">
        <f>([412]L!V124*'D(Ti_Audétat23) Times'!$F124*0.000001)^2/(4*'D(Ti_Audétat23) Times'!$C124)/(365.35*24*3600)</f>
        <v>22894.803156132366</v>
      </c>
      <c r="V124" s="2">
        <f>([412]L!W124*'D(Ti_Audétat23) Times'!$F124*0.000001)^2/(4*'D(Ti_Audétat23) Times'!$C124)/(365.35*24*3600)</f>
        <v>16483.53437730909</v>
      </c>
      <c r="W124" s="2">
        <f>([412]L!X124*'D(Ti_Audétat23) Times'!$F124*0.000001)^2/(4*'D(Ti_Audétat23) Times'!$C124)/(365.35*24*3600)</f>
        <v>12347.475370019221</v>
      </c>
      <c r="X124" s="2"/>
      <c r="Y124" s="2">
        <f>([412]L!Z124*'D(Ti_Audétat23) Times'!$F124*0.000001)^2/(4*'D(Ti_Audétat23) Times'!$C124)/(365.35*24*3600)</f>
        <v>20273.236018003267</v>
      </c>
      <c r="Z124" s="2">
        <f>([412]L!AB124*'D(Ti_Audétat23) Times'!$F124*0.000001)^2/(4*'D(Ti_Audétat23) Times'!$C124)/(365.35*24*3600)</f>
        <v>17778.065526794497</v>
      </c>
      <c r="AA124" s="2">
        <f>([412]L!AC124*'D(Ti_Audétat23) Times'!$F124*0.000001)^2/(4*'D(Ti_Audétat23) Times'!$C124)/(365.35*24*3600)</f>
        <v>10.484480487114348</v>
      </c>
      <c r="AB124" s="2">
        <f>([412]L!AD124*'D(Ti_Audétat23) Times'!$F124*0.000001)^2/(4*'D(Ti_Audétat23) Times'!$C124)/(365.35*24*3600)</f>
        <v>80761.030340056241</v>
      </c>
      <c r="AC124" s="2">
        <f t="shared" si="5"/>
        <v>17767.581046307383</v>
      </c>
      <c r="AD124" s="2">
        <f t="shared" si="6"/>
        <v>62982.964813261744</v>
      </c>
    </row>
    <row r="125" spans="1:30" x14ac:dyDescent="0.2">
      <c r="A125" t="str">
        <f>[412]L!A125</f>
        <v>CGI008-qtz07-CL-fit-3-offset</v>
      </c>
      <c r="B125">
        <v>750</v>
      </c>
      <c r="C125">
        <f t="shared" si="7"/>
        <v>1.1456341375347871E-23</v>
      </c>
      <c r="D125">
        <v>1900</v>
      </c>
      <c r="E125">
        <v>1024</v>
      </c>
      <c r="F125">
        <f t="shared" si="4"/>
        <v>1.85546875</v>
      </c>
      <c r="I125" s="2">
        <f>([412]L!J125*'D(Ti_Audétat23) Times'!$F125*0.000001)^2/(4*'D(Ti_Audétat23) Times'!$C125)/(365.35*24*3600)</f>
        <v>154384.41487373976</v>
      </c>
      <c r="J125" s="2">
        <f>([412]L!K125*'D(Ti_Audétat23) Times'!$F125*0.000001)^2/(4*'D(Ti_Audétat23) Times'!$C125)/(365.35*24*3600)</f>
        <v>112376.26517975054</v>
      </c>
      <c r="K125" s="2">
        <f>([412]L!L125*'D(Ti_Audétat23) Times'!$F125*0.000001)^2/(4*'D(Ti_Audétat23) Times'!$C125)/(365.35*24*3600)</f>
        <v>410854.3188631456</v>
      </c>
      <c r="L125" s="2">
        <f>([412]L!M125*'D(Ti_Audétat23) Times'!$F125*0.000001)^2/(4*'D(Ti_Audétat23) Times'!$C125)/(365.35*24*3600)</f>
        <v>287602.80628033506</v>
      </c>
      <c r="M125" s="2">
        <f>([412]L!N125*'D(Ti_Audétat23) Times'!$F125*0.000001)^2/(4*'D(Ti_Audétat23) Times'!$C125)/(365.35*24*3600)</f>
        <v>202696.80450513991</v>
      </c>
      <c r="N125" s="2">
        <f>([412]L!O125*'D(Ti_Audétat23) Times'!$F125*0.000001)^2/(4*'D(Ti_Audétat23) Times'!$C125)/(365.35*24*3600)</f>
        <v>94210.292796439666</v>
      </c>
      <c r="O125" s="2">
        <f>([412]L!P125*'D(Ti_Audétat23) Times'!$F125*0.000001)^2/(4*'D(Ti_Audétat23) Times'!$C125)/(365.35*24*3600)</f>
        <v>234135.85855263521</v>
      </c>
      <c r="P125" s="2">
        <f>([412]L!Q125*'D(Ti_Audétat23) Times'!$F125*0.000001)^2/(4*'D(Ti_Audétat23) Times'!$C125)/(365.35*24*3600)</f>
        <v>326900.03486890858</v>
      </c>
      <c r="Q125" s="2">
        <f>([412]L!R125*'D(Ti_Audétat23) Times'!$F125*0.000001)^2/(4*'D(Ti_Audétat23) Times'!$C125)/(365.35*24*3600)</f>
        <v>54254.967313918831</v>
      </c>
      <c r="R125" s="2">
        <f>([412]L!S125*'D(Ti_Audétat23) Times'!$F125*0.000001)^2/(4*'D(Ti_Audétat23) Times'!$C125)/(365.35*24*3600)</f>
        <v>260705.23478799491</v>
      </c>
      <c r="S125" s="2">
        <f>([412]L!T125*'D(Ti_Audétat23) Times'!$F125*0.000001)^2/(4*'D(Ti_Audétat23) Times'!$C125)/(365.35*24*3600)</f>
        <v>127424.07116306975</v>
      </c>
      <c r="T125" s="2"/>
      <c r="U125" s="2">
        <f>([412]L!V125*'D(Ti_Audétat23) Times'!$F125*0.000001)^2/(4*'D(Ti_Audétat23) Times'!$C125)/(365.35*24*3600)</f>
        <v>177817.7332510103</v>
      </c>
      <c r="V125" s="2">
        <f>([412]L!W125*'D(Ti_Audétat23) Times'!$F125*0.000001)^2/(4*'D(Ti_Audétat23) Times'!$C125)/(365.35*24*3600)</f>
        <v>191897.92211099173</v>
      </c>
      <c r="W125" s="2">
        <f>([412]L!X125*'D(Ti_Audétat23) Times'!$F125*0.000001)^2/(4*'D(Ti_Audétat23) Times'!$C125)/(365.35*24*3600)</f>
        <v>202696.80450513991</v>
      </c>
      <c r="X125" s="2"/>
      <c r="Y125" s="2">
        <f>([412]L!Z125*'D(Ti_Audétat23) Times'!$F125*0.000001)^2/(4*'D(Ti_Audétat23) Times'!$C125)/(365.35*24*3600)</f>
        <v>158392.01901088379</v>
      </c>
      <c r="Z125" s="2">
        <f>([412]L!AB125*'D(Ti_Audétat23) Times'!$F125*0.000001)^2/(4*'D(Ti_Audétat23) Times'!$C125)/(365.35*24*3600)</f>
        <v>183147.33222927045</v>
      </c>
      <c r="AA125" s="2">
        <f>([412]L!AC125*'D(Ti_Audétat23) Times'!$F125*0.000001)^2/(4*'D(Ti_Audétat23) Times'!$C125)/(365.35*24*3600)</f>
        <v>13030.764336442164</v>
      </c>
      <c r="AB125" s="2">
        <f>([412]L!AD125*'D(Ti_Audétat23) Times'!$F125*0.000001)^2/(4*'D(Ti_Audétat23) Times'!$C125)/(365.35*24*3600)</f>
        <v>783388.14376756886</v>
      </c>
      <c r="AC125" s="2">
        <f t="shared" si="5"/>
        <v>170116.56789282829</v>
      </c>
      <c r="AD125" s="2">
        <f t="shared" si="6"/>
        <v>600240.81153829838</v>
      </c>
    </row>
    <row r="126" spans="1:30" x14ac:dyDescent="0.2">
      <c r="A126" t="str">
        <f>[412]L!A126</f>
        <v>CGI008-qtz07-CL-fit-4-offset</v>
      </c>
      <c r="B126">
        <v>750</v>
      </c>
      <c r="C126">
        <f t="shared" si="7"/>
        <v>1.1456341375347871E-23</v>
      </c>
      <c r="D126">
        <v>1900</v>
      </c>
      <c r="E126">
        <v>1024</v>
      </c>
      <c r="F126">
        <f t="shared" si="4"/>
        <v>1.85546875</v>
      </c>
      <c r="I126" s="2">
        <f>([412]L!J126*'D(Ti_Audétat23) Times'!$F126*0.000001)^2/(4*'D(Ti_Audétat23) Times'!$C126)/(365.35*24*3600)</f>
        <v>107160.18350404066</v>
      </c>
      <c r="J126" s="2">
        <f>([412]L!K126*'D(Ti_Audétat23) Times'!$F126*0.000001)^2/(4*'D(Ti_Audétat23) Times'!$C126)/(365.35*24*3600)</f>
        <v>259318.08172591342</v>
      </c>
      <c r="K126" s="2">
        <f>([412]L!L126*'D(Ti_Audétat23) Times'!$F126*0.000001)^2/(4*'D(Ti_Audétat23) Times'!$C126)/(365.35*24*3600)</f>
        <v>79793.915296572741</v>
      </c>
      <c r="L126" s="2">
        <f>([412]L!M126*'D(Ti_Audétat23) Times'!$F126*0.000001)^2/(4*'D(Ti_Audétat23) Times'!$C126)/(365.35*24*3600)</f>
        <v>63506.164536256692</v>
      </c>
      <c r="M126" s="2">
        <f>([412]L!N126*'D(Ti_Audétat23) Times'!$F126*0.000001)^2/(4*'D(Ti_Audétat23) Times'!$C126)/(365.35*24*3600)</f>
        <v>84057.525760294229</v>
      </c>
      <c r="N126" s="2">
        <f>([412]L!O126*'D(Ti_Audétat23) Times'!$F126*0.000001)^2/(4*'D(Ti_Audétat23) Times'!$C126)/(365.35*24*3600)</f>
        <v>6.0320320787164931E-3</v>
      </c>
      <c r="O126" s="2">
        <f>([412]L!P126*'D(Ti_Audétat23) Times'!$F126*0.000001)^2/(4*'D(Ti_Audétat23) Times'!$C126)/(365.35*24*3600)</f>
        <v>185617.07474714459</v>
      </c>
      <c r="P126" s="2">
        <f>([412]L!Q126*'D(Ti_Audétat23) Times'!$F126*0.000001)^2/(4*'D(Ti_Audétat23) Times'!$C126)/(365.35*24*3600)</f>
        <v>49194.197380156213</v>
      </c>
      <c r="Q126" s="2">
        <f>([412]L!R126*'D(Ti_Audétat23) Times'!$F126*0.000001)^2/(4*'D(Ti_Audétat23) Times'!$C126)/(365.35*24*3600)</f>
        <v>140.90861483437087</v>
      </c>
      <c r="R126" s="2">
        <f>([412]L!S126*'D(Ti_Audétat23) Times'!$F126*0.000001)^2/(4*'D(Ti_Audétat23) Times'!$C126)/(365.35*24*3600)</f>
        <v>131090.9347634211</v>
      </c>
      <c r="S126" s="2">
        <f>([412]L!T126*'D(Ti_Audétat23) Times'!$F126*0.000001)^2/(4*'D(Ti_Audétat23) Times'!$C126)/(365.35*24*3600)</f>
        <v>214760.02121292168</v>
      </c>
      <c r="T126" s="2"/>
      <c r="U126" s="2">
        <f>([412]L!V126*'D(Ti_Audétat23) Times'!$F126*0.000001)^2/(4*'D(Ti_Audétat23) Times'!$C126)/(365.35*24*3600)</f>
        <v>109019.92592251864</v>
      </c>
      <c r="V126" s="2">
        <f>([412]L!W126*'D(Ti_Audétat23) Times'!$F126*0.000001)^2/(4*'D(Ti_Audétat23) Times'!$C126)/(365.35*24*3600)</f>
        <v>82059.387183410552</v>
      </c>
      <c r="W126" s="2">
        <f>([412]L!X126*'D(Ti_Audétat23) Times'!$F126*0.000001)^2/(4*'D(Ti_Audétat23) Times'!$C126)/(365.35*24*3600)</f>
        <v>84057.525760294229</v>
      </c>
      <c r="X126" s="2"/>
      <c r="Y126" s="2">
        <f>([412]L!Z126*'D(Ti_Audétat23) Times'!$F126*0.000001)^2/(4*'D(Ti_Audétat23) Times'!$C126)/(365.35*24*3600)</f>
        <v>99880.278485233619</v>
      </c>
      <c r="Z126" s="2">
        <f>([412]L!AB126*'D(Ti_Audétat23) Times'!$F126*0.000001)^2/(4*'D(Ti_Audétat23) Times'!$C126)/(365.35*24*3600)</f>
        <v>112615.66068996792</v>
      </c>
      <c r="AA126" s="2">
        <f>([412]L!AC126*'D(Ti_Audétat23) Times'!$F126*0.000001)^2/(4*'D(Ti_Audétat23) Times'!$C126)/(365.35*24*3600)</f>
        <v>928.84586381569261</v>
      </c>
      <c r="AB126" s="2">
        <f>([412]L!AD126*'D(Ti_Audétat23) Times'!$F126*0.000001)^2/(4*'D(Ti_Audétat23) Times'!$C126)/(365.35*24*3600)</f>
        <v>806213.9279103406</v>
      </c>
      <c r="AC126" s="2">
        <f t="shared" si="5"/>
        <v>111686.81482615223</v>
      </c>
      <c r="AD126" s="2">
        <f t="shared" si="6"/>
        <v>693598.26722037268</v>
      </c>
    </row>
    <row r="127" spans="1:30" x14ac:dyDescent="0.2">
      <c r="A127" t="str">
        <f>[412]L!A127</f>
        <v>CGI008-qtz07-CL-fit-5-offset</v>
      </c>
      <c r="B127">
        <v>750</v>
      </c>
      <c r="C127">
        <f t="shared" si="7"/>
        <v>1.1456341375347871E-23</v>
      </c>
      <c r="D127">
        <v>1900</v>
      </c>
      <c r="E127">
        <v>1024</v>
      </c>
      <c r="F127">
        <f t="shared" si="4"/>
        <v>1.85546875</v>
      </c>
      <c r="I127" s="2">
        <f>([412]L!J127*'D(Ti_Audétat23) Times'!$F127*0.000001)^2/(4*'D(Ti_Audétat23) Times'!$C127)/(365.35*24*3600)</f>
        <v>131608.36513702621</v>
      </c>
      <c r="J127" s="2">
        <f>([412]L!K127*'D(Ti_Audétat23) Times'!$F127*0.000001)^2/(4*'D(Ti_Audétat23) Times'!$C127)/(365.35*24*3600)</f>
        <v>202968.41841479792</v>
      </c>
      <c r="K127" s="2">
        <f>([412]L!L127*'D(Ti_Audétat23) Times'!$F127*0.000001)^2/(4*'D(Ti_Audétat23) Times'!$C127)/(365.35*24*3600)</f>
        <v>38354.030709130238</v>
      </c>
      <c r="L127" s="2">
        <f>([412]L!M127*'D(Ti_Audétat23) Times'!$F127*0.000001)^2/(4*'D(Ti_Audétat23) Times'!$C127)/(365.35*24*3600)</f>
        <v>66092.135116365767</v>
      </c>
      <c r="M127" s="2">
        <f>([412]L!N127*'D(Ti_Audétat23) Times'!$F127*0.000001)^2/(4*'D(Ti_Audétat23) Times'!$C127)/(365.35*24*3600)</f>
        <v>123255.48466306263</v>
      </c>
      <c r="N127" s="2">
        <f>([412]L!O127*'D(Ti_Audétat23) Times'!$F127*0.000001)^2/(4*'D(Ti_Audétat23) Times'!$C127)/(365.35*24*3600)</f>
        <v>48218.227746612567</v>
      </c>
      <c r="O127" s="2">
        <f>([412]L!P127*'D(Ti_Audétat23) Times'!$F127*0.000001)^2/(4*'D(Ti_Audétat23) Times'!$C127)/(365.35*24*3600)</f>
        <v>138755.562059825</v>
      </c>
      <c r="P127" s="2">
        <f>([412]L!Q127*'D(Ti_Audétat23) Times'!$F127*0.000001)^2/(4*'D(Ti_Audétat23) Times'!$C127)/(365.35*24*3600)</f>
        <v>246885.37595407476</v>
      </c>
      <c r="Q127" s="2">
        <f>([412]L!R127*'D(Ti_Audétat23) Times'!$F127*0.000001)^2/(4*'D(Ti_Audétat23) Times'!$C127)/(365.35*24*3600)</f>
        <v>67575.987802043644</v>
      </c>
      <c r="R127" s="2">
        <f>([412]L!S127*'D(Ti_Audétat23) Times'!$F127*0.000001)^2/(4*'D(Ti_Audétat23) Times'!$C127)/(365.35*24*3600)</f>
        <v>4.166474140428849E-2</v>
      </c>
      <c r="S127" s="2">
        <f>([412]L!T127*'D(Ti_Audétat23) Times'!$F127*0.000001)^2/(4*'D(Ti_Audétat23) Times'!$C127)/(365.35*24*3600)</f>
        <v>132724.78179475397</v>
      </c>
      <c r="T127" s="2"/>
      <c r="U127" s="2">
        <f>([412]L!V127*'D(Ti_Audétat23) Times'!$F127*0.000001)^2/(4*'D(Ti_Audétat23) Times'!$C127)/(365.35*24*3600)</f>
        <v>101726.43072981677</v>
      </c>
      <c r="V127" s="2">
        <f>([412]L!W127*'D(Ti_Audétat23) Times'!$F127*0.000001)^2/(4*'D(Ti_Audétat23) Times'!$C127)/(365.35*24*3600)</f>
        <v>91684.286052558833</v>
      </c>
      <c r="W127" s="2">
        <f>([412]L!X127*'D(Ti_Audétat23) Times'!$F127*0.000001)^2/(4*'D(Ti_Audétat23) Times'!$C127)/(365.35*24*3600)</f>
        <v>123255.48466306263</v>
      </c>
      <c r="X127" s="2"/>
      <c r="Y127" s="2">
        <f>([412]L!Z127*'D(Ti_Audétat23) Times'!$F127*0.000001)^2/(4*'D(Ti_Audétat23) Times'!$C127)/(365.35*24*3600)</f>
        <v>99753.313484673417</v>
      </c>
      <c r="Z127" s="2">
        <f>([412]L!AB127*'D(Ti_Audétat23) Times'!$F127*0.000001)^2/(4*'D(Ti_Audétat23) Times'!$C127)/(365.35*24*3600)</f>
        <v>103747.25116746855</v>
      </c>
      <c r="AA127" s="2">
        <f>([412]L!AC127*'D(Ti_Audétat23) Times'!$F127*0.000001)^2/(4*'D(Ti_Audétat23) Times'!$C127)/(365.35*24*3600)</f>
        <v>7628.3499589916137</v>
      </c>
      <c r="AB127" s="2">
        <f>([412]L!AD127*'D(Ti_Audétat23) Times'!$F127*0.000001)^2/(4*'D(Ti_Audétat23) Times'!$C127)/(365.35*24*3600)</f>
        <v>328963.38644789223</v>
      </c>
      <c r="AC127" s="2">
        <f t="shared" si="5"/>
        <v>96118.901208476935</v>
      </c>
      <c r="AD127" s="2">
        <f t="shared" si="6"/>
        <v>225216.13528042368</v>
      </c>
    </row>
    <row r="128" spans="1:30" x14ac:dyDescent="0.2">
      <c r="A128" t="str">
        <f>[412]L!A128</f>
        <v>CGI008-qtz08-CL-fit-2-offset</v>
      </c>
      <c r="B128">
        <v>750</v>
      </c>
      <c r="C128">
        <f t="shared" si="7"/>
        <v>1.1456341375347871E-23</v>
      </c>
      <c r="D128">
        <v>2050</v>
      </c>
      <c r="E128">
        <v>1024</v>
      </c>
      <c r="F128">
        <f t="shared" si="4"/>
        <v>2.001953125</v>
      </c>
      <c r="I128" s="2">
        <f>([412]L!J128*'D(Ti_Audétat23) Times'!$F128*0.000001)^2/(4*'D(Ti_Audétat23) Times'!$C128)/(365.35*24*3600)</f>
        <v>19340.693056482607</v>
      </c>
      <c r="J128" s="2">
        <f>([412]L!K128*'D(Ti_Audétat23) Times'!$F128*0.000001)^2/(4*'D(Ti_Audétat23) Times'!$C128)/(365.35*24*3600)</f>
        <v>29161.240680382634</v>
      </c>
      <c r="K128" s="2">
        <f>([412]L!L128*'D(Ti_Audétat23) Times'!$F128*0.000001)^2/(4*'D(Ti_Audétat23) Times'!$C128)/(365.35*24*3600)</f>
        <v>14597.174154687495</v>
      </c>
      <c r="L128" s="2">
        <f>([412]L!M128*'D(Ti_Audétat23) Times'!$F128*0.000001)^2/(4*'D(Ti_Audétat23) Times'!$C128)/(365.35*24*3600)</f>
        <v>5353.8223718731388</v>
      </c>
      <c r="M128" s="2">
        <f>([412]L!N128*'D(Ti_Audétat23) Times'!$F128*0.000001)^2/(4*'D(Ti_Audétat23) Times'!$C128)/(365.35*24*3600)</f>
        <v>17567.163619952062</v>
      </c>
      <c r="N128" s="2">
        <f>([412]L!O128*'D(Ti_Audétat23) Times'!$F128*0.000001)^2/(4*'D(Ti_Audétat23) Times'!$C128)/(365.35*24*3600)</f>
        <v>8858.5794374702837</v>
      </c>
      <c r="O128" s="2">
        <f>([412]L!P128*'D(Ti_Audétat23) Times'!$F128*0.000001)^2/(4*'D(Ti_Audétat23) Times'!$C128)/(365.35*24*3600)</f>
        <v>6162.9232608314978</v>
      </c>
      <c r="P128" s="2">
        <f>([412]L!Q128*'D(Ti_Audétat23) Times'!$F128*0.000001)^2/(4*'D(Ti_Audétat23) Times'!$C128)/(365.35*24*3600)</f>
        <v>5317.093084404507</v>
      </c>
      <c r="Q128" s="2">
        <f>([412]L!R128*'D(Ti_Audétat23) Times'!$F128*0.000001)^2/(4*'D(Ti_Audétat23) Times'!$C128)/(365.35*24*3600)</f>
        <v>5323.6800978225847</v>
      </c>
      <c r="R128" s="2">
        <f>([412]L!S128*'D(Ti_Audétat23) Times'!$F128*0.000001)^2/(4*'D(Ti_Audétat23) Times'!$C128)/(365.35*24*3600)</f>
        <v>3316.5021720179639</v>
      </c>
      <c r="S128" s="2">
        <f>([412]L!T128*'D(Ti_Audétat23) Times'!$F128*0.000001)^2/(4*'D(Ti_Audétat23) Times'!$C128)/(365.35*24*3600)</f>
        <v>6163.5419823560078</v>
      </c>
      <c r="T128" s="2"/>
      <c r="U128" s="2">
        <f>([412]L!V128*'D(Ti_Audétat23) Times'!$F128*0.000001)^2/(4*'D(Ti_Audétat23) Times'!$C128)/(365.35*24*3600)</f>
        <v>10148.885534494413</v>
      </c>
      <c r="V128" s="2">
        <f>([412]L!W128*'D(Ti_Audétat23) Times'!$F128*0.000001)^2/(4*'D(Ti_Audétat23) Times'!$C128)/(365.35*24*3600)</f>
        <v>9836.5062397350266</v>
      </c>
      <c r="W128" s="2">
        <f>([412]L!X128*'D(Ti_Audétat23) Times'!$F128*0.000001)^2/(4*'D(Ti_Audétat23) Times'!$C128)/(365.35*24*3600)</f>
        <v>6163.5419823560078</v>
      </c>
      <c r="X128" s="2"/>
      <c r="Y128" s="2">
        <f>([412]L!Z128*'D(Ti_Audétat23) Times'!$F128*0.000001)^2/(4*'D(Ti_Audétat23) Times'!$C128)/(365.35*24*3600)</f>
        <v>8810.2639574235163</v>
      </c>
      <c r="Z128" s="2">
        <f>([412]L!AB128*'D(Ti_Audétat23) Times'!$F128*0.000001)^2/(4*'D(Ti_Audétat23) Times'!$C128)/(365.35*24*3600)</f>
        <v>8643.9519993326576</v>
      </c>
      <c r="AA128" s="2">
        <f>([412]L!AC128*'D(Ti_Audétat23) Times'!$F128*0.000001)^2/(4*'D(Ti_Audétat23) Times'!$C128)/(365.35*24*3600)</f>
        <v>1122.6071291214002</v>
      </c>
      <c r="AB128" s="2">
        <f>([412]L!AD128*'D(Ti_Audétat23) Times'!$F128*0.000001)^2/(4*'D(Ti_Audétat23) Times'!$C128)/(365.35*24*3600)</f>
        <v>24479.635687999074</v>
      </c>
      <c r="AC128" s="2">
        <f t="shared" si="5"/>
        <v>7521.3448702112573</v>
      </c>
      <c r="AD128" s="2">
        <f t="shared" si="6"/>
        <v>15835.683688666417</v>
      </c>
    </row>
    <row r="129" spans="1:30" x14ac:dyDescent="0.2">
      <c r="A129" t="str">
        <f>[412]L!A129</f>
        <v>CGI008-qtz08-CL-fit-3-offset</v>
      </c>
      <c r="B129">
        <v>750</v>
      </c>
      <c r="C129">
        <f t="shared" si="7"/>
        <v>1.1456341375347871E-23</v>
      </c>
      <c r="D129">
        <v>2050</v>
      </c>
      <c r="E129">
        <v>1024</v>
      </c>
      <c r="F129">
        <f t="shared" si="4"/>
        <v>2.001953125</v>
      </c>
      <c r="I129" s="2">
        <f>([412]L!J129*'D(Ti_Audétat23) Times'!$F129*0.000001)^2/(4*'D(Ti_Audétat23) Times'!$C129)/(365.35*24*3600)</f>
        <v>14838.907796245021</v>
      </c>
      <c r="J129" s="2">
        <f>([412]L!K129*'D(Ti_Audétat23) Times'!$F129*0.000001)^2/(4*'D(Ti_Audétat23) Times'!$C129)/(365.35*24*3600)</f>
        <v>8086.7827214539793</v>
      </c>
      <c r="K129" s="2">
        <f>([412]L!L129*'D(Ti_Audétat23) Times'!$F129*0.000001)^2/(4*'D(Ti_Audétat23) Times'!$C129)/(365.35*24*3600)</f>
        <v>11267.129366352707</v>
      </c>
      <c r="L129" s="2">
        <f>([412]L!M129*'D(Ti_Audétat23) Times'!$F129*0.000001)^2/(4*'D(Ti_Audétat23) Times'!$C129)/(365.35*24*3600)</f>
        <v>9490.3819845706603</v>
      </c>
      <c r="M129" s="2">
        <f>([412]L!N129*'D(Ti_Audétat23) Times'!$F129*0.000001)^2/(4*'D(Ti_Audétat23) Times'!$C129)/(365.35*24*3600)</f>
        <v>6756.6280765605607</v>
      </c>
      <c r="N129" s="2">
        <f>([412]L!O129*'D(Ti_Audétat23) Times'!$F129*0.000001)^2/(4*'D(Ti_Audétat23) Times'!$C129)/(365.35*24*3600)</f>
        <v>4767.2320193433452</v>
      </c>
      <c r="O129" s="2">
        <f>([412]L!P129*'D(Ti_Audétat23) Times'!$F129*0.000001)^2/(4*'D(Ti_Audétat23) Times'!$C129)/(365.35*24*3600)</f>
        <v>9794.7454797317914</v>
      </c>
      <c r="P129" s="2">
        <f>([412]L!Q129*'D(Ti_Audétat23) Times'!$F129*0.000001)^2/(4*'D(Ti_Audétat23) Times'!$C129)/(365.35*24*3600)</f>
        <v>4945.3125383460838</v>
      </c>
      <c r="Q129" s="2">
        <f>([412]L!R129*'D(Ti_Audétat23) Times'!$F129*0.000001)^2/(4*'D(Ti_Audétat23) Times'!$C129)/(365.35*24*3600)</f>
        <v>21610.932206476511</v>
      </c>
      <c r="R129" s="2">
        <f>([412]L!S129*'D(Ti_Audétat23) Times'!$F129*0.000001)^2/(4*'D(Ti_Audétat23) Times'!$C129)/(365.35*24*3600)</f>
        <v>8090.451635118402</v>
      </c>
      <c r="S129" s="2">
        <f>([412]L!T129*'D(Ti_Audétat23) Times'!$F129*0.000001)^2/(4*'D(Ti_Audétat23) Times'!$C129)/(365.35*24*3600)</f>
        <v>18421.777556416742</v>
      </c>
      <c r="T129" s="2"/>
      <c r="U129" s="2">
        <f>([412]L!V129*'D(Ti_Audétat23) Times'!$F129*0.000001)^2/(4*'D(Ti_Audétat23) Times'!$C129)/(365.35*24*3600)</f>
        <v>10606.167680056013</v>
      </c>
      <c r="V129" s="2">
        <f>([412]L!W129*'D(Ti_Audétat23) Times'!$F129*0.000001)^2/(4*'D(Ti_Audétat23) Times'!$C129)/(365.35*24*3600)</f>
        <v>10155.554091370714</v>
      </c>
      <c r="W129" s="2">
        <f>([412]L!X129*'D(Ti_Audétat23) Times'!$F129*0.000001)^2/(4*'D(Ti_Audétat23) Times'!$C129)/(365.35*24*3600)</f>
        <v>9490.3819845706603</v>
      </c>
      <c r="X129" s="2"/>
      <c r="Y129" s="2">
        <f>([412]L!Z129*'D(Ti_Audétat23) Times'!$F129*0.000001)^2/(4*'D(Ti_Audétat23) Times'!$C129)/(365.35*24*3600)</f>
        <v>9526.1141564101308</v>
      </c>
      <c r="Z129" s="2">
        <f>([412]L!AB129*'D(Ti_Audétat23) Times'!$F129*0.000001)^2/(4*'D(Ti_Audétat23) Times'!$C129)/(365.35*24*3600)</f>
        <v>9633.322389288347</v>
      </c>
      <c r="AA129" s="2">
        <f>([412]L!AC129*'D(Ti_Audétat23) Times'!$F129*0.000001)^2/(4*'D(Ti_Audétat23) Times'!$C129)/(365.35*24*3600)</f>
        <v>1493.7832877313033</v>
      </c>
      <c r="AB129" s="2">
        <f>([412]L!AD129*'D(Ti_Audétat23) Times'!$F129*0.000001)^2/(4*'D(Ti_Audétat23) Times'!$C129)/(365.35*24*3600)</f>
        <v>29720.551196719833</v>
      </c>
      <c r="AC129" s="2">
        <f t="shared" si="5"/>
        <v>8139.539101557044</v>
      </c>
      <c r="AD129" s="2">
        <f t="shared" si="6"/>
        <v>20087.228807431486</v>
      </c>
    </row>
    <row r="130" spans="1:30" x14ac:dyDescent="0.2">
      <c r="A130" t="str">
        <f>[412]L!A130</f>
        <v>CGI008-qtz09-CL-fit-1-offset</v>
      </c>
      <c r="B130">
        <v>750</v>
      </c>
      <c r="C130">
        <f t="shared" si="7"/>
        <v>1.1456341375347871E-23</v>
      </c>
      <c r="D130">
        <v>2000</v>
      </c>
      <c r="E130">
        <v>1024</v>
      </c>
      <c r="F130">
        <f t="shared" si="4"/>
        <v>1.953125</v>
      </c>
      <c r="I130" s="2">
        <f>([412]L!J130*'D(Ti_Audétat23) Times'!$F130*0.000001)^2/(4*'D(Ti_Audétat23) Times'!$C130)/(365.35*24*3600)</f>
        <v>39181.552248135013</v>
      </c>
      <c r="J130" s="2">
        <f>([412]L!K130*'D(Ti_Audétat23) Times'!$F130*0.000001)^2/(4*'D(Ti_Audétat23) Times'!$C130)/(365.35*24*3600)</f>
        <v>29343.561711264785</v>
      </c>
      <c r="K130" s="2">
        <f>([412]L!L130*'D(Ti_Audétat23) Times'!$F130*0.000001)^2/(4*'D(Ti_Audétat23) Times'!$C130)/(365.35*24*3600)</f>
        <v>24766.288237406457</v>
      </c>
      <c r="L130" s="2">
        <f>([412]L!M130*'D(Ti_Audétat23) Times'!$F130*0.000001)^2/(4*'D(Ti_Audétat23) Times'!$C130)/(365.35*24*3600)</f>
        <v>31159.553000662163</v>
      </c>
      <c r="M130" s="2">
        <f>([412]L!N130*'D(Ti_Audétat23) Times'!$F130*0.000001)^2/(4*'D(Ti_Audétat23) Times'!$C130)/(365.35*24*3600)</f>
        <v>31307.27370844717</v>
      </c>
      <c r="N130" s="2">
        <f>([412]L!O130*'D(Ti_Audétat23) Times'!$F130*0.000001)^2/(4*'D(Ti_Audétat23) Times'!$C130)/(365.35*24*3600)</f>
        <v>27966.943487798155</v>
      </c>
      <c r="O130" s="2">
        <f>([412]L!P130*'D(Ti_Audétat23) Times'!$F130*0.000001)^2/(4*'D(Ti_Audétat23) Times'!$C130)/(365.35*24*3600)</f>
        <v>25181.94007941744</v>
      </c>
      <c r="P130" s="2">
        <f>([412]L!Q130*'D(Ti_Audétat23) Times'!$F130*0.000001)^2/(4*'D(Ti_Audétat23) Times'!$C130)/(365.35*24*3600)</f>
        <v>26540.845121512877</v>
      </c>
      <c r="Q130" s="2">
        <f>([412]L!R130*'D(Ti_Audétat23) Times'!$F130*0.000001)^2/(4*'D(Ti_Audétat23) Times'!$C130)/(365.35*24*3600)</f>
        <v>30308.320694354799</v>
      </c>
      <c r="R130" s="2">
        <f>([412]L!S130*'D(Ti_Audétat23) Times'!$F130*0.000001)^2/(4*'D(Ti_Audétat23) Times'!$C130)/(365.35*24*3600)</f>
        <v>34676.346371696287</v>
      </c>
      <c r="S130" s="2">
        <f>([412]L!T130*'D(Ti_Audétat23) Times'!$F130*0.000001)^2/(4*'D(Ti_Audétat23) Times'!$C130)/(365.35*24*3600)</f>
        <v>24774.099915857252</v>
      </c>
      <c r="T130" s="2"/>
      <c r="U130" s="2">
        <f>([412]L!V130*'D(Ti_Audétat23) Times'!$F130*0.000001)^2/(4*'D(Ti_Audétat23) Times'!$C130)/(365.35*24*3600)</f>
        <v>30293.911093437091</v>
      </c>
      <c r="V130" s="2">
        <f>([412]L!W130*'D(Ti_Audétat23) Times'!$F130*0.000001)^2/(4*'D(Ti_Audétat23) Times'!$C130)/(365.35*24*3600)</f>
        <v>29415.896268953984</v>
      </c>
      <c r="W130" s="2">
        <f>([412]L!X130*'D(Ti_Audétat23) Times'!$F130*0.000001)^2/(4*'D(Ti_Audétat23) Times'!$C130)/(365.35*24*3600)</f>
        <v>29343.561711264785</v>
      </c>
      <c r="X130" s="2"/>
      <c r="Y130" s="2">
        <f>([412]L!Z130*'D(Ti_Audétat23) Times'!$F130*0.000001)^2/(4*'D(Ti_Audétat23) Times'!$C130)/(365.35*24*3600)</f>
        <v>29001.774861225793</v>
      </c>
      <c r="Z130" s="2">
        <f>([412]L!AB130*'D(Ti_Audétat23) Times'!$F130*0.000001)^2/(4*'D(Ti_Audétat23) Times'!$C130)/(365.35*24*3600)</f>
        <v>29411.469055249327</v>
      </c>
      <c r="AA130" s="2">
        <f>([412]L!AC130*'D(Ti_Audétat23) Times'!$F130*0.000001)^2/(4*'D(Ti_Audétat23) Times'!$C130)/(365.35*24*3600)</f>
        <v>14979.590706104735</v>
      </c>
      <c r="AB130" s="2">
        <f>([412]L!AD130*'D(Ti_Audétat23) Times'!$F130*0.000001)^2/(4*'D(Ti_Audétat23) Times'!$C130)/(365.35*24*3600)</f>
        <v>49160.011431428458</v>
      </c>
      <c r="AC130" s="2">
        <f t="shared" si="5"/>
        <v>14431.878349144592</v>
      </c>
      <c r="AD130" s="2">
        <f t="shared" si="6"/>
        <v>19748.542376179132</v>
      </c>
    </row>
    <row r="131" spans="1:30" x14ac:dyDescent="0.2">
      <c r="A131" t="str">
        <f>[412]L!A131</f>
        <v>CGI008-qtz09-CL-fit-2-offset</v>
      </c>
      <c r="B131">
        <v>750</v>
      </c>
      <c r="C131">
        <f t="shared" si="7"/>
        <v>1.1456341375347871E-23</v>
      </c>
      <c r="D131">
        <v>2000</v>
      </c>
      <c r="E131">
        <v>1024</v>
      </c>
      <c r="F131">
        <f t="shared" ref="F131:F194" si="8">D131/E131</f>
        <v>1.953125</v>
      </c>
      <c r="I131" s="2">
        <f>([412]L!J131*'D(Ti_Audétat23) Times'!$F131*0.000001)^2/(4*'D(Ti_Audétat23) Times'!$C131)/(365.35*24*3600)</f>
        <v>36366.089883783985</v>
      </c>
      <c r="J131" s="2">
        <f>([412]L!K131*'D(Ti_Audétat23) Times'!$F131*0.000001)^2/(4*'D(Ti_Audétat23) Times'!$C131)/(365.35*24*3600)</f>
        <v>18277.10686680962</v>
      </c>
      <c r="K131" s="2">
        <f>([412]L!L131*'D(Ti_Audétat23) Times'!$F131*0.000001)^2/(4*'D(Ti_Audétat23) Times'!$C131)/(365.35*24*3600)</f>
        <v>29881.834847255192</v>
      </c>
      <c r="L131" s="2">
        <f>([412]L!M131*'D(Ti_Audétat23) Times'!$F131*0.000001)^2/(4*'D(Ti_Audétat23) Times'!$C131)/(365.35*24*3600)</f>
        <v>28883.257162241072</v>
      </c>
      <c r="M131" s="2">
        <f>([412]L!N131*'D(Ti_Audétat23) Times'!$F131*0.000001)^2/(4*'D(Ti_Audétat23) Times'!$C131)/(365.35*24*3600)</f>
        <v>23872.627606268408</v>
      </c>
      <c r="N131" s="2">
        <f>([412]L!O131*'D(Ti_Audétat23) Times'!$F131*0.000001)^2/(4*'D(Ti_Audétat23) Times'!$C131)/(365.35*24*3600)</f>
        <v>32747.112044711022</v>
      </c>
      <c r="O131" s="2">
        <f>([412]L!P131*'D(Ti_Audétat23) Times'!$F131*0.000001)^2/(4*'D(Ti_Audétat23) Times'!$C131)/(365.35*24*3600)</f>
        <v>42139.216434529233</v>
      </c>
      <c r="P131" s="2">
        <f>([412]L!Q131*'D(Ti_Audétat23) Times'!$F131*0.000001)^2/(4*'D(Ti_Audétat23) Times'!$C131)/(365.35*24*3600)</f>
        <v>27576.740930416749</v>
      </c>
      <c r="Q131" s="2">
        <f>([412]L!R131*'D(Ti_Audétat23) Times'!$F131*0.000001)^2/(4*'D(Ti_Audétat23) Times'!$C131)/(365.35*24*3600)</f>
        <v>30088.383633404475</v>
      </c>
      <c r="R131" s="2">
        <f>([412]L!S131*'D(Ti_Audétat23) Times'!$F131*0.000001)^2/(4*'D(Ti_Audétat23) Times'!$C131)/(365.35*24*3600)</f>
        <v>25421.354037570636</v>
      </c>
      <c r="S131" s="2">
        <f>([412]L!T131*'D(Ti_Audétat23) Times'!$F131*0.000001)^2/(4*'D(Ti_Audétat23) Times'!$C131)/(365.35*24*3600)</f>
        <v>26010.94816065022</v>
      </c>
      <c r="T131" s="2"/>
      <c r="U131" s="2">
        <f>([412]L!V131*'D(Ti_Audétat23) Times'!$F131*0.000001)^2/(4*'D(Ti_Audétat23) Times'!$C131)/(365.35*24*3600)</f>
        <v>28701.618049832978</v>
      </c>
      <c r="V131" s="2">
        <f>([412]L!W131*'D(Ti_Audétat23) Times'!$F131*0.000001)^2/(4*'D(Ti_Audétat23) Times'!$C131)/(365.35*24*3600)</f>
        <v>28890.611965167216</v>
      </c>
      <c r="W131" s="2">
        <f>([412]L!X131*'D(Ti_Audétat23) Times'!$F131*0.000001)^2/(4*'D(Ti_Audétat23) Times'!$C131)/(365.35*24*3600)</f>
        <v>28883.257162241072</v>
      </c>
      <c r="X131" s="2"/>
      <c r="Y131" s="2">
        <f>([412]L!Z131*'D(Ti_Audétat23) Times'!$F131*0.000001)^2/(4*'D(Ti_Audétat23) Times'!$C131)/(365.35*24*3600)</f>
        <v>28984.004275840129</v>
      </c>
      <c r="Z131" s="2">
        <f>([412]L!AB131*'D(Ti_Audétat23) Times'!$F131*0.000001)^2/(4*'D(Ti_Audétat23) Times'!$C131)/(365.35*24*3600)</f>
        <v>29293.197787983328</v>
      </c>
      <c r="AA131" s="2">
        <f>([412]L!AC131*'D(Ti_Audétat23) Times'!$F131*0.000001)^2/(4*'D(Ti_Audétat23) Times'!$C131)/(365.35*24*3600)</f>
        <v>16458.584673561589</v>
      </c>
      <c r="AB131" s="2">
        <f>([412]L!AD131*'D(Ti_Audétat23) Times'!$F131*0.000001)^2/(4*'D(Ti_Audétat23) Times'!$C131)/(365.35*24*3600)</f>
        <v>49124.415927315189</v>
      </c>
      <c r="AC131" s="2">
        <f t="shared" ref="AC131:AC194" si="9">Z131-AA131</f>
        <v>12834.61311442174</v>
      </c>
      <c r="AD131" s="2">
        <f t="shared" ref="AD131:AD194" si="10">AB131-Z131</f>
        <v>19831.218139331861</v>
      </c>
    </row>
    <row r="132" spans="1:30" x14ac:dyDescent="0.2">
      <c r="A132" t="str">
        <f>[412]L!A132</f>
        <v>CGI008-qtz10-CL-fit-1-offset</v>
      </c>
      <c r="B132">
        <v>750</v>
      </c>
      <c r="C132">
        <f t="shared" ref="C132:C195" si="11">10^(-1.2133*(10000/(B132+273)-10.17)-23.42)</f>
        <v>1.1456341375347871E-23</v>
      </c>
      <c r="D132">
        <v>1800</v>
      </c>
      <c r="E132">
        <v>1024</v>
      </c>
      <c r="F132">
        <f t="shared" si="8"/>
        <v>1.7578125</v>
      </c>
      <c r="I132" s="2">
        <f>([412]L!J132*'D(Ti_Audétat23) Times'!$F132*0.000001)^2/(4*'D(Ti_Audétat23) Times'!$C132)/(365.35*24*3600)</f>
        <v>28172.516199817805</v>
      </c>
      <c r="J132" s="2">
        <f>([412]L!K132*'D(Ti_Audétat23) Times'!$F132*0.000001)^2/(4*'D(Ti_Audétat23) Times'!$C132)/(365.35*24*3600)</f>
        <v>32989.610735421396</v>
      </c>
      <c r="K132" s="2">
        <f>([412]L!L132*'D(Ti_Audétat23) Times'!$F132*0.000001)^2/(4*'D(Ti_Audétat23) Times'!$C132)/(365.35*24*3600)</f>
        <v>33712.269790209059</v>
      </c>
      <c r="L132" s="2">
        <f>([412]L!M132*'D(Ti_Audétat23) Times'!$F132*0.000001)^2/(4*'D(Ti_Audétat23) Times'!$C132)/(365.35*24*3600)</f>
        <v>33408.945856202816</v>
      </c>
      <c r="M132" s="2">
        <f>([412]L!N132*'D(Ti_Audétat23) Times'!$F132*0.000001)^2/(4*'D(Ti_Audétat23) Times'!$C132)/(365.35*24*3600)</f>
        <v>32554.177712634344</v>
      </c>
      <c r="N132" s="2">
        <f>([412]L!O132*'D(Ti_Audétat23) Times'!$F132*0.000001)^2/(4*'D(Ti_Audétat23) Times'!$C132)/(365.35*24*3600)</f>
        <v>31225.506614508275</v>
      </c>
      <c r="O132" s="2">
        <f>([412]L!P132*'D(Ti_Audétat23) Times'!$F132*0.000001)^2/(4*'D(Ti_Audétat23) Times'!$C132)/(365.35*24*3600)</f>
        <v>33010.680830081321</v>
      </c>
      <c r="P132" s="2">
        <f>([412]L!Q132*'D(Ti_Audétat23) Times'!$F132*0.000001)^2/(4*'D(Ti_Audétat23) Times'!$C132)/(365.35*24*3600)</f>
        <v>30088.823513207408</v>
      </c>
      <c r="Q132" s="2">
        <f>([412]L!R132*'D(Ti_Audétat23) Times'!$F132*0.000001)^2/(4*'D(Ti_Audétat23) Times'!$C132)/(365.35*24*3600)</f>
        <v>34432.549346505082</v>
      </c>
      <c r="R132" s="2">
        <f>([412]L!S132*'D(Ti_Audétat23) Times'!$F132*0.000001)^2/(4*'D(Ti_Audétat23) Times'!$C132)/(365.35*24*3600)</f>
        <v>31621.747753524018</v>
      </c>
      <c r="S132" s="2">
        <f>([412]L!T132*'D(Ti_Audétat23) Times'!$F132*0.000001)^2/(4*'D(Ti_Audétat23) Times'!$C132)/(365.35*24*3600)</f>
        <v>30274.90155135727</v>
      </c>
      <c r="T132" s="2"/>
      <c r="U132" s="2">
        <f>([412]L!V132*'D(Ti_Audétat23) Times'!$F132*0.000001)^2/(4*'D(Ti_Audétat23) Times'!$C132)/(365.35*24*3600)</f>
        <v>32099.587790807775</v>
      </c>
      <c r="V132" s="2">
        <f>([412]L!W132*'D(Ti_Audétat23) Times'!$F132*0.000001)^2/(4*'D(Ti_Audétat23) Times'!$C132)/(365.35*24*3600)</f>
        <v>31928.301866625992</v>
      </c>
      <c r="W132" s="2">
        <f>([412]L!X132*'D(Ti_Audétat23) Times'!$F132*0.000001)^2/(4*'D(Ti_Audétat23) Times'!$C132)/(365.35*24*3600)</f>
        <v>32554.177712634344</v>
      </c>
      <c r="X132" s="2"/>
      <c r="Y132" s="2">
        <f>([412]L!Z132*'D(Ti_Audétat23) Times'!$F132*0.000001)^2/(4*'D(Ti_Audétat23) Times'!$C132)/(365.35*24*3600)</f>
        <v>32053.051192409403</v>
      </c>
      <c r="Z132" s="2">
        <f>([412]L!AB132*'D(Ti_Audétat23) Times'!$F132*0.000001)^2/(4*'D(Ti_Audétat23) Times'!$C132)/(365.35*24*3600)</f>
        <v>32269.846567707864</v>
      </c>
      <c r="AA132" s="2">
        <f>([412]L!AC132*'D(Ti_Audétat23) Times'!$F132*0.000001)^2/(4*'D(Ti_Audétat23) Times'!$C132)/(365.35*24*3600)</f>
        <v>23298.381242199037</v>
      </c>
      <c r="AB132" s="2">
        <f>([412]L!AD132*'D(Ti_Audétat23) Times'!$F132*0.000001)^2/(4*'D(Ti_Audétat23) Times'!$C132)/(365.35*24*3600)</f>
        <v>42126.633462815684</v>
      </c>
      <c r="AC132" s="2">
        <f t="shared" si="9"/>
        <v>8971.4653255088269</v>
      </c>
      <c r="AD132" s="2">
        <f t="shared" si="10"/>
        <v>9856.7868951078199</v>
      </c>
    </row>
    <row r="133" spans="1:30" x14ac:dyDescent="0.2">
      <c r="A133" t="str">
        <f>[412]L!A133</f>
        <v>CGI008-qtz10-CL-fit-2-offset</v>
      </c>
      <c r="B133">
        <v>750</v>
      </c>
      <c r="C133">
        <f t="shared" si="11"/>
        <v>1.1456341375347871E-23</v>
      </c>
      <c r="D133">
        <v>1800</v>
      </c>
      <c r="E133">
        <v>1024</v>
      </c>
      <c r="F133">
        <f t="shared" si="8"/>
        <v>1.7578125</v>
      </c>
      <c r="I133" s="2">
        <f>([412]L!J133*'D(Ti_Audétat23) Times'!$F133*0.000001)^2/(4*'D(Ti_Audétat23) Times'!$C133)/(365.35*24*3600)</f>
        <v>8788.2901669896983</v>
      </c>
      <c r="J133" s="2">
        <f>([412]L!K133*'D(Ti_Audétat23) Times'!$F133*0.000001)^2/(4*'D(Ti_Audétat23) Times'!$C133)/(365.35*24*3600)</f>
        <v>14631.04993976663</v>
      </c>
      <c r="K133" s="2">
        <f>([412]L!L133*'D(Ti_Audétat23) Times'!$F133*0.000001)^2/(4*'D(Ti_Audétat23) Times'!$C133)/(365.35*24*3600)</f>
        <v>19563.621485571879</v>
      </c>
      <c r="L133" s="2">
        <f>([412]L!M133*'D(Ti_Audétat23) Times'!$F133*0.000001)^2/(4*'D(Ti_Audétat23) Times'!$C133)/(365.35*24*3600)</f>
        <v>8056.6161073481771</v>
      </c>
      <c r="M133" s="2">
        <f>([412]L!N133*'D(Ti_Audétat23) Times'!$F133*0.000001)^2/(4*'D(Ti_Audétat23) Times'!$C133)/(365.35*24*3600)</f>
        <v>19563.805532766935</v>
      </c>
      <c r="N133" s="2">
        <f>([412]L!O133*'D(Ti_Audétat23) Times'!$F133*0.000001)^2/(4*'D(Ti_Audétat23) Times'!$C133)/(365.35*24*3600)</f>
        <v>19687.057884634585</v>
      </c>
      <c r="O133" s="2">
        <f>([412]L!P133*'D(Ti_Audétat23) Times'!$F133*0.000001)^2/(4*'D(Ti_Audétat23) Times'!$C133)/(365.35*24*3600)</f>
        <v>11049.902520442944</v>
      </c>
      <c r="P133" s="2">
        <f>([412]L!Q133*'D(Ti_Audétat23) Times'!$F133*0.000001)^2/(4*'D(Ti_Audétat23) Times'!$C133)/(365.35*24*3600)</f>
        <v>16520.64573621274</v>
      </c>
      <c r="Q133" s="2">
        <f>([412]L!R133*'D(Ti_Audétat23) Times'!$F133*0.000001)^2/(4*'D(Ti_Audétat23) Times'!$C133)/(365.35*24*3600)</f>
        <v>14606.929838885615</v>
      </c>
      <c r="R133" s="2">
        <f>([412]L!S133*'D(Ti_Audétat23) Times'!$F133*0.000001)^2/(4*'D(Ti_Audétat23) Times'!$C133)/(365.35*24*3600)</f>
        <v>16597.921954427191</v>
      </c>
      <c r="S133" s="2">
        <f>([412]L!T133*'D(Ti_Audétat23) Times'!$F133*0.000001)^2/(4*'D(Ti_Audétat23) Times'!$C133)/(365.35*24*3600)</f>
        <v>18459.373168099104</v>
      </c>
      <c r="T133" s="2"/>
      <c r="U133" s="2">
        <f>([412]L!V133*'D(Ti_Audétat23) Times'!$F133*0.000001)^2/(4*'D(Ti_Audétat23) Times'!$C133)/(365.35*24*3600)</f>
        <v>16363.181533661504</v>
      </c>
      <c r="V133" s="2">
        <f>([412]L!W133*'D(Ti_Audétat23) Times'!$F133*0.000001)^2/(4*'D(Ti_Audétat23) Times'!$C133)/(365.35*24*3600)</f>
        <v>14922.248052936975</v>
      </c>
      <c r="W133" s="2">
        <f>([412]L!X133*'D(Ti_Audétat23) Times'!$F133*0.000001)^2/(4*'D(Ti_Audétat23) Times'!$C133)/(365.35*24*3600)</f>
        <v>16520.64573621274</v>
      </c>
      <c r="X133" s="2"/>
      <c r="Y133" s="2">
        <f>([412]L!Z133*'D(Ti_Audétat23) Times'!$F133*0.000001)^2/(4*'D(Ti_Audétat23) Times'!$C133)/(365.35*24*3600)</f>
        <v>14865.909260030781</v>
      </c>
      <c r="Z133" s="2">
        <f>([412]L!AB133*'D(Ti_Audétat23) Times'!$F133*0.000001)^2/(4*'D(Ti_Audétat23) Times'!$C133)/(365.35*24*3600)</f>
        <v>15171.185277047442</v>
      </c>
      <c r="AA133" s="2">
        <f>([412]L!AC133*'D(Ti_Audétat23) Times'!$F133*0.000001)^2/(4*'D(Ti_Audétat23) Times'!$C133)/(365.35*24*3600)</f>
        <v>6594.0898912344883</v>
      </c>
      <c r="AB133" s="2">
        <f>([412]L!AD133*'D(Ti_Audétat23) Times'!$F133*0.000001)^2/(4*'D(Ti_Audétat23) Times'!$C133)/(365.35*24*3600)</f>
        <v>26838.133801968095</v>
      </c>
      <c r="AC133" s="2">
        <f t="shared" si="9"/>
        <v>8577.0953858129542</v>
      </c>
      <c r="AD133" s="2">
        <f t="shared" si="10"/>
        <v>11666.948524920654</v>
      </c>
    </row>
    <row r="134" spans="1:30" x14ac:dyDescent="0.2">
      <c r="A134" t="str">
        <f>[412]L!A134</f>
        <v>CGI008-qtz10-CL-fit-3-offset</v>
      </c>
      <c r="B134">
        <v>750</v>
      </c>
      <c r="C134">
        <f t="shared" si="11"/>
        <v>1.1456341375347871E-23</v>
      </c>
      <c r="D134">
        <v>1800</v>
      </c>
      <c r="E134">
        <v>1024</v>
      </c>
      <c r="F134">
        <f t="shared" si="8"/>
        <v>1.7578125</v>
      </c>
      <c r="I134" s="2">
        <f>([412]L!J134*'D(Ti_Audétat23) Times'!$F134*0.000001)^2/(4*'D(Ti_Audétat23) Times'!$C134)/(365.35*24*3600)</f>
        <v>16998.971819721912</v>
      </c>
      <c r="J134" s="2">
        <f>([412]L!K134*'D(Ti_Audétat23) Times'!$F134*0.000001)^2/(4*'D(Ti_Audétat23) Times'!$C134)/(365.35*24*3600)</f>
        <v>17681.65358448376</v>
      </c>
      <c r="K134" s="2">
        <f>([412]L!L134*'D(Ti_Audétat23) Times'!$F134*0.000001)^2/(4*'D(Ti_Audétat23) Times'!$C134)/(365.35*24*3600)</f>
        <v>29186.043969948769</v>
      </c>
      <c r="L134" s="2">
        <f>([412]L!M134*'D(Ti_Audétat23) Times'!$F134*0.000001)^2/(4*'D(Ti_Audétat23) Times'!$C134)/(365.35*24*3600)</f>
        <v>7361.0916650809531</v>
      </c>
      <c r="M134" s="2">
        <f>([412]L!N134*'D(Ti_Audétat23) Times'!$F134*0.000001)^2/(4*'D(Ti_Audétat23) Times'!$C134)/(365.35*24*3600)</f>
        <v>4576.0449542837969</v>
      </c>
      <c r="N134" s="2">
        <f>([412]L!O134*'D(Ti_Audétat23) Times'!$F134*0.000001)^2/(4*'D(Ti_Audétat23) Times'!$C134)/(365.35*24*3600)</f>
        <v>10782.015822743508</v>
      </c>
      <c r="O134" s="2">
        <f>([412]L!P134*'D(Ti_Audétat23) Times'!$F134*0.000001)^2/(4*'D(Ti_Audétat23) Times'!$C134)/(365.35*24*3600)</f>
        <v>13821.288027330093</v>
      </c>
      <c r="P134" s="2">
        <f>([412]L!Q134*'D(Ti_Audétat23) Times'!$F134*0.000001)^2/(4*'D(Ti_Audétat23) Times'!$C134)/(365.35*24*3600)</f>
        <v>13895.923707744028</v>
      </c>
      <c r="Q134" s="2">
        <f>([412]L!R134*'D(Ti_Audétat23) Times'!$F134*0.000001)^2/(4*'D(Ti_Audétat23) Times'!$C134)/(365.35*24*3600)</f>
        <v>17097.786954382922</v>
      </c>
      <c r="R134" s="2">
        <f>([412]L!S134*'D(Ti_Audétat23) Times'!$F134*0.000001)^2/(4*'D(Ti_Audétat23) Times'!$C134)/(365.35*24*3600)</f>
        <v>3920.4283051984803</v>
      </c>
      <c r="S134" s="2">
        <f>([412]L!T134*'D(Ti_Audétat23) Times'!$F134*0.000001)^2/(4*'D(Ti_Audétat23) Times'!$C134)/(365.35*24*3600)</f>
        <v>12407.67359364219</v>
      </c>
      <c r="T134" s="2"/>
      <c r="U134" s="2">
        <f>([412]L!V134*'D(Ti_Audétat23) Times'!$F134*0.000001)^2/(4*'D(Ti_Audétat23) Times'!$C134)/(365.35*24*3600)</f>
        <v>12623.475105516951</v>
      </c>
      <c r="V134" s="2">
        <f>([412]L!W134*'D(Ti_Audétat23) Times'!$F134*0.000001)^2/(4*'D(Ti_Audétat23) Times'!$C134)/(365.35*24*3600)</f>
        <v>12537.44363339239</v>
      </c>
      <c r="W134" s="2">
        <f>([412]L!X134*'D(Ti_Audétat23) Times'!$F134*0.000001)^2/(4*'D(Ti_Audétat23) Times'!$C134)/(365.35*24*3600)</f>
        <v>13821.288027330093</v>
      </c>
      <c r="X134" s="2"/>
      <c r="Y134" s="2">
        <f>([412]L!Z134*'D(Ti_Audétat23) Times'!$F134*0.000001)^2/(4*'D(Ti_Audétat23) Times'!$C134)/(365.35*24*3600)</f>
        <v>11980.589090577581</v>
      </c>
      <c r="Z134" s="2">
        <f>([412]L!AB134*'D(Ti_Audétat23) Times'!$F134*0.000001)^2/(4*'D(Ti_Audétat23) Times'!$C134)/(365.35*24*3600)</f>
        <v>11990.693021843597</v>
      </c>
      <c r="AA134" s="2">
        <f>([412]L!AC134*'D(Ti_Audétat23) Times'!$F134*0.000001)^2/(4*'D(Ti_Audétat23) Times'!$C134)/(365.35*24*3600)</f>
        <v>4273.7545566027438</v>
      </c>
      <c r="AB134" s="2">
        <f>([412]L!AD134*'D(Ti_Audétat23) Times'!$F134*0.000001)^2/(4*'D(Ti_Audétat23) Times'!$C134)/(365.35*24*3600)</f>
        <v>27525.575535614378</v>
      </c>
      <c r="AC134" s="2">
        <f t="shared" si="9"/>
        <v>7716.9384652408535</v>
      </c>
      <c r="AD134" s="2">
        <f t="shared" si="10"/>
        <v>15534.882513770781</v>
      </c>
    </row>
    <row r="135" spans="1:30" x14ac:dyDescent="0.2">
      <c r="A135" t="str">
        <f>[412]L!A135</f>
        <v>CGI008-qtz10-CL-fit-4-offset</v>
      </c>
      <c r="B135">
        <v>750</v>
      </c>
      <c r="C135">
        <f t="shared" si="11"/>
        <v>1.1456341375347871E-23</v>
      </c>
      <c r="D135">
        <v>1800</v>
      </c>
      <c r="E135">
        <v>1024</v>
      </c>
      <c r="F135">
        <f t="shared" si="8"/>
        <v>1.7578125</v>
      </c>
      <c r="I135" s="2">
        <f>([412]L!J135*'D(Ti_Audétat23) Times'!$F135*0.000001)^2/(4*'D(Ti_Audétat23) Times'!$C135)/(365.35*24*3600)</f>
        <v>7452.3770627408694</v>
      </c>
      <c r="J135" s="2">
        <f>([412]L!K135*'D(Ti_Audétat23) Times'!$F135*0.000001)^2/(4*'D(Ti_Audétat23) Times'!$C135)/(365.35*24*3600)</f>
        <v>1709.2871824667257</v>
      </c>
      <c r="K135" s="2">
        <f>([412]L!L135*'D(Ti_Audétat23) Times'!$F135*0.000001)^2/(4*'D(Ti_Audétat23) Times'!$C135)/(365.35*24*3600)</f>
        <v>540.94403716312536</v>
      </c>
      <c r="L135" s="2">
        <f>([412]L!M135*'D(Ti_Audétat23) Times'!$F135*0.000001)^2/(4*'D(Ti_Audétat23) Times'!$C135)/(365.35*24*3600)</f>
        <v>3980.6163831266308</v>
      </c>
      <c r="M135" s="2">
        <f>([412]L!N135*'D(Ti_Audétat23) Times'!$F135*0.000001)^2/(4*'D(Ti_Audétat23) Times'!$C135)/(365.35*24*3600)</f>
        <v>1682.9737306672346</v>
      </c>
      <c r="N135" s="2">
        <f>([412]L!O135*'D(Ti_Audétat23) Times'!$F135*0.000001)^2/(4*'D(Ti_Audétat23) Times'!$C135)/(365.35*24*3600)</f>
        <v>147.95844803561292</v>
      </c>
      <c r="O135" s="2">
        <f>([412]L!P135*'D(Ti_Audétat23) Times'!$F135*0.000001)^2/(4*'D(Ti_Audétat23) Times'!$C135)/(365.35*24*3600)</f>
        <v>956.18361124310445</v>
      </c>
      <c r="P135" s="2">
        <f>([412]L!Q135*'D(Ti_Audétat23) Times'!$F135*0.000001)^2/(4*'D(Ti_Audétat23) Times'!$C135)/(365.35*24*3600)</f>
        <v>1413.2317363217858</v>
      </c>
      <c r="Q135" s="2">
        <f>([412]L!R135*'D(Ti_Audétat23) Times'!$F135*0.000001)^2/(4*'D(Ti_Audétat23) Times'!$C135)/(365.35*24*3600)</f>
        <v>619.68168951425093</v>
      </c>
      <c r="R135" s="2">
        <f>([412]L!S135*'D(Ti_Audétat23) Times'!$F135*0.000001)^2/(4*'D(Ti_Audétat23) Times'!$C135)/(365.35*24*3600)</f>
        <v>2825.4904144515012</v>
      </c>
      <c r="S135" s="2">
        <f>([412]L!T135*'D(Ti_Audétat23) Times'!$F135*0.000001)^2/(4*'D(Ti_Audétat23) Times'!$C135)/(365.35*24*3600)</f>
        <v>613.26147570101693</v>
      </c>
      <c r="T135" s="2"/>
      <c r="U135" s="2">
        <f>([412]L!V135*'D(Ti_Audétat23) Times'!$F135*0.000001)^2/(4*'D(Ti_Audétat23) Times'!$C135)/(365.35*24*3600)</f>
        <v>1477.226244342052</v>
      </c>
      <c r="V135" s="2">
        <f>([412]L!W135*'D(Ti_Audétat23) Times'!$F135*0.000001)^2/(4*'D(Ti_Audétat23) Times'!$C135)/(365.35*24*3600)</f>
        <v>1589.377301076805</v>
      </c>
      <c r="W135" s="2">
        <f>([412]L!X135*'D(Ti_Audétat23) Times'!$F135*0.000001)^2/(4*'D(Ti_Audétat23) Times'!$C135)/(365.35*24*3600)</f>
        <v>1413.2317363217858</v>
      </c>
      <c r="X135" s="2"/>
      <c r="Y135" s="2">
        <f>([412]L!Z135*'D(Ti_Audétat23) Times'!$F135*0.000001)^2/(4*'D(Ti_Audétat23) Times'!$C135)/(365.35*24*3600)</f>
        <v>1526.4326040226106</v>
      </c>
      <c r="Z135" s="2">
        <f>([412]L!AB135*'D(Ti_Audétat23) Times'!$F135*0.000001)^2/(4*'D(Ti_Audétat23) Times'!$C135)/(365.35*24*3600)</f>
        <v>1920.1736561410419</v>
      </c>
      <c r="AA135" s="2">
        <f>([412]L!AC135*'D(Ti_Audétat23) Times'!$F135*0.000001)^2/(4*'D(Ti_Audétat23) Times'!$C135)/(365.35*24*3600)</f>
        <v>0.57946239043979397</v>
      </c>
      <c r="AB135" s="2">
        <f>([412]L!AD135*'D(Ti_Audétat23) Times'!$F135*0.000001)^2/(4*'D(Ti_Audétat23) Times'!$C135)/(365.35*24*3600)</f>
        <v>10321.541767932527</v>
      </c>
      <c r="AC135" s="2">
        <f t="shared" si="9"/>
        <v>1919.594193750602</v>
      </c>
      <c r="AD135" s="2">
        <f t="shared" si="10"/>
        <v>8401.3681117914857</v>
      </c>
    </row>
    <row r="136" spans="1:30" x14ac:dyDescent="0.2">
      <c r="A136" t="str">
        <f>[412]L!A136</f>
        <v>CGI008-qtz11-CL-fit-1-offset</v>
      </c>
      <c r="B136">
        <v>750</v>
      </c>
      <c r="C136">
        <f t="shared" si="11"/>
        <v>1.1456341375347871E-23</v>
      </c>
      <c r="D136">
        <v>1800</v>
      </c>
      <c r="E136">
        <v>1024</v>
      </c>
      <c r="F136">
        <f t="shared" si="8"/>
        <v>1.7578125</v>
      </c>
      <c r="I136" s="2">
        <f>([412]L!J136*'D(Ti_Audétat23) Times'!$F136*0.000001)^2/(4*'D(Ti_Audétat23) Times'!$C136)/(365.35*24*3600)</f>
        <v>45609.111437926927</v>
      </c>
      <c r="J136" s="2">
        <f>([412]L!K136*'D(Ti_Audétat23) Times'!$F136*0.000001)^2/(4*'D(Ti_Audétat23) Times'!$C136)/(365.35*24*3600)</f>
        <v>18683.675010945262</v>
      </c>
      <c r="K136" s="2">
        <f>([412]L!L136*'D(Ti_Audétat23) Times'!$F136*0.000001)^2/(4*'D(Ti_Audétat23) Times'!$C136)/(365.35*24*3600)</f>
        <v>17443.554125294919</v>
      </c>
      <c r="L136" s="2">
        <f>([412]L!M136*'D(Ti_Audétat23) Times'!$F136*0.000001)^2/(4*'D(Ti_Audétat23) Times'!$C136)/(365.35*24*3600)</f>
        <v>60547.199594019745</v>
      </c>
      <c r="M136" s="2">
        <f>([412]L!N136*'D(Ti_Audétat23) Times'!$F136*0.000001)^2/(4*'D(Ti_Audétat23) Times'!$C136)/(365.35*24*3600)</f>
        <v>79686.234379928661</v>
      </c>
      <c r="N136" s="2">
        <f>([412]L!O136*'D(Ti_Audétat23) Times'!$F136*0.000001)^2/(4*'D(Ti_Audétat23) Times'!$C136)/(365.35*24*3600)</f>
        <v>112190.84087427758</v>
      </c>
      <c r="O136" s="2">
        <f>([412]L!P136*'D(Ti_Audétat23) Times'!$F136*0.000001)^2/(4*'D(Ti_Audétat23) Times'!$C136)/(365.35*24*3600)</f>
        <v>43452.367026029919</v>
      </c>
      <c r="P136" s="2">
        <f>([412]L!Q136*'D(Ti_Audétat23) Times'!$F136*0.000001)^2/(4*'D(Ti_Audétat23) Times'!$C136)/(365.35*24*3600)</f>
        <v>30347.808206926769</v>
      </c>
      <c r="Q136" s="2">
        <f>([412]L!R136*'D(Ti_Audétat23) Times'!$F136*0.000001)^2/(4*'D(Ti_Audétat23) Times'!$C136)/(365.35*24*3600)</f>
        <v>61719.221420320646</v>
      </c>
      <c r="R136" s="2">
        <f>([412]L!S136*'D(Ti_Audétat23) Times'!$F136*0.000001)^2/(4*'D(Ti_Audétat23) Times'!$C136)/(365.35*24*3600)</f>
        <v>2427.7010818621275</v>
      </c>
      <c r="S136" s="2">
        <f>([412]L!T136*'D(Ti_Audétat23) Times'!$F136*0.000001)^2/(4*'D(Ti_Audétat23) Times'!$C136)/(365.35*24*3600)</f>
        <v>3512.983963321702</v>
      </c>
      <c r="T136" s="2"/>
      <c r="U136" s="2">
        <f>([412]L!V136*'D(Ti_Audétat23) Times'!$F136*0.000001)^2/(4*'D(Ti_Audétat23) Times'!$C136)/(365.35*24*3600)</f>
        <v>38367.539063877295</v>
      </c>
      <c r="V136" s="2">
        <f>([412]L!W136*'D(Ti_Audétat23) Times'!$F136*0.000001)^2/(4*'D(Ti_Audétat23) Times'!$C136)/(365.35*24*3600)</f>
        <v>35936.416676024193</v>
      </c>
      <c r="W136" s="2">
        <f>([412]L!X136*'D(Ti_Audétat23) Times'!$F136*0.000001)^2/(4*'D(Ti_Audétat23) Times'!$C136)/(365.35*24*3600)</f>
        <v>43452.367026029919</v>
      </c>
      <c r="X136" s="2"/>
      <c r="Y136" s="2">
        <f>([412]L!Z136*'D(Ti_Audétat23) Times'!$F136*0.000001)^2/(4*'D(Ti_Audétat23) Times'!$C136)/(365.35*24*3600)</f>
        <v>34739.143282172292</v>
      </c>
      <c r="Z136" s="2">
        <f>([412]L!AB136*'D(Ti_Audétat23) Times'!$F136*0.000001)^2/(4*'D(Ti_Audétat23) Times'!$C136)/(365.35*24*3600)</f>
        <v>38931.666980493159</v>
      </c>
      <c r="AA136" s="2">
        <f>([412]L!AC136*'D(Ti_Audétat23) Times'!$F136*0.000001)^2/(4*'D(Ti_Audétat23) Times'!$C136)/(365.35*24*3600)</f>
        <v>2599.3906161153373</v>
      </c>
      <c r="AB136" s="2">
        <f>([412]L!AD136*'D(Ti_Audétat23) Times'!$F136*0.000001)^2/(4*'D(Ti_Audétat23) Times'!$C136)/(365.35*24*3600)</f>
        <v>150700.88340547009</v>
      </c>
      <c r="AC136" s="2">
        <f t="shared" si="9"/>
        <v>36332.276364377823</v>
      </c>
      <c r="AD136" s="2">
        <f t="shared" si="10"/>
        <v>111769.21642497693</v>
      </c>
    </row>
    <row r="137" spans="1:30" x14ac:dyDescent="0.2">
      <c r="A137" t="str">
        <f>[412]L!A137</f>
        <v>CGI008-qtz11-CL-fit-2-offset</v>
      </c>
      <c r="B137">
        <v>750</v>
      </c>
      <c r="C137">
        <f t="shared" si="11"/>
        <v>1.1456341375347871E-23</v>
      </c>
      <c r="D137">
        <v>1800</v>
      </c>
      <c r="E137">
        <v>1024</v>
      </c>
      <c r="F137">
        <f t="shared" si="8"/>
        <v>1.7578125</v>
      </c>
      <c r="I137" s="2">
        <f>([412]L!J137*'D(Ti_Audétat23) Times'!$F137*0.000001)^2/(4*'D(Ti_Audétat23) Times'!$C137)/(365.35*24*3600)</f>
        <v>11983.39678425344</v>
      </c>
      <c r="J137" s="2">
        <f>([412]L!K137*'D(Ti_Audétat23) Times'!$F137*0.000001)^2/(4*'D(Ti_Audétat23) Times'!$C137)/(365.35*24*3600)</f>
        <v>4986.1540705723046</v>
      </c>
      <c r="K137" s="2">
        <f>([412]L!L137*'D(Ti_Audétat23) Times'!$F137*0.000001)^2/(4*'D(Ti_Audétat23) Times'!$C137)/(365.35*24*3600)</f>
        <v>18099.208534381949</v>
      </c>
      <c r="L137" s="2">
        <f>([412]L!M137*'D(Ti_Audétat23) Times'!$F137*0.000001)^2/(4*'D(Ti_Audétat23) Times'!$C137)/(365.35*24*3600)</f>
        <v>18058.06980673932</v>
      </c>
      <c r="M137" s="2">
        <f>([412]L!N137*'D(Ti_Audétat23) Times'!$F137*0.000001)^2/(4*'D(Ti_Audétat23) Times'!$C137)/(365.35*24*3600)</f>
        <v>17800.659260052744</v>
      </c>
      <c r="N137" s="2">
        <f>([412]L!O137*'D(Ti_Audétat23) Times'!$F137*0.000001)^2/(4*'D(Ti_Audétat23) Times'!$C137)/(365.35*24*3600)</f>
        <v>58936.032460424809</v>
      </c>
      <c r="O137" s="2">
        <f>([412]L!P137*'D(Ti_Audétat23) Times'!$F137*0.000001)^2/(4*'D(Ti_Audétat23) Times'!$C137)/(365.35*24*3600)</f>
        <v>17925.299833108682</v>
      </c>
      <c r="P137" s="2">
        <f>([412]L!Q137*'D(Ti_Audétat23) Times'!$F137*0.000001)^2/(4*'D(Ti_Audétat23) Times'!$C137)/(365.35*24*3600)</f>
        <v>69681.49963460624</v>
      </c>
      <c r="Q137" s="2">
        <f>([412]L!R137*'D(Ti_Audétat23) Times'!$F137*0.000001)^2/(4*'D(Ti_Audétat23) Times'!$C137)/(365.35*24*3600)</f>
        <v>76968.576717430347</v>
      </c>
      <c r="R137" s="2">
        <f>([412]L!S137*'D(Ti_Audétat23) Times'!$F137*0.000001)^2/(4*'D(Ti_Audétat23) Times'!$C137)/(365.35*24*3600)</f>
        <v>109772.0300515245</v>
      </c>
      <c r="S137" s="2">
        <f>([412]L!T137*'D(Ti_Audétat23) Times'!$F137*0.000001)^2/(4*'D(Ti_Audétat23) Times'!$C137)/(365.35*24*3600)</f>
        <v>127137.01919858551</v>
      </c>
      <c r="T137" s="2"/>
      <c r="U137" s="2">
        <f>([412]L!V137*'D(Ti_Audétat23) Times'!$F137*0.000001)^2/(4*'D(Ti_Audétat23) Times'!$C137)/(365.35*24*3600)</f>
        <v>39636.763354101349</v>
      </c>
      <c r="V137" s="2">
        <f>([412]L!W137*'D(Ti_Audétat23) Times'!$F137*0.000001)^2/(4*'D(Ti_Audétat23) Times'!$C137)/(365.35*24*3600)</f>
        <v>39577.595040558284</v>
      </c>
      <c r="W137" s="2">
        <f>([412]L!X137*'D(Ti_Audétat23) Times'!$F137*0.000001)^2/(4*'D(Ti_Audétat23) Times'!$C137)/(365.35*24*3600)</f>
        <v>18099.208534381949</v>
      </c>
      <c r="X137" s="2"/>
      <c r="Y137" s="2">
        <f>([412]L!Z137*'D(Ti_Audétat23) Times'!$F137*0.000001)^2/(4*'D(Ti_Audétat23) Times'!$C137)/(365.35*24*3600)</f>
        <v>43172.74164619809</v>
      </c>
      <c r="Z137" s="2">
        <f>([412]L!AB137*'D(Ti_Audétat23) Times'!$F137*0.000001)^2/(4*'D(Ti_Audétat23) Times'!$C137)/(365.35*24*3600)</f>
        <v>47999.04824757493</v>
      </c>
      <c r="AA137" s="2">
        <f>([412]L!AC137*'D(Ti_Audétat23) Times'!$F137*0.000001)^2/(4*'D(Ti_Audétat23) Times'!$C137)/(365.35*24*3600)</f>
        <v>7718.6773133404986</v>
      </c>
      <c r="AB137" s="2">
        <f>([412]L!AD137*'D(Ti_Audétat23) Times'!$F137*0.000001)^2/(4*'D(Ti_Audétat23) Times'!$C137)/(365.35*24*3600)</f>
        <v>183607.58957525666</v>
      </c>
      <c r="AC137" s="2">
        <f t="shared" si="9"/>
        <v>40280.37093423443</v>
      </c>
      <c r="AD137" s="2">
        <f t="shared" si="10"/>
        <v>135608.54132768174</v>
      </c>
    </row>
    <row r="138" spans="1:30" x14ac:dyDescent="0.2">
      <c r="A138" t="str">
        <f>[412]L!A138</f>
        <v>CGI008-qtz11-CL-fit-3-offset</v>
      </c>
      <c r="B138">
        <v>750</v>
      </c>
      <c r="C138">
        <f t="shared" si="11"/>
        <v>1.1456341375347871E-23</v>
      </c>
      <c r="D138">
        <v>1800</v>
      </c>
      <c r="E138">
        <v>1024</v>
      </c>
      <c r="F138">
        <f t="shared" si="8"/>
        <v>1.7578125</v>
      </c>
      <c r="I138" s="2">
        <f>([412]L!J138*'D(Ti_Audétat23) Times'!$F138*0.000001)^2/(4*'D(Ti_Audétat23) Times'!$C138)/(365.35*24*3600)</f>
        <v>51.263493388408378</v>
      </c>
      <c r="J138" s="2">
        <f>([412]L!K138*'D(Ti_Audétat23) Times'!$F138*0.000001)^2/(4*'D(Ti_Audétat23) Times'!$C138)/(365.35*24*3600)</f>
        <v>812.11765073034655</v>
      </c>
      <c r="K138" s="2">
        <f>([412]L!L138*'D(Ti_Audétat23) Times'!$F138*0.000001)^2/(4*'D(Ti_Audétat23) Times'!$C138)/(365.35*24*3600)</f>
        <v>2685.9688022521755</v>
      </c>
      <c r="L138" s="2">
        <f>([412]L!M138*'D(Ti_Audétat23) Times'!$F138*0.000001)^2/(4*'D(Ti_Audétat23) Times'!$C138)/(365.35*24*3600)</f>
        <v>68.974434151021185</v>
      </c>
      <c r="M138" s="2">
        <f>([412]L!N138*'D(Ti_Audétat23) Times'!$F138*0.000001)^2/(4*'D(Ti_Audétat23) Times'!$C138)/(365.35*24*3600)</f>
        <v>413.78793983490738</v>
      </c>
      <c r="N138" s="2">
        <f>([412]L!O138*'D(Ti_Audétat23) Times'!$F138*0.000001)^2/(4*'D(Ti_Audétat23) Times'!$C138)/(365.35*24*3600)</f>
        <v>79.483012947944573</v>
      </c>
      <c r="O138" s="2">
        <f>([412]L!P138*'D(Ti_Audétat23) Times'!$F138*0.000001)^2/(4*'D(Ti_Audétat23) Times'!$C138)/(365.35*24*3600)</f>
        <v>2709.8543429002807</v>
      </c>
      <c r="P138" s="2">
        <f>([412]L!Q138*'D(Ti_Audétat23) Times'!$F138*0.000001)^2/(4*'D(Ti_Audétat23) Times'!$C138)/(365.35*24*3600)</f>
        <v>2157.7182047936731</v>
      </c>
      <c r="Q138" s="2">
        <f>([412]L!R138*'D(Ti_Audétat23) Times'!$F138*0.000001)^2/(4*'D(Ti_Audétat23) Times'!$C138)/(365.35*24*3600)</f>
        <v>786.53579935093569</v>
      </c>
      <c r="R138" s="2">
        <f>([412]L!S138*'D(Ti_Audétat23) Times'!$F138*0.000001)^2/(4*'D(Ti_Audétat23) Times'!$C138)/(365.35*24*3600)</f>
        <v>2096.1630735732115</v>
      </c>
      <c r="S138" s="2">
        <f>([412]L!T138*'D(Ti_Audétat23) Times'!$F138*0.000001)^2/(4*'D(Ti_Audétat23) Times'!$C138)/(365.35*24*3600)</f>
        <v>1025.7600850599017</v>
      </c>
      <c r="T138" s="2"/>
      <c r="U138" s="2">
        <f>([412]L!V138*'D(Ti_Audétat23) Times'!$F138*0.000001)^2/(4*'D(Ti_Audétat23) Times'!$C138)/(365.35*24*3600)</f>
        <v>1737.5027035232988</v>
      </c>
      <c r="V138" s="2">
        <f>([412]L!W138*'D(Ti_Audétat23) Times'!$F138*0.000001)^2/(4*'D(Ti_Audétat23) Times'!$C138)/(365.35*24*3600)</f>
        <v>896.78560432407312</v>
      </c>
      <c r="W138" s="2">
        <f>([412]L!X138*'D(Ti_Audétat23) Times'!$F138*0.000001)^2/(4*'D(Ti_Audétat23) Times'!$C138)/(365.35*24*3600)</f>
        <v>812.11765073034655</v>
      </c>
      <c r="X138" s="2"/>
      <c r="Y138" s="2">
        <f>([412]L!Z138*'D(Ti_Audétat23) Times'!$F138*0.000001)^2/(4*'D(Ti_Audétat23) Times'!$C138)/(365.35*24*3600)</f>
        <v>1312.7445265132073</v>
      </c>
      <c r="Z138" s="2">
        <f>([412]L!AB138*'D(Ti_Audétat23) Times'!$F138*0.000001)^2/(4*'D(Ti_Audétat23) Times'!$C138)/(365.35*24*3600)</f>
        <v>1286.5402852714367</v>
      </c>
      <c r="AA138" s="2">
        <f>([412]L!AC138*'D(Ti_Audétat23) Times'!$F138*0.000001)^2/(4*'D(Ti_Audétat23) Times'!$C138)/(365.35*24*3600)</f>
        <v>73.214573648597977</v>
      </c>
      <c r="AB138" s="2">
        <f>([412]L!AD138*'D(Ti_Audétat23) Times'!$F138*0.000001)^2/(4*'D(Ti_Audétat23) Times'!$C138)/(365.35*24*3600)</f>
        <v>6977.7592185524281</v>
      </c>
      <c r="AC138" s="2">
        <f t="shared" si="9"/>
        <v>1213.3257116228388</v>
      </c>
      <c r="AD138" s="2">
        <f t="shared" si="10"/>
        <v>5691.2189332809912</v>
      </c>
    </row>
    <row r="139" spans="1:30" x14ac:dyDescent="0.2">
      <c r="A139" t="str">
        <f>[412]L!A139</f>
        <v>CGI008-qtz11-CL-fit-4-offset</v>
      </c>
      <c r="B139">
        <v>750</v>
      </c>
      <c r="C139">
        <f t="shared" si="11"/>
        <v>1.1456341375347871E-23</v>
      </c>
      <c r="D139">
        <v>1800</v>
      </c>
      <c r="E139">
        <v>1024</v>
      </c>
      <c r="F139">
        <f t="shared" si="8"/>
        <v>1.7578125</v>
      </c>
      <c r="I139" s="2">
        <f>([412]L!J139*'D(Ti_Audétat23) Times'!$F139*0.000001)^2/(4*'D(Ti_Audétat23) Times'!$C139)/(365.35*24*3600)</f>
        <v>371.70264812538568</v>
      </c>
      <c r="J139" s="2">
        <f>([412]L!K139*'D(Ti_Audétat23) Times'!$F139*0.000001)^2/(4*'D(Ti_Audétat23) Times'!$C139)/(365.35*24*3600)</f>
        <v>2494.9814863732377</v>
      </c>
      <c r="K139" s="2">
        <f>([412]L!L139*'D(Ti_Audétat23) Times'!$F139*0.000001)^2/(4*'D(Ti_Audétat23) Times'!$C139)/(365.35*24*3600)</f>
        <v>113.07552325603855</v>
      </c>
      <c r="L139" s="2">
        <f>([412]L!M139*'D(Ti_Audétat23) Times'!$F139*0.000001)^2/(4*'D(Ti_Audétat23) Times'!$C139)/(365.35*24*3600)</f>
        <v>2894.4933590249616</v>
      </c>
      <c r="M139" s="2">
        <f>([412]L!N139*'D(Ti_Audétat23) Times'!$F139*0.000001)^2/(4*'D(Ti_Audétat23) Times'!$C139)/(365.35*24*3600)</f>
        <v>1875.778346080544</v>
      </c>
      <c r="N139" s="2">
        <f>([412]L!O139*'D(Ti_Audétat23) Times'!$F139*0.000001)^2/(4*'D(Ti_Audétat23) Times'!$C139)/(365.35*24*3600)</f>
        <v>79.010194067975974</v>
      </c>
      <c r="O139" s="2">
        <f>([412]L!P139*'D(Ti_Audétat23) Times'!$F139*0.000001)^2/(4*'D(Ti_Audétat23) Times'!$C139)/(365.35*24*3600)</f>
        <v>91.749916231618698</v>
      </c>
      <c r="P139" s="2">
        <f>([412]L!Q139*'D(Ti_Audétat23) Times'!$F139*0.000001)^2/(4*'D(Ti_Audétat23) Times'!$C139)/(365.35*24*3600)</f>
        <v>153.79216042118938</v>
      </c>
      <c r="Q139" s="2">
        <f>([412]L!R139*'D(Ti_Audétat23) Times'!$F139*0.000001)^2/(4*'D(Ti_Audétat23) Times'!$C139)/(365.35*24*3600)</f>
        <v>1150.876030525289</v>
      </c>
      <c r="R139" s="2">
        <f>([412]L!S139*'D(Ti_Audétat23) Times'!$F139*0.000001)^2/(4*'D(Ti_Audétat23) Times'!$C139)/(365.35*24*3600)</f>
        <v>1.7020475616463624</v>
      </c>
      <c r="S139" s="2">
        <f>([412]L!T139*'D(Ti_Audétat23) Times'!$F139*0.000001)^2/(4*'D(Ti_Audétat23) Times'!$C139)/(365.35*24*3600)</f>
        <v>123.32874209681115</v>
      </c>
      <c r="T139" s="2"/>
      <c r="U139" s="2">
        <f>([412]L!V139*'D(Ti_Audétat23) Times'!$F139*0.000001)^2/(4*'D(Ti_Audétat23) Times'!$C139)/(365.35*24*3600)</f>
        <v>288.83022710384313</v>
      </c>
      <c r="V139" s="2">
        <f>([412]L!W139*'D(Ti_Audétat23) Times'!$F139*0.000001)^2/(4*'D(Ti_Audétat23) Times'!$C139)/(365.35*24*3600)</f>
        <v>533.93366061673112</v>
      </c>
      <c r="W139" s="2">
        <f>([412]L!X139*'D(Ti_Audétat23) Times'!$F139*0.000001)^2/(4*'D(Ti_Audétat23) Times'!$C139)/(365.35*24*3600)</f>
        <v>153.79216042118938</v>
      </c>
      <c r="X139" s="2"/>
      <c r="Y139" s="2">
        <f>([412]L!Z139*'D(Ti_Audétat23) Times'!$F139*0.000001)^2/(4*'D(Ti_Audétat23) Times'!$C139)/(365.35*24*3600)</f>
        <v>331.65387789574714</v>
      </c>
      <c r="Z139" s="2">
        <f>([412]L!AB139*'D(Ti_Audétat23) Times'!$F139*0.000001)^2/(4*'D(Ti_Audétat23) Times'!$C139)/(365.35*24*3600)</f>
        <v>690.62113273526745</v>
      </c>
      <c r="AA139" s="2">
        <f>([412]L!AC139*'D(Ti_Audétat23) Times'!$F139*0.000001)^2/(4*'D(Ti_Audétat23) Times'!$C139)/(365.35*24*3600)</f>
        <v>0.24930618588550854</v>
      </c>
      <c r="AB139" s="2">
        <f>([412]L!AD139*'D(Ti_Audétat23) Times'!$F139*0.000001)^2/(4*'D(Ti_Audétat23) Times'!$C139)/(365.35*24*3600)</f>
        <v>6400.4479613262656</v>
      </c>
      <c r="AC139" s="2">
        <f t="shared" si="9"/>
        <v>690.37182654938192</v>
      </c>
      <c r="AD139" s="2">
        <f t="shared" si="10"/>
        <v>5709.826828590998</v>
      </c>
    </row>
    <row r="140" spans="1:30" x14ac:dyDescent="0.2">
      <c r="A140" t="str">
        <f>[412]L!A140</f>
        <v>CGI008-qtz12-CL-fit-1-offset</v>
      </c>
      <c r="B140">
        <v>750</v>
      </c>
      <c r="C140">
        <f t="shared" si="11"/>
        <v>1.1456341375347871E-23</v>
      </c>
      <c r="D140">
        <v>1700</v>
      </c>
      <c r="E140">
        <v>1024</v>
      </c>
      <c r="F140">
        <f t="shared" si="8"/>
        <v>1.66015625</v>
      </c>
      <c r="I140" s="2">
        <f>([412]L!J140*'D(Ti_Audétat23) Times'!$F140*0.000001)^2/(4*'D(Ti_Audétat23) Times'!$C140)/(365.35*24*3600)</f>
        <v>12191.265244782635</v>
      </c>
      <c r="J140" s="2">
        <f>([412]L!K140*'D(Ti_Audétat23) Times'!$F140*0.000001)^2/(4*'D(Ti_Audétat23) Times'!$C140)/(365.35*24*3600)</f>
        <v>22364.497617217345</v>
      </c>
      <c r="K140" s="2">
        <f>([412]L!L140*'D(Ti_Audétat23) Times'!$F140*0.000001)^2/(4*'D(Ti_Audétat23) Times'!$C140)/(365.35*24*3600)</f>
        <v>43876.265160233896</v>
      </c>
      <c r="L140" s="2">
        <f>([412]L!M140*'D(Ti_Audétat23) Times'!$F140*0.000001)^2/(4*'D(Ti_Audétat23) Times'!$C140)/(365.35*24*3600)</f>
        <v>59834.078777164679</v>
      </c>
      <c r="M140" s="2">
        <f>([412]L!N140*'D(Ti_Audétat23) Times'!$F140*0.000001)^2/(4*'D(Ti_Audétat23) Times'!$C140)/(365.35*24*3600)</f>
        <v>10087.821574359812</v>
      </c>
      <c r="N140" s="2">
        <f>([412]L!O140*'D(Ti_Audétat23) Times'!$F140*0.000001)^2/(4*'D(Ti_Audétat23) Times'!$C140)/(365.35*24*3600)</f>
        <v>18828.169146660799</v>
      </c>
      <c r="O140" s="2">
        <f>([412]L!P140*'D(Ti_Audétat23) Times'!$F140*0.000001)^2/(4*'D(Ti_Audétat23) Times'!$C140)/(365.35*24*3600)</f>
        <v>47253.899584996121</v>
      </c>
      <c r="P140" s="2">
        <f>([412]L!Q140*'D(Ti_Audétat23) Times'!$F140*0.000001)^2/(4*'D(Ti_Audétat23) Times'!$C140)/(365.35*24*3600)</f>
        <v>98662.393520740137</v>
      </c>
      <c r="Q140" s="2">
        <f>([412]L!R140*'D(Ti_Audétat23) Times'!$F140*0.000001)^2/(4*'D(Ti_Audétat23) Times'!$C140)/(365.35*24*3600)</f>
        <v>90768.964208791411</v>
      </c>
      <c r="R140" s="2">
        <f>([412]L!S140*'D(Ti_Audétat23) Times'!$F140*0.000001)^2/(4*'D(Ti_Audétat23) Times'!$C140)/(365.35*24*3600)</f>
        <v>34147.845832032566</v>
      </c>
      <c r="S140" s="2">
        <f>([412]L!T140*'D(Ti_Audétat23) Times'!$F140*0.000001)^2/(4*'D(Ti_Audétat23) Times'!$C140)/(365.35*24*3600)</f>
        <v>8050.6388719090774</v>
      </c>
      <c r="T140" s="2"/>
      <c r="U140" s="2">
        <f>([412]L!V140*'D(Ti_Audétat23) Times'!$F140*0.000001)^2/(4*'D(Ti_Audétat23) Times'!$C140)/(365.35*24*3600)</f>
        <v>34358.133895717663</v>
      </c>
      <c r="V140" s="2">
        <f>([412]L!W140*'D(Ti_Audétat23) Times'!$F140*0.000001)^2/(4*'D(Ti_Audétat23) Times'!$C140)/(365.35*24*3600)</f>
        <v>35036.121708397943</v>
      </c>
      <c r="W140" s="2">
        <f>([412]L!X140*'D(Ti_Audétat23) Times'!$F140*0.000001)^2/(4*'D(Ti_Audétat23) Times'!$C140)/(365.35*24*3600)</f>
        <v>34147.845832032566</v>
      </c>
      <c r="X140" s="2"/>
      <c r="Y140" s="2">
        <f>([412]L!Z140*'D(Ti_Audétat23) Times'!$F140*0.000001)^2/(4*'D(Ti_Audétat23) Times'!$C140)/(365.35*24*3600)</f>
        <v>36355.108455239162</v>
      </c>
      <c r="Z140" s="2">
        <f>([412]L!AB140*'D(Ti_Audétat23) Times'!$F140*0.000001)^2/(4*'D(Ti_Audétat23) Times'!$C140)/(365.35*24*3600)</f>
        <v>35952.065349820943</v>
      </c>
      <c r="AA140" s="2">
        <f>([412]L!AC140*'D(Ti_Audétat23) Times'!$F140*0.000001)^2/(4*'D(Ti_Audétat23) Times'!$C140)/(365.35*24*3600)</f>
        <v>4246.6420431299293</v>
      </c>
      <c r="AB140" s="2">
        <f>([412]L!AD140*'D(Ti_Audétat23) Times'!$F140*0.000001)^2/(4*'D(Ti_Audétat23) Times'!$C140)/(365.35*24*3600)</f>
        <v>113184.47591400088</v>
      </c>
      <c r="AC140" s="2">
        <f t="shared" si="9"/>
        <v>31705.423306691013</v>
      </c>
      <c r="AD140" s="2">
        <f t="shared" si="10"/>
        <v>77232.41056417994</v>
      </c>
    </row>
    <row r="141" spans="1:30" x14ac:dyDescent="0.2">
      <c r="A141" t="str">
        <f>[412]L!A141</f>
        <v>CGI008-qtz12-CL-fit-2-offset</v>
      </c>
      <c r="B141">
        <v>750</v>
      </c>
      <c r="C141">
        <f t="shared" si="11"/>
        <v>1.1456341375347871E-23</v>
      </c>
      <c r="D141">
        <v>1700</v>
      </c>
      <c r="E141">
        <v>1024</v>
      </c>
      <c r="F141">
        <f t="shared" si="8"/>
        <v>1.66015625</v>
      </c>
      <c r="I141" s="2">
        <f>([412]L!J141*'D(Ti_Audétat23) Times'!$F141*0.000001)^2/(4*'D(Ti_Audétat23) Times'!$C141)/(365.35*24*3600)</f>
        <v>2497.0331603530626</v>
      </c>
      <c r="J141" s="2">
        <f>([412]L!K141*'D(Ti_Audétat23) Times'!$F141*0.000001)^2/(4*'D(Ti_Audétat23) Times'!$C141)/(365.35*24*3600)</f>
        <v>2203.3613852481753</v>
      </c>
      <c r="K141" s="2">
        <f>([412]L!L141*'D(Ti_Audétat23) Times'!$F141*0.000001)^2/(4*'D(Ti_Audétat23) Times'!$C141)/(365.35*24*3600)</f>
        <v>563.79755537125311</v>
      </c>
      <c r="L141" s="2">
        <f>([412]L!M141*'D(Ti_Audétat23) Times'!$F141*0.000001)^2/(4*'D(Ti_Audétat23) Times'!$C141)/(365.35*24*3600)</f>
        <v>10.028656360227762</v>
      </c>
      <c r="M141" s="2">
        <f>([412]L!N141*'D(Ti_Audétat23) Times'!$F141*0.000001)^2/(4*'D(Ti_Audétat23) Times'!$C141)/(365.35*24*3600)</f>
        <v>1235.5115295044579</v>
      </c>
      <c r="N141" s="2">
        <f>([412]L!O141*'D(Ti_Audétat23) Times'!$F141*0.000001)^2/(4*'D(Ti_Audétat23) Times'!$C141)/(365.35*24*3600)</f>
        <v>137.1755901852988</v>
      </c>
      <c r="O141" s="2">
        <f>([412]L!P141*'D(Ti_Audétat23) Times'!$F141*0.000001)^2/(4*'D(Ti_Audétat23) Times'!$C141)/(365.35*24*3600)</f>
        <v>1891.4420437607323</v>
      </c>
      <c r="P141" s="2">
        <f>([412]L!Q141*'D(Ti_Audétat23) Times'!$F141*0.000001)^2/(4*'D(Ti_Audétat23) Times'!$C141)/(365.35*24*3600)</f>
        <v>198.99797516292983</v>
      </c>
      <c r="Q141" s="2">
        <f>([412]L!R141*'D(Ti_Audétat23) Times'!$F141*0.000001)^2/(4*'D(Ti_Audétat23) Times'!$C141)/(365.35*24*3600)</f>
        <v>119.84904550698855</v>
      </c>
      <c r="R141" s="2">
        <f>([412]L!S141*'D(Ti_Audétat23) Times'!$F141*0.000001)^2/(4*'D(Ti_Audétat23) Times'!$C141)/(365.35*24*3600)</f>
        <v>1499.9528142703041</v>
      </c>
      <c r="S141" s="2">
        <f>([412]L!T141*'D(Ti_Audétat23) Times'!$F141*0.000001)^2/(4*'D(Ti_Audétat23) Times'!$C141)/(365.35*24*3600)</f>
        <v>2903.7625419507426</v>
      </c>
      <c r="T141" s="2"/>
      <c r="U141" s="2">
        <f>([412]L!V141*'D(Ti_Audétat23) Times'!$F141*0.000001)^2/(4*'D(Ti_Audétat23) Times'!$C141)/(365.35*24*3600)</f>
        <v>135.63040787795802</v>
      </c>
      <c r="V141" s="2">
        <f>([412]L!W141*'D(Ti_Audétat23) Times'!$F141*0.000001)^2/(4*'D(Ti_Audétat23) Times'!$C141)/(365.35*24*3600)</f>
        <v>910.08792415590688</v>
      </c>
      <c r="W141" s="2">
        <f>([412]L!X141*'D(Ti_Audétat23) Times'!$F141*0.000001)^2/(4*'D(Ti_Audétat23) Times'!$C141)/(365.35*24*3600)</f>
        <v>1235.5115295044579</v>
      </c>
      <c r="X141" s="2"/>
      <c r="Y141" s="2">
        <f>([412]L!Z141*'D(Ti_Audétat23) Times'!$F141*0.000001)^2/(4*'D(Ti_Audétat23) Times'!$C141)/(365.35*24*3600)</f>
        <v>153.04523573640455</v>
      </c>
      <c r="Z141" s="2">
        <f>([412]L!AB141*'D(Ti_Audétat23) Times'!$F141*0.000001)^2/(4*'D(Ti_Audétat23) Times'!$C141)/(365.35*24*3600)</f>
        <v>793.31124126899226</v>
      </c>
      <c r="AA141" s="2">
        <f>([412]L!AC141*'D(Ti_Audétat23) Times'!$F141*0.000001)^2/(4*'D(Ti_Audétat23) Times'!$C141)/(365.35*24*3600)</f>
        <v>7.2649994477167414</v>
      </c>
      <c r="AB141" s="2">
        <f>([412]L!AD141*'D(Ti_Audétat23) Times'!$F141*0.000001)^2/(4*'D(Ti_Audétat23) Times'!$C141)/(365.35*24*3600)</f>
        <v>8275.5469958377817</v>
      </c>
      <c r="AC141" s="2">
        <f t="shared" si="9"/>
        <v>786.04624182127554</v>
      </c>
      <c r="AD141" s="2">
        <f t="shared" si="10"/>
        <v>7482.2357545687892</v>
      </c>
    </row>
    <row r="142" spans="1:30" x14ac:dyDescent="0.2">
      <c r="A142" t="str">
        <f>[412]L!A142</f>
        <v>CGI008-qtz12-CL-fit-3-offset</v>
      </c>
      <c r="B142">
        <v>750</v>
      </c>
      <c r="C142">
        <f t="shared" si="11"/>
        <v>1.1456341375347871E-23</v>
      </c>
      <c r="D142">
        <v>1700</v>
      </c>
      <c r="E142">
        <v>1024</v>
      </c>
      <c r="F142">
        <f t="shared" si="8"/>
        <v>1.66015625</v>
      </c>
      <c r="I142" s="2">
        <f>([412]L!J142*'D(Ti_Audétat23) Times'!$F142*0.000001)^2/(4*'D(Ti_Audétat23) Times'!$C142)/(365.35*24*3600)</f>
        <v>19797.903208775529</v>
      </c>
      <c r="J142" s="2">
        <f>([412]L!K142*'D(Ti_Audétat23) Times'!$F142*0.000001)^2/(4*'D(Ti_Audétat23) Times'!$C142)/(365.35*24*3600)</f>
        <v>10996.39035522296</v>
      </c>
      <c r="K142" s="2">
        <f>([412]L!L142*'D(Ti_Audétat23) Times'!$F142*0.000001)^2/(4*'D(Ti_Audétat23) Times'!$C142)/(365.35*24*3600)</f>
        <v>18446.947739559906</v>
      </c>
      <c r="L142" s="2">
        <f>([412]L!M142*'D(Ti_Audétat23) Times'!$F142*0.000001)^2/(4*'D(Ti_Audétat23) Times'!$C142)/(365.35*24*3600)</f>
        <v>18831.257447642296</v>
      </c>
      <c r="M142" s="2">
        <f>([412]L!N142*'D(Ti_Audétat23) Times'!$F142*0.000001)^2/(4*'D(Ti_Audétat23) Times'!$C142)/(365.35*24*3600)</f>
        <v>24896.846453848877</v>
      </c>
      <c r="N142" s="2">
        <f>([412]L!O142*'D(Ti_Audétat23) Times'!$F142*0.000001)^2/(4*'D(Ti_Audétat23) Times'!$C142)/(365.35*24*3600)</f>
        <v>24374.087256580602</v>
      </c>
      <c r="O142" s="2">
        <f>([412]L!P142*'D(Ti_Audétat23) Times'!$F142*0.000001)^2/(4*'D(Ti_Audétat23) Times'!$C142)/(365.35*24*3600)</f>
        <v>22682.927784368167</v>
      </c>
      <c r="P142" s="2">
        <f>([412]L!Q142*'D(Ti_Audétat23) Times'!$F142*0.000001)^2/(4*'D(Ti_Audétat23) Times'!$C142)/(365.35*24*3600)</f>
        <v>25136.289012106256</v>
      </c>
      <c r="Q142" s="2">
        <f>([412]L!R142*'D(Ti_Audétat23) Times'!$F142*0.000001)^2/(4*'D(Ti_Audétat23) Times'!$C142)/(365.35*24*3600)</f>
        <v>27396.389806235449</v>
      </c>
      <c r="R142" s="2">
        <f>([412]L!S142*'D(Ti_Audétat23) Times'!$F142*0.000001)^2/(4*'D(Ti_Audétat23) Times'!$C142)/(365.35*24*3600)</f>
        <v>28625.113349147632</v>
      </c>
      <c r="S142" s="2">
        <f>([412]L!T142*'D(Ti_Audétat23) Times'!$F142*0.000001)^2/(4*'D(Ti_Audétat23) Times'!$C142)/(365.35*24*3600)</f>
        <v>15204.725205063094</v>
      </c>
      <c r="T142" s="2"/>
      <c r="U142" s="2">
        <f>([412]L!V142*'D(Ti_Audétat23) Times'!$F142*0.000001)^2/(4*'D(Ti_Audétat23) Times'!$C142)/(365.35*24*3600)</f>
        <v>22274.285296690425</v>
      </c>
      <c r="V142" s="2">
        <f>([412]L!W142*'D(Ti_Audétat23) Times'!$F142*0.000001)^2/(4*'D(Ti_Audétat23) Times'!$C142)/(365.35*24*3600)</f>
        <v>21148.906921405876</v>
      </c>
      <c r="W142" s="2">
        <f>([412]L!X142*'D(Ti_Audétat23) Times'!$F142*0.000001)^2/(4*'D(Ti_Audétat23) Times'!$C142)/(365.35*24*3600)</f>
        <v>22682.927784368167</v>
      </c>
      <c r="X142" s="2"/>
      <c r="Y142" s="2">
        <f>([412]L!Z142*'D(Ti_Audétat23) Times'!$F142*0.000001)^2/(4*'D(Ti_Audétat23) Times'!$C142)/(365.35*24*3600)</f>
        <v>21604.205274187916</v>
      </c>
      <c r="Z142" s="2">
        <f>([412]L!AB142*'D(Ti_Audétat23) Times'!$F142*0.000001)^2/(4*'D(Ti_Audétat23) Times'!$C142)/(365.35*24*3600)</f>
        <v>21418.607713123078</v>
      </c>
      <c r="AA142" s="2">
        <f>([412]L!AC142*'D(Ti_Audétat23) Times'!$F142*0.000001)^2/(4*'D(Ti_Audétat23) Times'!$C142)/(365.35*24*3600)</f>
        <v>7942.2512026641543</v>
      </c>
      <c r="AB142" s="2">
        <f>([412]L!AD142*'D(Ti_Audétat23) Times'!$F142*0.000001)^2/(4*'D(Ti_Audétat23) Times'!$C142)/(365.35*24*3600)</f>
        <v>37742.363848833047</v>
      </c>
      <c r="AC142" s="2">
        <f t="shared" si="9"/>
        <v>13476.356510458923</v>
      </c>
      <c r="AD142" s="2">
        <f t="shared" si="10"/>
        <v>16323.756135709969</v>
      </c>
    </row>
    <row r="143" spans="1:30" x14ac:dyDescent="0.2">
      <c r="A143" t="str">
        <f>[412]L!A143</f>
        <v>CGI009-qtz01-CL-fit-1-offset</v>
      </c>
      <c r="B143">
        <v>750</v>
      </c>
      <c r="C143">
        <f t="shared" si="11"/>
        <v>1.1456341375347871E-23</v>
      </c>
      <c r="D143">
        <v>1150</v>
      </c>
      <c r="E143">
        <v>1024</v>
      </c>
      <c r="F143">
        <f t="shared" si="8"/>
        <v>1.123046875</v>
      </c>
      <c r="I143" s="2">
        <f>([412]L!J143*'D(Ti_Audétat23) Times'!$F143*0.000001)^2/(4*'D(Ti_Audétat23) Times'!$C143)/(365.35*24*3600)</f>
        <v>1597019.7438189506</v>
      </c>
      <c r="J143" s="2">
        <f>([412]L!K143*'D(Ti_Audétat23) Times'!$F143*0.000001)^2/(4*'D(Ti_Audétat23) Times'!$C143)/(365.35*24*3600)</f>
        <v>0</v>
      </c>
      <c r="K143" s="2">
        <f>([412]L!L143*'D(Ti_Audétat23) Times'!$F143*0.000001)^2/(4*'D(Ti_Audétat23) Times'!$C143)/(365.35*24*3600)</f>
        <v>6194.546199551356</v>
      </c>
      <c r="L143" s="2">
        <f>([412]L!M143*'D(Ti_Audétat23) Times'!$F143*0.000001)^2/(4*'D(Ti_Audétat23) Times'!$C143)/(365.35*24*3600)</f>
        <v>3320.3999952900781</v>
      </c>
      <c r="M143" s="2">
        <f>([412]L!N143*'D(Ti_Audétat23) Times'!$F143*0.000001)^2/(4*'D(Ti_Audétat23) Times'!$C143)/(365.35*24*3600)</f>
        <v>7218.35208725559</v>
      </c>
      <c r="N143" s="2">
        <f>([412]L!O143*'D(Ti_Audétat23) Times'!$F143*0.000001)^2/(4*'D(Ti_Audétat23) Times'!$C143)/(365.35*24*3600)</f>
        <v>5236.6433743047437</v>
      </c>
      <c r="O143" s="2">
        <f>([412]L!P143*'D(Ti_Audétat23) Times'!$F143*0.000001)^2/(4*'D(Ti_Audétat23) Times'!$C143)/(365.35*24*3600)</f>
        <v>8127.1139650997111</v>
      </c>
      <c r="P143" s="2">
        <f>([412]L!Q143*'D(Ti_Audétat23) Times'!$F143*0.000001)^2/(4*'D(Ti_Audétat23) Times'!$C143)/(365.35*24*3600)</f>
        <v>5068.4603820521152</v>
      </c>
      <c r="Q143" s="2">
        <f>([412]L!R143*'D(Ti_Audétat23) Times'!$F143*0.000001)^2/(4*'D(Ti_Audétat23) Times'!$C143)/(365.35*24*3600)</f>
        <v>2996.8503167254385</v>
      </c>
      <c r="R143" s="2">
        <f>([412]L!S143*'D(Ti_Audétat23) Times'!$F143*0.000001)^2/(4*'D(Ti_Audétat23) Times'!$C143)/(365.35*24*3600)</f>
        <v>4678.642469869179</v>
      </c>
      <c r="S143" s="2">
        <f>([412]L!T143*'D(Ti_Audétat23) Times'!$F143*0.000001)^2/(4*'D(Ti_Audétat23) Times'!$C143)/(365.35*24*3600)</f>
        <v>8784.9768687515898</v>
      </c>
      <c r="T143" s="2"/>
      <c r="U143" s="2">
        <f>([412]L!V143*'D(Ti_Audétat23) Times'!$F143*0.000001)^2/(4*'D(Ti_Audétat23) Times'!$C143)/(365.35*24*3600)</f>
        <v>6692.0836927504552</v>
      </c>
      <c r="V143" s="2">
        <f>([412]L!W143*'D(Ti_Audétat23) Times'!$F143*0.000001)^2/(4*'D(Ti_Audétat23) Times'!$C143)/(365.35*24*3600)</f>
        <v>37465.562310859059</v>
      </c>
      <c r="W143" s="2">
        <f>([412]L!X143*'D(Ti_Audétat23) Times'!$F143*0.000001)^2/(4*'D(Ti_Audétat23) Times'!$C143)/(365.35*24*3600)</f>
        <v>5705.5434018321021</v>
      </c>
      <c r="X143" s="2"/>
      <c r="Y143" s="2">
        <f>([412]L!Z143*'D(Ti_Audétat23) Times'!$F143*0.000001)^2/(4*'D(Ti_Audétat23) Times'!$C143)/(365.35*24*3600)</f>
        <v>6096.1807945963919</v>
      </c>
      <c r="Z143" s="2">
        <f>([412]L!AB143*'D(Ti_Audétat23) Times'!$F143*0.000001)^2/(4*'D(Ti_Audétat23) Times'!$C143)/(365.35*24*3600)</f>
        <v>7132.2026288337092</v>
      </c>
      <c r="AA143" s="2">
        <f>([412]L!AC143*'D(Ti_Audétat23) Times'!$F143*0.000001)^2/(4*'D(Ti_Audétat23) Times'!$C143)/(365.35*24*3600)</f>
        <v>101.18671842785361</v>
      </c>
      <c r="AB143" s="2">
        <f>([412]L!AD143*'D(Ti_Audétat23) Times'!$F143*0.000001)^2/(4*'D(Ti_Audétat23) Times'!$C143)/(365.35*24*3600)</f>
        <v>24660.298547558687</v>
      </c>
      <c r="AC143" s="2">
        <f t="shared" si="9"/>
        <v>7031.0159104058557</v>
      </c>
      <c r="AD143" s="2">
        <f t="shared" si="10"/>
        <v>17528.095918724975</v>
      </c>
    </row>
    <row r="144" spans="1:30" x14ac:dyDescent="0.2">
      <c r="A144" t="str">
        <f>[412]L!A144</f>
        <v>CGI009-qtz01-CL-fit-2-offset</v>
      </c>
      <c r="B144">
        <v>750</v>
      </c>
      <c r="C144">
        <f t="shared" si="11"/>
        <v>1.1456341375347871E-23</v>
      </c>
      <c r="D144">
        <v>1150</v>
      </c>
      <c r="E144">
        <v>1024</v>
      </c>
      <c r="F144">
        <f t="shared" si="8"/>
        <v>1.123046875</v>
      </c>
      <c r="I144" s="2">
        <f>([412]L!J144*'D(Ti_Audétat23) Times'!$F144*0.000001)^2/(4*'D(Ti_Audétat23) Times'!$C144)/(365.35*24*3600)</f>
        <v>9286.7273172893219</v>
      </c>
      <c r="J144" s="2">
        <f>([412]L!K144*'D(Ti_Audétat23) Times'!$F144*0.000001)^2/(4*'D(Ti_Audétat23) Times'!$C144)/(365.35*24*3600)</f>
        <v>12648.956089775322</v>
      </c>
      <c r="K144" s="2">
        <f>([412]L!L144*'D(Ti_Audétat23) Times'!$F144*0.000001)^2/(4*'D(Ti_Audétat23) Times'!$C144)/(365.35*24*3600)</f>
        <v>13317.515194079218</v>
      </c>
      <c r="L144" s="2">
        <f>([412]L!M144*'D(Ti_Audétat23) Times'!$F144*0.000001)^2/(4*'D(Ti_Audétat23) Times'!$C144)/(365.35*24*3600)</f>
        <v>9093.2482370086782</v>
      </c>
      <c r="M144" s="2">
        <f>([412]L!N144*'D(Ti_Audétat23) Times'!$F144*0.000001)^2/(4*'D(Ti_Audétat23) Times'!$C144)/(365.35*24*3600)</f>
        <v>10902.128060459672</v>
      </c>
      <c r="N144" s="2">
        <f>([412]L!O144*'D(Ti_Audétat23) Times'!$F144*0.000001)^2/(4*'D(Ti_Audétat23) Times'!$C144)/(365.35*24*3600)</f>
        <v>13311.895772673903</v>
      </c>
      <c r="O144" s="2">
        <f>([412]L!P144*'D(Ti_Audétat23) Times'!$F144*0.000001)^2/(4*'D(Ti_Audétat23) Times'!$C144)/(365.35*24*3600)</f>
        <v>21677.576484118126</v>
      </c>
      <c r="P144" s="2">
        <f>([412]L!Q144*'D(Ti_Audétat23) Times'!$F144*0.000001)^2/(4*'D(Ti_Audétat23) Times'!$C144)/(365.35*24*3600)</f>
        <v>14969.347951785698</v>
      </c>
      <c r="Q144" s="2">
        <f>([412]L!R144*'D(Ti_Audétat23) Times'!$F144*0.000001)^2/(4*'D(Ti_Audétat23) Times'!$C144)/(365.35*24*3600)</f>
        <v>7607.2151690188603</v>
      </c>
      <c r="R144" s="2">
        <f>([412]L!S144*'D(Ti_Audétat23) Times'!$F144*0.000001)^2/(4*'D(Ti_Audétat23) Times'!$C144)/(365.35*24*3600)</f>
        <v>8700.4755243050404</v>
      </c>
      <c r="S144" s="2">
        <f>([412]L!T144*'D(Ti_Audétat23) Times'!$F144*0.000001)^2/(4*'D(Ti_Audétat23) Times'!$C144)/(365.35*24*3600)</f>
        <v>11595.297378917294</v>
      </c>
      <c r="T144" s="2"/>
      <c r="U144" s="2">
        <f>([412]L!V144*'D(Ti_Audétat23) Times'!$F144*0.000001)^2/(4*'D(Ti_Audétat23) Times'!$C144)/(365.35*24*3600)</f>
        <v>11563.780936450159</v>
      </c>
      <c r="V144" s="2">
        <f>([412]L!W144*'D(Ti_Audétat23) Times'!$F144*0.000001)^2/(4*'D(Ti_Audétat23) Times'!$C144)/(365.35*24*3600)</f>
        <v>11844.270906896447</v>
      </c>
      <c r="W144" s="2">
        <f>([412]L!X144*'D(Ti_Audétat23) Times'!$F144*0.000001)^2/(4*'D(Ti_Audétat23) Times'!$C144)/(365.35*24*3600)</f>
        <v>11595.297378917294</v>
      </c>
      <c r="X144" s="2"/>
      <c r="Y144" s="2">
        <f>([412]L!Z144*'D(Ti_Audétat23) Times'!$F144*0.000001)^2/(4*'D(Ti_Audétat23) Times'!$C144)/(365.35*24*3600)</f>
        <v>11286.631132477707</v>
      </c>
      <c r="Z144" s="2">
        <f>([412]L!AB144*'D(Ti_Audétat23) Times'!$F144*0.000001)^2/(4*'D(Ti_Audétat23) Times'!$C144)/(365.35*24*3600)</f>
        <v>11301.799347630273</v>
      </c>
      <c r="AA144" s="2">
        <f>([412]L!AC144*'D(Ti_Audétat23) Times'!$F144*0.000001)^2/(4*'D(Ti_Audétat23) Times'!$C144)/(365.35*24*3600)</f>
        <v>5297.281568029066</v>
      </c>
      <c r="AB144" s="2">
        <f>([412]L!AD144*'D(Ti_Audétat23) Times'!$F144*0.000001)^2/(4*'D(Ti_Audétat23) Times'!$C144)/(365.35*24*3600)</f>
        <v>19876.30200662453</v>
      </c>
      <c r="AC144" s="2">
        <f t="shared" si="9"/>
        <v>6004.5177796012067</v>
      </c>
      <c r="AD144" s="2">
        <f t="shared" si="10"/>
        <v>8574.5026589942572</v>
      </c>
    </row>
    <row r="145" spans="1:30" x14ac:dyDescent="0.2">
      <c r="A145" t="str">
        <f>[412]L!A145</f>
        <v>CGI009-qtz01-CL-fit-3-offset</v>
      </c>
      <c r="B145">
        <v>750</v>
      </c>
      <c r="C145">
        <f t="shared" si="11"/>
        <v>1.1456341375347871E-23</v>
      </c>
      <c r="D145">
        <v>1150</v>
      </c>
      <c r="E145">
        <v>1024</v>
      </c>
      <c r="F145">
        <f t="shared" si="8"/>
        <v>1.123046875</v>
      </c>
      <c r="I145" s="2">
        <f>([412]L!J145*'D(Ti_Audétat23) Times'!$F145*0.000001)^2/(4*'D(Ti_Audétat23) Times'!$C145)/(365.35*24*3600)</f>
        <v>36836.952772430413</v>
      </c>
      <c r="J145" s="2">
        <f>([412]L!K145*'D(Ti_Audétat23) Times'!$F145*0.000001)^2/(4*'D(Ti_Audétat23) Times'!$C145)/(365.35*24*3600)</f>
        <v>23085.56467967276</v>
      </c>
      <c r="K145" s="2">
        <f>([412]L!L145*'D(Ti_Audétat23) Times'!$F145*0.000001)^2/(4*'D(Ti_Audétat23) Times'!$C145)/(365.35*24*3600)</f>
        <v>46973.930123219448</v>
      </c>
      <c r="L145" s="2">
        <f>([412]L!M145*'D(Ti_Audétat23) Times'!$F145*0.000001)^2/(4*'D(Ti_Audétat23) Times'!$C145)/(365.35*24*3600)</f>
        <v>36700.957435319768</v>
      </c>
      <c r="M145" s="2">
        <f>([412]L!N145*'D(Ti_Audétat23) Times'!$F145*0.000001)^2/(4*'D(Ti_Audétat23) Times'!$C145)/(365.35*24*3600)</f>
        <v>38643.612617191378</v>
      </c>
      <c r="N145" s="2">
        <f>([412]L!O145*'D(Ti_Audétat23) Times'!$F145*0.000001)^2/(4*'D(Ti_Audétat23) Times'!$C145)/(365.35*24*3600)</f>
        <v>54884.22284283772</v>
      </c>
      <c r="O145" s="2">
        <f>([412]L!P145*'D(Ti_Audétat23) Times'!$F145*0.000001)^2/(4*'D(Ti_Audétat23) Times'!$C145)/(365.35*24*3600)</f>
        <v>48136.554196089513</v>
      </c>
      <c r="P145" s="2">
        <f>([412]L!Q145*'D(Ti_Audétat23) Times'!$F145*0.000001)^2/(4*'D(Ti_Audétat23) Times'!$C145)/(365.35*24*3600)</f>
        <v>78201.994520594671</v>
      </c>
      <c r="Q145" s="2">
        <f>([412]L!R145*'D(Ti_Audétat23) Times'!$F145*0.000001)^2/(4*'D(Ti_Audétat23) Times'!$C145)/(365.35*24*3600)</f>
        <v>63472.362684525382</v>
      </c>
      <c r="R145" s="2">
        <f>([412]L!S145*'D(Ti_Audétat23) Times'!$F145*0.000001)^2/(4*'D(Ti_Audétat23) Times'!$C145)/(365.35*24*3600)</f>
        <v>80321.62859625704</v>
      </c>
      <c r="S145" s="2">
        <f>([412]L!T145*'D(Ti_Audétat23) Times'!$F145*0.000001)^2/(4*'D(Ti_Audétat23) Times'!$C145)/(365.35*24*3600)</f>
        <v>60311.54887802928</v>
      </c>
      <c r="T145" s="2"/>
      <c r="U145" s="2">
        <f>([412]L!V145*'D(Ti_Audétat23) Times'!$F145*0.000001)^2/(4*'D(Ti_Audétat23) Times'!$C145)/(365.35*24*3600)</f>
        <v>45769.852813003286</v>
      </c>
      <c r="V145" s="2">
        <f>([412]L!W145*'D(Ti_Audétat23) Times'!$F145*0.000001)^2/(4*'D(Ti_Audétat23) Times'!$C145)/(365.35*24*3600)</f>
        <v>50135.720868969067</v>
      </c>
      <c r="W145" s="2">
        <f>([412]L!X145*'D(Ti_Audétat23) Times'!$F145*0.000001)^2/(4*'D(Ti_Audétat23) Times'!$C145)/(365.35*24*3600)</f>
        <v>48136.554196089513</v>
      </c>
      <c r="X145" s="2"/>
      <c r="Y145" s="2">
        <f>([412]L!Z145*'D(Ti_Audétat23) Times'!$F145*0.000001)^2/(4*'D(Ti_Audétat23) Times'!$C145)/(365.35*24*3600)</f>
        <v>49510.478751021612</v>
      </c>
      <c r="Z145" s="2">
        <f>([412]L!AB145*'D(Ti_Audétat23) Times'!$F145*0.000001)^2/(4*'D(Ti_Audétat23) Times'!$C145)/(365.35*24*3600)</f>
        <v>64089.896016260282</v>
      </c>
      <c r="AA145" s="2">
        <f>([412]L!AC145*'D(Ti_Audétat23) Times'!$F145*0.000001)^2/(4*'D(Ti_Audétat23) Times'!$C145)/(365.35*24*3600)</f>
        <v>14158.612228851751</v>
      </c>
      <c r="AB145" s="2">
        <f>([412]L!AD145*'D(Ti_Audétat23) Times'!$F145*0.000001)^2/(4*'D(Ti_Audétat23) Times'!$C145)/(365.35*24*3600)</f>
        <v>155585.40169607592</v>
      </c>
      <c r="AC145" s="2">
        <f t="shared" si="9"/>
        <v>49931.283787408531</v>
      </c>
      <c r="AD145" s="2">
        <f t="shared" si="10"/>
        <v>91495.505679815629</v>
      </c>
    </row>
    <row r="146" spans="1:30" x14ac:dyDescent="0.2">
      <c r="A146" t="str">
        <f>[412]L!A146</f>
        <v>CGI009-qtz01-CL-fit-4-offset</v>
      </c>
      <c r="B146">
        <v>750</v>
      </c>
      <c r="C146">
        <f t="shared" si="11"/>
        <v>1.1456341375347871E-23</v>
      </c>
      <c r="D146">
        <v>1150</v>
      </c>
      <c r="E146">
        <v>1024</v>
      </c>
      <c r="F146">
        <f t="shared" si="8"/>
        <v>1.123046875</v>
      </c>
      <c r="I146" s="2">
        <f>([412]L!J146*'D(Ti_Audétat23) Times'!$F146*0.000001)^2/(4*'D(Ti_Audétat23) Times'!$C146)/(365.35*24*3600)</f>
        <v>9650.4457886507735</v>
      </c>
      <c r="J146" s="2">
        <f>([412]L!K146*'D(Ti_Audétat23) Times'!$F146*0.000001)^2/(4*'D(Ti_Audétat23) Times'!$C146)/(365.35*24*3600)</f>
        <v>5378.8453966203515</v>
      </c>
      <c r="K146" s="2">
        <f>([412]L!L146*'D(Ti_Audétat23) Times'!$F146*0.000001)^2/(4*'D(Ti_Audétat23) Times'!$C146)/(365.35*24*3600)</f>
        <v>7313.3668831065779</v>
      </c>
      <c r="L146" s="2">
        <f>([412]L!M146*'D(Ti_Audétat23) Times'!$F146*0.000001)^2/(4*'D(Ti_Audétat23) Times'!$C146)/(365.35*24*3600)</f>
        <v>15283.899299088762</v>
      </c>
      <c r="M146" s="2">
        <f>([412]L!N146*'D(Ti_Audétat23) Times'!$F146*0.000001)^2/(4*'D(Ti_Audétat23) Times'!$C146)/(365.35*24*3600)</f>
        <v>14316.807544382837</v>
      </c>
      <c r="N146" s="2">
        <f>([412]L!O146*'D(Ti_Audétat23) Times'!$F146*0.000001)^2/(4*'D(Ti_Audétat23) Times'!$C146)/(365.35*24*3600)</f>
        <v>10490.232458858627</v>
      </c>
      <c r="O146" s="2">
        <f>([412]L!P146*'D(Ti_Audétat23) Times'!$F146*0.000001)^2/(4*'D(Ti_Audétat23) Times'!$C146)/(365.35*24*3600)</f>
        <v>10766.750502772005</v>
      </c>
      <c r="P146" s="2">
        <f>([412]L!Q146*'D(Ti_Audétat23) Times'!$F146*0.000001)^2/(4*'D(Ti_Audétat23) Times'!$C146)/(365.35*24*3600)</f>
        <v>5307.8910720341319</v>
      </c>
      <c r="Q146" s="2">
        <f>([412]L!R146*'D(Ti_Audétat23) Times'!$F146*0.000001)^2/(4*'D(Ti_Audétat23) Times'!$C146)/(365.35*24*3600)</f>
        <v>7596.2244573470734</v>
      </c>
      <c r="R146" s="2">
        <f>([412]L!S146*'D(Ti_Audétat23) Times'!$F146*0.000001)^2/(4*'D(Ti_Audétat23) Times'!$C146)/(365.35*24*3600)</f>
        <v>8095.6641963515895</v>
      </c>
      <c r="S146" s="2">
        <f>([412]L!T146*'D(Ti_Audétat23) Times'!$F146*0.000001)^2/(4*'D(Ti_Audétat23) Times'!$C146)/(365.35*24*3600)</f>
        <v>6489.5151700399865</v>
      </c>
      <c r="T146" s="2"/>
      <c r="U146" s="2">
        <f>([412]L!V146*'D(Ti_Audétat23) Times'!$F146*0.000001)^2/(4*'D(Ti_Audétat23) Times'!$C146)/(365.35*24*3600)</f>
        <v>9045.7212100980723</v>
      </c>
      <c r="V146" s="2">
        <f>([412]L!W146*'D(Ti_Audétat23) Times'!$F146*0.000001)^2/(4*'D(Ti_Audétat23) Times'!$C146)/(365.35*24*3600)</f>
        <v>8889.1687786366219</v>
      </c>
      <c r="W146" s="2">
        <f>([412]L!X146*'D(Ti_Audétat23) Times'!$F146*0.000001)^2/(4*'D(Ti_Audétat23) Times'!$C146)/(365.35*24*3600)</f>
        <v>8095.6641963515895</v>
      </c>
      <c r="X146" s="2"/>
      <c r="Y146" s="2">
        <f>([412]L!Z146*'D(Ti_Audétat23) Times'!$F146*0.000001)^2/(4*'D(Ti_Audétat23) Times'!$C146)/(365.35*24*3600)</f>
        <v>8984.4935606652398</v>
      </c>
      <c r="Z146" s="2">
        <f>([412]L!AB146*'D(Ti_Audétat23) Times'!$F146*0.000001)^2/(4*'D(Ti_Audétat23) Times'!$C146)/(365.35*24*3600)</f>
        <v>9049.3816640755267</v>
      </c>
      <c r="AA146" s="2">
        <f>([412]L!AC146*'D(Ti_Audétat23) Times'!$F146*0.000001)^2/(4*'D(Ti_Audétat23) Times'!$C146)/(365.35*24*3600)</f>
        <v>3848.113484344638</v>
      </c>
      <c r="AB146" s="2">
        <f>([412]L!AD146*'D(Ti_Audétat23) Times'!$F146*0.000001)^2/(4*'D(Ti_Audétat23) Times'!$C146)/(365.35*24*3600)</f>
        <v>16739.332299211426</v>
      </c>
      <c r="AC146" s="2">
        <f t="shared" si="9"/>
        <v>5201.2681797308887</v>
      </c>
      <c r="AD146" s="2">
        <f t="shared" si="10"/>
        <v>7689.9506351358996</v>
      </c>
    </row>
    <row r="147" spans="1:30" x14ac:dyDescent="0.2">
      <c r="A147" t="str">
        <f>[412]L!A147</f>
        <v>CGI009-qtz01-CL-fit-5-offset</v>
      </c>
      <c r="B147">
        <v>750</v>
      </c>
      <c r="C147">
        <f t="shared" si="11"/>
        <v>1.1456341375347871E-23</v>
      </c>
      <c r="D147">
        <v>1150</v>
      </c>
      <c r="E147">
        <v>1024</v>
      </c>
      <c r="F147">
        <f t="shared" si="8"/>
        <v>1.123046875</v>
      </c>
      <c r="I147" s="2">
        <f>([412]L!J147*'D(Ti_Audétat23) Times'!$F147*0.000001)^2/(4*'D(Ti_Audétat23) Times'!$C147)/(365.35*24*3600)</f>
        <v>31432.59513424613</v>
      </c>
      <c r="J147" s="2">
        <f>([412]L!K147*'D(Ti_Audétat23) Times'!$F147*0.000001)^2/(4*'D(Ti_Audétat23) Times'!$C147)/(365.35*24*3600)</f>
        <v>28535.577149446141</v>
      </c>
      <c r="K147" s="2">
        <f>([412]L!L147*'D(Ti_Audétat23) Times'!$F147*0.000001)^2/(4*'D(Ti_Audétat23) Times'!$C147)/(365.35*24*3600)</f>
        <v>33482.373525167917</v>
      </c>
      <c r="L147" s="2">
        <f>([412]L!M147*'D(Ti_Audétat23) Times'!$F147*0.000001)^2/(4*'D(Ti_Audétat23) Times'!$C147)/(365.35*24*3600)</f>
        <v>36866.288908400544</v>
      </c>
      <c r="M147" s="2">
        <f>([412]L!N147*'D(Ti_Audétat23) Times'!$F147*0.000001)^2/(4*'D(Ti_Audétat23) Times'!$C147)/(365.35*24*3600)</f>
        <v>30441.627344227702</v>
      </c>
      <c r="N147" s="2">
        <f>([412]L!O147*'D(Ti_Audétat23) Times'!$F147*0.000001)^2/(4*'D(Ti_Audétat23) Times'!$C147)/(365.35*24*3600)</f>
        <v>37794.810436013242</v>
      </c>
      <c r="O147" s="2">
        <f>([412]L!P147*'D(Ti_Audétat23) Times'!$F147*0.000001)^2/(4*'D(Ti_Audétat23) Times'!$C147)/(365.35*24*3600)</f>
        <v>30724.061217158949</v>
      </c>
      <c r="P147" s="2">
        <f>([412]L!Q147*'D(Ti_Audétat23) Times'!$F147*0.000001)^2/(4*'D(Ti_Audétat23) Times'!$C147)/(365.35*24*3600)</f>
        <v>35039.128370957202</v>
      </c>
      <c r="Q147" s="2">
        <f>([412]L!R147*'D(Ti_Audétat23) Times'!$F147*0.000001)^2/(4*'D(Ti_Audétat23) Times'!$C147)/(365.35*24*3600)</f>
        <v>41518.274503664841</v>
      </c>
      <c r="R147" s="2">
        <f>([412]L!S147*'D(Ti_Audétat23) Times'!$F147*0.000001)^2/(4*'D(Ti_Audétat23) Times'!$C147)/(365.35*24*3600)</f>
        <v>32907.975482066031</v>
      </c>
      <c r="S147" s="2">
        <f>([412]L!T147*'D(Ti_Audétat23) Times'!$F147*0.000001)^2/(4*'D(Ti_Audétat23) Times'!$C147)/(365.35*24*3600)</f>
        <v>33794.033249556662</v>
      </c>
      <c r="T147" s="2"/>
      <c r="U147" s="2">
        <f>([412]L!V147*'D(Ti_Audétat23) Times'!$F147*0.000001)^2/(4*'D(Ti_Audétat23) Times'!$C147)/(365.35*24*3600)</f>
        <v>33449.022035344751</v>
      </c>
      <c r="V147" s="2">
        <f>([412]L!W147*'D(Ti_Audétat23) Times'!$F147*0.000001)^2/(4*'D(Ti_Audétat23) Times'!$C147)/(365.35*24*3600)</f>
        <v>33774.314293270581</v>
      </c>
      <c r="W147" s="2">
        <f>([412]L!X147*'D(Ti_Audétat23) Times'!$F147*0.000001)^2/(4*'D(Ti_Audétat23) Times'!$C147)/(365.35*24*3600)</f>
        <v>33482.373525167917</v>
      </c>
      <c r="X147" s="2"/>
      <c r="Y147" s="2">
        <f>([412]L!Z147*'D(Ti_Audétat23) Times'!$F147*0.000001)^2/(4*'D(Ti_Audétat23) Times'!$C147)/(365.35*24*3600)</f>
        <v>32997.962677582662</v>
      </c>
      <c r="Z147" s="2">
        <f>([412]L!AB147*'D(Ti_Audétat23) Times'!$F147*0.000001)^2/(4*'D(Ti_Audétat23) Times'!$C147)/(365.35*24*3600)</f>
        <v>33677.310995136795</v>
      </c>
      <c r="AA147" s="2">
        <f>([412]L!AC147*'D(Ti_Audétat23) Times'!$F147*0.000001)^2/(4*'D(Ti_Audétat23) Times'!$C147)/(365.35*24*3600)</f>
        <v>23980.080315450497</v>
      </c>
      <c r="AB147" s="2">
        <f>([412]L!AD147*'D(Ti_Audétat23) Times'!$F147*0.000001)^2/(4*'D(Ti_Audétat23) Times'!$C147)/(365.35*24*3600)</f>
        <v>47425.269404954597</v>
      </c>
      <c r="AC147" s="2">
        <f t="shared" si="9"/>
        <v>9697.2306796862977</v>
      </c>
      <c r="AD147" s="2">
        <f t="shared" si="10"/>
        <v>13747.958409817802</v>
      </c>
    </row>
    <row r="148" spans="1:30" x14ac:dyDescent="0.2">
      <c r="A148" t="str">
        <f>[412]L!A148</f>
        <v>CGI009-qtz02-CL-fit-1-offset</v>
      </c>
      <c r="B148">
        <v>750</v>
      </c>
      <c r="C148">
        <f t="shared" si="11"/>
        <v>1.1456341375347871E-23</v>
      </c>
      <c r="D148">
        <v>1750</v>
      </c>
      <c r="E148">
        <v>1024</v>
      </c>
      <c r="F148">
        <f t="shared" si="8"/>
        <v>1.708984375</v>
      </c>
      <c r="I148" s="2">
        <f>([412]L!J148*'D(Ti_Audétat23) Times'!$F148*0.000001)^2/(4*'D(Ti_Audétat23) Times'!$C148)/(365.35*24*3600)</f>
        <v>293175.90091329941</v>
      </c>
      <c r="J148" s="2">
        <f>([412]L!K148*'D(Ti_Audétat23) Times'!$F148*0.000001)^2/(4*'D(Ti_Audétat23) Times'!$C148)/(365.35*24*3600)</f>
        <v>463673.80363838479</v>
      </c>
      <c r="K148" s="2">
        <f>([412]L!L148*'D(Ti_Audétat23) Times'!$F148*0.000001)^2/(4*'D(Ti_Audétat23) Times'!$C148)/(365.35*24*3600)</f>
        <v>393119.51333278266</v>
      </c>
      <c r="L148" s="2">
        <f>([412]L!M148*'D(Ti_Audétat23) Times'!$F148*0.000001)^2/(4*'D(Ti_Audétat23) Times'!$C148)/(365.35*24*3600)</f>
        <v>722982.89528011775</v>
      </c>
      <c r="M148" s="2">
        <f>([412]L!N148*'D(Ti_Audétat23) Times'!$F148*0.000001)^2/(4*'D(Ti_Audétat23) Times'!$C148)/(365.35*24*3600)</f>
        <v>533731.54606965417</v>
      </c>
      <c r="N148" s="2">
        <f>([412]L!O148*'D(Ti_Audétat23) Times'!$F148*0.000001)^2/(4*'D(Ti_Audétat23) Times'!$C148)/(365.35*24*3600)</f>
        <v>331848.32295207831</v>
      </c>
      <c r="O148" s="2">
        <f>([412]L!P148*'D(Ti_Audétat23) Times'!$F148*0.000001)^2/(4*'D(Ti_Audétat23) Times'!$C148)/(365.35*24*3600)</f>
        <v>93197.141190352588</v>
      </c>
      <c r="P148" s="2">
        <f>([412]L!Q148*'D(Ti_Audétat23) Times'!$F148*0.000001)^2/(4*'D(Ti_Audétat23) Times'!$C148)/(365.35*24*3600)</f>
        <v>133598.22521289872</v>
      </c>
      <c r="Q148" s="2">
        <f>([412]L!R148*'D(Ti_Audétat23) Times'!$F148*0.000001)^2/(4*'D(Ti_Audétat23) Times'!$C148)/(365.35*24*3600)</f>
        <v>88848.932544482726</v>
      </c>
      <c r="R148" s="2">
        <f>([412]L!S148*'D(Ti_Audétat23) Times'!$F148*0.000001)^2/(4*'D(Ti_Audétat23) Times'!$C148)/(365.35*24*3600)</f>
        <v>153926.99063232145</v>
      </c>
      <c r="S148" s="2">
        <f>([412]L!T148*'D(Ti_Audétat23) Times'!$F148*0.000001)^2/(4*'D(Ti_Audétat23) Times'!$C148)/(365.35*24*3600)</f>
        <v>110624.38497454548</v>
      </c>
      <c r="T148" s="2"/>
      <c r="U148" s="2">
        <f>([412]L!V148*'D(Ti_Audétat23) Times'!$F148*0.000001)^2/(4*'D(Ti_Audétat23) Times'!$C148)/(365.35*24*3600)</f>
        <v>234816.58225431407</v>
      </c>
      <c r="V148" s="2">
        <f>([412]L!W148*'D(Ti_Audétat23) Times'!$F148*0.000001)^2/(4*'D(Ti_Audétat23) Times'!$C148)/(365.35*24*3600)</f>
        <v>268522.55629668233</v>
      </c>
      <c r="W148" s="2">
        <f>([412]L!X148*'D(Ti_Audétat23) Times'!$F148*0.000001)^2/(4*'D(Ti_Audétat23) Times'!$C148)/(365.35*24*3600)</f>
        <v>293175.90091329941</v>
      </c>
      <c r="X148" s="2"/>
      <c r="Y148" s="2">
        <f>([412]L!Z148*'D(Ti_Audétat23) Times'!$F148*0.000001)^2/(4*'D(Ti_Audétat23) Times'!$C148)/(365.35*24*3600)</f>
        <v>246490.9188055897</v>
      </c>
      <c r="Z148" s="2">
        <f>([412]L!AB148*'D(Ti_Audétat23) Times'!$F148*0.000001)^2/(4*'D(Ti_Audétat23) Times'!$C148)/(365.35*24*3600)</f>
        <v>263927.2576312981</v>
      </c>
      <c r="AA148" s="2">
        <f>([412]L!AC148*'D(Ti_Audétat23) Times'!$F148*0.000001)^2/(4*'D(Ti_Audétat23) Times'!$C148)/(365.35*24*3600)</f>
        <v>89880.242924185979</v>
      </c>
      <c r="AB148" s="2">
        <f>([412]L!AD148*'D(Ti_Audétat23) Times'!$F148*0.000001)^2/(4*'D(Ti_Audétat23) Times'!$C148)/(365.35*24*3600)</f>
        <v>617532.22753017361</v>
      </c>
      <c r="AC148" s="2">
        <f t="shared" si="9"/>
        <v>174047.0147071121</v>
      </c>
      <c r="AD148" s="2">
        <f t="shared" si="10"/>
        <v>353604.96989887551</v>
      </c>
    </row>
    <row r="149" spans="1:30" x14ac:dyDescent="0.2">
      <c r="A149" t="str">
        <f>[412]L!A149</f>
        <v>CGI009-qtz02-CL-fit-2-offset</v>
      </c>
      <c r="B149">
        <v>750</v>
      </c>
      <c r="C149">
        <f t="shared" si="11"/>
        <v>1.1456341375347871E-23</v>
      </c>
      <c r="D149">
        <v>1750</v>
      </c>
      <c r="E149">
        <v>1024</v>
      </c>
      <c r="F149">
        <f t="shared" si="8"/>
        <v>1.708984375</v>
      </c>
      <c r="I149" s="2">
        <f>([412]L!J149*'D(Ti_Audétat23) Times'!$F149*0.000001)^2/(4*'D(Ti_Audétat23) Times'!$C149)/(365.35*24*3600)</f>
        <v>16547.354632770439</v>
      </c>
      <c r="J149" s="2">
        <f>([412]L!K149*'D(Ti_Audétat23) Times'!$F149*0.000001)^2/(4*'D(Ti_Audétat23) Times'!$C149)/(365.35*24*3600)</f>
        <v>36209.244061418285</v>
      </c>
      <c r="K149" s="2">
        <f>([412]L!L149*'D(Ti_Audétat23) Times'!$F149*0.000001)^2/(4*'D(Ti_Audétat23) Times'!$C149)/(365.35*24*3600)</f>
        <v>7507.6901267485873</v>
      </c>
      <c r="L149" s="2">
        <f>([412]L!M149*'D(Ti_Audétat23) Times'!$F149*0.000001)^2/(4*'D(Ti_Audétat23) Times'!$C149)/(365.35*24*3600)</f>
        <v>25106.294784427653</v>
      </c>
      <c r="M149" s="2">
        <f>([412]L!N149*'D(Ti_Audétat23) Times'!$F149*0.000001)^2/(4*'D(Ti_Audétat23) Times'!$C149)/(365.35*24*3600)</f>
        <v>46170.08607513165</v>
      </c>
      <c r="N149" s="2">
        <f>([412]L!O149*'D(Ti_Audétat23) Times'!$F149*0.000001)^2/(4*'D(Ti_Audétat23) Times'!$C149)/(365.35*24*3600)</f>
        <v>34521.003480482599</v>
      </c>
      <c r="O149" s="2">
        <f>([412]L!P149*'D(Ti_Audétat23) Times'!$F149*0.000001)^2/(4*'D(Ti_Audétat23) Times'!$C149)/(365.35*24*3600)</f>
        <v>47570.422435230903</v>
      </c>
      <c r="P149" s="2">
        <f>([412]L!Q149*'D(Ti_Audétat23) Times'!$F149*0.000001)^2/(4*'D(Ti_Audétat23) Times'!$C149)/(365.35*24*3600)</f>
        <v>19536.926670128978</v>
      </c>
      <c r="Q149" s="2">
        <f>([412]L!R149*'D(Ti_Audétat23) Times'!$F149*0.000001)^2/(4*'D(Ti_Audétat23) Times'!$C149)/(365.35*24*3600)</f>
        <v>35953.370863185934</v>
      </c>
      <c r="R149" s="2">
        <f>([412]L!S149*'D(Ti_Audétat23) Times'!$F149*0.000001)^2/(4*'D(Ti_Audétat23) Times'!$C149)/(365.35*24*3600)</f>
        <v>20302.257984180538</v>
      </c>
      <c r="S149" s="2">
        <f>([412]L!T149*'D(Ti_Audétat23) Times'!$F149*0.000001)^2/(4*'D(Ti_Audétat23) Times'!$C149)/(365.35*24*3600)</f>
        <v>25563.584291952615</v>
      </c>
      <c r="T149" s="2"/>
      <c r="U149" s="2">
        <f>([412]L!V149*'D(Ti_Audétat23) Times'!$F149*0.000001)^2/(4*'D(Ti_Audétat23) Times'!$C149)/(365.35*24*3600)</f>
        <v>25992.7542604343</v>
      </c>
      <c r="V149" s="2">
        <f>([412]L!W149*'D(Ti_Audétat23) Times'!$F149*0.000001)^2/(4*'D(Ti_Audétat23) Times'!$C149)/(365.35*24*3600)</f>
        <v>27211.736124046147</v>
      </c>
      <c r="W149" s="2">
        <f>([412]L!X149*'D(Ti_Audétat23) Times'!$F149*0.000001)^2/(4*'D(Ti_Audétat23) Times'!$C149)/(365.35*24*3600)</f>
        <v>25563.584291952615</v>
      </c>
      <c r="X149" s="2"/>
      <c r="Y149" s="2">
        <f>([412]L!Z149*'D(Ti_Audétat23) Times'!$F149*0.000001)^2/(4*'D(Ti_Audétat23) Times'!$C149)/(365.35*24*3600)</f>
        <v>24949.316670505545</v>
      </c>
      <c r="Z149" s="2">
        <f>([412]L!AB149*'D(Ti_Audétat23) Times'!$F149*0.000001)^2/(4*'D(Ti_Audétat23) Times'!$C149)/(365.35*24*3600)</f>
        <v>26687.18131516971</v>
      </c>
      <c r="AA149" s="2">
        <f>([412]L!AC149*'D(Ti_Audétat23) Times'!$F149*0.000001)^2/(4*'D(Ti_Audétat23) Times'!$C149)/(365.35*24*3600)</f>
        <v>7971.8129290782745</v>
      </c>
      <c r="AB149" s="2">
        <f>([412]L!AD149*'D(Ti_Audétat23) Times'!$F149*0.000001)^2/(4*'D(Ti_Audétat23) Times'!$C149)/(365.35*24*3600)</f>
        <v>78594.053625689005</v>
      </c>
      <c r="AC149" s="2">
        <f t="shared" si="9"/>
        <v>18715.368386091435</v>
      </c>
      <c r="AD149" s="2">
        <f t="shared" si="10"/>
        <v>51906.872310519291</v>
      </c>
    </row>
    <row r="150" spans="1:30" x14ac:dyDescent="0.2">
      <c r="A150" t="str">
        <f>[412]L!A150</f>
        <v>CGI009-qtz02-CL-fit-3-offset</v>
      </c>
      <c r="B150">
        <v>750</v>
      </c>
      <c r="C150">
        <f t="shared" si="11"/>
        <v>1.1456341375347871E-23</v>
      </c>
      <c r="D150">
        <v>1750</v>
      </c>
      <c r="E150">
        <v>1024</v>
      </c>
      <c r="F150">
        <f t="shared" si="8"/>
        <v>1.708984375</v>
      </c>
      <c r="I150" s="2">
        <f>([412]L!J150*'D(Ti_Audétat23) Times'!$F150*0.000001)^2/(4*'D(Ti_Audétat23) Times'!$C150)/(365.35*24*3600)</f>
        <v>7745.2119988975046</v>
      </c>
      <c r="J150" s="2">
        <f>([412]L!K150*'D(Ti_Audétat23) Times'!$F150*0.000001)^2/(4*'D(Ti_Audétat23) Times'!$C150)/(365.35*24*3600)</f>
        <v>8189.0908532603744</v>
      </c>
      <c r="K150" s="2">
        <f>([412]L!L150*'D(Ti_Audétat23) Times'!$F150*0.000001)^2/(4*'D(Ti_Audétat23) Times'!$C150)/(365.35*24*3600)</f>
        <v>3340.8060943429314</v>
      </c>
      <c r="L150" s="2">
        <f>([412]L!M150*'D(Ti_Audétat23) Times'!$F150*0.000001)^2/(4*'D(Ti_Audétat23) Times'!$C150)/(365.35*24*3600)</f>
        <v>10021.989109504639</v>
      </c>
      <c r="M150" s="2">
        <f>([412]L!N150*'D(Ti_Audétat23) Times'!$F150*0.000001)^2/(4*'D(Ti_Audétat23) Times'!$C150)/(365.35*24*3600)</f>
        <v>11118.627096447919</v>
      </c>
      <c r="N150" s="2">
        <f>([412]L!O150*'D(Ti_Audétat23) Times'!$F150*0.000001)^2/(4*'D(Ti_Audétat23) Times'!$C150)/(365.35*24*3600)</f>
        <v>6644.0274167702919</v>
      </c>
      <c r="O150" s="2">
        <f>([412]L!P150*'D(Ti_Audétat23) Times'!$F150*0.000001)^2/(4*'D(Ti_Audétat23) Times'!$C150)/(365.35*24*3600)</f>
        <v>10157.985668334</v>
      </c>
      <c r="P150" s="2">
        <f>([412]L!Q150*'D(Ti_Audétat23) Times'!$F150*0.000001)^2/(4*'D(Ti_Audétat23) Times'!$C150)/(365.35*24*3600)</f>
        <v>7571.701497763589</v>
      </c>
      <c r="Q150" s="2">
        <f>([412]L!R150*'D(Ti_Audétat23) Times'!$F150*0.000001)^2/(4*'D(Ti_Audétat23) Times'!$C150)/(365.35*24*3600)</f>
        <v>5833.4550243838321</v>
      </c>
      <c r="R150" s="2">
        <f>([412]L!S150*'D(Ti_Audétat23) Times'!$F150*0.000001)^2/(4*'D(Ti_Audétat23) Times'!$C150)/(365.35*24*3600)</f>
        <v>4332.8915438783879</v>
      </c>
      <c r="S150" s="2">
        <f>([412]L!T150*'D(Ti_Audétat23) Times'!$F150*0.000001)^2/(4*'D(Ti_Audétat23) Times'!$C150)/(365.35*24*3600)</f>
        <v>6123.7411381752636</v>
      </c>
      <c r="T150" s="2"/>
      <c r="U150" s="2">
        <f>([412]L!V150*'D(Ti_Audétat23) Times'!$F150*0.000001)^2/(4*'D(Ti_Audétat23) Times'!$C150)/(365.35*24*3600)</f>
        <v>7331.5705849966926</v>
      </c>
      <c r="V150" s="2">
        <f>([412]L!W150*'D(Ti_Audétat23) Times'!$F150*0.000001)^2/(4*'D(Ti_Audétat23) Times'!$C150)/(365.35*24*3600)</f>
        <v>7172.9247742069638</v>
      </c>
      <c r="W150" s="2">
        <f>([412]L!X150*'D(Ti_Audétat23) Times'!$F150*0.000001)^2/(4*'D(Ti_Audétat23) Times'!$C150)/(365.35*24*3600)</f>
        <v>7571.701497763589</v>
      </c>
      <c r="X150" s="2"/>
      <c r="Y150" s="2">
        <f>([412]L!Z150*'D(Ti_Audétat23) Times'!$F150*0.000001)^2/(4*'D(Ti_Audétat23) Times'!$C150)/(365.35*24*3600)</f>
        <v>7327.8980816054909</v>
      </c>
      <c r="Z150" s="2">
        <f>([412]L!AB150*'D(Ti_Audétat23) Times'!$F150*0.000001)^2/(4*'D(Ti_Audétat23) Times'!$C150)/(365.35*24*3600)</f>
        <v>6535.7722808396347</v>
      </c>
      <c r="AA150" s="2">
        <f>([412]L!AC150*'D(Ti_Audétat23) Times'!$F150*0.000001)^2/(4*'D(Ti_Audétat23) Times'!$C150)/(365.35*24*3600)</f>
        <v>106.90177468958676</v>
      </c>
      <c r="AB150" s="2">
        <f>([412]L!AD150*'D(Ti_Audétat23) Times'!$F150*0.000001)^2/(4*'D(Ti_Audétat23) Times'!$C150)/(365.35*24*3600)</f>
        <v>16194.862259827409</v>
      </c>
      <c r="AC150" s="2">
        <f t="shared" si="9"/>
        <v>6428.8705061500477</v>
      </c>
      <c r="AD150" s="2">
        <f t="shared" si="10"/>
        <v>9659.0899789877731</v>
      </c>
    </row>
    <row r="151" spans="1:30" x14ac:dyDescent="0.2">
      <c r="A151" t="str">
        <f>[412]L!A151</f>
        <v>CGI009-qtz03-CL-fit-1-offset</v>
      </c>
      <c r="B151">
        <v>750</v>
      </c>
      <c r="C151">
        <f t="shared" si="11"/>
        <v>1.1456341375347871E-23</v>
      </c>
      <c r="D151">
        <v>1750</v>
      </c>
      <c r="E151">
        <v>1024</v>
      </c>
      <c r="F151">
        <f t="shared" si="8"/>
        <v>1.708984375</v>
      </c>
      <c r="I151" s="2">
        <f>([412]L!J151*'D(Ti_Audétat23) Times'!$F151*0.000001)^2/(4*'D(Ti_Audétat23) Times'!$C151)/(365.35*24*3600)</f>
        <v>39140.614604424125</v>
      </c>
      <c r="J151" s="2">
        <f>([412]L!K151*'D(Ti_Audétat23) Times'!$F151*0.000001)^2/(4*'D(Ti_Audétat23) Times'!$C151)/(365.35*24*3600)</f>
        <v>26749.028008286426</v>
      </c>
      <c r="K151" s="2">
        <f>([412]L!L151*'D(Ti_Audétat23) Times'!$F151*0.000001)^2/(4*'D(Ti_Audétat23) Times'!$C151)/(365.35*24*3600)</f>
        <v>33603.588736731326</v>
      </c>
      <c r="L151" s="2">
        <f>([412]L!M151*'D(Ti_Audétat23) Times'!$F151*0.000001)^2/(4*'D(Ti_Audétat23) Times'!$C151)/(365.35*24*3600)</f>
        <v>25905.926103059977</v>
      </c>
      <c r="M151" s="2">
        <f>([412]L!N151*'D(Ti_Audétat23) Times'!$F151*0.000001)^2/(4*'D(Ti_Audétat23) Times'!$C151)/(365.35*24*3600)</f>
        <v>17662.951430790035</v>
      </c>
      <c r="N151" s="2">
        <f>([412]L!O151*'D(Ti_Audétat23) Times'!$F151*0.000001)^2/(4*'D(Ti_Audétat23) Times'!$C151)/(365.35*24*3600)</f>
        <v>47982.915249094884</v>
      </c>
      <c r="O151" s="2">
        <f>([412]L!P151*'D(Ti_Audétat23) Times'!$F151*0.000001)^2/(4*'D(Ti_Audétat23) Times'!$C151)/(365.35*24*3600)</f>
        <v>24841.174860765947</v>
      </c>
      <c r="P151" s="2">
        <f>([412]L!Q151*'D(Ti_Audétat23) Times'!$F151*0.000001)^2/(4*'D(Ti_Audétat23) Times'!$C151)/(365.35*24*3600)</f>
        <v>29061.114630313732</v>
      </c>
      <c r="Q151" s="2">
        <f>([412]L!R151*'D(Ti_Audétat23) Times'!$F151*0.000001)^2/(4*'D(Ti_Audétat23) Times'!$C151)/(365.35*24*3600)</f>
        <v>32649.812030444537</v>
      </c>
      <c r="R151" s="2">
        <f>([412]L!S151*'D(Ti_Audétat23) Times'!$F151*0.000001)^2/(4*'D(Ti_Audétat23) Times'!$C151)/(365.35*24*3600)</f>
        <v>20665.159844096594</v>
      </c>
      <c r="S151" s="2">
        <f>([412]L!T151*'D(Ti_Audétat23) Times'!$F151*0.000001)^2/(4*'D(Ti_Audétat23) Times'!$C151)/(365.35*24*3600)</f>
        <v>23046.29392485362</v>
      </c>
      <c r="T151" s="2"/>
      <c r="U151" s="2">
        <f>([412]L!V151*'D(Ti_Audétat23) Times'!$F151*0.000001)^2/(4*'D(Ti_Audétat23) Times'!$C151)/(365.35*24*3600)</f>
        <v>27982.467435608756</v>
      </c>
      <c r="V151" s="2">
        <f>([412]L!W151*'D(Ti_Audétat23) Times'!$F151*0.000001)^2/(4*'D(Ti_Audétat23) Times'!$C151)/(365.35*24*3600)</f>
        <v>28651.709417348109</v>
      </c>
      <c r="W151" s="2">
        <f>([412]L!X151*'D(Ti_Audétat23) Times'!$F151*0.000001)^2/(4*'D(Ti_Audétat23) Times'!$C151)/(365.35*24*3600)</f>
        <v>26749.028008286426</v>
      </c>
      <c r="X151" s="2"/>
      <c r="Y151" s="2">
        <f>([412]L!Z151*'D(Ti_Audétat23) Times'!$F151*0.000001)^2/(4*'D(Ti_Audétat23) Times'!$C151)/(365.35*24*3600)</f>
        <v>27990.525561128055</v>
      </c>
      <c r="Z151" s="2">
        <f>([412]L!AB151*'D(Ti_Audétat23) Times'!$F151*0.000001)^2/(4*'D(Ti_Audétat23) Times'!$C151)/(365.35*24*3600)</f>
        <v>28030.777658861844</v>
      </c>
      <c r="AA151" s="2">
        <f>([412]L!AC151*'D(Ti_Audétat23) Times'!$F151*0.000001)^2/(4*'D(Ti_Audétat23) Times'!$C151)/(365.35*24*3600)</f>
        <v>14671.38219414623</v>
      </c>
      <c r="AB151" s="2">
        <f>([412]L!AD151*'D(Ti_Audétat23) Times'!$F151*0.000001)^2/(4*'D(Ti_Audétat23) Times'!$C151)/(365.35*24*3600)</f>
        <v>43535.789887673316</v>
      </c>
      <c r="AC151" s="2">
        <f t="shared" si="9"/>
        <v>13359.395464715613</v>
      </c>
      <c r="AD151" s="2">
        <f t="shared" si="10"/>
        <v>15505.012228811473</v>
      </c>
    </row>
    <row r="152" spans="1:30" x14ac:dyDescent="0.2">
      <c r="A152" t="str">
        <f>[412]L!A152</f>
        <v>CGI009-qtz03-CL-fit-2-offset</v>
      </c>
      <c r="B152">
        <v>750</v>
      </c>
      <c r="C152">
        <f t="shared" si="11"/>
        <v>1.1456341375347871E-23</v>
      </c>
      <c r="D152">
        <v>1750</v>
      </c>
      <c r="E152">
        <v>1024</v>
      </c>
      <c r="F152">
        <f t="shared" si="8"/>
        <v>1.708984375</v>
      </c>
      <c r="I152" s="2">
        <f>([412]L!J152*'D(Ti_Audétat23) Times'!$F152*0.000001)^2/(4*'D(Ti_Audétat23) Times'!$C152)/(365.35*24*3600)</f>
        <v>29643.550661836318</v>
      </c>
      <c r="J152" s="2">
        <f>([412]L!K152*'D(Ti_Audétat23) Times'!$F152*0.000001)^2/(4*'D(Ti_Audétat23) Times'!$C152)/(365.35*24*3600)</f>
        <v>33590.825649187391</v>
      </c>
      <c r="K152" s="2">
        <f>([412]L!L152*'D(Ti_Audétat23) Times'!$F152*0.000001)^2/(4*'D(Ti_Audétat23) Times'!$C152)/(365.35*24*3600)</f>
        <v>27610.094374669166</v>
      </c>
      <c r="L152" s="2">
        <f>([412]L!M152*'D(Ti_Audétat23) Times'!$F152*0.000001)^2/(4*'D(Ti_Audétat23) Times'!$C152)/(365.35*24*3600)</f>
        <v>15262.98763875706</v>
      </c>
      <c r="M152" s="2">
        <f>([412]L!N152*'D(Ti_Audétat23) Times'!$F152*0.000001)^2/(4*'D(Ti_Audétat23) Times'!$C152)/(365.35*24*3600)</f>
        <v>15293.647174294461</v>
      </c>
      <c r="N152" s="2">
        <f>([412]L!O152*'D(Ti_Audétat23) Times'!$F152*0.000001)^2/(4*'D(Ti_Audétat23) Times'!$C152)/(365.35*24*3600)</f>
        <v>21741.61835624828</v>
      </c>
      <c r="O152" s="2">
        <f>([412]L!P152*'D(Ti_Audétat23) Times'!$F152*0.000001)^2/(4*'D(Ti_Audétat23) Times'!$C152)/(365.35*24*3600)</f>
        <v>20995.360174899106</v>
      </c>
      <c r="P152" s="2">
        <f>([412]L!Q152*'D(Ti_Audétat23) Times'!$F152*0.000001)^2/(4*'D(Ti_Audétat23) Times'!$C152)/(365.35*24*3600)</f>
        <v>22769.098533430733</v>
      </c>
      <c r="Q152" s="2">
        <f>([412]L!R152*'D(Ti_Audétat23) Times'!$F152*0.000001)^2/(4*'D(Ti_Audétat23) Times'!$C152)/(365.35*24*3600)</f>
        <v>24286.614136973876</v>
      </c>
      <c r="R152" s="2">
        <f>([412]L!S152*'D(Ti_Audétat23) Times'!$F152*0.000001)^2/(4*'D(Ti_Audétat23) Times'!$C152)/(365.35*24*3600)</f>
        <v>24219.384363178709</v>
      </c>
      <c r="S152" s="2">
        <f>([412]L!T152*'D(Ti_Audétat23) Times'!$F152*0.000001)^2/(4*'D(Ti_Audétat23) Times'!$C152)/(365.35*24*3600)</f>
        <v>23750.442787815638</v>
      </c>
      <c r="T152" s="2"/>
      <c r="U152" s="2">
        <f>([412]L!V152*'D(Ti_Audétat23) Times'!$F152*0.000001)^2/(4*'D(Ti_Audétat23) Times'!$C152)/(365.35*24*3600)</f>
        <v>23384.453278102766</v>
      </c>
      <c r="V152" s="2">
        <f>([412]L!W152*'D(Ti_Audétat23) Times'!$F152*0.000001)^2/(4*'D(Ti_Audétat23) Times'!$C152)/(365.35*24*3600)</f>
        <v>23260.312587074241</v>
      </c>
      <c r="W152" s="2">
        <f>([412]L!X152*'D(Ti_Audétat23) Times'!$F152*0.000001)^2/(4*'D(Ti_Audétat23) Times'!$C152)/(365.35*24*3600)</f>
        <v>23750.442787815638</v>
      </c>
      <c r="X152" s="2"/>
      <c r="Y152" s="2">
        <f>([412]L!Z152*'D(Ti_Audétat23) Times'!$F152*0.000001)^2/(4*'D(Ti_Audétat23) Times'!$C152)/(365.35*24*3600)</f>
        <v>22920.364879193108</v>
      </c>
      <c r="Z152" s="2">
        <f>([412]L!AB152*'D(Ti_Audétat23) Times'!$F152*0.000001)^2/(4*'D(Ti_Audétat23) Times'!$C152)/(365.35*24*3600)</f>
        <v>23274.899212710683</v>
      </c>
      <c r="AA152" s="2">
        <f>([412]L!AC152*'D(Ti_Audétat23) Times'!$F152*0.000001)^2/(4*'D(Ti_Audétat23) Times'!$C152)/(365.35*24*3600)</f>
        <v>15175.270133594486</v>
      </c>
      <c r="AB152" s="2">
        <f>([412]L!AD152*'D(Ti_Audétat23) Times'!$F152*0.000001)^2/(4*'D(Ti_Audétat23) Times'!$C152)/(365.35*24*3600)</f>
        <v>33885.369375105656</v>
      </c>
      <c r="AC152" s="2">
        <f t="shared" si="9"/>
        <v>8099.6290791161973</v>
      </c>
      <c r="AD152" s="2">
        <f t="shared" si="10"/>
        <v>10610.470162394973</v>
      </c>
    </row>
    <row r="153" spans="1:30" x14ac:dyDescent="0.2">
      <c r="A153" t="str">
        <f>[412]L!A153</f>
        <v>CGI009-qtz03-CL-fit-3-offset</v>
      </c>
      <c r="B153">
        <v>750</v>
      </c>
      <c r="C153">
        <f t="shared" si="11"/>
        <v>1.1456341375347871E-23</v>
      </c>
      <c r="D153">
        <v>1750</v>
      </c>
      <c r="E153">
        <v>1024</v>
      </c>
      <c r="F153">
        <f t="shared" si="8"/>
        <v>1.708984375</v>
      </c>
      <c r="I153" s="2">
        <f>([412]L!J153*'D(Ti_Audétat23) Times'!$F153*0.000001)^2/(4*'D(Ti_Audétat23) Times'!$C153)/(365.35*24*3600)</f>
        <v>16602.067690878463</v>
      </c>
      <c r="J153" s="2">
        <f>([412]L!K153*'D(Ti_Audétat23) Times'!$F153*0.000001)^2/(4*'D(Ti_Audétat23) Times'!$C153)/(365.35*24*3600)</f>
        <v>4729.4710848223422</v>
      </c>
      <c r="K153" s="2">
        <f>([412]L!L153*'D(Ti_Audétat23) Times'!$F153*0.000001)^2/(4*'D(Ti_Audétat23) Times'!$C153)/(365.35*24*3600)</f>
        <v>6988.9885059355711</v>
      </c>
      <c r="L153" s="2">
        <f>([412]L!M153*'D(Ti_Audétat23) Times'!$F153*0.000001)^2/(4*'D(Ti_Audétat23) Times'!$C153)/(365.35*24*3600)</f>
        <v>10417.609032905024</v>
      </c>
      <c r="M153" s="2">
        <f>([412]L!N153*'D(Ti_Audétat23) Times'!$F153*0.000001)^2/(4*'D(Ti_Audétat23) Times'!$C153)/(365.35*24*3600)</f>
        <v>4393.4716248814984</v>
      </c>
      <c r="N153" s="2">
        <f>([412]L!O153*'D(Ti_Audétat23) Times'!$F153*0.000001)^2/(4*'D(Ti_Audétat23) Times'!$C153)/(365.35*24*3600)</f>
        <v>17305.318292732667</v>
      </c>
      <c r="O153" s="2">
        <f>([412]L!P153*'D(Ti_Audétat23) Times'!$F153*0.000001)^2/(4*'D(Ti_Audétat23) Times'!$C153)/(365.35*24*3600)</f>
        <v>14004.619263419439</v>
      </c>
      <c r="P153" s="2">
        <f>([412]L!Q153*'D(Ti_Audétat23) Times'!$F153*0.000001)^2/(4*'D(Ti_Audétat23) Times'!$C153)/(365.35*24*3600)</f>
        <v>12263.547263715802</v>
      </c>
      <c r="Q153" s="2">
        <f>([412]L!R153*'D(Ti_Audétat23) Times'!$F153*0.000001)^2/(4*'D(Ti_Audétat23) Times'!$C153)/(365.35*24*3600)</f>
        <v>12173.274308329488</v>
      </c>
      <c r="R153" s="2">
        <f>([412]L!S153*'D(Ti_Audétat23) Times'!$F153*0.000001)^2/(4*'D(Ti_Audétat23) Times'!$C153)/(365.35*24*3600)</f>
        <v>6846.4532884033342</v>
      </c>
      <c r="S153" s="2">
        <f>([412]L!T153*'D(Ti_Audétat23) Times'!$F153*0.000001)^2/(4*'D(Ti_Audétat23) Times'!$C153)/(365.35*24*3600)</f>
        <v>8336.7329099859326</v>
      </c>
      <c r="T153" s="2"/>
      <c r="U153" s="2">
        <f>([412]L!V153*'D(Ti_Audétat23) Times'!$F153*0.000001)^2/(4*'D(Ti_Audétat23) Times'!$C153)/(365.35*24*3600)</f>
        <v>9395.1212135048354</v>
      </c>
      <c r="V153" s="2">
        <f>([412]L!W153*'D(Ti_Audétat23) Times'!$F153*0.000001)^2/(4*'D(Ti_Audétat23) Times'!$C153)/(365.35*24*3600)</f>
        <v>9901.7616539354876</v>
      </c>
      <c r="W153" s="2">
        <f>([412]L!X153*'D(Ti_Audétat23) Times'!$F153*0.000001)^2/(4*'D(Ti_Audétat23) Times'!$C153)/(365.35*24*3600)</f>
        <v>10417.609032905024</v>
      </c>
      <c r="X153" s="2"/>
      <c r="Y153" s="2">
        <f>([412]L!Z153*'D(Ti_Audétat23) Times'!$F153*0.000001)^2/(4*'D(Ti_Audétat23) Times'!$C153)/(365.35*24*3600)</f>
        <v>9522.8400928531337</v>
      </c>
      <c r="Z153" s="2">
        <f>([412]L!AB153*'D(Ti_Audétat23) Times'!$F153*0.000001)^2/(4*'D(Ti_Audétat23) Times'!$C153)/(365.35*24*3600)</f>
        <v>9337.9481669824781</v>
      </c>
      <c r="AA153" s="2">
        <f>([412]L!AC153*'D(Ti_Audétat23) Times'!$F153*0.000001)^2/(4*'D(Ti_Audétat23) Times'!$C153)/(365.35*24*3600)</f>
        <v>2932.9972840072364</v>
      </c>
      <c r="AB153" s="2">
        <f>([412]L!AD153*'D(Ti_Audétat23) Times'!$F153*0.000001)^2/(4*'D(Ti_Audétat23) Times'!$C153)/(365.35*24*3600)</f>
        <v>18485.762987420381</v>
      </c>
      <c r="AC153" s="2">
        <f t="shared" si="9"/>
        <v>6404.9508829752413</v>
      </c>
      <c r="AD153" s="2">
        <f t="shared" si="10"/>
        <v>9147.8148204379031</v>
      </c>
    </row>
    <row r="154" spans="1:30" x14ac:dyDescent="0.2">
      <c r="A154" t="str">
        <f>[412]L!A154</f>
        <v>CGI009-qtz03-CL-fit-4-offset</v>
      </c>
      <c r="B154">
        <v>750</v>
      </c>
      <c r="C154">
        <f t="shared" si="11"/>
        <v>1.1456341375347871E-23</v>
      </c>
      <c r="D154">
        <v>1750</v>
      </c>
      <c r="E154">
        <v>1024</v>
      </c>
      <c r="F154">
        <f t="shared" si="8"/>
        <v>1.708984375</v>
      </c>
      <c r="I154" s="2">
        <f>([412]L!J154*'D(Ti_Audétat23) Times'!$F154*0.000001)^2/(4*'D(Ti_Audétat23) Times'!$C154)/(365.35*24*3600)</f>
        <v>9574.4152192091697</v>
      </c>
      <c r="J154" s="2">
        <f>([412]L!K154*'D(Ti_Audétat23) Times'!$F154*0.000001)^2/(4*'D(Ti_Audétat23) Times'!$C154)/(365.35*24*3600)</f>
        <v>10845.49780327786</v>
      </c>
      <c r="K154" s="2">
        <f>([412]L!L154*'D(Ti_Audétat23) Times'!$F154*0.000001)^2/(4*'D(Ti_Audétat23) Times'!$C154)/(365.35*24*3600)</f>
        <v>10802.690791695291</v>
      </c>
      <c r="L154" s="2">
        <f>([412]L!M154*'D(Ti_Audétat23) Times'!$F154*0.000001)^2/(4*'D(Ti_Audétat23) Times'!$C154)/(365.35*24*3600)</f>
        <v>15678.658387130134</v>
      </c>
      <c r="M154" s="2">
        <f>([412]L!N154*'D(Ti_Audétat23) Times'!$F154*0.000001)^2/(4*'D(Ti_Audétat23) Times'!$C154)/(365.35*24*3600)</f>
        <v>8936.2770106062344</v>
      </c>
      <c r="N154" s="2">
        <f>([412]L!O154*'D(Ti_Audétat23) Times'!$F154*0.000001)^2/(4*'D(Ti_Audétat23) Times'!$C154)/(365.35*24*3600)</f>
        <v>9748.6677608522696</v>
      </c>
      <c r="O154" s="2">
        <f>([412]L!P154*'D(Ti_Audétat23) Times'!$F154*0.000001)^2/(4*'D(Ti_Audétat23) Times'!$C154)/(365.35*24*3600)</f>
        <v>12722.465067481897</v>
      </c>
      <c r="P154" s="2">
        <f>([412]L!Q154*'D(Ti_Audétat23) Times'!$F154*0.000001)^2/(4*'D(Ti_Audétat23) Times'!$C154)/(365.35*24*3600)</f>
        <v>12900.467868801785</v>
      </c>
      <c r="Q154" s="2">
        <f>([412]L!R154*'D(Ti_Audétat23) Times'!$F154*0.000001)^2/(4*'D(Ti_Audétat23) Times'!$C154)/(365.35*24*3600)</f>
        <v>12945.042910502019</v>
      </c>
      <c r="R154" s="2">
        <f>([412]L!S154*'D(Ti_Audétat23) Times'!$F154*0.000001)^2/(4*'D(Ti_Audétat23) Times'!$C154)/(365.35*24*3600)</f>
        <v>10667.740226272032</v>
      </c>
      <c r="S154" s="2">
        <f>([412]L!T154*'D(Ti_Audétat23) Times'!$F154*0.000001)^2/(4*'D(Ti_Audétat23) Times'!$C154)/(365.35*24*3600)</f>
        <v>10230.260940595956</v>
      </c>
      <c r="T154" s="2"/>
      <c r="U154" s="2">
        <f>([412]L!V154*'D(Ti_Audétat23) Times'!$F154*0.000001)^2/(4*'D(Ti_Audétat23) Times'!$C154)/(365.35*24*3600)</f>
        <v>11588.954960963691</v>
      </c>
      <c r="V154" s="2">
        <f>([412]L!W154*'D(Ti_Audétat23) Times'!$F154*0.000001)^2/(4*'D(Ti_Audétat23) Times'!$C154)/(365.35*24*3600)</f>
        <v>11293.665552454177</v>
      </c>
      <c r="W154" s="2">
        <f>([412]L!X154*'D(Ti_Audétat23) Times'!$F154*0.000001)^2/(4*'D(Ti_Audétat23) Times'!$C154)/(365.35*24*3600)</f>
        <v>10802.690791695291</v>
      </c>
      <c r="X154" s="2"/>
      <c r="Y154" s="2">
        <f>([412]L!Z154*'D(Ti_Audétat23) Times'!$F154*0.000001)^2/(4*'D(Ti_Audétat23) Times'!$C154)/(365.35*24*3600)</f>
        <v>11436.772846242635</v>
      </c>
      <c r="Z154" s="2">
        <f>([412]L!AB154*'D(Ti_Audétat23) Times'!$F154*0.000001)^2/(4*'D(Ti_Audétat23) Times'!$C154)/(365.35*24*3600)</f>
        <v>11378.90662557207</v>
      </c>
      <c r="AA154" s="2">
        <f>([412]L!AC154*'D(Ti_Audétat23) Times'!$F154*0.000001)^2/(4*'D(Ti_Audétat23) Times'!$C154)/(365.35*24*3600)</f>
        <v>5842.0090057231191</v>
      </c>
      <c r="AB154" s="2">
        <f>([412]L!AD154*'D(Ti_Audétat23) Times'!$F154*0.000001)^2/(4*'D(Ti_Audétat23) Times'!$C154)/(365.35*24*3600)</f>
        <v>19109.694205510255</v>
      </c>
      <c r="AC154" s="2">
        <f t="shared" si="9"/>
        <v>5536.8976198489509</v>
      </c>
      <c r="AD154" s="2">
        <f t="shared" si="10"/>
        <v>7730.7875799381854</v>
      </c>
    </row>
    <row r="155" spans="1:30" x14ac:dyDescent="0.2">
      <c r="A155" t="str">
        <f>[412]L!A155</f>
        <v>CGI009-qtz03-CL-fit-5-offset</v>
      </c>
      <c r="B155">
        <v>750</v>
      </c>
      <c r="C155">
        <f t="shared" si="11"/>
        <v>1.1456341375347871E-23</v>
      </c>
      <c r="D155">
        <v>1750</v>
      </c>
      <c r="E155">
        <v>1024</v>
      </c>
      <c r="F155">
        <f t="shared" si="8"/>
        <v>1.708984375</v>
      </c>
      <c r="I155" s="2">
        <f>([412]L!J155*'D(Ti_Audétat23) Times'!$F155*0.000001)^2/(4*'D(Ti_Audétat23) Times'!$C155)/(365.35*24*3600)</f>
        <v>26254.119507933312</v>
      </c>
      <c r="J155" s="2">
        <f>([412]L!K155*'D(Ti_Audétat23) Times'!$F155*0.000001)^2/(4*'D(Ti_Audétat23) Times'!$C155)/(365.35*24*3600)</f>
        <v>26236.037590538508</v>
      </c>
      <c r="K155" s="2">
        <f>([412]L!L155*'D(Ti_Audétat23) Times'!$F155*0.000001)^2/(4*'D(Ti_Audétat23) Times'!$C155)/(365.35*24*3600)</f>
        <v>44718.424193139188</v>
      </c>
      <c r="L155" s="2">
        <f>([412]L!M155*'D(Ti_Audétat23) Times'!$F155*0.000001)^2/(4*'D(Ti_Audétat23) Times'!$C155)/(365.35*24*3600)</f>
        <v>13267.278710608043</v>
      </c>
      <c r="M155" s="2">
        <f>([412]L!N155*'D(Ti_Audétat23) Times'!$F155*0.000001)^2/(4*'D(Ti_Audétat23) Times'!$C155)/(365.35*24*3600)</f>
        <v>41630.657673803813</v>
      </c>
      <c r="N155" s="2">
        <f>([412]L!O155*'D(Ti_Audétat23) Times'!$F155*0.000001)^2/(4*'D(Ti_Audétat23) Times'!$C155)/(365.35*24*3600)</f>
        <v>23409.458754717514</v>
      </c>
      <c r="O155" s="2">
        <f>([412]L!P155*'D(Ti_Audétat23) Times'!$F155*0.000001)^2/(4*'D(Ti_Audétat23) Times'!$C155)/(365.35*24*3600)</f>
        <v>35327.609690011886</v>
      </c>
      <c r="P155" s="2">
        <f>([412]L!Q155*'D(Ti_Audétat23) Times'!$F155*0.000001)^2/(4*'D(Ti_Audétat23) Times'!$C155)/(365.35*24*3600)</f>
        <v>57134.099652097655</v>
      </c>
      <c r="Q155" s="2">
        <f>([412]L!R155*'D(Ti_Audétat23) Times'!$F155*0.000001)^2/(4*'D(Ti_Audétat23) Times'!$C155)/(365.35*24*3600)</f>
        <v>33877.511831219941</v>
      </c>
      <c r="R155" s="2">
        <f>([412]L!S155*'D(Ti_Audétat23) Times'!$F155*0.000001)^2/(4*'D(Ti_Audétat23) Times'!$C155)/(365.35*24*3600)</f>
        <v>16150.081013710589</v>
      </c>
      <c r="S155" s="2">
        <f>([412]L!T155*'D(Ti_Audétat23) Times'!$F155*0.000001)^2/(4*'D(Ti_Audétat23) Times'!$C155)/(365.35*24*3600)</f>
        <v>42679.274441459464</v>
      </c>
      <c r="T155" s="2"/>
      <c r="U155" s="2">
        <f>([412]L!V155*'D(Ti_Audétat23) Times'!$F155*0.000001)^2/(4*'D(Ti_Audétat23) Times'!$C155)/(365.35*24*3600)</f>
        <v>31075.884317271179</v>
      </c>
      <c r="V155" s="2">
        <f>([412]L!W155*'D(Ti_Audétat23) Times'!$F155*0.000001)^2/(4*'D(Ti_Audétat23) Times'!$C155)/(365.35*24*3600)</f>
        <v>31503.342676671728</v>
      </c>
      <c r="W155" s="2">
        <f>([412]L!X155*'D(Ti_Audétat23) Times'!$F155*0.000001)^2/(4*'D(Ti_Audétat23) Times'!$C155)/(365.35*24*3600)</f>
        <v>33877.511831219941</v>
      </c>
      <c r="X155" s="2"/>
      <c r="Y155" s="2">
        <f>([412]L!Z155*'D(Ti_Audétat23) Times'!$F155*0.000001)^2/(4*'D(Ti_Audétat23) Times'!$C155)/(365.35*24*3600)</f>
        <v>31361.84275731922</v>
      </c>
      <c r="Z155" s="2">
        <f>([412]L!AB155*'D(Ti_Audétat23) Times'!$F155*0.000001)^2/(4*'D(Ti_Audétat23) Times'!$C155)/(365.35*24*3600)</f>
        <v>31431.719675990407</v>
      </c>
      <c r="AA155" s="2">
        <f>([412]L!AC155*'D(Ti_Audétat23) Times'!$F155*0.000001)^2/(4*'D(Ti_Audétat23) Times'!$C155)/(365.35*24*3600)</f>
        <v>6512.2631760398099</v>
      </c>
      <c r="AB155" s="2">
        <f>([412]L!AD155*'D(Ti_Audétat23) Times'!$F155*0.000001)^2/(4*'D(Ti_Audétat23) Times'!$C155)/(365.35*24*3600)</f>
        <v>65059.686527334874</v>
      </c>
      <c r="AC155" s="2">
        <f t="shared" si="9"/>
        <v>24919.456499950596</v>
      </c>
      <c r="AD155" s="2">
        <f t="shared" si="10"/>
        <v>33627.966851344463</v>
      </c>
    </row>
    <row r="156" spans="1:30" x14ac:dyDescent="0.2">
      <c r="A156" t="str">
        <f>[412]L!A156</f>
        <v>CGI009-qtz04-CL-fit-1-offset</v>
      </c>
      <c r="B156">
        <v>750</v>
      </c>
      <c r="C156">
        <f t="shared" si="11"/>
        <v>1.1456341375347871E-23</v>
      </c>
      <c r="D156">
        <v>1400</v>
      </c>
      <c r="E156">
        <v>1024</v>
      </c>
      <c r="F156">
        <f t="shared" si="8"/>
        <v>1.3671875</v>
      </c>
      <c r="I156" s="2">
        <f>([412]L!J156*'D(Ti_Audétat23) Times'!$F156*0.000001)^2/(4*'D(Ti_Audétat23) Times'!$C156)/(365.35*24*3600)</f>
        <v>18082.215764548713</v>
      </c>
      <c r="J156" s="2">
        <f>([412]L!K156*'D(Ti_Audétat23) Times'!$F156*0.000001)^2/(4*'D(Ti_Audétat23) Times'!$C156)/(365.35*24*3600)</f>
        <v>21613.564433736818</v>
      </c>
      <c r="K156" s="2">
        <f>([412]L!L156*'D(Ti_Audétat23) Times'!$F156*0.000001)^2/(4*'D(Ti_Audétat23) Times'!$C156)/(365.35*24*3600)</f>
        <v>36641.997452658085</v>
      </c>
      <c r="L156" s="2">
        <f>([412]L!M156*'D(Ti_Audétat23) Times'!$F156*0.000001)^2/(4*'D(Ti_Audétat23) Times'!$C156)/(365.35*24*3600)</f>
        <v>28995.827995540829</v>
      </c>
      <c r="M156" s="2">
        <f>([412]L!N156*'D(Ti_Audétat23) Times'!$F156*0.000001)^2/(4*'D(Ti_Audétat23) Times'!$C156)/(365.35*24*3600)</f>
        <v>14852.348571114075</v>
      </c>
      <c r="N156" s="2">
        <f>([412]L!O156*'D(Ti_Audétat23) Times'!$F156*0.000001)^2/(4*'D(Ti_Audétat23) Times'!$C156)/(365.35*24*3600)</f>
        <v>34791.590057333742</v>
      </c>
      <c r="O156" s="2">
        <f>([412]L!P156*'D(Ti_Audétat23) Times'!$F156*0.000001)^2/(4*'D(Ti_Audétat23) Times'!$C156)/(365.35*24*3600)</f>
        <v>52672.904699159488</v>
      </c>
      <c r="P156" s="2">
        <f>([412]L!Q156*'D(Ti_Audétat23) Times'!$F156*0.000001)^2/(4*'D(Ti_Audétat23) Times'!$C156)/(365.35*24*3600)</f>
        <v>34482.954606878979</v>
      </c>
      <c r="Q156" s="2">
        <f>([412]L!R156*'D(Ti_Audétat23) Times'!$F156*0.000001)^2/(4*'D(Ti_Audétat23) Times'!$C156)/(365.35*24*3600)</f>
        <v>43084.745775265968</v>
      </c>
      <c r="R156" s="2">
        <f>([412]L!S156*'D(Ti_Audétat23) Times'!$F156*0.000001)^2/(4*'D(Ti_Audétat23) Times'!$C156)/(365.35*24*3600)</f>
        <v>59116.009724347139</v>
      </c>
      <c r="S156" s="2">
        <f>([412]L!T156*'D(Ti_Audétat23) Times'!$F156*0.000001)^2/(4*'D(Ti_Audétat23) Times'!$C156)/(365.35*24*3600)</f>
        <v>33396.949897439925</v>
      </c>
      <c r="T156" s="2"/>
      <c r="U156" s="2">
        <f>([412]L!V156*'D(Ti_Audétat23) Times'!$F156*0.000001)^2/(4*'D(Ti_Audétat23) Times'!$C156)/(365.35*24*3600)</f>
        <v>32892.004696567768</v>
      </c>
      <c r="V156" s="2">
        <f>([412]L!W156*'D(Ti_Audétat23) Times'!$F156*0.000001)^2/(4*'D(Ti_Audétat23) Times'!$C156)/(365.35*24*3600)</f>
        <v>33065.784986902632</v>
      </c>
      <c r="W156" s="2">
        <f>([412]L!X156*'D(Ti_Audétat23) Times'!$F156*0.000001)^2/(4*'D(Ti_Audétat23) Times'!$C156)/(365.35*24*3600)</f>
        <v>34482.954606878979</v>
      </c>
      <c r="X156" s="2"/>
      <c r="Y156" s="2">
        <f>([412]L!Z156*'D(Ti_Audétat23) Times'!$F156*0.000001)^2/(4*'D(Ti_Audétat23) Times'!$C156)/(365.35*24*3600)</f>
        <v>32385.903376997769</v>
      </c>
      <c r="Z156" s="2">
        <f>([412]L!AB156*'D(Ti_Audétat23) Times'!$F156*0.000001)^2/(4*'D(Ti_Audétat23) Times'!$C156)/(365.35*24*3600)</f>
        <v>32392.667278510467</v>
      </c>
      <c r="AA156" s="2">
        <f>([412]L!AC156*'D(Ti_Audétat23) Times'!$F156*0.000001)^2/(4*'D(Ti_Audétat23) Times'!$C156)/(365.35*24*3600)</f>
        <v>11840.21331024016</v>
      </c>
      <c r="AB156" s="2">
        <f>([412]L!AD156*'D(Ti_Audétat23) Times'!$F156*0.000001)^2/(4*'D(Ti_Audétat23) Times'!$C156)/(365.35*24*3600)</f>
        <v>68536.789684817646</v>
      </c>
      <c r="AC156" s="2">
        <f t="shared" si="9"/>
        <v>20552.453968270307</v>
      </c>
      <c r="AD156" s="2">
        <f t="shared" si="10"/>
        <v>36144.122406307179</v>
      </c>
    </row>
    <row r="157" spans="1:30" x14ac:dyDescent="0.2">
      <c r="A157" t="str">
        <f>[412]L!A157</f>
        <v>CGI009-qtz04-CL-fit-2-offset</v>
      </c>
      <c r="B157">
        <v>750</v>
      </c>
      <c r="C157">
        <f t="shared" si="11"/>
        <v>1.1456341375347871E-23</v>
      </c>
      <c r="D157">
        <v>1400</v>
      </c>
      <c r="E157">
        <v>1024</v>
      </c>
      <c r="F157">
        <f t="shared" si="8"/>
        <v>1.3671875</v>
      </c>
      <c r="I157" s="2">
        <f>([412]L!J157*'D(Ti_Audétat23) Times'!$F157*0.000001)^2/(4*'D(Ti_Audétat23) Times'!$C157)/(365.35*24*3600)</f>
        <v>24302.788976436186</v>
      </c>
      <c r="J157" s="2">
        <f>([412]L!K157*'D(Ti_Audétat23) Times'!$F157*0.000001)^2/(4*'D(Ti_Audétat23) Times'!$C157)/(365.35*24*3600)</f>
        <v>27390.869454322292</v>
      </c>
      <c r="K157" s="2">
        <f>([412]L!L157*'D(Ti_Audétat23) Times'!$F157*0.000001)^2/(4*'D(Ti_Audétat23) Times'!$C157)/(365.35*24*3600)</f>
        <v>13684.363596534047</v>
      </c>
      <c r="L157" s="2">
        <f>([412]L!M157*'D(Ti_Audétat23) Times'!$F157*0.000001)^2/(4*'D(Ti_Audétat23) Times'!$C157)/(365.35*24*3600)</f>
        <v>11650.621740798826</v>
      </c>
      <c r="M157" s="2">
        <f>([412]L!N157*'D(Ti_Audétat23) Times'!$F157*0.000001)^2/(4*'D(Ti_Audétat23) Times'!$C157)/(365.35*24*3600)</f>
        <v>13465.352058741819</v>
      </c>
      <c r="N157" s="2">
        <f>([412]L!O157*'D(Ti_Audétat23) Times'!$F157*0.000001)^2/(4*'D(Ti_Audétat23) Times'!$C157)/(365.35*24*3600)</f>
        <v>17422.130434197556</v>
      </c>
      <c r="O157" s="2">
        <f>([412]L!P157*'D(Ti_Audétat23) Times'!$F157*0.000001)^2/(4*'D(Ti_Audétat23) Times'!$C157)/(365.35*24*3600)</f>
        <v>20266.998880362775</v>
      </c>
      <c r="P157" s="2">
        <f>([412]L!Q157*'D(Ti_Audétat23) Times'!$F157*0.000001)^2/(4*'D(Ti_Audétat23) Times'!$C157)/(365.35*24*3600)</f>
        <v>20082.85284155648</v>
      </c>
      <c r="Q157" s="2">
        <f>([412]L!R157*'D(Ti_Audétat23) Times'!$F157*0.000001)^2/(4*'D(Ti_Audétat23) Times'!$C157)/(365.35*24*3600)</f>
        <v>32771.495680725086</v>
      </c>
      <c r="R157" s="2">
        <f>([412]L!S157*'D(Ti_Audétat23) Times'!$F157*0.000001)^2/(4*'D(Ti_Audétat23) Times'!$C157)/(365.35*24*3600)</f>
        <v>6675.3620083282276</v>
      </c>
      <c r="S157" s="2">
        <f>([412]L!T157*'D(Ti_Audétat23) Times'!$F157*0.000001)^2/(4*'D(Ti_Audétat23) Times'!$C157)/(365.35*24*3600)</f>
        <v>47777.165277432614</v>
      </c>
      <c r="T157" s="2"/>
      <c r="U157" s="2">
        <f>([412]L!V157*'D(Ti_Audétat23) Times'!$F157*0.000001)^2/(4*'D(Ti_Audétat23) Times'!$C157)/(365.35*24*3600)</f>
        <v>20529.731965104969</v>
      </c>
      <c r="V157" s="2">
        <f>([412]L!W157*'D(Ti_Audétat23) Times'!$F157*0.000001)^2/(4*'D(Ti_Audétat23) Times'!$C157)/(365.35*24*3600)</f>
        <v>20105.558991973467</v>
      </c>
      <c r="W157" s="2">
        <f>([412]L!X157*'D(Ti_Audétat23) Times'!$F157*0.000001)^2/(4*'D(Ti_Audétat23) Times'!$C157)/(365.35*24*3600)</f>
        <v>20082.85284155648</v>
      </c>
      <c r="X157" s="2"/>
      <c r="Y157" s="2">
        <f>([412]L!Z157*'D(Ti_Audétat23) Times'!$F157*0.000001)^2/(4*'D(Ti_Audétat23) Times'!$C157)/(365.35*24*3600)</f>
        <v>21902.379496529316</v>
      </c>
      <c r="Z157" s="2">
        <f>([412]L!AB157*'D(Ti_Audétat23) Times'!$F157*0.000001)^2/(4*'D(Ti_Audétat23) Times'!$C157)/(365.35*24*3600)</f>
        <v>21687.057809087826</v>
      </c>
      <c r="AA157" s="2">
        <f>([412]L!AC157*'D(Ti_Audétat23) Times'!$F157*0.000001)^2/(4*'D(Ti_Audétat23) Times'!$C157)/(365.35*24*3600)</f>
        <v>4408.6080747799278</v>
      </c>
      <c r="AB157" s="2">
        <f>([412]L!AD157*'D(Ti_Audétat23) Times'!$F157*0.000001)^2/(4*'D(Ti_Audétat23) Times'!$C157)/(365.35*24*3600)</f>
        <v>58350.746802657137</v>
      </c>
      <c r="AC157" s="2">
        <f t="shared" si="9"/>
        <v>17278.449734307898</v>
      </c>
      <c r="AD157" s="2">
        <f t="shared" si="10"/>
        <v>36663.688993569311</v>
      </c>
    </row>
    <row r="158" spans="1:30" x14ac:dyDescent="0.2">
      <c r="A158" t="str">
        <f>[412]L!A158</f>
        <v>CGI009-qtz04-CL-fit-3-offset</v>
      </c>
      <c r="B158">
        <v>750</v>
      </c>
      <c r="C158">
        <f t="shared" si="11"/>
        <v>1.1456341375347871E-23</v>
      </c>
      <c r="D158">
        <v>1400</v>
      </c>
      <c r="E158">
        <v>1024</v>
      </c>
      <c r="F158">
        <f t="shared" si="8"/>
        <v>1.3671875</v>
      </c>
      <c r="I158" s="2">
        <f>([412]L!J158*'D(Ti_Audétat23) Times'!$F158*0.000001)^2/(4*'D(Ti_Audétat23) Times'!$C158)/(365.35*24*3600)</f>
        <v>12995.062687636595</v>
      </c>
      <c r="J158" s="2">
        <f>([412]L!K158*'D(Ti_Audétat23) Times'!$F158*0.000001)^2/(4*'D(Ti_Audétat23) Times'!$C158)/(365.35*24*3600)</f>
        <v>37749.963973112135</v>
      </c>
      <c r="K158" s="2">
        <f>([412]L!L158*'D(Ti_Audétat23) Times'!$F158*0.000001)^2/(4*'D(Ti_Audétat23) Times'!$C158)/(365.35*24*3600)</f>
        <v>14204.664738880667</v>
      </c>
      <c r="L158" s="2">
        <f>([412]L!M158*'D(Ti_Audétat23) Times'!$F158*0.000001)^2/(4*'D(Ti_Audétat23) Times'!$C158)/(365.35*24*3600)</f>
        <v>4696.210964748434</v>
      </c>
      <c r="M158" s="2">
        <f>([412]L!N158*'D(Ti_Audétat23) Times'!$F158*0.000001)^2/(4*'D(Ti_Audétat23) Times'!$C158)/(365.35*24*3600)</f>
        <v>72.293355320258058</v>
      </c>
      <c r="N158" s="2">
        <f>([412]L!O158*'D(Ti_Audétat23) Times'!$F158*0.000001)^2/(4*'D(Ti_Audétat23) Times'!$C158)/(365.35*24*3600)</f>
        <v>5570.1994527583374</v>
      </c>
      <c r="O158" s="2">
        <f>([412]L!P158*'D(Ti_Audétat23) Times'!$F158*0.000001)^2/(4*'D(Ti_Audétat23) Times'!$C158)/(365.35*24*3600)</f>
        <v>1233.0470428115957</v>
      </c>
      <c r="P158" s="2">
        <f>([412]L!Q158*'D(Ti_Audétat23) Times'!$F158*0.000001)^2/(4*'D(Ti_Audétat23) Times'!$C158)/(365.35*24*3600)</f>
        <v>35316.045962121774</v>
      </c>
      <c r="Q158" s="2">
        <f>([412]L!R158*'D(Ti_Audétat23) Times'!$F158*0.000001)^2/(4*'D(Ti_Audétat23) Times'!$C158)/(365.35*24*3600)</f>
        <v>12237.292251444547</v>
      </c>
      <c r="R158" s="2">
        <f>([412]L!S158*'D(Ti_Audétat23) Times'!$F158*0.000001)^2/(4*'D(Ti_Audétat23) Times'!$C158)/(365.35*24*3600)</f>
        <v>1015.5606246595387</v>
      </c>
      <c r="S158" s="2">
        <f>([412]L!T158*'D(Ti_Audétat23) Times'!$F158*0.000001)^2/(4*'D(Ti_Audétat23) Times'!$C158)/(365.35*24*3600)</f>
        <v>16053.285983227486</v>
      </c>
      <c r="T158" s="2"/>
      <c r="U158" s="2">
        <f>([412]L!V158*'D(Ti_Audétat23) Times'!$F158*0.000001)^2/(4*'D(Ti_Audétat23) Times'!$C158)/(365.35*24*3600)</f>
        <v>8518.4023916347451</v>
      </c>
      <c r="V158" s="2">
        <f>([412]L!W158*'D(Ti_Audétat23) Times'!$F158*0.000001)^2/(4*'D(Ti_Audétat23) Times'!$C158)/(365.35*24*3600)</f>
        <v>9486.229911990089</v>
      </c>
      <c r="W158" s="2">
        <f>([412]L!X158*'D(Ti_Audétat23) Times'!$F158*0.000001)^2/(4*'D(Ti_Audétat23) Times'!$C158)/(365.35*24*3600)</f>
        <v>12237.292251444547</v>
      </c>
      <c r="X158" s="2"/>
      <c r="Y158" s="2">
        <f>([412]L!Z158*'D(Ti_Audétat23) Times'!$F158*0.000001)^2/(4*'D(Ti_Audétat23) Times'!$C158)/(365.35*24*3600)</f>
        <v>8000.2935848861844</v>
      </c>
      <c r="Z158" s="2">
        <f>([412]L!AB158*'D(Ti_Audétat23) Times'!$F158*0.000001)^2/(4*'D(Ti_Audétat23) Times'!$C158)/(365.35*24*3600)</f>
        <v>11055.000938873785</v>
      </c>
      <c r="AA158" s="2">
        <f>([412]L!AC158*'D(Ti_Audétat23) Times'!$F158*0.000001)^2/(4*'D(Ti_Audétat23) Times'!$C158)/(365.35*24*3600)</f>
        <v>78.120016844821848</v>
      </c>
      <c r="AB158" s="2">
        <f>([412]L!AD158*'D(Ti_Audétat23) Times'!$F158*0.000001)^2/(4*'D(Ti_Audétat23) Times'!$C158)/(365.35*24*3600)</f>
        <v>99950.094678146881</v>
      </c>
      <c r="AC158" s="2">
        <f t="shared" si="9"/>
        <v>10976.880922028964</v>
      </c>
      <c r="AD158" s="2">
        <f t="shared" si="10"/>
        <v>88895.093739273099</v>
      </c>
    </row>
    <row r="159" spans="1:30" x14ac:dyDescent="0.2">
      <c r="A159" t="str">
        <f>[412]L!A159</f>
        <v>CGI009-qtz04-CL-fit-4-offset</v>
      </c>
      <c r="B159">
        <v>750</v>
      </c>
      <c r="C159">
        <f t="shared" si="11"/>
        <v>1.1456341375347871E-23</v>
      </c>
      <c r="D159">
        <v>1400</v>
      </c>
      <c r="E159">
        <v>1024</v>
      </c>
      <c r="F159">
        <f t="shared" si="8"/>
        <v>1.3671875</v>
      </c>
      <c r="I159" s="2">
        <f>([412]L!J159*'D(Ti_Audétat23) Times'!$F159*0.000001)^2/(4*'D(Ti_Audétat23) Times'!$C159)/(365.35*24*3600)</f>
        <v>6723.8631248128131</v>
      </c>
      <c r="J159" s="2">
        <f>([412]L!K159*'D(Ti_Audétat23) Times'!$F159*0.000001)^2/(4*'D(Ti_Audétat23) Times'!$C159)/(365.35*24*3600)</f>
        <v>3971.2467248620801</v>
      </c>
      <c r="K159" s="2">
        <f>([412]L!L159*'D(Ti_Audétat23) Times'!$F159*0.000001)^2/(4*'D(Ti_Audétat23) Times'!$C159)/(365.35*24*3600)</f>
        <v>3495.6210865116695</v>
      </c>
      <c r="L159" s="2">
        <f>([412]L!M159*'D(Ti_Audétat23) Times'!$F159*0.000001)^2/(4*'D(Ti_Audétat23) Times'!$C159)/(365.35*24*3600)</f>
        <v>6152.8357602139549</v>
      </c>
      <c r="M159" s="2">
        <f>([412]L!N159*'D(Ti_Audétat23) Times'!$F159*0.000001)^2/(4*'D(Ti_Audétat23) Times'!$C159)/(365.35*24*3600)</f>
        <v>2773.4909351304295</v>
      </c>
      <c r="N159" s="2">
        <f>([412]L!O159*'D(Ti_Audétat23) Times'!$F159*0.000001)^2/(4*'D(Ti_Audétat23) Times'!$C159)/(365.35*24*3600)</f>
        <v>3232.9556304839143</v>
      </c>
      <c r="O159" s="2">
        <f>([412]L!P159*'D(Ti_Audétat23) Times'!$F159*0.000001)^2/(4*'D(Ti_Audétat23) Times'!$C159)/(365.35*24*3600)</f>
        <v>3077.1117738253583</v>
      </c>
      <c r="P159" s="2">
        <f>([412]L!Q159*'D(Ti_Audétat23) Times'!$F159*0.000001)^2/(4*'D(Ti_Audétat23) Times'!$C159)/(365.35*24*3600)</f>
        <v>7292.307240058205</v>
      </c>
      <c r="Q159" s="2">
        <f>([412]L!R159*'D(Ti_Audétat23) Times'!$F159*0.000001)^2/(4*'D(Ti_Audétat23) Times'!$C159)/(365.35*24*3600)</f>
        <v>2809.3639296824967</v>
      </c>
      <c r="R159" s="2">
        <f>([412]L!S159*'D(Ti_Audétat23) Times'!$F159*0.000001)^2/(4*'D(Ti_Audétat23) Times'!$C159)/(365.35*24*3600)</f>
        <v>5735.3589638187304</v>
      </c>
      <c r="S159" s="2">
        <f>([412]L!T159*'D(Ti_Audétat23) Times'!$F159*0.000001)^2/(4*'D(Ti_Audétat23) Times'!$C159)/(365.35*24*3600)</f>
        <v>5845.4481423427478</v>
      </c>
      <c r="T159" s="2"/>
      <c r="U159" s="2">
        <f>([412]L!V159*'D(Ti_Audétat23) Times'!$F159*0.000001)^2/(4*'D(Ti_Audétat23) Times'!$C159)/(365.35*24*3600)</f>
        <v>4825.5741446302764</v>
      </c>
      <c r="V159" s="2">
        <f>([412]L!W159*'D(Ti_Audétat23) Times'!$F159*0.000001)^2/(4*'D(Ti_Audétat23) Times'!$C159)/(365.35*24*3600)</f>
        <v>4503.1622670139895</v>
      </c>
      <c r="W159" s="2">
        <f>([412]L!X159*'D(Ti_Audétat23) Times'!$F159*0.000001)^2/(4*'D(Ti_Audétat23) Times'!$C159)/(365.35*24*3600)</f>
        <v>3971.2467248620801</v>
      </c>
      <c r="X159" s="2"/>
      <c r="Y159" s="2">
        <f>([412]L!Z159*'D(Ti_Audétat23) Times'!$F159*0.000001)^2/(4*'D(Ti_Audétat23) Times'!$C159)/(365.35*24*3600)</f>
        <v>4636.5018609043291</v>
      </c>
      <c r="Z159" s="2">
        <f>([412]L!AB159*'D(Ti_Audétat23) Times'!$F159*0.000001)^2/(4*'D(Ti_Audétat23) Times'!$C159)/(365.35*24*3600)</f>
        <v>4595.7821069537231</v>
      </c>
      <c r="AA159" s="2">
        <f>([412]L!AC159*'D(Ti_Audétat23) Times'!$F159*0.000001)^2/(4*'D(Ti_Audétat23) Times'!$C159)/(365.35*24*3600)</f>
        <v>1109.9419719205569</v>
      </c>
      <c r="AB159" s="2">
        <f>([412]L!AD159*'D(Ti_Audétat23) Times'!$F159*0.000001)^2/(4*'D(Ti_Audétat23) Times'!$C159)/(365.35*24*3600)</f>
        <v>11486.134120095952</v>
      </c>
      <c r="AC159" s="2">
        <f t="shared" si="9"/>
        <v>3485.840135033166</v>
      </c>
      <c r="AD159" s="2">
        <f t="shared" si="10"/>
        <v>6890.3520131422292</v>
      </c>
    </row>
    <row r="160" spans="1:30" x14ac:dyDescent="0.2">
      <c r="A160" t="str">
        <f>[412]L!A160</f>
        <v>CGI009-qtz05-CL-fit-1-offset</v>
      </c>
      <c r="B160">
        <v>750</v>
      </c>
      <c r="C160">
        <f t="shared" si="11"/>
        <v>1.1456341375347871E-23</v>
      </c>
      <c r="D160">
        <v>1500</v>
      </c>
      <c r="E160">
        <v>1024</v>
      </c>
      <c r="F160">
        <f t="shared" si="8"/>
        <v>1.46484375</v>
      </c>
      <c r="I160" s="2">
        <f>([412]L!J160*'D(Ti_Audétat23) Times'!$F160*0.000001)^2/(4*'D(Ti_Audétat23) Times'!$C160)/(365.35*24*3600)</f>
        <v>39333.49411756183</v>
      </c>
      <c r="J160" s="2">
        <f>([412]L!K160*'D(Ti_Audétat23) Times'!$F160*0.000001)^2/(4*'D(Ti_Audétat23) Times'!$C160)/(365.35*24*3600)</f>
        <v>32270.759974542631</v>
      </c>
      <c r="K160" s="2">
        <f>([412]L!L160*'D(Ti_Audétat23) Times'!$F160*0.000001)^2/(4*'D(Ti_Audétat23) Times'!$C160)/(365.35*24*3600)</f>
        <v>38233.927269504595</v>
      </c>
      <c r="L160" s="2">
        <f>([412]L!M160*'D(Ti_Audétat23) Times'!$F160*0.000001)^2/(4*'D(Ti_Audétat23) Times'!$C160)/(365.35*24*3600)</f>
        <v>18834.719988870122</v>
      </c>
      <c r="M160" s="2">
        <f>([412]L!N160*'D(Ti_Audétat23) Times'!$F160*0.000001)^2/(4*'D(Ti_Audétat23) Times'!$C160)/(365.35*24*3600)</f>
        <v>35680.476622388662</v>
      </c>
      <c r="N160" s="2">
        <f>([412]L!O160*'D(Ti_Audétat23) Times'!$F160*0.000001)^2/(4*'D(Ti_Audétat23) Times'!$C160)/(365.35*24*3600)</f>
        <v>30994.573825767719</v>
      </c>
      <c r="O160" s="2">
        <f>([412]L!P160*'D(Ti_Audétat23) Times'!$F160*0.000001)^2/(4*'D(Ti_Audétat23) Times'!$C160)/(365.35*24*3600)</f>
        <v>19572.593380156864</v>
      </c>
      <c r="P160" s="2">
        <f>([412]L!Q160*'D(Ti_Audétat23) Times'!$F160*0.000001)^2/(4*'D(Ti_Audétat23) Times'!$C160)/(365.35*24*3600)</f>
        <v>17196.937088920549</v>
      </c>
      <c r="Q160" s="2">
        <f>([412]L!R160*'D(Ti_Audétat23) Times'!$F160*0.000001)^2/(4*'D(Ti_Audétat23) Times'!$C160)/(365.35*24*3600)</f>
        <v>47848.073220616221</v>
      </c>
      <c r="R160" s="2">
        <f>([412]L!S160*'D(Ti_Audétat23) Times'!$F160*0.000001)^2/(4*'D(Ti_Audétat23) Times'!$C160)/(365.35*24*3600)</f>
        <v>17416.649088876373</v>
      </c>
      <c r="S160" s="2">
        <f>([412]L!T160*'D(Ti_Audétat23) Times'!$F160*0.000001)^2/(4*'D(Ti_Audétat23) Times'!$C160)/(365.35*24*3600)</f>
        <v>24712.133476151408</v>
      </c>
      <c r="T160" s="2"/>
      <c r="U160" s="2">
        <f>([412]L!V160*'D(Ti_Audétat23) Times'!$F160*0.000001)^2/(4*'D(Ti_Audétat23) Times'!$C160)/(365.35*24*3600)</f>
        <v>27981.412028266339</v>
      </c>
      <c r="V160" s="2">
        <f>([412]L!W160*'D(Ti_Audétat23) Times'!$F160*0.000001)^2/(4*'D(Ti_Audétat23) Times'!$C160)/(365.35*24*3600)</f>
        <v>28427.24168637814</v>
      </c>
      <c r="W160" s="2">
        <f>([412]L!X160*'D(Ti_Audétat23) Times'!$F160*0.000001)^2/(4*'D(Ti_Audétat23) Times'!$C160)/(365.35*24*3600)</f>
        <v>30994.573825767719</v>
      </c>
      <c r="X160" s="2"/>
      <c r="Y160" s="2">
        <f>([412]L!Z160*'D(Ti_Audétat23) Times'!$F160*0.000001)^2/(4*'D(Ti_Audétat23) Times'!$C160)/(365.35*24*3600)</f>
        <v>27608.731566828686</v>
      </c>
      <c r="Z160" s="2">
        <f>([412]L!AB160*'D(Ti_Audétat23) Times'!$F160*0.000001)^2/(4*'D(Ti_Audétat23) Times'!$C160)/(365.35*24*3600)</f>
        <v>28150.201708712473</v>
      </c>
      <c r="AA160" s="2">
        <f>([412]L!AC160*'D(Ti_Audétat23) Times'!$F160*0.000001)^2/(4*'D(Ti_Audétat23) Times'!$C160)/(365.35*24*3600)</f>
        <v>12794.597502634853</v>
      </c>
      <c r="AB160" s="2">
        <f>([412]L!AD160*'D(Ti_Audétat23) Times'!$F160*0.000001)^2/(4*'D(Ti_Audétat23) Times'!$C160)/(365.35*24*3600)</f>
        <v>57052.200165723028</v>
      </c>
      <c r="AC160" s="2">
        <f t="shared" si="9"/>
        <v>15355.60420607762</v>
      </c>
      <c r="AD160" s="2">
        <f t="shared" si="10"/>
        <v>28901.998457010555</v>
      </c>
    </row>
    <row r="161" spans="1:30" x14ac:dyDescent="0.2">
      <c r="A161" t="str">
        <f>[412]L!A161</f>
        <v>CGI009-qtz05-CL-fit-2-offset</v>
      </c>
      <c r="B161">
        <v>750</v>
      </c>
      <c r="C161">
        <f t="shared" si="11"/>
        <v>1.1456341375347871E-23</v>
      </c>
      <c r="D161">
        <v>1500</v>
      </c>
      <c r="E161">
        <v>1024</v>
      </c>
      <c r="F161">
        <f t="shared" si="8"/>
        <v>1.46484375</v>
      </c>
      <c r="I161" s="2">
        <f>([412]L!J161*'D(Ti_Audétat23) Times'!$F161*0.000001)^2/(4*'D(Ti_Audétat23) Times'!$C161)/(365.35*24*3600)</f>
        <v>24945.060145116284</v>
      </c>
      <c r="J161" s="2">
        <f>([412]L!K161*'D(Ti_Audétat23) Times'!$F161*0.000001)^2/(4*'D(Ti_Audétat23) Times'!$C161)/(365.35*24*3600)</f>
        <v>40520.427206101049</v>
      </c>
      <c r="K161" s="2">
        <f>([412]L!L161*'D(Ti_Audétat23) Times'!$F161*0.000001)^2/(4*'D(Ti_Audétat23) Times'!$C161)/(365.35*24*3600)</f>
        <v>43223.340049822124</v>
      </c>
      <c r="L161" s="2">
        <f>([412]L!M161*'D(Ti_Audétat23) Times'!$F161*0.000001)^2/(4*'D(Ti_Audétat23) Times'!$C161)/(365.35*24*3600)</f>
        <v>24187.395783908116</v>
      </c>
      <c r="M161" s="2">
        <f>([412]L!N161*'D(Ti_Audétat23) Times'!$F161*0.000001)^2/(4*'D(Ti_Audétat23) Times'!$C161)/(365.35*24*3600)</f>
        <v>33107.144441927187</v>
      </c>
      <c r="N161" s="2">
        <f>([412]L!O161*'D(Ti_Audétat23) Times'!$F161*0.000001)^2/(4*'D(Ti_Audétat23) Times'!$C161)/(365.35*24*3600)</f>
        <v>14411.433664597367</v>
      </c>
      <c r="O161" s="2">
        <f>([412]L!P161*'D(Ti_Audétat23) Times'!$F161*0.000001)^2/(4*'D(Ti_Audétat23) Times'!$C161)/(365.35*24*3600)</f>
        <v>15114.618788391028</v>
      </c>
      <c r="P161" s="2">
        <f>([412]L!Q161*'D(Ti_Audétat23) Times'!$F161*0.000001)^2/(4*'D(Ti_Audétat23) Times'!$C161)/(365.35*24*3600)</f>
        <v>13442.010101264301</v>
      </c>
      <c r="Q161" s="2">
        <f>([412]L!R161*'D(Ti_Audétat23) Times'!$F161*0.000001)^2/(4*'D(Ti_Audétat23) Times'!$C161)/(365.35*24*3600)</f>
        <v>19542.868093180114</v>
      </c>
      <c r="R161" s="2">
        <f>([412]L!S161*'D(Ti_Audétat23) Times'!$F161*0.000001)^2/(4*'D(Ti_Audétat23) Times'!$C161)/(365.35*24*3600)</f>
        <v>27834.336903878979</v>
      </c>
      <c r="S161" s="2">
        <f>([412]L!T161*'D(Ti_Audétat23) Times'!$F161*0.000001)^2/(4*'D(Ti_Audétat23) Times'!$C161)/(365.35*24*3600)</f>
        <v>26264.973132490522</v>
      </c>
      <c r="T161" s="2"/>
      <c r="U161" s="2">
        <f>([412]L!V161*'D(Ti_Audétat23) Times'!$F161*0.000001)^2/(4*'D(Ti_Audétat23) Times'!$C161)/(365.35*24*3600)</f>
        <v>25606.546997863454</v>
      </c>
      <c r="V161" s="2">
        <f>([412]L!W161*'D(Ti_Audétat23) Times'!$F161*0.000001)^2/(4*'D(Ti_Audétat23) Times'!$C161)/(365.35*24*3600)</f>
        <v>24798.846342228473</v>
      </c>
      <c r="W161" s="2">
        <f>([412]L!X161*'D(Ti_Audétat23) Times'!$F161*0.000001)^2/(4*'D(Ti_Audétat23) Times'!$C161)/(365.35*24*3600)</f>
        <v>24945.060145116284</v>
      </c>
      <c r="X161" s="2"/>
      <c r="Y161" s="2">
        <f>([412]L!Z161*'D(Ti_Audétat23) Times'!$F161*0.000001)^2/(4*'D(Ti_Audétat23) Times'!$C161)/(365.35*24*3600)</f>
        <v>24297.934134120067</v>
      </c>
      <c r="Z161" s="2">
        <f>([412]L!AB161*'D(Ti_Audétat23) Times'!$F161*0.000001)^2/(4*'D(Ti_Audétat23) Times'!$C161)/(365.35*24*3600)</f>
        <v>24764.372004159028</v>
      </c>
      <c r="AA161" s="2">
        <f>([412]L!AC161*'D(Ti_Audétat23) Times'!$F161*0.000001)^2/(4*'D(Ti_Audétat23) Times'!$C161)/(365.35*24*3600)</f>
        <v>12837.84872867081</v>
      </c>
      <c r="AB161" s="2">
        <f>([412]L!AD161*'D(Ti_Audétat23) Times'!$F161*0.000001)^2/(4*'D(Ti_Audétat23) Times'!$C161)/(365.35*24*3600)</f>
        <v>47401.925362662136</v>
      </c>
      <c r="AC161" s="2">
        <f t="shared" si="9"/>
        <v>11926.523275488218</v>
      </c>
      <c r="AD161" s="2">
        <f t="shared" si="10"/>
        <v>22637.553358503108</v>
      </c>
    </row>
    <row r="162" spans="1:30" x14ac:dyDescent="0.2">
      <c r="A162" t="str">
        <f>[412]L!A162</f>
        <v>CGI009-qtz05-CL-fit-3-offset</v>
      </c>
      <c r="B162">
        <v>750</v>
      </c>
      <c r="C162">
        <f t="shared" si="11"/>
        <v>1.1456341375347871E-23</v>
      </c>
      <c r="D162">
        <v>1500</v>
      </c>
      <c r="E162">
        <v>1024</v>
      </c>
      <c r="F162">
        <f t="shared" si="8"/>
        <v>1.46484375</v>
      </c>
      <c r="I162" s="2">
        <f>([412]L!J162*'D(Ti_Audétat23) Times'!$F162*0.000001)^2/(4*'D(Ti_Audétat23) Times'!$C162)/(365.35*24*3600)</f>
        <v>0</v>
      </c>
      <c r="J162" s="2">
        <f>([412]L!K162*'D(Ti_Audétat23) Times'!$F162*0.000001)^2/(4*'D(Ti_Audétat23) Times'!$C162)/(365.35*24*3600)</f>
        <v>20988.467259352328</v>
      </c>
      <c r="K162" s="2">
        <f>([412]L!L162*'D(Ti_Audétat23) Times'!$F162*0.000001)^2/(4*'D(Ti_Audétat23) Times'!$C162)/(365.35*24*3600)</f>
        <v>22037.927473877236</v>
      </c>
      <c r="L162" s="2">
        <f>([412]L!M162*'D(Ti_Audétat23) Times'!$F162*0.000001)^2/(4*'D(Ti_Audétat23) Times'!$C162)/(365.35*24*3600)</f>
        <v>18791.861409067071</v>
      </c>
      <c r="M162" s="2">
        <f>([412]L!N162*'D(Ti_Audétat23) Times'!$F162*0.000001)^2/(4*'D(Ti_Audétat23) Times'!$C162)/(365.35*24*3600)</f>
        <v>11457.874257249836</v>
      </c>
      <c r="N162" s="2">
        <f>([412]L!O162*'D(Ti_Audétat23) Times'!$F162*0.000001)^2/(4*'D(Ti_Audétat23) Times'!$C162)/(365.35*24*3600)</f>
        <v>26996.174315264259</v>
      </c>
      <c r="O162" s="2">
        <f>([412]L!P162*'D(Ti_Audétat23) Times'!$F162*0.000001)^2/(4*'D(Ti_Audétat23) Times'!$C162)/(365.35*24*3600)</f>
        <v>23681.744335560579</v>
      </c>
      <c r="P162" s="2">
        <f>([412]L!Q162*'D(Ti_Audétat23) Times'!$F162*0.000001)^2/(4*'D(Ti_Audétat23) Times'!$C162)/(365.35*24*3600)</f>
        <v>28077.950981248101</v>
      </c>
      <c r="Q162" s="2">
        <f>([412]L!R162*'D(Ti_Audétat23) Times'!$F162*0.000001)^2/(4*'D(Ti_Audétat23) Times'!$C162)/(365.35*24*3600)</f>
        <v>7784.547019603453</v>
      </c>
      <c r="R162" s="2">
        <f>([412]L!S162*'D(Ti_Audétat23) Times'!$F162*0.000001)^2/(4*'D(Ti_Audétat23) Times'!$C162)/(365.35*24*3600)</f>
        <v>15667.625557432511</v>
      </c>
      <c r="S162" s="2">
        <f>([412]L!T162*'D(Ti_Audétat23) Times'!$F162*0.000001)^2/(4*'D(Ti_Audétat23) Times'!$C162)/(365.35*24*3600)</f>
        <v>32087.35498486213</v>
      </c>
      <c r="T162" s="2"/>
      <c r="U162" s="2">
        <f>([412]L!V162*'D(Ti_Audétat23) Times'!$F162*0.000001)^2/(4*'D(Ti_Audétat23) Times'!$C162)/(365.35*24*3600)</f>
        <v>23147.737703311363</v>
      </c>
      <c r="V162" s="2">
        <f>([412]L!W162*'D(Ti_Audétat23) Times'!$F162*0.000001)^2/(4*'D(Ti_Audétat23) Times'!$C162)/(365.35*24*3600)</f>
        <v>20043.173241925975</v>
      </c>
      <c r="W162" s="2">
        <f>([412]L!X162*'D(Ti_Audétat23) Times'!$F162*0.000001)^2/(4*'D(Ti_Audétat23) Times'!$C162)/(365.35*24*3600)</f>
        <v>21509.997207139902</v>
      </c>
      <c r="X162" s="2"/>
      <c r="Y162" s="2">
        <f>([412]L!Z162*'D(Ti_Audétat23) Times'!$F162*0.000001)^2/(4*'D(Ti_Audétat23) Times'!$C162)/(365.35*24*3600)</f>
        <v>20091.475297678968</v>
      </c>
      <c r="Z162" s="2">
        <f>([412]L!AB162*'D(Ti_Audétat23) Times'!$F162*0.000001)^2/(4*'D(Ti_Audétat23) Times'!$C162)/(365.35*24*3600)</f>
        <v>19245.888688855361</v>
      </c>
      <c r="AA162" s="2">
        <f>([412]L!AC162*'D(Ti_Audétat23) Times'!$F162*0.000001)^2/(4*'D(Ti_Audétat23) Times'!$C162)/(365.35*24*3600)</f>
        <v>6382.5113312961321</v>
      </c>
      <c r="AB162" s="2">
        <f>([412]L!AD162*'D(Ti_Audétat23) Times'!$F162*0.000001)^2/(4*'D(Ti_Audétat23) Times'!$C162)/(365.35*24*3600)</f>
        <v>36254.165949644397</v>
      </c>
      <c r="AC162" s="2">
        <f t="shared" si="9"/>
        <v>12863.377357559228</v>
      </c>
      <c r="AD162" s="2">
        <f t="shared" si="10"/>
        <v>17008.277260789037</v>
      </c>
    </row>
    <row r="163" spans="1:30" x14ac:dyDescent="0.2">
      <c r="A163" t="str">
        <f>[412]L!A163</f>
        <v>CGI009-qtz05-CL-fit-4-offset</v>
      </c>
      <c r="B163">
        <v>750</v>
      </c>
      <c r="C163">
        <f t="shared" si="11"/>
        <v>1.1456341375347871E-23</v>
      </c>
      <c r="D163">
        <v>1500</v>
      </c>
      <c r="E163">
        <v>1024</v>
      </c>
      <c r="F163">
        <f t="shared" si="8"/>
        <v>1.46484375</v>
      </c>
      <c r="I163" s="2">
        <f>([412]L!J163*'D(Ti_Audétat23) Times'!$F163*0.000001)^2/(4*'D(Ti_Audétat23) Times'!$C163)/(365.35*24*3600)</f>
        <v>14286.436781242579</v>
      </c>
      <c r="J163" s="2">
        <f>([412]L!K163*'D(Ti_Audétat23) Times'!$F163*0.000001)^2/(4*'D(Ti_Audétat23) Times'!$C163)/(365.35*24*3600)</f>
        <v>4451.0028478309978</v>
      </c>
      <c r="K163" s="2">
        <f>([412]L!L163*'D(Ti_Audétat23) Times'!$F163*0.000001)^2/(4*'D(Ti_Audétat23) Times'!$C163)/(365.35*24*3600)</f>
        <v>7119.8537852765203</v>
      </c>
      <c r="L163" s="2">
        <f>([412]L!M163*'D(Ti_Audétat23) Times'!$F163*0.000001)^2/(4*'D(Ti_Audétat23) Times'!$C163)/(365.35*24*3600)</f>
        <v>20.495467234386375</v>
      </c>
      <c r="M163" s="2">
        <f>([412]L!N163*'D(Ti_Audétat23) Times'!$F163*0.000001)^2/(4*'D(Ti_Audétat23) Times'!$C163)/(365.35*24*3600)</f>
        <v>1165.980339512437</v>
      </c>
      <c r="N163" s="2">
        <f>([412]L!O163*'D(Ti_Audétat23) Times'!$F163*0.000001)^2/(4*'D(Ti_Audétat23) Times'!$C163)/(365.35*24*3600)</f>
        <v>1.7982896083488515</v>
      </c>
      <c r="O163" s="2">
        <f>([412]L!P163*'D(Ti_Audétat23) Times'!$F163*0.000001)^2/(4*'D(Ti_Audétat23) Times'!$C163)/(365.35*24*3600)</f>
        <v>5681.421867535295</v>
      </c>
      <c r="P163" s="2">
        <f>([412]L!Q163*'D(Ti_Audétat23) Times'!$F163*0.000001)^2/(4*'D(Ti_Audétat23) Times'!$C163)/(365.35*24*3600)</f>
        <v>1058.2387090514883</v>
      </c>
      <c r="Q163" s="2">
        <f>([412]L!R163*'D(Ti_Audétat23) Times'!$F163*0.000001)^2/(4*'D(Ti_Audétat23) Times'!$C163)/(365.35*24*3600)</f>
        <v>4830.091839926441</v>
      </c>
      <c r="R163" s="2">
        <f>([412]L!S163*'D(Ti_Audétat23) Times'!$F163*0.000001)^2/(4*'D(Ti_Audétat23) Times'!$C163)/(365.35*24*3600)</f>
        <v>86.184183083059821</v>
      </c>
      <c r="S163" s="2">
        <f>([412]L!T163*'D(Ti_Audétat23) Times'!$F163*0.000001)^2/(4*'D(Ti_Audétat23) Times'!$C163)/(365.35*24*3600)</f>
        <v>96.00749471926629</v>
      </c>
      <c r="T163" s="2"/>
      <c r="U163" s="2">
        <f>([412]L!V163*'D(Ti_Audétat23) Times'!$F163*0.000001)^2/(4*'D(Ti_Audétat23) Times'!$C163)/(365.35*24*3600)</f>
        <v>4491.7654290938317</v>
      </c>
      <c r="V163" s="2">
        <f>([412]L!W163*'D(Ti_Audétat23) Times'!$F163*0.000001)^2/(4*'D(Ti_Audétat23) Times'!$C163)/(365.35*24*3600)</f>
        <v>2125.3955020138405</v>
      </c>
      <c r="W163" s="2">
        <f>([412]L!X163*'D(Ti_Audétat23) Times'!$F163*0.000001)^2/(4*'D(Ti_Audétat23) Times'!$C163)/(365.35*24*3600)</f>
        <v>1165.980339512437</v>
      </c>
      <c r="X163" s="2"/>
      <c r="Y163" s="2">
        <f>([412]L!Z163*'D(Ti_Audétat23) Times'!$F163*0.000001)^2/(4*'D(Ti_Audétat23) Times'!$C163)/(365.35*24*3600)</f>
        <v>3408.6144043395948</v>
      </c>
      <c r="Z163" s="2">
        <f>([412]L!AB163*'D(Ti_Audétat23) Times'!$F163*0.000001)^2/(4*'D(Ti_Audétat23) Times'!$C163)/(365.35*24*3600)</f>
        <v>3377.1301714742922</v>
      </c>
      <c r="AA163" s="2">
        <f>([412]L!AC163*'D(Ti_Audétat23) Times'!$F163*0.000001)^2/(4*'D(Ti_Audétat23) Times'!$C163)/(365.35*24*3600)</f>
        <v>0.99748302791018806</v>
      </c>
      <c r="AB163" s="2">
        <f>([412]L!AD163*'D(Ti_Audétat23) Times'!$F163*0.000001)^2/(4*'D(Ti_Audétat23) Times'!$C163)/(365.35*24*3600)</f>
        <v>23943.885804664038</v>
      </c>
      <c r="AC163" s="2">
        <f t="shared" si="9"/>
        <v>3376.132688446382</v>
      </c>
      <c r="AD163" s="2">
        <f t="shared" si="10"/>
        <v>20566.755633189747</v>
      </c>
    </row>
    <row r="164" spans="1:30" x14ac:dyDescent="0.2">
      <c r="A164" t="str">
        <f>[412]L!A164</f>
        <v>CGI009-qtz05-CL-fit-5-offset</v>
      </c>
      <c r="B164">
        <v>750</v>
      </c>
      <c r="C164">
        <f t="shared" si="11"/>
        <v>1.1456341375347871E-23</v>
      </c>
      <c r="D164">
        <v>1500</v>
      </c>
      <c r="E164">
        <v>1024</v>
      </c>
      <c r="F164">
        <f t="shared" si="8"/>
        <v>1.46484375</v>
      </c>
      <c r="I164" s="2">
        <f>([412]L!J164*'D(Ti_Audétat23) Times'!$F164*0.000001)^2/(4*'D(Ti_Audétat23) Times'!$C164)/(365.35*24*3600)</f>
        <v>494.99398108209755</v>
      </c>
      <c r="J164" s="2">
        <f>([412]L!K164*'D(Ti_Audétat23) Times'!$F164*0.000001)^2/(4*'D(Ti_Audétat23) Times'!$C164)/(365.35*24*3600)</f>
        <v>8345.2590192365496</v>
      </c>
      <c r="K164" s="2">
        <f>([412]L!L164*'D(Ti_Audétat23) Times'!$F164*0.000001)^2/(4*'D(Ti_Audétat23) Times'!$C164)/(365.35*24*3600)</f>
        <v>2835.168539120823</v>
      </c>
      <c r="L164" s="2">
        <f>([412]L!M164*'D(Ti_Audétat23) Times'!$F164*0.000001)^2/(4*'D(Ti_Audétat23) Times'!$C164)/(365.35*24*3600)</f>
        <v>13080.337377942997</v>
      </c>
      <c r="M164" s="2">
        <f>([412]L!N164*'D(Ti_Audétat23) Times'!$F164*0.000001)^2/(4*'D(Ti_Audétat23) Times'!$C164)/(365.35*24*3600)</f>
        <v>7009.2887115580552</v>
      </c>
      <c r="N164" s="2">
        <f>([412]L!O164*'D(Ti_Audétat23) Times'!$F164*0.000001)^2/(4*'D(Ti_Audétat23) Times'!$C164)/(365.35*24*3600)</f>
        <v>5849.0544224765163</v>
      </c>
      <c r="O164" s="2">
        <f>([412]L!P164*'D(Ti_Audétat23) Times'!$F164*0.000001)^2/(4*'D(Ti_Audétat23) Times'!$C164)/(365.35*24*3600)</f>
        <v>10118.069235941783</v>
      </c>
      <c r="P164" s="2">
        <f>([412]L!Q164*'D(Ti_Audétat23) Times'!$F164*0.000001)^2/(4*'D(Ti_Audétat23) Times'!$C164)/(365.35*24*3600)</f>
        <v>27381.786826842861</v>
      </c>
      <c r="Q164" s="2">
        <f>([412]L!R164*'D(Ti_Audétat23) Times'!$F164*0.000001)^2/(4*'D(Ti_Audétat23) Times'!$C164)/(365.35*24*3600)</f>
        <v>0</v>
      </c>
      <c r="R164" s="2">
        <f>([412]L!S164*'D(Ti_Audétat23) Times'!$F164*0.000001)^2/(4*'D(Ti_Audétat23) Times'!$C164)/(365.35*24*3600)</f>
        <v>193.18903553827681</v>
      </c>
      <c r="S164" s="2">
        <f>([412]L!T164*'D(Ti_Audétat23) Times'!$F164*0.000001)^2/(4*'D(Ti_Audétat23) Times'!$C164)/(365.35*24*3600)</f>
        <v>6182.641978014979</v>
      </c>
      <c r="T164" s="2"/>
      <c r="U164" s="2">
        <f>([412]L!V164*'D(Ti_Audétat23) Times'!$F164*0.000001)^2/(4*'D(Ti_Audétat23) Times'!$C164)/(365.35*24*3600)</f>
        <v>9278.2778883615756</v>
      </c>
      <c r="V164" s="2">
        <f>([412]L!W164*'D(Ti_Audétat23) Times'!$F164*0.000001)^2/(4*'D(Ti_Audétat23) Times'!$C164)/(365.35*24*3600)</f>
        <v>6400.1460145051224</v>
      </c>
      <c r="W164" s="2">
        <f>([412]L!X164*'D(Ti_Audétat23) Times'!$F164*0.000001)^2/(4*'D(Ti_Audétat23) Times'!$C164)/(365.35*24*3600)</f>
        <v>6589.4839493224245</v>
      </c>
      <c r="X164" s="2"/>
      <c r="Y164" s="2">
        <f>([412]L!Z164*'D(Ti_Audétat23) Times'!$F164*0.000001)^2/(4*'D(Ti_Audétat23) Times'!$C164)/(365.35*24*3600)</f>
        <v>6718.185537917594</v>
      </c>
      <c r="Z164" s="2">
        <f>([412]L!AB164*'D(Ti_Audétat23) Times'!$F164*0.000001)^2/(4*'D(Ti_Audétat23) Times'!$C164)/(365.35*24*3600)</f>
        <v>6568.9430947532992</v>
      </c>
      <c r="AA164" s="2">
        <f>([412]L!AC164*'D(Ti_Audétat23) Times'!$F164*0.000001)^2/(4*'D(Ti_Audétat23) Times'!$C164)/(365.35*24*3600)</f>
        <v>143.73229611899757</v>
      </c>
      <c r="AB164" s="2">
        <f>([412]L!AD164*'D(Ti_Audétat23) Times'!$F164*0.000001)^2/(4*'D(Ti_Audétat23) Times'!$C164)/(365.35*24*3600)</f>
        <v>28967.044947954706</v>
      </c>
      <c r="AC164" s="2">
        <f t="shared" si="9"/>
        <v>6425.2107986343017</v>
      </c>
      <c r="AD164" s="2">
        <f t="shared" si="10"/>
        <v>22398.101853201406</v>
      </c>
    </row>
    <row r="165" spans="1:30" x14ac:dyDescent="0.2">
      <c r="A165" t="str">
        <f>[412]L!A165</f>
        <v>CGI009-qtz06-CL-fit-1-offset</v>
      </c>
      <c r="B165">
        <v>750</v>
      </c>
      <c r="C165">
        <f t="shared" si="11"/>
        <v>1.1456341375347871E-23</v>
      </c>
      <c r="D165">
        <v>2000</v>
      </c>
      <c r="E165">
        <v>1024</v>
      </c>
      <c r="F165">
        <f t="shared" si="8"/>
        <v>1.953125</v>
      </c>
      <c r="I165" s="2">
        <f>([412]L!J165*'D(Ti_Audétat23) Times'!$F165*0.000001)^2/(4*'D(Ti_Audétat23) Times'!$C165)/(365.35*24*3600)</f>
        <v>67749.075457779865</v>
      </c>
      <c r="J165" s="2">
        <f>([412]L!K165*'D(Ti_Audétat23) Times'!$F165*0.000001)^2/(4*'D(Ti_Audétat23) Times'!$C165)/(365.35*24*3600)</f>
        <v>77974.690999930885</v>
      </c>
      <c r="K165" s="2">
        <f>([412]L!L165*'D(Ti_Audétat23) Times'!$F165*0.000001)^2/(4*'D(Ti_Audétat23) Times'!$C165)/(365.35*24*3600)</f>
        <v>94740.163878079824</v>
      </c>
      <c r="L165" s="2">
        <f>([412]L!M165*'D(Ti_Audétat23) Times'!$F165*0.000001)^2/(4*'D(Ti_Audétat23) Times'!$C165)/(365.35*24*3600)</f>
        <v>59145.243359826847</v>
      </c>
      <c r="M165" s="2">
        <f>([412]L!N165*'D(Ti_Audétat23) Times'!$F165*0.000001)^2/(4*'D(Ti_Audétat23) Times'!$C165)/(365.35*24*3600)</f>
        <v>0</v>
      </c>
      <c r="N165" s="2">
        <f>([412]L!O165*'D(Ti_Audétat23) Times'!$F165*0.000001)^2/(4*'D(Ti_Audétat23) Times'!$C165)/(365.35*24*3600)</f>
        <v>30313.254540758488</v>
      </c>
      <c r="O165" s="2">
        <f>([412]L!P165*'D(Ti_Audétat23) Times'!$F165*0.000001)^2/(4*'D(Ti_Audétat23) Times'!$C165)/(365.35*24*3600)</f>
        <v>4456.2863379884811</v>
      </c>
      <c r="P165" s="2">
        <f>([412]L!Q165*'D(Ti_Audétat23) Times'!$F165*0.000001)^2/(4*'D(Ti_Audétat23) Times'!$C165)/(365.35*24*3600)</f>
        <v>0</v>
      </c>
      <c r="Q165" s="2">
        <f>([412]L!R165*'D(Ti_Audétat23) Times'!$F165*0.000001)^2/(4*'D(Ti_Audétat23) Times'!$C165)/(365.35*24*3600)</f>
        <v>40286.815122096625</v>
      </c>
      <c r="R165" s="2">
        <f>([412]L!S165*'D(Ti_Audétat23) Times'!$F165*0.000001)^2/(4*'D(Ti_Audétat23) Times'!$C165)/(365.35*24*3600)</f>
        <v>58599.949349489099</v>
      </c>
      <c r="S165" s="2">
        <f>([412]L!T165*'D(Ti_Audétat23) Times'!$F165*0.000001)^2/(4*'D(Ti_Audétat23) Times'!$C165)/(365.35*24*3600)</f>
        <v>187.78019661749934</v>
      </c>
      <c r="T165" s="2"/>
      <c r="U165" s="2">
        <f>([412]L!V165*'D(Ti_Audétat23) Times'!$F165*0.000001)^2/(4*'D(Ti_Audétat23) Times'!$C165)/(365.35*24*3600)</f>
        <v>82315.221457105465</v>
      </c>
      <c r="V165" s="2">
        <f>([412]L!W165*'D(Ti_Audétat23) Times'!$F165*0.000001)^2/(4*'D(Ti_Audétat23) Times'!$C165)/(365.35*24*3600)</f>
        <v>39463.085921353864</v>
      </c>
      <c r="W165" s="2">
        <f>([412]L!X165*'D(Ti_Audétat23) Times'!$F165*0.000001)^2/(4*'D(Ti_Audétat23) Times'!$C165)/(365.35*24*3600)</f>
        <v>58599.949349489099</v>
      </c>
      <c r="X165" s="2"/>
      <c r="Y165" s="2">
        <f>([412]L!Z165*'D(Ti_Audétat23) Times'!$F165*0.000001)^2/(4*'D(Ti_Audétat23) Times'!$C165)/(365.35*24*3600)</f>
        <v>62455.659944516265</v>
      </c>
      <c r="Z165" s="2">
        <f>([412]L!AB165*'D(Ti_Audétat23) Times'!$F165*0.000001)^2/(4*'D(Ti_Audétat23) Times'!$C165)/(365.35*24*3600)</f>
        <v>97100.431401688998</v>
      </c>
      <c r="AA165" s="2">
        <f>([412]L!AC165*'D(Ti_Audétat23) Times'!$F165*0.000001)^2/(4*'D(Ti_Audétat23) Times'!$C165)/(365.35*24*3600)</f>
        <v>0.58859286455388993</v>
      </c>
      <c r="AB165" s="2">
        <f>([412]L!AD165*'D(Ti_Audétat23) Times'!$F165*0.000001)^2/(4*'D(Ti_Audétat23) Times'!$C165)/(365.35*24*3600)</f>
        <v>905923.97429556982</v>
      </c>
      <c r="AC165" s="2">
        <f t="shared" si="9"/>
        <v>97099.84280882444</v>
      </c>
      <c r="AD165" s="2">
        <f t="shared" si="10"/>
        <v>808823.54289388086</v>
      </c>
    </row>
    <row r="166" spans="1:30" x14ac:dyDescent="0.2">
      <c r="A166" t="str">
        <f>[412]L!A166</f>
        <v>CGI009-qtz06-CL-fit-2-offset</v>
      </c>
      <c r="B166">
        <v>750</v>
      </c>
      <c r="C166">
        <f t="shared" si="11"/>
        <v>1.1456341375347871E-23</v>
      </c>
      <c r="D166">
        <v>2000</v>
      </c>
      <c r="E166">
        <v>1024</v>
      </c>
      <c r="F166">
        <f t="shared" si="8"/>
        <v>1.953125</v>
      </c>
      <c r="I166" s="2">
        <f>([412]L!J166*'D(Ti_Audétat23) Times'!$F166*0.000001)^2/(4*'D(Ti_Audétat23) Times'!$C166)/(365.35*24*3600)</f>
        <v>7964.0506788606262</v>
      </c>
      <c r="J166" s="2">
        <f>([412]L!K166*'D(Ti_Audétat23) Times'!$F166*0.000001)^2/(4*'D(Ti_Audétat23) Times'!$C166)/(365.35*24*3600)</f>
        <v>8812.4776661473097</v>
      </c>
      <c r="K166" s="2">
        <f>([412]L!L166*'D(Ti_Audétat23) Times'!$F166*0.000001)^2/(4*'D(Ti_Audétat23) Times'!$C166)/(365.35*24*3600)</f>
        <v>2448.481614595255</v>
      </c>
      <c r="L166" s="2">
        <f>([412]L!M166*'D(Ti_Audétat23) Times'!$F166*0.000001)^2/(4*'D(Ti_Audétat23) Times'!$C166)/(365.35*24*3600)</f>
        <v>100841.89065871001</v>
      </c>
      <c r="M166" s="2">
        <f>([412]L!N166*'D(Ti_Audétat23) Times'!$F166*0.000001)^2/(4*'D(Ti_Audétat23) Times'!$C166)/(365.35*24*3600)</f>
        <v>45963.911317958038</v>
      </c>
      <c r="N166" s="2">
        <f>([412]L!O166*'D(Ti_Audétat23) Times'!$F166*0.000001)^2/(4*'D(Ti_Audétat23) Times'!$C166)/(365.35*24*3600)</f>
        <v>49985.288976827673</v>
      </c>
      <c r="O166" s="2">
        <f>([412]L!P166*'D(Ti_Audétat23) Times'!$F166*0.000001)^2/(4*'D(Ti_Audétat23) Times'!$C166)/(365.35*24*3600)</f>
        <v>33182.202873867602</v>
      </c>
      <c r="P166" s="2">
        <f>([412]L!Q166*'D(Ti_Audétat23) Times'!$F166*0.000001)^2/(4*'D(Ti_Audétat23) Times'!$C166)/(365.35*24*3600)</f>
        <v>33525.745507684551</v>
      </c>
      <c r="Q166" s="2">
        <f>([412]L!R166*'D(Ti_Audétat23) Times'!$F166*0.000001)^2/(4*'D(Ti_Audétat23) Times'!$C166)/(365.35*24*3600)</f>
        <v>50967.801535110753</v>
      </c>
      <c r="R166" s="2">
        <f>([412]L!S166*'D(Ti_Audétat23) Times'!$F166*0.000001)^2/(4*'D(Ti_Audétat23) Times'!$C166)/(365.35*24*3600)</f>
        <v>5528.8453073026412</v>
      </c>
      <c r="S166" s="2">
        <f>([412]L!T166*'D(Ti_Audétat23) Times'!$F166*0.000001)^2/(4*'D(Ti_Audétat23) Times'!$C166)/(365.35*24*3600)</f>
        <v>17420.92965069379</v>
      </c>
      <c r="T166" s="2"/>
      <c r="U166" s="2">
        <f>([412]L!V166*'D(Ti_Audétat23) Times'!$F166*0.000001)^2/(4*'D(Ti_Audétat23) Times'!$C166)/(365.35*24*3600)</f>
        <v>29383.307355351888</v>
      </c>
      <c r="V166" s="2">
        <f>([412]L!W166*'D(Ti_Audétat23) Times'!$F166*0.000001)^2/(4*'D(Ti_Audétat23) Times'!$C166)/(365.35*24*3600)</f>
        <v>26346.770437785504</v>
      </c>
      <c r="W166" s="2">
        <f>([412]L!X166*'D(Ti_Audétat23) Times'!$F166*0.000001)^2/(4*'D(Ti_Audétat23) Times'!$C166)/(365.35*24*3600)</f>
        <v>33182.202873867602</v>
      </c>
      <c r="X166" s="2"/>
      <c r="Y166" s="2">
        <f>([412]L!Z166*'D(Ti_Audétat23) Times'!$F166*0.000001)^2/(4*'D(Ti_Audétat23) Times'!$C166)/(365.35*24*3600)</f>
        <v>29150.312754255901</v>
      </c>
      <c r="Z166" s="2">
        <f>([412]L!AB166*'D(Ti_Audétat23) Times'!$F166*0.000001)^2/(4*'D(Ti_Audétat23) Times'!$C166)/(365.35*24*3600)</f>
        <v>27813.240630243115</v>
      </c>
      <c r="AA166" s="2">
        <f>([412]L!AC166*'D(Ti_Audétat23) Times'!$F166*0.000001)^2/(4*'D(Ti_Audétat23) Times'!$C166)/(365.35*24*3600)</f>
        <v>3818.9477003357006</v>
      </c>
      <c r="AB166" s="2">
        <f>([412]L!AD166*'D(Ti_Audétat23) Times'!$F166*0.000001)^2/(4*'D(Ti_Audétat23) Times'!$C166)/(365.35*24*3600)</f>
        <v>77829.076468690255</v>
      </c>
      <c r="AC166" s="2">
        <f t="shared" si="9"/>
        <v>23994.292929907417</v>
      </c>
      <c r="AD166" s="2">
        <f t="shared" si="10"/>
        <v>50015.835838447136</v>
      </c>
    </row>
    <row r="167" spans="1:30" x14ac:dyDescent="0.2">
      <c r="A167" t="str">
        <f>[412]L!A167</f>
        <v>CGI009-qtz06-CL-fit-3-offset</v>
      </c>
      <c r="B167">
        <v>750</v>
      </c>
      <c r="C167">
        <f t="shared" si="11"/>
        <v>1.1456341375347871E-23</v>
      </c>
      <c r="D167">
        <v>2000</v>
      </c>
      <c r="E167">
        <v>1024</v>
      </c>
      <c r="F167">
        <f t="shared" si="8"/>
        <v>1.953125</v>
      </c>
      <c r="I167" s="2">
        <f>([412]L!J167*'D(Ti_Audétat23) Times'!$F167*0.000001)^2/(4*'D(Ti_Audétat23) Times'!$C167)/(365.35*24*3600)</f>
        <v>42695.18850158155</v>
      </c>
      <c r="J167" s="2">
        <f>([412]L!K167*'D(Ti_Audétat23) Times'!$F167*0.000001)^2/(4*'D(Ti_Audétat23) Times'!$C167)/(365.35*24*3600)</f>
        <v>25102.759831508105</v>
      </c>
      <c r="K167" s="2">
        <f>([412]L!L167*'D(Ti_Audétat23) Times'!$F167*0.000001)^2/(4*'D(Ti_Audétat23) Times'!$C167)/(365.35*24*3600)</f>
        <v>39089.732449295298</v>
      </c>
      <c r="L167" s="2">
        <f>([412]L!M167*'D(Ti_Audétat23) Times'!$F167*0.000001)^2/(4*'D(Ti_Audétat23) Times'!$C167)/(365.35*24*3600)</f>
        <v>13203.119218212374</v>
      </c>
      <c r="M167" s="2">
        <f>([412]L!N167*'D(Ti_Audétat23) Times'!$F167*0.000001)^2/(4*'D(Ti_Audétat23) Times'!$C167)/(365.35*24*3600)</f>
        <v>27113.183089847229</v>
      </c>
      <c r="N167" s="2">
        <f>([412]L!O167*'D(Ti_Audétat23) Times'!$F167*0.000001)^2/(4*'D(Ti_Audétat23) Times'!$C167)/(365.35*24*3600)</f>
        <v>17253.357934263131</v>
      </c>
      <c r="O167" s="2">
        <f>([412]L!P167*'D(Ti_Audétat23) Times'!$F167*0.000001)^2/(4*'D(Ti_Audétat23) Times'!$C167)/(365.35*24*3600)</f>
        <v>71295.269276329374</v>
      </c>
      <c r="P167" s="2">
        <f>([412]L!Q167*'D(Ti_Audétat23) Times'!$F167*0.000001)^2/(4*'D(Ti_Audétat23) Times'!$C167)/(365.35*24*3600)</f>
        <v>33425.779688235401</v>
      </c>
      <c r="Q167" s="2">
        <f>([412]L!R167*'D(Ti_Audétat23) Times'!$F167*0.000001)^2/(4*'D(Ti_Audétat23) Times'!$C167)/(365.35*24*3600)</f>
        <v>32826.467113848936</v>
      </c>
      <c r="R167" s="2">
        <f>([412]L!S167*'D(Ti_Audétat23) Times'!$F167*0.000001)^2/(4*'D(Ti_Audétat23) Times'!$C167)/(365.35*24*3600)</f>
        <v>28696.480496770491</v>
      </c>
      <c r="S167" s="2">
        <f>([412]L!T167*'D(Ti_Audétat23) Times'!$F167*0.000001)^2/(4*'D(Ti_Audétat23) Times'!$C167)/(365.35*24*3600)</f>
        <v>46665.553643666324</v>
      </c>
      <c r="T167" s="2"/>
      <c r="U167" s="2">
        <f>([412]L!V167*'D(Ti_Audétat23) Times'!$F167*0.000001)^2/(4*'D(Ti_Audétat23) Times'!$C167)/(365.35*24*3600)</f>
        <v>32876.865438945628</v>
      </c>
      <c r="V167" s="2">
        <f>([412]L!W167*'D(Ti_Audétat23) Times'!$F167*0.000001)^2/(4*'D(Ti_Audétat23) Times'!$C167)/(365.35*24*3600)</f>
        <v>32732.628983983552</v>
      </c>
      <c r="W167" s="2">
        <f>([412]L!X167*'D(Ti_Audétat23) Times'!$F167*0.000001)^2/(4*'D(Ti_Audétat23) Times'!$C167)/(365.35*24*3600)</f>
        <v>32826.467113848936</v>
      </c>
      <c r="X167" s="2"/>
      <c r="Y167" s="2">
        <f>([412]L!Z167*'D(Ti_Audétat23) Times'!$F167*0.000001)^2/(4*'D(Ti_Audétat23) Times'!$C167)/(365.35*24*3600)</f>
        <v>33707.909023656379</v>
      </c>
      <c r="Z167" s="2">
        <f>([412]L!AB167*'D(Ti_Audétat23) Times'!$F167*0.000001)^2/(4*'D(Ti_Audétat23) Times'!$C167)/(365.35*24*3600)</f>
        <v>34261.804431154189</v>
      </c>
      <c r="AA167" s="2">
        <f>([412]L!AC167*'D(Ti_Audétat23) Times'!$F167*0.000001)^2/(4*'D(Ti_Audétat23) Times'!$C167)/(365.35*24*3600)</f>
        <v>8682.4903543025011</v>
      </c>
      <c r="AB167" s="2">
        <f>([412]L!AD167*'D(Ti_Audétat23) Times'!$F167*0.000001)^2/(4*'D(Ti_Audétat23) Times'!$C167)/(365.35*24*3600)</f>
        <v>87034.690448331428</v>
      </c>
      <c r="AC167" s="2">
        <f t="shared" si="9"/>
        <v>25579.31407685169</v>
      </c>
      <c r="AD167" s="2">
        <f t="shared" si="10"/>
        <v>52772.886017177239</v>
      </c>
    </row>
    <row r="168" spans="1:30" x14ac:dyDescent="0.2">
      <c r="A168" t="str">
        <f>[412]L!A168</f>
        <v>CGI009-qtz06-CL-fit-4-offset</v>
      </c>
      <c r="B168">
        <v>750</v>
      </c>
      <c r="C168">
        <f t="shared" si="11"/>
        <v>1.1456341375347871E-23</v>
      </c>
      <c r="D168">
        <v>2000</v>
      </c>
      <c r="E168">
        <v>1024</v>
      </c>
      <c r="F168">
        <f t="shared" si="8"/>
        <v>1.953125</v>
      </c>
      <c r="I168" s="2">
        <f>([412]L!J168*'D(Ti_Audétat23) Times'!$F168*0.000001)^2/(4*'D(Ti_Audétat23) Times'!$C168)/(365.35*24*3600)</f>
        <v>7932.9081233879579</v>
      </c>
      <c r="J168" s="2">
        <f>([412]L!K168*'D(Ti_Audétat23) Times'!$F168*0.000001)^2/(4*'D(Ti_Audétat23) Times'!$C168)/(365.35*24*3600)</f>
        <v>3578.1601107935526</v>
      </c>
      <c r="K168" s="2">
        <f>([412]L!L168*'D(Ti_Audétat23) Times'!$F168*0.000001)^2/(4*'D(Ti_Audétat23) Times'!$C168)/(365.35*24*3600)</f>
        <v>78.534638544393928</v>
      </c>
      <c r="L168" s="2">
        <f>([412]L!M168*'D(Ti_Audétat23) Times'!$F168*0.000001)^2/(4*'D(Ti_Audétat23) Times'!$C168)/(365.35*24*3600)</f>
        <v>6793.8207029022824</v>
      </c>
      <c r="M168" s="2">
        <f>([412]L!N168*'D(Ti_Audétat23) Times'!$F168*0.000001)^2/(4*'D(Ti_Audétat23) Times'!$C168)/(365.35*24*3600)</f>
        <v>4117.251336163461</v>
      </c>
      <c r="N168" s="2">
        <f>([412]L!O168*'D(Ti_Audétat23) Times'!$F168*0.000001)^2/(4*'D(Ti_Audétat23) Times'!$C168)/(365.35*24*3600)</f>
        <v>5374.2207563605962</v>
      </c>
      <c r="O168" s="2">
        <f>([412]L!P168*'D(Ti_Audétat23) Times'!$F168*0.000001)^2/(4*'D(Ti_Audétat23) Times'!$C168)/(365.35*24*3600)</f>
        <v>273.34315470318188</v>
      </c>
      <c r="P168" s="2">
        <f>([412]L!Q168*'D(Ti_Audétat23) Times'!$F168*0.000001)^2/(4*'D(Ti_Audétat23) Times'!$C168)/(365.35*24*3600)</f>
        <v>5776.7238346358199</v>
      </c>
      <c r="Q168" s="2">
        <f>([412]L!R168*'D(Ti_Audétat23) Times'!$F168*0.000001)^2/(4*'D(Ti_Audétat23) Times'!$C168)/(365.35*24*3600)</f>
        <v>43433.471785317175</v>
      </c>
      <c r="R168" s="2">
        <f>([412]L!S168*'D(Ti_Audétat23) Times'!$F168*0.000001)^2/(4*'D(Ti_Audétat23) Times'!$C168)/(365.35*24*3600)</f>
        <v>160.62998807105282</v>
      </c>
      <c r="S168" s="2">
        <f>([412]L!T168*'D(Ti_Audétat23) Times'!$F168*0.000001)^2/(4*'D(Ti_Audétat23) Times'!$C168)/(365.35*24*3600)</f>
        <v>15462.522349089868</v>
      </c>
      <c r="T168" s="2"/>
      <c r="U168" s="2">
        <f>([412]L!V168*'D(Ti_Audétat23) Times'!$F168*0.000001)^2/(4*'D(Ti_Audétat23) Times'!$C168)/(365.35*24*3600)</f>
        <v>5113.8708238986173</v>
      </c>
      <c r="V168" s="2">
        <f>([412]L!W168*'D(Ti_Audétat23) Times'!$F168*0.000001)^2/(4*'D(Ti_Audétat23) Times'!$C168)/(365.35*24*3600)</f>
        <v>5497.728005144977</v>
      </c>
      <c r="W168" s="2">
        <f>([412]L!X168*'D(Ti_Audétat23) Times'!$F168*0.000001)^2/(4*'D(Ti_Audétat23) Times'!$C168)/(365.35*24*3600)</f>
        <v>5374.2207563605962</v>
      </c>
      <c r="X168" s="2"/>
      <c r="Y168" s="2">
        <f>([412]L!Z168*'D(Ti_Audétat23) Times'!$F168*0.000001)^2/(4*'D(Ti_Audétat23) Times'!$C168)/(365.35*24*3600)</f>
        <v>3708.4830280914312</v>
      </c>
      <c r="Z168" s="2">
        <f>([412]L!AB168*'D(Ti_Audétat23) Times'!$F168*0.000001)^2/(4*'D(Ti_Audétat23) Times'!$C168)/(365.35*24*3600)</f>
        <v>5449.3748779088182</v>
      </c>
      <c r="AA168" s="2">
        <f>([412]L!AC168*'D(Ti_Audétat23) Times'!$F168*0.000001)^2/(4*'D(Ti_Audétat23) Times'!$C168)/(365.35*24*3600)</f>
        <v>1.1929718169641368</v>
      </c>
      <c r="AB168" s="2">
        <f>([412]L!AD168*'D(Ti_Audétat23) Times'!$F168*0.000001)^2/(4*'D(Ti_Audétat23) Times'!$C168)/(365.35*24*3600)</f>
        <v>73035.963884240482</v>
      </c>
      <c r="AC168" s="2">
        <f t="shared" si="9"/>
        <v>5448.1819060918542</v>
      </c>
      <c r="AD168" s="2">
        <f t="shared" si="10"/>
        <v>67586.589006331662</v>
      </c>
    </row>
    <row r="169" spans="1:30" x14ac:dyDescent="0.2">
      <c r="A169" t="str">
        <f>[412]L!A169</f>
        <v>CGI009-qtz06-CL-fit-5-offset</v>
      </c>
      <c r="B169">
        <v>750</v>
      </c>
      <c r="C169">
        <f t="shared" si="11"/>
        <v>1.1456341375347871E-23</v>
      </c>
      <c r="D169">
        <v>2000</v>
      </c>
      <c r="E169">
        <v>1024</v>
      </c>
      <c r="F169">
        <f t="shared" si="8"/>
        <v>1.953125</v>
      </c>
      <c r="I169" s="2">
        <f>([412]L!J169*'D(Ti_Audétat23) Times'!$F169*0.000001)^2/(4*'D(Ti_Audétat23) Times'!$C169)/(365.35*24*3600)</f>
        <v>9891.7212288445899</v>
      </c>
      <c r="J169" s="2">
        <f>([412]L!K169*'D(Ti_Audétat23) Times'!$F169*0.000001)^2/(4*'D(Ti_Audétat23) Times'!$C169)/(365.35*24*3600)</f>
        <v>21983.486661154013</v>
      </c>
      <c r="K169" s="2">
        <f>([412]L!L169*'D(Ti_Audétat23) Times'!$F169*0.000001)^2/(4*'D(Ti_Audétat23) Times'!$C169)/(365.35*24*3600)</f>
        <v>10420.933347512595</v>
      </c>
      <c r="L169" s="2">
        <f>([412]L!M169*'D(Ti_Audétat23) Times'!$F169*0.000001)^2/(4*'D(Ti_Audétat23) Times'!$C169)/(365.35*24*3600)</f>
        <v>19504.818673892609</v>
      </c>
      <c r="M169" s="2">
        <f>([412]L!N169*'D(Ti_Audétat23) Times'!$F169*0.000001)^2/(4*'D(Ti_Audétat23) Times'!$C169)/(365.35*24*3600)</f>
        <v>8225.0027491852361</v>
      </c>
      <c r="N169" s="2">
        <f>([412]L!O169*'D(Ti_Audétat23) Times'!$F169*0.000001)^2/(4*'D(Ti_Audétat23) Times'!$C169)/(365.35*24*3600)</f>
        <v>15501.290661842346</v>
      </c>
      <c r="O169" s="2">
        <f>([412]L!P169*'D(Ti_Audétat23) Times'!$F169*0.000001)^2/(4*'D(Ti_Audétat23) Times'!$C169)/(365.35*24*3600)</f>
        <v>12259.768216208149</v>
      </c>
      <c r="P169" s="2">
        <f>([412]L!Q169*'D(Ti_Audétat23) Times'!$F169*0.000001)^2/(4*'D(Ti_Audétat23) Times'!$C169)/(365.35*24*3600)</f>
        <v>21973.413551090503</v>
      </c>
      <c r="Q169" s="2">
        <f>([412]L!R169*'D(Ti_Audétat23) Times'!$F169*0.000001)^2/(4*'D(Ti_Audétat23) Times'!$C169)/(365.35*24*3600)</f>
        <v>9274.7871203718769</v>
      </c>
      <c r="R169" s="2">
        <f>([412]L!S169*'D(Ti_Audétat23) Times'!$F169*0.000001)^2/(4*'D(Ti_Audétat23) Times'!$C169)/(365.35*24*3600)</f>
        <v>17321.426903292009</v>
      </c>
      <c r="S169" s="2">
        <f>([412]L!T169*'D(Ti_Audétat23) Times'!$F169*0.000001)^2/(4*'D(Ti_Audétat23) Times'!$C169)/(365.35*24*3600)</f>
        <v>11458.944172548647</v>
      </c>
      <c r="T169" s="2"/>
      <c r="U169" s="2">
        <f>([412]L!V169*'D(Ti_Audétat23) Times'!$F169*0.000001)^2/(4*'D(Ti_Audétat23) Times'!$C169)/(365.35*24*3600)</f>
        <v>14555.536109769808</v>
      </c>
      <c r="V169" s="2">
        <f>([412]L!W169*'D(Ti_Audétat23) Times'!$F169*0.000001)^2/(4*'D(Ti_Audétat23) Times'!$C169)/(365.35*24*3600)</f>
        <v>13936.558783766517</v>
      </c>
      <c r="W169" s="2">
        <f>([412]L!X169*'D(Ti_Audétat23) Times'!$F169*0.000001)^2/(4*'D(Ti_Audétat23) Times'!$C169)/(365.35*24*3600)</f>
        <v>12259.768216208149</v>
      </c>
      <c r="X169" s="2"/>
      <c r="Y169" s="2">
        <f>([412]L!Z169*'D(Ti_Audétat23) Times'!$F169*0.000001)^2/(4*'D(Ti_Audétat23) Times'!$C169)/(365.35*24*3600)</f>
        <v>13355.126349996081</v>
      </c>
      <c r="Z169" s="2">
        <f>([412]L!AB169*'D(Ti_Audétat23) Times'!$F169*0.000001)^2/(4*'D(Ti_Audétat23) Times'!$C169)/(365.35*24*3600)</f>
        <v>13464.393965451229</v>
      </c>
      <c r="AA169" s="2">
        <f>([412]L!AC169*'D(Ti_Audétat23) Times'!$F169*0.000001)^2/(4*'D(Ti_Audétat23) Times'!$C169)/(365.35*24*3600)</f>
        <v>4082.199508818584</v>
      </c>
      <c r="AB169" s="2">
        <f>([412]L!AD169*'D(Ti_Audétat23) Times'!$F169*0.000001)^2/(4*'D(Ti_Audétat23) Times'!$C169)/(365.35*24*3600)</f>
        <v>28669.764336863322</v>
      </c>
      <c r="AC169" s="2">
        <f t="shared" si="9"/>
        <v>9382.1944566326456</v>
      </c>
      <c r="AD169" s="2">
        <f t="shared" si="10"/>
        <v>15205.370371412093</v>
      </c>
    </row>
    <row r="170" spans="1:30" x14ac:dyDescent="0.2">
      <c r="A170" t="str">
        <f>[412]L!A170</f>
        <v>CGI009-qtz07-CL-fit-1-offset</v>
      </c>
      <c r="B170">
        <v>750</v>
      </c>
      <c r="C170">
        <f t="shared" si="11"/>
        <v>1.1456341375347871E-23</v>
      </c>
      <c r="D170">
        <v>1200</v>
      </c>
      <c r="E170">
        <v>1024</v>
      </c>
      <c r="F170">
        <f t="shared" si="8"/>
        <v>1.171875</v>
      </c>
      <c r="I170" s="2">
        <f>([412]L!J170*'D(Ti_Audétat23) Times'!$F170*0.000001)^2/(4*'D(Ti_Audétat23) Times'!$C170)/(365.35*24*3600)</f>
        <v>19049.888030800957</v>
      </c>
      <c r="J170" s="2">
        <f>([412]L!K170*'D(Ti_Audétat23) Times'!$F170*0.000001)^2/(4*'D(Ti_Audétat23) Times'!$C170)/(365.35*24*3600)</f>
        <v>7481.2880082008833</v>
      </c>
      <c r="K170" s="2">
        <f>([412]L!L170*'D(Ti_Audétat23) Times'!$F170*0.000001)^2/(4*'D(Ti_Audétat23) Times'!$C170)/(365.35*24*3600)</f>
        <v>13172.995606233506</v>
      </c>
      <c r="L170" s="2">
        <f>([412]L!M170*'D(Ti_Audétat23) Times'!$F170*0.000001)^2/(4*'D(Ti_Audétat23) Times'!$C170)/(365.35*24*3600)</f>
        <v>8496.999894900111</v>
      </c>
      <c r="M170" s="2">
        <f>([412]L!N170*'D(Ti_Audétat23) Times'!$F170*0.000001)^2/(4*'D(Ti_Audétat23) Times'!$C170)/(365.35*24*3600)</f>
        <v>10348.54697248611</v>
      </c>
      <c r="N170" s="2">
        <f>([412]L!O170*'D(Ti_Audétat23) Times'!$F170*0.000001)^2/(4*'D(Ti_Audétat23) Times'!$C170)/(365.35*24*3600)</f>
        <v>6632.3286949740523</v>
      </c>
      <c r="O170" s="2">
        <f>([412]L!P170*'D(Ti_Audétat23) Times'!$F170*0.000001)^2/(4*'D(Ti_Audétat23) Times'!$C170)/(365.35*24*3600)</f>
        <v>12650.837183563241</v>
      </c>
      <c r="P170" s="2">
        <f>([412]L!Q170*'D(Ti_Audétat23) Times'!$F170*0.000001)^2/(4*'D(Ti_Audétat23) Times'!$C170)/(365.35*24*3600)</f>
        <v>17407.731420926295</v>
      </c>
      <c r="Q170" s="2">
        <f>([412]L!R170*'D(Ti_Audétat23) Times'!$F170*0.000001)^2/(4*'D(Ti_Audétat23) Times'!$C170)/(365.35*24*3600)</f>
        <v>10912.186852614301</v>
      </c>
      <c r="R170" s="2">
        <f>([412]L!S170*'D(Ti_Audétat23) Times'!$F170*0.000001)^2/(4*'D(Ti_Audétat23) Times'!$C170)/(365.35*24*3600)</f>
        <v>15946.065360258708</v>
      </c>
      <c r="S170" s="2">
        <f>([412]L!T170*'D(Ti_Audétat23) Times'!$F170*0.000001)^2/(4*'D(Ti_Audétat23) Times'!$C170)/(365.35*24*3600)</f>
        <v>19636.702317265852</v>
      </c>
      <c r="T170" s="2"/>
      <c r="U170" s="2">
        <f>([412]L!V170*'D(Ti_Audétat23) Times'!$F170*0.000001)^2/(4*'D(Ti_Audétat23) Times'!$C170)/(365.35*24*3600)</f>
        <v>12794.997025635676</v>
      </c>
      <c r="V170" s="2">
        <f>([412]L!W170*'D(Ti_Audétat23) Times'!$F170*0.000001)^2/(4*'D(Ti_Audétat23) Times'!$C170)/(365.35*24*3600)</f>
        <v>12501.679369990838</v>
      </c>
      <c r="W170" s="2">
        <f>([412]L!X170*'D(Ti_Audétat23) Times'!$F170*0.000001)^2/(4*'D(Ti_Audétat23) Times'!$C170)/(365.35*24*3600)</f>
        <v>12650.837183563241</v>
      </c>
      <c r="X170" s="2"/>
      <c r="Y170" s="2">
        <f>([412]L!Z170*'D(Ti_Audétat23) Times'!$F170*0.000001)^2/(4*'D(Ti_Audétat23) Times'!$C170)/(365.35*24*3600)</f>
        <v>12340.486507458398</v>
      </c>
      <c r="Z170" s="2">
        <f>([412]L!AB170*'D(Ti_Audétat23) Times'!$F170*0.000001)^2/(4*'D(Ti_Audétat23) Times'!$C170)/(365.35*24*3600)</f>
        <v>13027.820505452286</v>
      </c>
      <c r="AA170" s="2">
        <f>([412]L!AC170*'D(Ti_Audétat23) Times'!$F170*0.000001)^2/(4*'D(Ti_Audétat23) Times'!$C170)/(365.35*24*3600)</f>
        <v>3878.7576737069921</v>
      </c>
      <c r="AB170" s="2">
        <f>([412]L!AD170*'D(Ti_Audétat23) Times'!$F170*0.000001)^2/(4*'D(Ti_Audétat23) Times'!$C170)/(365.35*24*3600)</f>
        <v>31525.323193741133</v>
      </c>
      <c r="AC170" s="2">
        <f t="shared" si="9"/>
        <v>9149.0628317452938</v>
      </c>
      <c r="AD170" s="2">
        <f t="shared" si="10"/>
        <v>18497.502688288849</v>
      </c>
    </row>
    <row r="171" spans="1:30" x14ac:dyDescent="0.2">
      <c r="A171" t="str">
        <f>[412]L!A171</f>
        <v>CGI009-qtz07-CL-fit-2-offset</v>
      </c>
      <c r="B171">
        <v>750</v>
      </c>
      <c r="C171">
        <f t="shared" si="11"/>
        <v>1.1456341375347871E-23</v>
      </c>
      <c r="D171">
        <v>1200</v>
      </c>
      <c r="E171">
        <v>1024</v>
      </c>
      <c r="F171">
        <f t="shared" si="8"/>
        <v>1.171875</v>
      </c>
      <c r="I171" s="2">
        <f>([412]L!J171*'D(Ti_Audétat23) Times'!$F171*0.000001)^2/(4*'D(Ti_Audétat23) Times'!$C171)/(365.35*24*3600)</f>
        <v>1789.0833488189273</v>
      </c>
      <c r="J171" s="2">
        <f>([412]L!K171*'D(Ti_Audétat23) Times'!$F171*0.000001)^2/(4*'D(Ti_Audétat23) Times'!$C171)/(365.35*24*3600)</f>
        <v>1426.7082024324011</v>
      </c>
      <c r="K171" s="2">
        <f>([412]L!L171*'D(Ti_Audétat23) Times'!$F171*0.000001)^2/(4*'D(Ti_Audétat23) Times'!$C171)/(365.35*24*3600)</f>
        <v>639.08826757009842</v>
      </c>
      <c r="L171" s="2">
        <f>([412]L!M171*'D(Ti_Audétat23) Times'!$F171*0.000001)^2/(4*'D(Ti_Audétat23) Times'!$C171)/(365.35*24*3600)</f>
        <v>39.357148352880316</v>
      </c>
      <c r="M171" s="2">
        <f>([412]L!N171*'D(Ti_Audétat23) Times'!$F171*0.000001)^2/(4*'D(Ti_Audétat23) Times'!$C171)/(365.35*24*3600)</f>
        <v>640.83592365468508</v>
      </c>
      <c r="N171" s="2">
        <f>([412]L!O171*'D(Ti_Audétat23) Times'!$F171*0.000001)^2/(4*'D(Ti_Audétat23) Times'!$C171)/(365.35*24*3600)</f>
        <v>3136.2967809478164</v>
      </c>
      <c r="O171" s="2">
        <f>([412]L!P171*'D(Ti_Audétat23) Times'!$F171*0.000001)^2/(4*'D(Ti_Audétat23) Times'!$C171)/(365.35*24*3600)</f>
        <v>0.12514894859292242</v>
      </c>
      <c r="P171" s="2">
        <f>([412]L!Q171*'D(Ti_Audétat23) Times'!$F171*0.000001)^2/(4*'D(Ti_Audétat23) Times'!$C171)/(365.35*24*3600)</f>
        <v>12302.431884352736</v>
      </c>
      <c r="Q171" s="2">
        <f>([412]L!R171*'D(Ti_Audétat23) Times'!$F171*0.000001)^2/(4*'D(Ti_Audétat23) Times'!$C171)/(365.35*24*3600)</f>
        <v>3133.6179580495996</v>
      </c>
      <c r="R171" s="2">
        <f>([412]L!S171*'D(Ti_Audétat23) Times'!$F171*0.000001)^2/(4*'D(Ti_Audétat23) Times'!$C171)/(365.35*24*3600)</f>
        <v>6557.583573623735</v>
      </c>
      <c r="S171" s="2">
        <f>([412]L!T171*'D(Ti_Audétat23) Times'!$F171*0.000001)^2/(4*'D(Ti_Audétat23) Times'!$C171)/(365.35*24*3600)</f>
        <v>412.04716889283327</v>
      </c>
      <c r="T171" s="2"/>
      <c r="U171" s="2">
        <f>([412]L!V171*'D(Ti_Audétat23) Times'!$F171*0.000001)^2/(4*'D(Ti_Audétat23) Times'!$C171)/(365.35*24*3600)</f>
        <v>2557.0032284543004</v>
      </c>
      <c r="V171" s="2">
        <f>([412]L!W171*'D(Ti_Audétat23) Times'!$F171*0.000001)^2/(4*'D(Ti_Audétat23) Times'!$C171)/(365.35*24*3600)</f>
        <v>1759.9331679984887</v>
      </c>
      <c r="W171" s="2">
        <f>([412]L!X171*'D(Ti_Audétat23) Times'!$F171*0.000001)^2/(4*'D(Ti_Audétat23) Times'!$C171)/(365.35*24*3600)</f>
        <v>1426.7082024324011</v>
      </c>
      <c r="X171" s="2"/>
      <c r="Y171" s="2">
        <f>([412]L!Z171*'D(Ti_Audétat23) Times'!$F171*0.000001)^2/(4*'D(Ti_Audétat23) Times'!$C171)/(365.35*24*3600)</f>
        <v>2678.6055569437735</v>
      </c>
      <c r="Z171" s="2">
        <f>([412]L!AB171*'D(Ti_Audétat23) Times'!$F171*0.000001)^2/(4*'D(Ti_Audétat23) Times'!$C171)/(365.35*24*3600)</f>
        <v>2755.3050816554482</v>
      </c>
      <c r="AA171" s="2">
        <f>([412]L!AC171*'D(Ti_Audétat23) Times'!$F171*0.000001)^2/(4*'D(Ti_Audétat23) Times'!$C171)/(365.35*24*3600)</f>
        <v>5.5325162036210598</v>
      </c>
      <c r="AB171" s="2">
        <f>([412]L!AD171*'D(Ti_Audétat23) Times'!$F171*0.000001)^2/(4*'D(Ti_Audétat23) Times'!$C171)/(365.35*24*3600)</f>
        <v>19483.75957640991</v>
      </c>
      <c r="AC171" s="2">
        <f t="shared" si="9"/>
        <v>2749.7725654518272</v>
      </c>
      <c r="AD171" s="2">
        <f t="shared" si="10"/>
        <v>16728.45449475446</v>
      </c>
    </row>
    <row r="172" spans="1:30" x14ac:dyDescent="0.2">
      <c r="A172" t="str">
        <f>[412]L!A172</f>
        <v>CGI009-qtz07-CL-fit-3-offset</v>
      </c>
      <c r="B172">
        <v>750</v>
      </c>
      <c r="C172">
        <f t="shared" si="11"/>
        <v>1.1456341375347871E-23</v>
      </c>
      <c r="D172">
        <v>1200</v>
      </c>
      <c r="E172">
        <v>1024</v>
      </c>
      <c r="F172">
        <f t="shared" si="8"/>
        <v>1.171875</v>
      </c>
      <c r="I172" s="2">
        <f>([412]L!J172*'D(Ti_Audétat23) Times'!$F172*0.000001)^2/(4*'D(Ti_Audétat23) Times'!$C172)/(365.35*24*3600)</f>
        <v>5541.7783084032289</v>
      </c>
      <c r="J172" s="2">
        <f>([412]L!K172*'D(Ti_Audétat23) Times'!$F172*0.000001)^2/(4*'D(Ti_Audétat23) Times'!$C172)/(365.35*24*3600)</f>
        <v>4716.9148381768127</v>
      </c>
      <c r="K172" s="2">
        <f>([412]L!L172*'D(Ti_Audétat23) Times'!$F172*0.000001)^2/(4*'D(Ti_Audétat23) Times'!$C172)/(365.35*24*3600)</f>
        <v>1990.8547934247472</v>
      </c>
      <c r="L172" s="2">
        <f>([412]L!M172*'D(Ti_Audétat23) Times'!$F172*0.000001)^2/(4*'D(Ti_Audétat23) Times'!$C172)/(365.35*24*3600)</f>
        <v>5112.7025028371818</v>
      </c>
      <c r="M172" s="2">
        <f>([412]L!N172*'D(Ti_Audétat23) Times'!$F172*0.000001)^2/(4*'D(Ti_Audétat23) Times'!$C172)/(365.35*24*3600)</f>
        <v>10698.136600321945</v>
      </c>
      <c r="N172" s="2">
        <f>([412]L!O172*'D(Ti_Audétat23) Times'!$F172*0.000001)^2/(4*'D(Ti_Audétat23) Times'!$C172)/(365.35*24*3600)</f>
        <v>3981.5487776908626</v>
      </c>
      <c r="O172" s="2">
        <f>([412]L!P172*'D(Ti_Audétat23) Times'!$F172*0.000001)^2/(4*'D(Ti_Audétat23) Times'!$C172)/(365.35*24*3600)</f>
        <v>4741.1518379737117</v>
      </c>
      <c r="P172" s="2">
        <f>([412]L!Q172*'D(Ti_Audétat23) Times'!$F172*0.000001)^2/(4*'D(Ti_Audétat23) Times'!$C172)/(365.35*24*3600)</f>
        <v>2337.8813926866642</v>
      </c>
      <c r="Q172" s="2">
        <f>([412]L!R172*'D(Ti_Audétat23) Times'!$F172*0.000001)^2/(4*'D(Ti_Audétat23) Times'!$C172)/(365.35*24*3600)</f>
        <v>3656.4010127785864</v>
      </c>
      <c r="R172" s="2">
        <f>([412]L!S172*'D(Ti_Audétat23) Times'!$F172*0.000001)^2/(4*'D(Ti_Audétat23) Times'!$C172)/(365.35*24*3600)</f>
        <v>4161.8872294609027</v>
      </c>
      <c r="S172" s="2">
        <f>([412]L!T172*'D(Ti_Audétat23) Times'!$F172*0.000001)^2/(4*'D(Ti_Audétat23) Times'!$C172)/(365.35*24*3600)</f>
        <v>6299.1540729825228</v>
      </c>
      <c r="T172" s="2"/>
      <c r="U172" s="2">
        <f>([412]L!V172*'D(Ti_Audétat23) Times'!$F172*0.000001)^2/(4*'D(Ti_Audétat23) Times'!$C172)/(365.35*24*3600)</f>
        <v>4409.9987002342177</v>
      </c>
      <c r="V172" s="2">
        <f>([412]L!W172*'D(Ti_Audétat23) Times'!$F172*0.000001)^2/(4*'D(Ti_Audétat23) Times'!$C172)/(365.35*24*3600)</f>
        <v>4615.7465176484175</v>
      </c>
      <c r="W172" s="2">
        <f>([412]L!X172*'D(Ti_Audétat23) Times'!$F172*0.000001)^2/(4*'D(Ti_Audétat23) Times'!$C172)/(365.35*24*3600)</f>
        <v>4716.9148381768127</v>
      </c>
      <c r="X172" s="2"/>
      <c r="Y172" s="2">
        <f>([412]L!Z172*'D(Ti_Audétat23) Times'!$F172*0.000001)^2/(4*'D(Ti_Audétat23) Times'!$C172)/(365.35*24*3600)</f>
        <v>4536.6977727154263</v>
      </c>
      <c r="Z172" s="2">
        <f>([412]L!AB172*'D(Ti_Audétat23) Times'!$F172*0.000001)^2/(4*'D(Ti_Audétat23) Times'!$C172)/(365.35*24*3600)</f>
        <v>4557.1287873756501</v>
      </c>
      <c r="AA172" s="2">
        <f>([412]L!AC172*'D(Ti_Audétat23) Times'!$F172*0.000001)^2/(4*'D(Ti_Audétat23) Times'!$C172)/(365.35*24*3600)</f>
        <v>797.00734795506605</v>
      </c>
      <c r="AB172" s="2">
        <f>([412]L!AD172*'D(Ti_Audétat23) Times'!$F172*0.000001)^2/(4*'D(Ti_Audétat23) Times'!$C172)/(365.35*24*3600)</f>
        <v>13382.015780127573</v>
      </c>
      <c r="AC172" s="2">
        <f t="shared" si="9"/>
        <v>3760.121439420584</v>
      </c>
      <c r="AD172" s="2">
        <f t="shared" si="10"/>
        <v>8824.8869927519227</v>
      </c>
    </row>
    <row r="173" spans="1:30" x14ac:dyDescent="0.2">
      <c r="A173" t="str">
        <f>[412]L!A173</f>
        <v>CGI009-qtz07-CL-fit-4-offset</v>
      </c>
      <c r="B173">
        <v>750</v>
      </c>
      <c r="C173">
        <f t="shared" si="11"/>
        <v>1.1456341375347871E-23</v>
      </c>
      <c r="D173">
        <v>1200</v>
      </c>
      <c r="E173">
        <v>1024</v>
      </c>
      <c r="F173">
        <f t="shared" si="8"/>
        <v>1.171875</v>
      </c>
      <c r="I173" s="2">
        <f>([412]L!J173*'D(Ti_Audétat23) Times'!$F173*0.000001)^2/(4*'D(Ti_Audétat23) Times'!$C173)/(365.35*24*3600)</f>
        <v>208.89164547411107</v>
      </c>
      <c r="J173" s="2">
        <f>([412]L!K173*'D(Ti_Audétat23) Times'!$F173*0.000001)^2/(4*'D(Ti_Audétat23) Times'!$C173)/(365.35*24*3600)</f>
        <v>5609.9206742685392</v>
      </c>
      <c r="K173" s="2">
        <f>([412]L!L173*'D(Ti_Audétat23) Times'!$F173*0.000001)^2/(4*'D(Ti_Audétat23) Times'!$C173)/(365.35*24*3600)</f>
        <v>6513.4123122696483</v>
      </c>
      <c r="L173" s="2">
        <f>([412]L!M173*'D(Ti_Audétat23) Times'!$F173*0.000001)^2/(4*'D(Ti_Audétat23) Times'!$C173)/(365.35*24*3600)</f>
        <v>1161.6754131900684</v>
      </c>
      <c r="M173" s="2">
        <f>([412]L!N173*'D(Ti_Audétat23) Times'!$F173*0.000001)^2/(4*'D(Ti_Audétat23) Times'!$C173)/(365.35*24*3600)</f>
        <v>3719.3524635904309</v>
      </c>
      <c r="N173" s="2">
        <f>([412]L!O173*'D(Ti_Audétat23) Times'!$F173*0.000001)^2/(4*'D(Ti_Audétat23) Times'!$C173)/(365.35*24*3600)</f>
        <v>2023.4160159321295</v>
      </c>
      <c r="O173" s="2">
        <f>([412]L!P173*'D(Ti_Audétat23) Times'!$F173*0.000001)^2/(4*'D(Ti_Audétat23) Times'!$C173)/(365.35*24*3600)</f>
        <v>3763.3320781351035</v>
      </c>
      <c r="P173" s="2">
        <f>([412]L!Q173*'D(Ti_Audétat23) Times'!$F173*0.000001)^2/(4*'D(Ti_Audétat23) Times'!$C173)/(365.35*24*3600)</f>
        <v>6759.036941519721</v>
      </c>
      <c r="Q173" s="2">
        <f>([412]L!R173*'D(Ti_Audétat23) Times'!$F173*0.000001)^2/(4*'D(Ti_Audétat23) Times'!$C173)/(365.35*24*3600)</f>
        <v>5887.6698868341937</v>
      </c>
      <c r="R173" s="2">
        <f>([412]L!S173*'D(Ti_Audétat23) Times'!$F173*0.000001)^2/(4*'D(Ti_Audétat23) Times'!$C173)/(365.35*24*3600)</f>
        <v>1.0669187714191173</v>
      </c>
      <c r="S173" s="2">
        <f>([412]L!T173*'D(Ti_Audétat23) Times'!$F173*0.000001)^2/(4*'D(Ti_Audétat23) Times'!$C173)/(365.35*24*3600)</f>
        <v>935.0951354602505</v>
      </c>
      <c r="T173" s="2"/>
      <c r="U173" s="2">
        <f>([412]L!V173*'D(Ti_Audétat23) Times'!$F173*0.000001)^2/(4*'D(Ti_Audétat23) Times'!$C173)/(365.35*24*3600)</f>
        <v>2807.5669731746157</v>
      </c>
      <c r="V173" s="2">
        <f>([412]L!W173*'D(Ti_Audétat23) Times'!$F173*0.000001)^2/(4*'D(Ti_Audétat23) Times'!$C173)/(365.35*24*3600)</f>
        <v>2610.4037441949681</v>
      </c>
      <c r="W173" s="2">
        <f>([412]L!X173*'D(Ti_Audétat23) Times'!$F173*0.000001)^2/(4*'D(Ti_Audétat23) Times'!$C173)/(365.35*24*3600)</f>
        <v>3719.3524635904309</v>
      </c>
      <c r="X173" s="2"/>
      <c r="Y173" s="2">
        <f>([412]L!Z173*'D(Ti_Audétat23) Times'!$F173*0.000001)^2/(4*'D(Ti_Audétat23) Times'!$C173)/(365.35*24*3600)</f>
        <v>2091.3047960972849</v>
      </c>
      <c r="Z173" s="2">
        <f>([412]L!AB173*'D(Ti_Audétat23) Times'!$F173*0.000001)^2/(4*'D(Ti_Audétat23) Times'!$C173)/(365.35*24*3600)</f>
        <v>2536.7203098086552</v>
      </c>
      <c r="AA173" s="2">
        <f>([412]L!AC173*'D(Ti_Audétat23) Times'!$F173*0.000001)^2/(4*'D(Ti_Audétat23) Times'!$C173)/(365.35*24*3600)</f>
        <v>1.2085160032439805E-9</v>
      </c>
      <c r="AB173" s="2">
        <f>([412]L!AD173*'D(Ti_Audétat23) Times'!$F173*0.000001)^2/(4*'D(Ti_Audétat23) Times'!$C173)/(365.35*24*3600)</f>
        <v>20715.242005341133</v>
      </c>
      <c r="AC173" s="2">
        <f t="shared" si="9"/>
        <v>2536.7203098074465</v>
      </c>
      <c r="AD173" s="2">
        <f t="shared" si="10"/>
        <v>18178.521695532479</v>
      </c>
    </row>
    <row r="174" spans="1:30" x14ac:dyDescent="0.2">
      <c r="A174" t="str">
        <f>[412]L!A174</f>
        <v>CGI009-qtz08-CL-fit-1-offset</v>
      </c>
      <c r="B174">
        <v>750</v>
      </c>
      <c r="C174">
        <f t="shared" si="11"/>
        <v>1.1456341375347871E-23</v>
      </c>
      <c r="D174">
        <v>2300</v>
      </c>
      <c r="E174">
        <v>1024</v>
      </c>
      <c r="F174">
        <f t="shared" si="8"/>
        <v>2.24609375</v>
      </c>
      <c r="I174" s="2">
        <f>([412]L!J174*'D(Ti_Audétat23) Times'!$F174*0.000001)^2/(4*'D(Ti_Audétat23) Times'!$C174)/(365.35*24*3600)</f>
        <v>17014.386764499901</v>
      </c>
      <c r="J174" s="2">
        <f>([412]L!K174*'D(Ti_Audétat23) Times'!$F174*0.000001)^2/(4*'D(Ti_Audétat23) Times'!$C174)/(365.35*24*3600)</f>
        <v>109287.39776937681</v>
      </c>
      <c r="K174" s="2">
        <f>([412]L!L174*'D(Ti_Audétat23) Times'!$F174*0.000001)^2/(4*'D(Ti_Audétat23) Times'!$C174)/(365.35*24*3600)</f>
        <v>32966.103592056184</v>
      </c>
      <c r="L174" s="2">
        <f>([412]L!M174*'D(Ti_Audétat23) Times'!$F174*0.000001)^2/(4*'D(Ti_Audétat23) Times'!$C174)/(365.35*24*3600)</f>
        <v>38325.640903697873</v>
      </c>
      <c r="M174" s="2">
        <f>([412]L!N174*'D(Ti_Audétat23) Times'!$F174*0.000001)^2/(4*'D(Ti_Audétat23) Times'!$C174)/(365.35*24*3600)</f>
        <v>136417.35364078416</v>
      </c>
      <c r="N174" s="2">
        <f>([412]L!O174*'D(Ti_Audétat23) Times'!$F174*0.000001)^2/(4*'D(Ti_Audétat23) Times'!$C174)/(365.35*24*3600)</f>
        <v>77094.390593632677</v>
      </c>
      <c r="O174" s="2">
        <f>([412]L!P174*'D(Ti_Audétat23) Times'!$F174*0.000001)^2/(4*'D(Ti_Audétat23) Times'!$C174)/(365.35*24*3600)</f>
        <v>43629.125938872574</v>
      </c>
      <c r="P174" s="2">
        <f>([412]L!Q174*'D(Ti_Audétat23) Times'!$F174*0.000001)^2/(4*'D(Ti_Audétat23) Times'!$C174)/(365.35*24*3600)</f>
        <v>29955.085390562115</v>
      </c>
      <c r="Q174" s="2">
        <f>([412]L!R174*'D(Ti_Audétat23) Times'!$F174*0.000001)^2/(4*'D(Ti_Audétat23) Times'!$C174)/(365.35*24*3600)</f>
        <v>41700.767151486456</v>
      </c>
      <c r="R174" s="2">
        <f>([412]L!S174*'D(Ti_Audétat23) Times'!$F174*0.000001)^2/(4*'D(Ti_Audétat23) Times'!$C174)/(365.35*24*3600)</f>
        <v>46393.129800510047</v>
      </c>
      <c r="S174" s="2">
        <f>([412]L!T174*'D(Ti_Audétat23) Times'!$F174*0.000001)^2/(4*'D(Ti_Audétat23) Times'!$C174)/(365.35*24*3600)</f>
        <v>37052.897191669879</v>
      </c>
      <c r="T174" s="2"/>
      <c r="U174" s="2">
        <f>([412]L!V174*'D(Ti_Audétat23) Times'!$F174*0.000001)^2/(4*'D(Ti_Audétat23) Times'!$C174)/(365.35*24*3600)</f>
        <v>53843.970760660326</v>
      </c>
      <c r="V174" s="2">
        <f>([412]L!W174*'D(Ti_Audétat23) Times'!$F174*0.000001)^2/(4*'D(Ti_Audétat23) Times'!$C174)/(365.35*24*3600)</f>
        <v>50805.467578327261</v>
      </c>
      <c r="W174" s="2">
        <f>([412]L!X174*'D(Ti_Audétat23) Times'!$F174*0.000001)^2/(4*'D(Ti_Audétat23) Times'!$C174)/(365.35*24*3600)</f>
        <v>41700.767151486456</v>
      </c>
      <c r="X174" s="2"/>
      <c r="Y174" s="2">
        <f>([412]L!Z174*'D(Ti_Audétat23) Times'!$F174*0.000001)^2/(4*'D(Ti_Audétat23) Times'!$C174)/(365.35*24*3600)</f>
        <v>46589.833753286119</v>
      </c>
      <c r="Z174" s="2">
        <f>([412]L!AB174*'D(Ti_Audétat23) Times'!$F174*0.000001)^2/(4*'D(Ti_Audétat23) Times'!$C174)/(365.35*24*3600)</f>
        <v>46133.528283231499</v>
      </c>
      <c r="AA174" s="2">
        <f>([412]L!AC174*'D(Ti_Audétat23) Times'!$F174*0.000001)^2/(4*'D(Ti_Audétat23) Times'!$C174)/(365.35*24*3600)</f>
        <v>1648.2917203162808</v>
      </c>
      <c r="AB174" s="2">
        <f>([412]L!AD174*'D(Ti_Audétat23) Times'!$F174*0.000001)^2/(4*'D(Ti_Audétat23) Times'!$C174)/(365.35*24*3600)</f>
        <v>137630.07313117632</v>
      </c>
      <c r="AC174" s="2">
        <f t="shared" si="9"/>
        <v>44485.236562915219</v>
      </c>
      <c r="AD174" s="2">
        <f t="shared" si="10"/>
        <v>91496.544847944824</v>
      </c>
    </row>
    <row r="175" spans="1:30" x14ac:dyDescent="0.2">
      <c r="A175" t="str">
        <f>[412]L!A175</f>
        <v>CGI009-qtz08-CL-fit-2-offset</v>
      </c>
      <c r="B175">
        <v>750</v>
      </c>
      <c r="C175">
        <f t="shared" si="11"/>
        <v>1.1456341375347871E-23</v>
      </c>
      <c r="D175">
        <v>2300</v>
      </c>
      <c r="E175">
        <v>1024</v>
      </c>
      <c r="F175">
        <f t="shared" si="8"/>
        <v>2.24609375</v>
      </c>
      <c r="I175" s="2">
        <f>([412]L!J175*'D(Ti_Audétat23) Times'!$F175*0.000001)^2/(4*'D(Ti_Audétat23) Times'!$C175)/(365.35*24*3600)</f>
        <v>92170.385592585284</v>
      </c>
      <c r="J175" s="2">
        <f>([412]L!K175*'D(Ti_Audétat23) Times'!$F175*0.000001)^2/(4*'D(Ti_Audétat23) Times'!$C175)/(365.35*24*3600)</f>
        <v>72881.312199108681</v>
      </c>
      <c r="K175" s="2">
        <f>([412]L!L175*'D(Ti_Audétat23) Times'!$F175*0.000001)^2/(4*'D(Ti_Audétat23) Times'!$C175)/(365.35*24*3600)</f>
        <v>109603.82862670555</v>
      </c>
      <c r="L175" s="2">
        <f>([412]L!M175*'D(Ti_Audétat23) Times'!$F175*0.000001)^2/(4*'D(Ti_Audétat23) Times'!$C175)/(365.35*24*3600)</f>
        <v>97977.212348448084</v>
      </c>
      <c r="M175" s="2">
        <f>([412]L!N175*'D(Ti_Audétat23) Times'!$F175*0.000001)^2/(4*'D(Ti_Audétat23) Times'!$C175)/(365.35*24*3600)</f>
        <v>111612.16041345829</v>
      </c>
      <c r="N175" s="2">
        <f>([412]L!O175*'D(Ti_Audétat23) Times'!$F175*0.000001)^2/(4*'D(Ti_Audétat23) Times'!$C175)/(365.35*24*3600)</f>
        <v>73586.607806437285</v>
      </c>
      <c r="O175" s="2">
        <f>([412]L!P175*'D(Ti_Audétat23) Times'!$F175*0.000001)^2/(4*'D(Ti_Audétat23) Times'!$C175)/(365.35*24*3600)</f>
        <v>157535.80647298723</v>
      </c>
      <c r="P175" s="2">
        <f>([412]L!Q175*'D(Ti_Audétat23) Times'!$F175*0.000001)^2/(4*'D(Ti_Audétat23) Times'!$C175)/(365.35*24*3600)</f>
        <v>89448.503660915638</v>
      </c>
      <c r="Q175" s="2">
        <f>([412]L!R175*'D(Ti_Audétat23) Times'!$F175*0.000001)^2/(4*'D(Ti_Audétat23) Times'!$C175)/(365.35*24*3600)</f>
        <v>134422.25600556622</v>
      </c>
      <c r="R175" s="2">
        <f>([412]L!S175*'D(Ti_Audétat23) Times'!$F175*0.000001)^2/(4*'D(Ti_Audétat23) Times'!$C175)/(365.35*24*3600)</f>
        <v>103647.56608367301</v>
      </c>
      <c r="S175" s="2">
        <f>([412]L!T175*'D(Ti_Audétat23) Times'!$F175*0.000001)^2/(4*'D(Ti_Audétat23) Times'!$C175)/(365.35*24*3600)</f>
        <v>116824.9944988964</v>
      </c>
      <c r="T175" s="2"/>
      <c r="U175" s="2">
        <f>([412]L!V175*'D(Ti_Audétat23) Times'!$F175*0.000001)^2/(4*'D(Ti_Audétat23) Times'!$C175)/(365.35*24*3600)</f>
        <v>104713.73885882722</v>
      </c>
      <c r="V175" s="2">
        <f>([412]L!W175*'D(Ti_Audétat23) Times'!$F175*0.000001)^2/(4*'D(Ti_Audétat23) Times'!$C175)/(365.35*24*3600)</f>
        <v>104115.06732142369</v>
      </c>
      <c r="W175" s="2">
        <f>([412]L!X175*'D(Ti_Audétat23) Times'!$F175*0.000001)^2/(4*'D(Ti_Audétat23) Times'!$C175)/(365.35*24*3600)</f>
        <v>103647.56608367301</v>
      </c>
      <c r="X175" s="2"/>
      <c r="Y175" s="2">
        <f>([412]L!Z175*'D(Ti_Audétat23) Times'!$F175*0.000001)^2/(4*'D(Ti_Audétat23) Times'!$C175)/(365.35*24*3600)</f>
        <v>104349.59468081302</v>
      </c>
      <c r="Z175" s="2">
        <f>([412]L!AB175*'D(Ti_Audétat23) Times'!$F175*0.000001)^2/(4*'D(Ti_Audétat23) Times'!$C175)/(365.35*24*3600)</f>
        <v>106398.65693245246</v>
      </c>
      <c r="AA175" s="2">
        <f>([412]L!AC175*'D(Ti_Audétat23) Times'!$F175*0.000001)^2/(4*'D(Ti_Audétat23) Times'!$C175)/(365.35*24*3600)</f>
        <v>63081.375273695136</v>
      </c>
      <c r="AB175" s="2">
        <f>([412]L!AD175*'D(Ti_Audétat23) Times'!$F175*0.000001)^2/(4*'D(Ti_Audétat23) Times'!$C175)/(365.35*24*3600)</f>
        <v>169263.95608202557</v>
      </c>
      <c r="AC175" s="2">
        <f t="shared" si="9"/>
        <v>43317.281658757325</v>
      </c>
      <c r="AD175" s="2">
        <f t="shared" si="10"/>
        <v>62865.299149573111</v>
      </c>
    </row>
    <row r="176" spans="1:30" x14ac:dyDescent="0.2">
      <c r="A176" t="str">
        <f>[412]L!A176</f>
        <v>CGI009-qtz08-CL-fit-3-offset</v>
      </c>
      <c r="B176">
        <v>750</v>
      </c>
      <c r="C176">
        <f t="shared" si="11"/>
        <v>1.1456341375347871E-23</v>
      </c>
      <c r="D176">
        <v>2300</v>
      </c>
      <c r="E176">
        <v>1024</v>
      </c>
      <c r="F176">
        <f t="shared" si="8"/>
        <v>2.24609375</v>
      </c>
      <c r="I176" s="2">
        <f>([412]L!J176*'D(Ti_Audétat23) Times'!$F176*0.000001)^2/(4*'D(Ti_Audétat23) Times'!$C176)/(365.35*24*3600)</f>
        <v>76569.274605653976</v>
      </c>
      <c r="J176" s="2">
        <f>([412]L!K176*'D(Ti_Audétat23) Times'!$F176*0.000001)^2/(4*'D(Ti_Audétat23) Times'!$C176)/(365.35*24*3600)</f>
        <v>83821.533946975367</v>
      </c>
      <c r="K176" s="2">
        <f>([412]L!L176*'D(Ti_Audétat23) Times'!$F176*0.000001)^2/(4*'D(Ti_Audétat23) Times'!$C176)/(365.35*24*3600)</f>
        <v>140889.88302302102</v>
      </c>
      <c r="L176" s="2">
        <f>([412]L!M176*'D(Ti_Audétat23) Times'!$F176*0.000001)^2/(4*'D(Ti_Audétat23) Times'!$C176)/(365.35*24*3600)</f>
        <v>67504.833349417691</v>
      </c>
      <c r="M176" s="2">
        <f>([412]L!N176*'D(Ti_Audétat23) Times'!$F176*0.000001)^2/(4*'D(Ti_Audétat23) Times'!$C176)/(365.35*24*3600)</f>
        <v>52270.338006713842</v>
      </c>
      <c r="N176" s="2">
        <f>([412]L!O176*'D(Ti_Audétat23) Times'!$F176*0.000001)^2/(4*'D(Ti_Audétat23) Times'!$C176)/(365.35*24*3600)</f>
        <v>49169.902595754858</v>
      </c>
      <c r="O176" s="2">
        <f>([412]L!P176*'D(Ti_Audétat23) Times'!$F176*0.000001)^2/(4*'D(Ti_Audétat23) Times'!$C176)/(365.35*24*3600)</f>
        <v>103153.3223480218</v>
      </c>
      <c r="P176" s="2">
        <f>([412]L!Q176*'D(Ti_Audétat23) Times'!$F176*0.000001)^2/(4*'D(Ti_Audétat23) Times'!$C176)/(365.35*24*3600)</f>
        <v>35900.129942991465</v>
      </c>
      <c r="Q176" s="2">
        <f>([412]L!R176*'D(Ti_Audétat23) Times'!$F176*0.000001)^2/(4*'D(Ti_Audétat23) Times'!$C176)/(365.35*24*3600)</f>
        <v>105819.12379369428</v>
      </c>
      <c r="R176" s="2">
        <f>([412]L!S176*'D(Ti_Audétat23) Times'!$F176*0.000001)^2/(4*'D(Ti_Audétat23) Times'!$C176)/(365.35*24*3600)</f>
        <v>69659.596228141498</v>
      </c>
      <c r="S176" s="2">
        <f>([412]L!T176*'D(Ti_Audétat23) Times'!$F176*0.000001)^2/(4*'D(Ti_Audétat23) Times'!$C176)/(365.35*24*3600)</f>
        <v>126239.83192624791</v>
      </c>
      <c r="T176" s="2"/>
      <c r="U176" s="2">
        <f>([412]L!V176*'D(Ti_Audétat23) Times'!$F176*0.000001)^2/(4*'D(Ti_Audétat23) Times'!$C176)/(365.35*24*3600)</f>
        <v>79819.824769792991</v>
      </c>
      <c r="V176" s="2">
        <f>([412]L!W176*'D(Ti_Audétat23) Times'!$F176*0.000001)^2/(4*'D(Ti_Audétat23) Times'!$C176)/(365.35*24*3600)</f>
        <v>79778.060107064914</v>
      </c>
      <c r="W176" s="2">
        <f>([412]L!X176*'D(Ti_Audétat23) Times'!$F176*0.000001)^2/(4*'D(Ti_Audétat23) Times'!$C176)/(365.35*24*3600)</f>
        <v>76569.274605653976</v>
      </c>
      <c r="X176" s="2"/>
      <c r="Y176" s="2">
        <f>([412]L!Z176*'D(Ti_Audétat23) Times'!$F176*0.000001)^2/(4*'D(Ti_Audétat23) Times'!$C176)/(365.35*24*3600)</f>
        <v>79471.782494169282</v>
      </c>
      <c r="Z176" s="2">
        <f>([412]L!AB176*'D(Ti_Audétat23) Times'!$F176*0.000001)^2/(4*'D(Ti_Audétat23) Times'!$C176)/(365.35*24*3600)</f>
        <v>82580.64877809996</v>
      </c>
      <c r="AA176" s="2">
        <f>([412]L!AC176*'D(Ti_Audétat23) Times'!$F176*0.000001)^2/(4*'D(Ti_Audétat23) Times'!$C176)/(365.35*24*3600)</f>
        <v>25568.938939612395</v>
      </c>
      <c r="AB176" s="2">
        <f>([412]L!AD176*'D(Ti_Audétat23) Times'!$F176*0.000001)^2/(4*'D(Ti_Audétat23) Times'!$C176)/(365.35*24*3600)</f>
        <v>192398.50332152363</v>
      </c>
      <c r="AC176" s="2">
        <f t="shared" si="9"/>
        <v>57011.709838487564</v>
      </c>
      <c r="AD176" s="2">
        <f t="shared" si="10"/>
        <v>109817.85454342367</v>
      </c>
    </row>
    <row r="177" spans="1:30" x14ac:dyDescent="0.2">
      <c r="A177" t="str">
        <f>[412]L!A177</f>
        <v>CGI009-qtz08-CL-fit-4-offset</v>
      </c>
      <c r="B177">
        <v>750</v>
      </c>
      <c r="C177">
        <f t="shared" si="11"/>
        <v>1.1456341375347871E-23</v>
      </c>
      <c r="D177">
        <v>2300</v>
      </c>
      <c r="E177">
        <v>1024</v>
      </c>
      <c r="F177">
        <f t="shared" si="8"/>
        <v>2.24609375</v>
      </c>
      <c r="I177" s="2">
        <f>([412]L!J177*'D(Ti_Audétat23) Times'!$F177*0.000001)^2/(4*'D(Ti_Audétat23) Times'!$C177)/(365.35*24*3600)</f>
        <v>0</v>
      </c>
      <c r="J177" s="2">
        <f>([412]L!K177*'D(Ti_Audétat23) Times'!$F177*0.000001)^2/(4*'D(Ti_Audétat23) Times'!$C177)/(365.35*24*3600)</f>
        <v>62956.253114771192</v>
      </c>
      <c r="K177" s="2">
        <f>([412]L!L177*'D(Ti_Audétat23) Times'!$F177*0.000001)^2/(4*'D(Ti_Audétat23) Times'!$C177)/(365.35*24*3600)</f>
        <v>112225.0170458628</v>
      </c>
      <c r="L177" s="2">
        <f>([412]L!M177*'D(Ti_Audétat23) Times'!$F177*0.000001)^2/(4*'D(Ti_Audétat23) Times'!$C177)/(365.35*24*3600)</f>
        <v>89749.998968178537</v>
      </c>
      <c r="M177" s="2">
        <f>([412]L!N177*'D(Ti_Audétat23) Times'!$F177*0.000001)^2/(4*'D(Ti_Audétat23) Times'!$C177)/(365.35*24*3600)</f>
        <v>91628.804671046208</v>
      </c>
      <c r="N177" s="2">
        <f>([412]L!O177*'D(Ti_Audétat23) Times'!$F177*0.000001)^2/(4*'D(Ti_Audétat23) Times'!$C177)/(365.35*24*3600)</f>
        <v>29463.102417596849</v>
      </c>
      <c r="O177" s="2">
        <f>([412]L!P177*'D(Ti_Audétat23) Times'!$F177*0.000001)^2/(4*'D(Ti_Audétat23) Times'!$C177)/(365.35*24*3600)</f>
        <v>15600.799842520066</v>
      </c>
      <c r="P177" s="2">
        <f>([412]L!Q177*'D(Ti_Audétat23) Times'!$F177*0.000001)^2/(4*'D(Ti_Audétat23) Times'!$C177)/(365.35*24*3600)</f>
        <v>90667.376694718288</v>
      </c>
      <c r="Q177" s="2">
        <f>([412]L!R177*'D(Ti_Audétat23) Times'!$F177*0.000001)^2/(4*'D(Ti_Audétat23) Times'!$C177)/(365.35*24*3600)</f>
        <v>2940.8773144780066</v>
      </c>
      <c r="R177" s="2">
        <f>([412]L!S177*'D(Ti_Audétat23) Times'!$F177*0.000001)^2/(4*'D(Ti_Audétat23) Times'!$C177)/(365.35*24*3600)</f>
        <v>108142.50713868217</v>
      </c>
      <c r="S177" s="2">
        <f>([412]L!T177*'D(Ti_Audétat23) Times'!$F177*0.000001)^2/(4*'D(Ti_Audétat23) Times'!$C177)/(365.35*24*3600)</f>
        <v>10.93583433157597</v>
      </c>
      <c r="T177" s="2"/>
      <c r="U177" s="2">
        <f>([412]L!V177*'D(Ti_Audétat23) Times'!$F177*0.000001)^2/(4*'D(Ti_Audétat23) Times'!$C177)/(365.35*24*3600)</f>
        <v>73916.131839384907</v>
      </c>
      <c r="V177" s="2">
        <f>([412]L!W177*'D(Ti_Audétat23) Times'!$F177*0.000001)^2/(4*'D(Ti_Audétat23) Times'!$C177)/(365.35*24*3600)</f>
        <v>47186.487146021056</v>
      </c>
      <c r="W177" s="2">
        <f>([412]L!X177*'D(Ti_Audétat23) Times'!$F177*0.000001)^2/(4*'D(Ti_Audétat23) Times'!$C177)/(365.35*24*3600)</f>
        <v>75760.880402097115</v>
      </c>
      <c r="X177" s="2"/>
      <c r="Y177" s="2">
        <f>([412]L!Z177*'D(Ti_Audétat23) Times'!$F177*0.000001)^2/(4*'D(Ti_Audétat23) Times'!$C177)/(365.35*24*3600)</f>
        <v>7705.3901883244553</v>
      </c>
      <c r="Z177" s="2">
        <f>([412]L!AB177*'D(Ti_Audétat23) Times'!$F177*0.000001)^2/(4*'D(Ti_Audétat23) Times'!$C177)/(365.35*24*3600)</f>
        <v>23927.686720393282</v>
      </c>
      <c r="AA177" s="2">
        <f>([412]L!AC177*'D(Ti_Audétat23) Times'!$F177*0.000001)^2/(4*'D(Ti_Audétat23) Times'!$C177)/(365.35*24*3600)</f>
        <v>0.28050821994155795</v>
      </c>
      <c r="AB177" s="2">
        <f>([412]L!AD177*'D(Ti_Audétat23) Times'!$F177*0.000001)^2/(4*'D(Ti_Audétat23) Times'!$C177)/(365.35*24*3600)</f>
        <v>327784.01477323344</v>
      </c>
      <c r="AC177" s="2">
        <f t="shared" si="9"/>
        <v>23927.40621217334</v>
      </c>
      <c r="AD177" s="2">
        <f t="shared" si="10"/>
        <v>303856.32805284014</v>
      </c>
    </row>
    <row r="178" spans="1:30" x14ac:dyDescent="0.2">
      <c r="A178" t="str">
        <f>[412]L!A178</f>
        <v>CGI009-qtz08-CL-fit-5-offset</v>
      </c>
      <c r="B178">
        <v>750</v>
      </c>
      <c r="C178">
        <f t="shared" si="11"/>
        <v>1.1456341375347871E-23</v>
      </c>
      <c r="D178">
        <v>2300</v>
      </c>
      <c r="E178">
        <v>1024</v>
      </c>
      <c r="F178">
        <f t="shared" si="8"/>
        <v>2.24609375</v>
      </c>
      <c r="I178" s="2">
        <f>([412]L!J178*'D(Ti_Audétat23) Times'!$F178*0.000001)^2/(4*'D(Ti_Audétat23) Times'!$C178)/(365.35*24*3600)</f>
        <v>15446.690182501097</v>
      </c>
      <c r="J178" s="2">
        <f>([412]L!K178*'D(Ti_Audétat23) Times'!$F178*0.000001)^2/(4*'D(Ti_Audétat23) Times'!$C178)/(365.35*24*3600)</f>
        <v>11775.48710219213</v>
      </c>
      <c r="K178" s="2">
        <f>([412]L!L178*'D(Ti_Audétat23) Times'!$F178*0.000001)^2/(4*'D(Ti_Audétat23) Times'!$C178)/(365.35*24*3600)</f>
        <v>18025.906100820186</v>
      </c>
      <c r="L178" s="2">
        <f>([412]L!M178*'D(Ti_Audétat23) Times'!$F178*0.000001)^2/(4*'D(Ti_Audétat23) Times'!$C178)/(365.35*24*3600)</f>
        <v>17204.120095126986</v>
      </c>
      <c r="M178" s="2">
        <f>([412]L!N178*'D(Ti_Audétat23) Times'!$F178*0.000001)^2/(4*'D(Ti_Audétat23) Times'!$C178)/(365.35*24*3600)</f>
        <v>32163.880908907104</v>
      </c>
      <c r="N178" s="2">
        <f>([412]L!O178*'D(Ti_Audétat23) Times'!$F178*0.000001)^2/(4*'D(Ti_Audétat23) Times'!$C178)/(365.35*24*3600)</f>
        <v>7377.6653964218276</v>
      </c>
      <c r="O178" s="2">
        <f>([412]L!P178*'D(Ti_Audétat23) Times'!$F178*0.000001)^2/(4*'D(Ti_Audétat23) Times'!$C178)/(365.35*24*3600)</f>
        <v>18637.301245509414</v>
      </c>
      <c r="P178" s="2">
        <f>([412]L!Q178*'D(Ti_Audétat23) Times'!$F178*0.000001)^2/(4*'D(Ti_Audétat23) Times'!$C178)/(365.35*24*3600)</f>
        <v>18428.309193357862</v>
      </c>
      <c r="Q178" s="2">
        <f>([412]L!R178*'D(Ti_Audétat23) Times'!$F178*0.000001)^2/(4*'D(Ti_Audétat23) Times'!$C178)/(365.35*24*3600)</f>
        <v>28085.042109253915</v>
      </c>
      <c r="R178" s="2">
        <f>([412]L!S178*'D(Ti_Audétat23) Times'!$F178*0.000001)^2/(4*'D(Ti_Audétat23) Times'!$C178)/(365.35*24*3600)</f>
        <v>24492.058432778755</v>
      </c>
      <c r="S178" s="2">
        <f>([412]L!T178*'D(Ti_Audétat23) Times'!$F178*0.000001)^2/(4*'D(Ti_Audétat23) Times'!$C178)/(365.35*24*3600)</f>
        <v>20980.8251442496</v>
      </c>
      <c r="T178" s="2"/>
      <c r="U178" s="2">
        <f>([412]L!V178*'D(Ti_Audétat23) Times'!$F178*0.000001)^2/(4*'D(Ti_Audétat23) Times'!$C178)/(365.35*24*3600)</f>
        <v>18748.683833400515</v>
      </c>
      <c r="V178" s="2">
        <f>([412]L!W178*'D(Ti_Audétat23) Times'!$F178*0.000001)^2/(4*'D(Ti_Audétat23) Times'!$C178)/(365.35*24*3600)</f>
        <v>18710.839189260565</v>
      </c>
      <c r="W178" s="2">
        <f>([412]L!X178*'D(Ti_Audétat23) Times'!$F178*0.000001)^2/(4*'D(Ti_Audétat23) Times'!$C178)/(365.35*24*3600)</f>
        <v>18428.309193357862</v>
      </c>
      <c r="X178" s="2"/>
      <c r="Y178" s="2">
        <f>([412]L!Z178*'D(Ti_Audétat23) Times'!$F178*0.000001)^2/(4*'D(Ti_Audétat23) Times'!$C178)/(365.35*24*3600)</f>
        <v>17136.15459494925</v>
      </c>
      <c r="Z178" s="2">
        <f>([412]L!AB178*'D(Ti_Audétat23) Times'!$F178*0.000001)^2/(4*'D(Ti_Audétat23) Times'!$C178)/(365.35*24*3600)</f>
        <v>18051.051304527628</v>
      </c>
      <c r="AA178" s="2">
        <f>([412]L!AC178*'D(Ti_Audétat23) Times'!$F178*0.000001)^2/(4*'D(Ti_Audétat23) Times'!$C178)/(365.35*24*3600)</f>
        <v>5308.2617961207798</v>
      </c>
      <c r="AB178" s="2">
        <f>([412]L!AD178*'D(Ti_Audétat23) Times'!$F178*0.000001)^2/(4*'D(Ti_Audétat23) Times'!$C178)/(365.35*24*3600)</f>
        <v>44903.581416223875</v>
      </c>
      <c r="AC178" s="2">
        <f t="shared" si="9"/>
        <v>12742.789508406848</v>
      </c>
      <c r="AD178" s="2">
        <f t="shared" si="10"/>
        <v>26852.530111696247</v>
      </c>
    </row>
    <row r="179" spans="1:30" x14ac:dyDescent="0.2">
      <c r="A179" t="str">
        <f>[412]L!A179</f>
        <v>CGI009-qtz09-CL-fit-1-offset</v>
      </c>
      <c r="B179">
        <v>750</v>
      </c>
      <c r="C179">
        <f t="shared" si="11"/>
        <v>1.1456341375347871E-23</v>
      </c>
      <c r="D179">
        <v>2100</v>
      </c>
      <c r="E179">
        <v>1024</v>
      </c>
      <c r="F179">
        <f t="shared" si="8"/>
        <v>2.05078125</v>
      </c>
      <c r="I179" s="2">
        <f>([412]L!J179*'D(Ti_Audétat23) Times'!$F179*0.000001)^2/(4*'D(Ti_Audétat23) Times'!$C179)/(365.35*24*3600)</f>
        <v>79552.165955579578</v>
      </c>
      <c r="J179" s="2">
        <f>([412]L!K179*'D(Ti_Audétat23) Times'!$F179*0.000001)^2/(4*'D(Ti_Audétat23) Times'!$C179)/(365.35*24*3600)</f>
        <v>48492.178489041828</v>
      </c>
      <c r="K179" s="2">
        <f>([412]L!L179*'D(Ti_Audétat23) Times'!$F179*0.000001)^2/(4*'D(Ti_Audétat23) Times'!$C179)/(365.35*24*3600)</f>
        <v>56884.209499844765</v>
      </c>
      <c r="L179" s="2">
        <f>([412]L!M179*'D(Ti_Audétat23) Times'!$F179*0.000001)^2/(4*'D(Ti_Audétat23) Times'!$C179)/(365.35*24*3600)</f>
        <v>65778.459238273266</v>
      </c>
      <c r="M179" s="2">
        <f>([412]L!N179*'D(Ti_Audétat23) Times'!$F179*0.000001)^2/(4*'D(Ti_Audétat23) Times'!$C179)/(365.35*24*3600)</f>
        <v>54831.189331355105</v>
      </c>
      <c r="N179" s="2">
        <f>([412]L!O179*'D(Ti_Audétat23) Times'!$F179*0.000001)^2/(4*'D(Ti_Audétat23) Times'!$C179)/(365.35*24*3600)</f>
        <v>54103.422769594072</v>
      </c>
      <c r="O179" s="2">
        <f>([412]L!P179*'D(Ti_Audétat23) Times'!$F179*0.000001)^2/(4*'D(Ti_Audétat23) Times'!$C179)/(365.35*24*3600)</f>
        <v>56329.38545779603</v>
      </c>
      <c r="P179" s="2">
        <f>([412]L!Q179*'D(Ti_Audétat23) Times'!$F179*0.000001)^2/(4*'D(Ti_Audétat23) Times'!$C179)/(365.35*24*3600)</f>
        <v>88623.698638809481</v>
      </c>
      <c r="Q179" s="2">
        <f>([412]L!R179*'D(Ti_Audétat23) Times'!$F179*0.000001)^2/(4*'D(Ti_Audétat23) Times'!$C179)/(365.35*24*3600)</f>
        <v>84168.353343716444</v>
      </c>
      <c r="R179" s="2">
        <f>([412]L!S179*'D(Ti_Audétat23) Times'!$F179*0.000001)^2/(4*'D(Ti_Audétat23) Times'!$C179)/(365.35*24*3600)</f>
        <v>58792.43778659594</v>
      </c>
      <c r="S179" s="2">
        <f>([412]L!T179*'D(Ti_Audétat23) Times'!$F179*0.000001)^2/(4*'D(Ti_Audétat23) Times'!$C179)/(365.35*24*3600)</f>
        <v>50667.336480913349</v>
      </c>
      <c r="T179" s="2"/>
      <c r="U179" s="2">
        <f>([412]L!V179*'D(Ti_Audétat23) Times'!$F179*0.000001)^2/(4*'D(Ti_Audétat23) Times'!$C179)/(365.35*24*3600)</f>
        <v>63374.332921247536</v>
      </c>
      <c r="V179" s="2">
        <f>([412]L!W179*'D(Ti_Audétat23) Times'!$F179*0.000001)^2/(4*'D(Ti_Audétat23) Times'!$C179)/(365.35*24*3600)</f>
        <v>62805.711389597018</v>
      </c>
      <c r="W179" s="2">
        <f>([412]L!X179*'D(Ti_Audétat23) Times'!$F179*0.000001)^2/(4*'D(Ti_Audétat23) Times'!$C179)/(365.35*24*3600)</f>
        <v>56884.209499844765</v>
      </c>
      <c r="X179" s="2"/>
      <c r="Y179" s="2">
        <f>([412]L!Z179*'D(Ti_Audétat23) Times'!$F179*0.000001)^2/(4*'D(Ti_Audétat23) Times'!$C179)/(365.35*24*3600)</f>
        <v>63856.009685645353</v>
      </c>
      <c r="Z179" s="2">
        <f>([412]L!AB179*'D(Ti_Audétat23) Times'!$F179*0.000001)^2/(4*'D(Ti_Audétat23) Times'!$C179)/(365.35*24*3600)</f>
        <v>67586.394374185285</v>
      </c>
      <c r="AA179" s="2">
        <f>([412]L!AC179*'D(Ti_Audétat23) Times'!$F179*0.000001)^2/(4*'D(Ti_Audétat23) Times'!$C179)/(365.35*24*3600)</f>
        <v>38745.943314651064</v>
      </c>
      <c r="AB179" s="2">
        <f>([412]L!AD179*'D(Ti_Audétat23) Times'!$F179*0.000001)^2/(4*'D(Ti_Audétat23) Times'!$C179)/(365.35*24*3600)</f>
        <v>124982.44732115185</v>
      </c>
      <c r="AC179" s="2">
        <f t="shared" si="9"/>
        <v>28840.451059534222</v>
      </c>
      <c r="AD179" s="2">
        <f t="shared" si="10"/>
        <v>57396.052946966563</v>
      </c>
    </row>
    <row r="180" spans="1:30" x14ac:dyDescent="0.2">
      <c r="A180" t="str">
        <f>[412]L!A180</f>
        <v>CGI009-qtz09-CL-fit-2-offset</v>
      </c>
      <c r="B180">
        <v>750</v>
      </c>
      <c r="C180">
        <f t="shared" si="11"/>
        <v>1.1456341375347871E-23</v>
      </c>
      <c r="D180">
        <v>2100</v>
      </c>
      <c r="E180">
        <v>1024</v>
      </c>
      <c r="F180">
        <f t="shared" si="8"/>
        <v>2.05078125</v>
      </c>
      <c r="I180" s="2">
        <f>([412]L!J180*'D(Ti_Audétat23) Times'!$F180*0.000001)^2/(4*'D(Ti_Audétat23) Times'!$C180)/(365.35*24*3600)</f>
        <v>47981.436740340083</v>
      </c>
      <c r="J180" s="2">
        <f>([412]L!K180*'D(Ti_Audétat23) Times'!$F180*0.000001)^2/(4*'D(Ti_Audétat23) Times'!$C180)/(365.35*24*3600)</f>
        <v>83063.169736962736</v>
      </c>
      <c r="K180" s="2">
        <f>([412]L!L180*'D(Ti_Audétat23) Times'!$F180*0.000001)^2/(4*'D(Ti_Audétat23) Times'!$C180)/(365.35*24*3600)</f>
        <v>61748.646117717835</v>
      </c>
      <c r="L180" s="2">
        <f>([412]L!M180*'D(Ti_Audétat23) Times'!$F180*0.000001)^2/(4*'D(Ti_Audétat23) Times'!$C180)/(365.35*24*3600)</f>
        <v>183435.86435004199</v>
      </c>
      <c r="M180" s="2">
        <f>([412]L!N180*'D(Ti_Audétat23) Times'!$F180*0.000001)^2/(4*'D(Ti_Audétat23) Times'!$C180)/(365.35*24*3600)</f>
        <v>67183.586152269854</v>
      </c>
      <c r="N180" s="2">
        <f>([412]L!O180*'D(Ti_Audétat23) Times'!$F180*0.000001)^2/(4*'D(Ti_Audétat23) Times'!$C180)/(365.35*24*3600)</f>
        <v>88291.238421600705</v>
      </c>
      <c r="O180" s="2">
        <f>([412]L!P180*'D(Ti_Audétat23) Times'!$F180*0.000001)^2/(4*'D(Ti_Audétat23) Times'!$C180)/(365.35*24*3600)</f>
        <v>71531.214910121562</v>
      </c>
      <c r="P180" s="2">
        <f>([412]L!Q180*'D(Ti_Audétat23) Times'!$F180*0.000001)^2/(4*'D(Ti_Audétat23) Times'!$C180)/(365.35*24*3600)</f>
        <v>65949.469493859026</v>
      </c>
      <c r="Q180" s="2">
        <f>([412]L!R180*'D(Ti_Audétat23) Times'!$F180*0.000001)^2/(4*'D(Ti_Audétat23) Times'!$C180)/(365.35*24*3600)</f>
        <v>101569.61027369657</v>
      </c>
      <c r="R180" s="2">
        <f>([412]L!S180*'D(Ti_Audétat23) Times'!$F180*0.000001)^2/(4*'D(Ti_Audétat23) Times'!$C180)/(365.35*24*3600)</f>
        <v>73570.371860668252</v>
      </c>
      <c r="S180" s="2">
        <f>([412]L!T180*'D(Ti_Audétat23) Times'!$F180*0.000001)^2/(4*'D(Ti_Audétat23) Times'!$C180)/(365.35*24*3600)</f>
        <v>55676.599276120221</v>
      </c>
      <c r="T180" s="2"/>
      <c r="U180" s="2">
        <f>([412]L!V180*'D(Ti_Audétat23) Times'!$F180*0.000001)^2/(4*'D(Ti_Audétat23) Times'!$C180)/(365.35*24*3600)</f>
        <v>76035.986743704503</v>
      </c>
      <c r="V180" s="2">
        <f>([412]L!W180*'D(Ti_Audétat23) Times'!$F180*0.000001)^2/(4*'D(Ti_Audétat23) Times'!$C180)/(365.35*24*3600)</f>
        <v>78937.172111957712</v>
      </c>
      <c r="W180" s="2">
        <f>([412]L!X180*'D(Ti_Audétat23) Times'!$F180*0.000001)^2/(4*'D(Ti_Audétat23) Times'!$C180)/(365.35*24*3600)</f>
        <v>71531.214910121562</v>
      </c>
      <c r="X180" s="2"/>
      <c r="Y180" s="2">
        <f>([412]L!Z180*'D(Ti_Audétat23) Times'!$F180*0.000001)^2/(4*'D(Ti_Audétat23) Times'!$C180)/(365.35*24*3600)</f>
        <v>77595.751499792954</v>
      </c>
      <c r="Z180" s="2">
        <f>([412]L!AB180*'D(Ti_Audétat23) Times'!$F180*0.000001)^2/(4*'D(Ti_Audétat23) Times'!$C180)/(365.35*24*3600)</f>
        <v>75979.367391778578</v>
      </c>
      <c r="AA180" s="2">
        <f>([412]L!AC180*'D(Ti_Audétat23) Times'!$F180*0.000001)^2/(4*'D(Ti_Audétat23) Times'!$C180)/(365.35*24*3600)</f>
        <v>38029.301334743715</v>
      </c>
      <c r="AB180" s="2">
        <f>([412]L!AD180*'D(Ti_Audétat23) Times'!$F180*0.000001)^2/(4*'D(Ti_Audétat23) Times'!$C180)/(365.35*24*3600)</f>
        <v>136448.56488207073</v>
      </c>
      <c r="AC180" s="2">
        <f t="shared" si="9"/>
        <v>37950.066057034863</v>
      </c>
      <c r="AD180" s="2">
        <f t="shared" si="10"/>
        <v>60469.19749029215</v>
      </c>
    </row>
    <row r="181" spans="1:30" x14ac:dyDescent="0.2">
      <c r="A181" t="str">
        <f>[412]L!A181</f>
        <v>CGI009-qtz09-CL-fit-3-offset</v>
      </c>
      <c r="B181">
        <v>750</v>
      </c>
      <c r="C181">
        <f t="shared" si="11"/>
        <v>1.1456341375347871E-23</v>
      </c>
      <c r="D181">
        <v>2100</v>
      </c>
      <c r="E181">
        <v>1024</v>
      </c>
      <c r="F181">
        <f t="shared" si="8"/>
        <v>2.05078125</v>
      </c>
      <c r="I181" s="2">
        <f>([412]L!J181*'D(Ti_Audétat23) Times'!$F181*0.000001)^2/(4*'D(Ti_Audétat23) Times'!$C181)/(365.35*24*3600)</f>
        <v>29320.670484111095</v>
      </c>
      <c r="J181" s="2">
        <f>([412]L!K181*'D(Ti_Audétat23) Times'!$F181*0.000001)^2/(4*'D(Ti_Audétat23) Times'!$C181)/(365.35*24*3600)</f>
        <v>14743.497953710605</v>
      </c>
      <c r="K181" s="2">
        <f>([412]L!L181*'D(Ti_Audétat23) Times'!$F181*0.000001)^2/(4*'D(Ti_Audétat23) Times'!$C181)/(365.35*24*3600)</f>
        <v>20550.069018256479</v>
      </c>
      <c r="L181" s="2">
        <f>([412]L!M181*'D(Ti_Audétat23) Times'!$F181*0.000001)^2/(4*'D(Ti_Audétat23) Times'!$C181)/(365.35*24*3600)</f>
        <v>13390.684209500765</v>
      </c>
      <c r="M181" s="2">
        <f>([412]L!N181*'D(Ti_Audétat23) Times'!$F181*0.000001)^2/(4*'D(Ti_Audétat23) Times'!$C181)/(365.35*24*3600)</f>
        <v>27653.576523524865</v>
      </c>
      <c r="N181" s="2">
        <f>([412]L!O181*'D(Ti_Audétat23) Times'!$F181*0.000001)^2/(4*'D(Ti_Audétat23) Times'!$C181)/(365.35*24*3600)</f>
        <v>23273.553409327746</v>
      </c>
      <c r="O181" s="2">
        <f>([412]L!P181*'D(Ti_Audétat23) Times'!$F181*0.000001)^2/(4*'D(Ti_Audétat23) Times'!$C181)/(365.35*24*3600)</f>
        <v>16928.05368833672</v>
      </c>
      <c r="P181" s="2">
        <f>([412]L!Q181*'D(Ti_Audétat23) Times'!$F181*0.000001)^2/(4*'D(Ti_Audétat23) Times'!$C181)/(365.35*24*3600)</f>
        <v>18685.550358695022</v>
      </c>
      <c r="Q181" s="2">
        <f>([412]L!R181*'D(Ti_Audétat23) Times'!$F181*0.000001)^2/(4*'D(Ti_Audétat23) Times'!$C181)/(365.35*24*3600)</f>
        <v>17650.576178012721</v>
      </c>
      <c r="R181" s="2">
        <f>([412]L!S181*'D(Ti_Audétat23) Times'!$F181*0.000001)^2/(4*'D(Ti_Audétat23) Times'!$C181)/(365.35*24*3600)</f>
        <v>17917.839507495308</v>
      </c>
      <c r="S181" s="2">
        <f>([412]L!T181*'D(Ti_Audétat23) Times'!$F181*0.000001)^2/(4*'D(Ti_Audétat23) Times'!$C181)/(365.35*24*3600)</f>
        <v>27374.327423572857</v>
      </c>
      <c r="T181" s="2"/>
      <c r="U181" s="2">
        <f>([412]L!V181*'D(Ti_Audétat23) Times'!$F181*0.000001)^2/(4*'D(Ti_Audétat23) Times'!$C181)/(365.35*24*3600)</f>
        <v>20382.624572998771</v>
      </c>
      <c r="V181" s="2">
        <f>([412]L!W181*'D(Ti_Audétat23) Times'!$F181*0.000001)^2/(4*'D(Ti_Audétat23) Times'!$C181)/(365.35*24*3600)</f>
        <v>20359.26592017314</v>
      </c>
      <c r="W181" s="2">
        <f>([412]L!X181*'D(Ti_Audétat23) Times'!$F181*0.000001)^2/(4*'D(Ti_Audétat23) Times'!$C181)/(365.35*24*3600)</f>
        <v>18685.550358695022</v>
      </c>
      <c r="X181" s="2"/>
      <c r="Y181" s="2">
        <f>([412]L!Z181*'D(Ti_Audétat23) Times'!$F181*0.000001)^2/(4*'D(Ti_Audétat23) Times'!$C181)/(365.35*24*3600)</f>
        <v>20313.226846850113</v>
      </c>
      <c r="Z181" s="2">
        <f>([412]L!AB181*'D(Ti_Audétat23) Times'!$F181*0.000001)^2/(4*'D(Ti_Audétat23) Times'!$C181)/(365.35*24*3600)</f>
        <v>20182.606550207496</v>
      </c>
      <c r="AA181" s="2">
        <f>([412]L!AC181*'D(Ti_Audétat23) Times'!$F181*0.000001)^2/(4*'D(Ti_Audétat23) Times'!$C181)/(365.35*24*3600)</f>
        <v>10185.49080763006</v>
      </c>
      <c r="AB181" s="2">
        <f>([412]L!AD181*'D(Ti_Audétat23) Times'!$F181*0.000001)^2/(4*'D(Ti_Audétat23) Times'!$C181)/(365.35*24*3600)</f>
        <v>35000.883375929858</v>
      </c>
      <c r="AC181" s="2">
        <f t="shared" si="9"/>
        <v>9997.1157425774363</v>
      </c>
      <c r="AD181" s="2">
        <f t="shared" si="10"/>
        <v>14818.276825722362</v>
      </c>
    </row>
    <row r="182" spans="1:30" x14ac:dyDescent="0.2">
      <c r="A182" t="str">
        <f>[412]L!A182</f>
        <v>CGI009-qtz09-CL-fit-4-offset</v>
      </c>
      <c r="B182">
        <v>750</v>
      </c>
      <c r="C182">
        <f t="shared" si="11"/>
        <v>1.1456341375347871E-23</v>
      </c>
      <c r="D182">
        <v>2100</v>
      </c>
      <c r="E182">
        <v>1024</v>
      </c>
      <c r="F182">
        <f t="shared" si="8"/>
        <v>2.05078125</v>
      </c>
      <c r="I182" s="2">
        <f>([412]L!J182*'D(Ti_Audétat23) Times'!$F182*0.000001)^2/(4*'D(Ti_Audétat23) Times'!$C182)/(365.35*24*3600)</f>
        <v>6639.4138187357094</v>
      </c>
      <c r="J182" s="2">
        <f>([412]L!K182*'D(Ti_Audétat23) Times'!$F182*0.000001)^2/(4*'D(Ti_Audétat23) Times'!$C182)/(365.35*24*3600)</f>
        <v>5638.4029198919916</v>
      </c>
      <c r="K182" s="2">
        <f>([412]L!L182*'D(Ti_Audétat23) Times'!$F182*0.000001)^2/(4*'D(Ti_Audétat23) Times'!$C182)/(365.35*24*3600)</f>
        <v>5084.3233251886304</v>
      </c>
      <c r="L182" s="2">
        <f>([412]L!M182*'D(Ti_Audétat23) Times'!$F182*0.000001)^2/(4*'D(Ti_Audétat23) Times'!$C182)/(365.35*24*3600)</f>
        <v>5122.684028508409</v>
      </c>
      <c r="M182" s="2">
        <f>([412]L!N182*'D(Ti_Audétat23) Times'!$F182*0.000001)^2/(4*'D(Ti_Audétat23) Times'!$C182)/(365.35*24*3600)</f>
        <v>11172.935362476908</v>
      </c>
      <c r="N182" s="2">
        <f>([412]L!O182*'D(Ti_Audétat23) Times'!$F182*0.000001)^2/(4*'D(Ti_Audétat23) Times'!$C182)/(365.35*24*3600)</f>
        <v>7589.4821096625055</v>
      </c>
      <c r="O182" s="2">
        <f>([412]L!P182*'D(Ti_Audétat23) Times'!$F182*0.000001)^2/(4*'D(Ti_Audétat23) Times'!$C182)/(365.35*24*3600)</f>
        <v>4824.6735235833421</v>
      </c>
      <c r="P182" s="2">
        <f>([412]L!Q182*'D(Ti_Audétat23) Times'!$F182*0.000001)^2/(4*'D(Ti_Audétat23) Times'!$C182)/(365.35*24*3600)</f>
        <v>2291.5544541227882</v>
      </c>
      <c r="Q182" s="2">
        <f>([412]L!R182*'D(Ti_Audétat23) Times'!$F182*0.000001)^2/(4*'D(Ti_Audétat23) Times'!$C182)/(365.35*24*3600)</f>
        <v>3281.0299756631125</v>
      </c>
      <c r="R182" s="2">
        <f>([412]L!S182*'D(Ti_Audétat23) Times'!$F182*0.000001)^2/(4*'D(Ti_Audétat23) Times'!$C182)/(365.35*24*3600)</f>
        <v>4365.5435632373274</v>
      </c>
      <c r="S182" s="2">
        <f>([412]L!T182*'D(Ti_Audétat23) Times'!$F182*0.000001)^2/(4*'D(Ti_Audétat23) Times'!$C182)/(365.35*24*3600)</f>
        <v>1902.6612034739919</v>
      </c>
      <c r="T182" s="2"/>
      <c r="U182" s="2">
        <f>([412]L!V182*'D(Ti_Audétat23) Times'!$F182*0.000001)^2/(4*'D(Ti_Audétat23) Times'!$C182)/(365.35*24*3600)</f>
        <v>5818.5209005272218</v>
      </c>
      <c r="V182" s="2">
        <f>([412]L!W182*'D(Ti_Audétat23) Times'!$F182*0.000001)^2/(4*'D(Ti_Audétat23) Times'!$C182)/(365.35*24*3600)</f>
        <v>4983.9890538843329</v>
      </c>
      <c r="W182" s="2">
        <f>([412]L!X182*'D(Ti_Audétat23) Times'!$F182*0.000001)^2/(4*'D(Ti_Audétat23) Times'!$C182)/(365.35*24*3600)</f>
        <v>5084.3233251886304</v>
      </c>
      <c r="X182" s="2"/>
      <c r="Y182" s="2">
        <f>([412]L!Z182*'D(Ti_Audétat23) Times'!$F182*0.000001)^2/(4*'D(Ti_Audétat23) Times'!$C182)/(365.35*24*3600)</f>
        <v>4441.5650458097361</v>
      </c>
      <c r="Z182" s="2">
        <f>([412]L!AB182*'D(Ti_Audétat23) Times'!$F182*0.000001)^2/(4*'D(Ti_Audétat23) Times'!$C182)/(365.35*24*3600)</f>
        <v>4083.4671011191431</v>
      </c>
      <c r="AA182" s="2">
        <f>([412]L!AC182*'D(Ti_Audétat23) Times'!$F182*0.000001)^2/(4*'D(Ti_Audétat23) Times'!$C182)/(365.35*24*3600)</f>
        <v>342.04660043807297</v>
      </c>
      <c r="AB182" s="2">
        <f>([412]L!AD182*'D(Ti_Audétat23) Times'!$F182*0.000001)^2/(4*'D(Ti_Audétat23) Times'!$C182)/(365.35*24*3600)</f>
        <v>12855.458206793013</v>
      </c>
      <c r="AC182" s="2">
        <f t="shared" si="9"/>
        <v>3741.4205006810703</v>
      </c>
      <c r="AD182" s="2">
        <f t="shared" si="10"/>
        <v>8771.9911056738711</v>
      </c>
    </row>
    <row r="183" spans="1:30" x14ac:dyDescent="0.2">
      <c r="A183" t="str">
        <f>[412]L!A183</f>
        <v>CGI009-qtz10-CL-fit-1-offset</v>
      </c>
      <c r="B183">
        <v>750</v>
      </c>
      <c r="C183">
        <f t="shared" si="11"/>
        <v>1.1456341375347871E-23</v>
      </c>
      <c r="D183">
        <v>1900</v>
      </c>
      <c r="E183">
        <v>1024</v>
      </c>
      <c r="F183">
        <f t="shared" si="8"/>
        <v>1.85546875</v>
      </c>
      <c r="I183" s="2">
        <f>([412]L!J183*'D(Ti_Audétat23) Times'!$F183*0.000001)^2/(4*'D(Ti_Audétat23) Times'!$C183)/(365.35*24*3600)</f>
        <v>83119.978976758444</v>
      </c>
      <c r="J183" s="2">
        <f>([412]L!K183*'D(Ti_Audétat23) Times'!$F183*0.000001)^2/(4*'D(Ti_Audétat23) Times'!$C183)/(365.35*24*3600)</f>
        <v>57590.396599890613</v>
      </c>
      <c r="K183" s="2">
        <f>([412]L!L183*'D(Ti_Audétat23) Times'!$F183*0.000001)^2/(4*'D(Ti_Audétat23) Times'!$C183)/(365.35*24*3600)</f>
        <v>69708.178724865502</v>
      </c>
      <c r="L183" s="2">
        <f>([412]L!M183*'D(Ti_Audétat23) Times'!$F183*0.000001)^2/(4*'D(Ti_Audétat23) Times'!$C183)/(365.35*24*3600)</f>
        <v>69524.528263319226</v>
      </c>
      <c r="M183" s="2">
        <f>([412]L!N183*'D(Ti_Audétat23) Times'!$F183*0.000001)^2/(4*'D(Ti_Audétat23) Times'!$C183)/(365.35*24*3600)</f>
        <v>74251.236409942168</v>
      </c>
      <c r="N183" s="2">
        <f>([412]L!O183*'D(Ti_Audétat23) Times'!$F183*0.000001)^2/(4*'D(Ti_Audétat23) Times'!$C183)/(365.35*24*3600)</f>
        <v>77706.61033918013</v>
      </c>
      <c r="O183" s="2">
        <f>([412]L!P183*'D(Ti_Audétat23) Times'!$F183*0.000001)^2/(4*'D(Ti_Audétat23) Times'!$C183)/(365.35*24*3600)</f>
        <v>72642.660562487072</v>
      </c>
      <c r="P183" s="2">
        <f>([412]L!Q183*'D(Ti_Audétat23) Times'!$F183*0.000001)^2/(4*'D(Ti_Audétat23) Times'!$C183)/(365.35*24*3600)</f>
        <v>74603.67309172939</v>
      </c>
      <c r="Q183" s="2">
        <f>([412]L!R183*'D(Ti_Audétat23) Times'!$F183*0.000001)^2/(4*'D(Ti_Audétat23) Times'!$C183)/(365.35*24*3600)</f>
        <v>67491.145639476366</v>
      </c>
      <c r="R183" s="2">
        <f>([412]L!S183*'D(Ti_Audétat23) Times'!$F183*0.000001)^2/(4*'D(Ti_Audétat23) Times'!$C183)/(365.35*24*3600)</f>
        <v>75850.220252867046</v>
      </c>
      <c r="S183" s="2">
        <f>([412]L!T183*'D(Ti_Audétat23) Times'!$F183*0.000001)^2/(4*'D(Ti_Audétat23) Times'!$C183)/(365.35*24*3600)</f>
        <v>68672.977622632185</v>
      </c>
      <c r="T183" s="2"/>
      <c r="U183" s="2">
        <f>([412]L!V183*'D(Ti_Audétat23) Times'!$F183*0.000001)^2/(4*'D(Ti_Audétat23) Times'!$C183)/(365.35*24*3600)</f>
        <v>72149.085350654961</v>
      </c>
      <c r="V183" s="2">
        <f>([412]L!W183*'D(Ti_Audétat23) Times'!$F183*0.000001)^2/(4*'D(Ti_Audétat23) Times'!$C183)/(365.35*24*3600)</f>
        <v>71782.496594555385</v>
      </c>
      <c r="W183" s="2">
        <f>([412]L!X183*'D(Ti_Audétat23) Times'!$F183*0.000001)^2/(4*'D(Ti_Audétat23) Times'!$C183)/(365.35*24*3600)</f>
        <v>72642.660562487072</v>
      </c>
      <c r="X183" s="2"/>
      <c r="Y183" s="2">
        <f>([412]L!Z183*'D(Ti_Audétat23) Times'!$F183*0.000001)^2/(4*'D(Ti_Audétat23) Times'!$C183)/(365.35*24*3600)</f>
        <v>71584.773865738709</v>
      </c>
      <c r="Z183" s="2">
        <f>([412]L!AB183*'D(Ti_Audétat23) Times'!$F183*0.000001)^2/(4*'D(Ti_Audétat23) Times'!$C183)/(365.35*24*3600)</f>
        <v>71682.000447054903</v>
      </c>
      <c r="AA183" s="2">
        <f>([412]L!AC183*'D(Ti_Audétat23) Times'!$F183*0.000001)^2/(4*'D(Ti_Audétat23) Times'!$C183)/(365.35*24*3600)</f>
        <v>48878.572329171206</v>
      </c>
      <c r="AB183" s="2">
        <f>([412]L!AD183*'D(Ti_Audétat23) Times'!$F183*0.000001)^2/(4*'D(Ti_Audétat23) Times'!$C183)/(365.35*24*3600)</f>
        <v>98743.854786980635</v>
      </c>
      <c r="AC183" s="2">
        <f t="shared" si="9"/>
        <v>22803.428117883697</v>
      </c>
      <c r="AD183" s="2">
        <f t="shared" si="10"/>
        <v>27061.854339925732</v>
      </c>
    </row>
    <row r="184" spans="1:30" x14ac:dyDescent="0.2">
      <c r="A184" t="str">
        <f>[412]L!A184</f>
        <v>CGI009-qtz10-CL-fit-2-offset</v>
      </c>
      <c r="B184">
        <v>750</v>
      </c>
      <c r="C184">
        <f t="shared" si="11"/>
        <v>1.1456341375347871E-23</v>
      </c>
      <c r="D184">
        <v>1900</v>
      </c>
      <c r="E184">
        <v>1024</v>
      </c>
      <c r="F184">
        <f t="shared" si="8"/>
        <v>1.85546875</v>
      </c>
      <c r="I184" s="2">
        <f>([412]L!J184*'D(Ti_Audétat23) Times'!$F184*0.000001)^2/(4*'D(Ti_Audétat23) Times'!$C184)/(365.35*24*3600)</f>
        <v>15954.30036065372</v>
      </c>
      <c r="J184" s="2">
        <f>([412]L!K184*'D(Ti_Audétat23) Times'!$F184*0.000001)^2/(4*'D(Ti_Audétat23) Times'!$C184)/(365.35*24*3600)</f>
        <v>39166.333483918752</v>
      </c>
      <c r="K184" s="2">
        <f>([412]L!L184*'D(Ti_Audétat23) Times'!$F184*0.000001)^2/(4*'D(Ti_Audétat23) Times'!$C184)/(365.35*24*3600)</f>
        <v>29814.847389721508</v>
      </c>
      <c r="L184" s="2">
        <f>([412]L!M184*'D(Ti_Audétat23) Times'!$F184*0.000001)^2/(4*'D(Ti_Audétat23) Times'!$C184)/(365.35*24*3600)</f>
        <v>38839.497124253074</v>
      </c>
      <c r="M184" s="2">
        <f>([412]L!N184*'D(Ti_Audétat23) Times'!$F184*0.000001)^2/(4*'D(Ti_Audétat23) Times'!$C184)/(365.35*24*3600)</f>
        <v>34411.947587389688</v>
      </c>
      <c r="N184" s="2">
        <f>([412]L!O184*'D(Ti_Audétat23) Times'!$F184*0.000001)^2/(4*'D(Ti_Audétat23) Times'!$C184)/(365.35*24*3600)</f>
        <v>25181.852628176635</v>
      </c>
      <c r="O184" s="2">
        <f>([412]L!P184*'D(Ti_Audétat23) Times'!$F184*0.000001)^2/(4*'D(Ti_Audétat23) Times'!$C184)/(365.35*24*3600)</f>
        <v>10074.322813798624</v>
      </c>
      <c r="P184" s="2">
        <f>([412]L!Q184*'D(Ti_Audétat23) Times'!$F184*0.000001)^2/(4*'D(Ti_Audétat23) Times'!$C184)/(365.35*24*3600)</f>
        <v>32744.604547067491</v>
      </c>
      <c r="Q184" s="2">
        <f>([412]L!R184*'D(Ti_Audétat23) Times'!$F184*0.000001)^2/(4*'D(Ti_Audétat23) Times'!$C184)/(365.35*24*3600)</f>
        <v>29693.360799341193</v>
      </c>
      <c r="R184" s="2">
        <f>([412]L!S184*'D(Ti_Audétat23) Times'!$F184*0.000001)^2/(4*'D(Ti_Audétat23) Times'!$C184)/(365.35*24*3600)</f>
        <v>27125.448990921628</v>
      </c>
      <c r="S184" s="2">
        <f>([412]L!T184*'D(Ti_Audétat23) Times'!$F184*0.000001)^2/(4*'D(Ti_Audétat23) Times'!$C184)/(365.35*24*3600)</f>
        <v>32331.736620168656</v>
      </c>
      <c r="T184" s="2"/>
      <c r="U184" s="2">
        <f>([412]L!V184*'D(Ti_Audétat23) Times'!$F184*0.000001)^2/(4*'D(Ti_Audétat23) Times'!$C184)/(365.35*24*3600)</f>
        <v>28260.183432976861</v>
      </c>
      <c r="V184" s="2">
        <f>([412]L!W184*'D(Ti_Audétat23) Times'!$F184*0.000001)^2/(4*'D(Ti_Audétat23) Times'!$C184)/(365.35*24*3600)</f>
        <v>27867.944053906522</v>
      </c>
      <c r="W184" s="2">
        <f>([412]L!X184*'D(Ti_Audétat23) Times'!$F184*0.000001)^2/(4*'D(Ti_Audétat23) Times'!$C184)/(365.35*24*3600)</f>
        <v>29814.847389721508</v>
      </c>
      <c r="X184" s="2"/>
      <c r="Y184" s="2">
        <f>([412]L!Z184*'D(Ti_Audétat23) Times'!$F184*0.000001)^2/(4*'D(Ti_Audétat23) Times'!$C184)/(365.35*24*3600)</f>
        <v>27293.989536582503</v>
      </c>
      <c r="Z184" s="2">
        <f>([412]L!AB184*'D(Ti_Audétat23) Times'!$F184*0.000001)^2/(4*'D(Ti_Audétat23) Times'!$C184)/(365.35*24*3600)</f>
        <v>26622.187704488624</v>
      </c>
      <c r="AA184" s="2">
        <f>([412]L!AC184*'D(Ti_Audétat23) Times'!$F184*0.000001)^2/(4*'D(Ti_Audétat23) Times'!$C184)/(365.35*24*3600)</f>
        <v>11694.134141073633</v>
      </c>
      <c r="AB184" s="2">
        <f>([412]L!AD184*'D(Ti_Audétat23) Times'!$F184*0.000001)^2/(4*'D(Ti_Audétat23) Times'!$C184)/(365.35*24*3600)</f>
        <v>49316.28649937822</v>
      </c>
      <c r="AC184" s="2">
        <f t="shared" si="9"/>
        <v>14928.053563414991</v>
      </c>
      <c r="AD184" s="2">
        <f t="shared" si="10"/>
        <v>22694.098794889596</v>
      </c>
    </row>
    <row r="185" spans="1:30" x14ac:dyDescent="0.2">
      <c r="A185" t="str">
        <f>[412]L!A185</f>
        <v>CGI009-qtz10-CL-fit-3-offset</v>
      </c>
      <c r="B185">
        <v>750</v>
      </c>
      <c r="C185">
        <f t="shared" si="11"/>
        <v>1.1456341375347871E-23</v>
      </c>
      <c r="D185">
        <v>1900</v>
      </c>
      <c r="E185">
        <v>1024</v>
      </c>
      <c r="F185">
        <f t="shared" si="8"/>
        <v>1.85546875</v>
      </c>
      <c r="I185" s="2">
        <f>([412]L!J185*'D(Ti_Audétat23) Times'!$F185*0.000001)^2/(4*'D(Ti_Audétat23) Times'!$C185)/(365.35*24*3600)</f>
        <v>24085.539977709323</v>
      </c>
      <c r="J185" s="2">
        <f>([412]L!K185*'D(Ti_Audétat23) Times'!$F185*0.000001)^2/(4*'D(Ti_Audétat23) Times'!$C185)/(365.35*24*3600)</f>
        <v>19426.344940921303</v>
      </c>
      <c r="K185" s="2">
        <f>([412]L!L185*'D(Ti_Audétat23) Times'!$F185*0.000001)^2/(4*'D(Ti_Audétat23) Times'!$C185)/(365.35*24*3600)</f>
        <v>20240.548128559753</v>
      </c>
      <c r="L185" s="2">
        <f>([412]L!M185*'D(Ti_Audétat23) Times'!$F185*0.000001)^2/(4*'D(Ti_Audétat23) Times'!$C185)/(365.35*24*3600)</f>
        <v>18625.717099878813</v>
      </c>
      <c r="M185" s="2">
        <f>([412]L!N185*'D(Ti_Audétat23) Times'!$F185*0.000001)^2/(4*'D(Ti_Audétat23) Times'!$C185)/(365.35*24*3600)</f>
        <v>17679.273102746185</v>
      </c>
      <c r="N185" s="2">
        <f>([412]L!O185*'D(Ti_Audétat23) Times'!$F185*0.000001)^2/(4*'D(Ti_Audétat23) Times'!$C185)/(365.35*24*3600)</f>
        <v>23012.761680909985</v>
      </c>
      <c r="O185" s="2">
        <f>([412]L!P185*'D(Ti_Audétat23) Times'!$F185*0.000001)^2/(4*'D(Ti_Audétat23) Times'!$C185)/(365.35*24*3600)</f>
        <v>23569.280173314502</v>
      </c>
      <c r="P185" s="2">
        <f>([412]L!Q185*'D(Ti_Audétat23) Times'!$F185*0.000001)^2/(4*'D(Ti_Audétat23) Times'!$C185)/(365.35*24*3600)</f>
        <v>22291.371974322145</v>
      </c>
      <c r="Q185" s="2">
        <f>([412]L!R185*'D(Ti_Audétat23) Times'!$F185*0.000001)^2/(4*'D(Ti_Audétat23) Times'!$C185)/(365.35*24*3600)</f>
        <v>27790.930116601867</v>
      </c>
      <c r="R185" s="2">
        <f>([412]L!S185*'D(Ti_Audétat23) Times'!$F185*0.000001)^2/(4*'D(Ti_Audétat23) Times'!$C185)/(365.35*24*3600)</f>
        <v>20389.502397779732</v>
      </c>
      <c r="S185" s="2">
        <f>([412]L!T185*'D(Ti_Audétat23) Times'!$F185*0.000001)^2/(4*'D(Ti_Audétat23) Times'!$C185)/(365.35*24*3600)</f>
        <v>13097.366666875248</v>
      </c>
      <c r="T185" s="2"/>
      <c r="U185" s="2">
        <f>([412]L!V185*'D(Ti_Audétat23) Times'!$F185*0.000001)^2/(4*'D(Ti_Audétat23) Times'!$C185)/(365.35*24*3600)</f>
        <v>21103.422380283093</v>
      </c>
      <c r="V185" s="2">
        <f>([412]L!W185*'D(Ti_Audétat23) Times'!$F185*0.000001)^2/(4*'D(Ti_Audétat23) Times'!$C185)/(365.35*24*3600)</f>
        <v>20755.626772418098</v>
      </c>
      <c r="W185" s="2">
        <f>([412]L!X185*'D(Ti_Audétat23) Times'!$F185*0.000001)^2/(4*'D(Ti_Audétat23) Times'!$C185)/(365.35*24*3600)</f>
        <v>20389.502397779732</v>
      </c>
      <c r="X185" s="2"/>
      <c r="Y185" s="2">
        <f>([412]L!Z185*'D(Ti_Audétat23) Times'!$F185*0.000001)^2/(4*'D(Ti_Audétat23) Times'!$C185)/(365.35*24*3600)</f>
        <v>20870.406075887411</v>
      </c>
      <c r="Z185" s="2">
        <f>([412]L!AB185*'D(Ti_Audétat23) Times'!$F185*0.000001)^2/(4*'D(Ti_Audétat23) Times'!$C185)/(365.35*24*3600)</f>
        <v>20861.369327080956</v>
      </c>
      <c r="AA185" s="2">
        <f>([412]L!AC185*'D(Ti_Audétat23) Times'!$F185*0.000001)^2/(4*'D(Ti_Audétat23) Times'!$C185)/(365.35*24*3600)</f>
        <v>13391.414249496065</v>
      </c>
      <c r="AB185" s="2">
        <f>([412]L!AD185*'D(Ti_Audétat23) Times'!$F185*0.000001)^2/(4*'D(Ti_Audétat23) Times'!$C185)/(365.35*24*3600)</f>
        <v>28494.786076678374</v>
      </c>
      <c r="AC185" s="2">
        <f t="shared" si="9"/>
        <v>7469.9550775848911</v>
      </c>
      <c r="AD185" s="2">
        <f t="shared" si="10"/>
        <v>7633.4167495974179</v>
      </c>
    </row>
    <row r="186" spans="1:30" x14ac:dyDescent="0.2">
      <c r="A186" t="str">
        <f>[412]L!A186</f>
        <v>CGI009-qtz10-CL-fit-4-offset</v>
      </c>
      <c r="B186">
        <v>750</v>
      </c>
      <c r="C186">
        <f t="shared" si="11"/>
        <v>1.1456341375347871E-23</v>
      </c>
      <c r="D186">
        <v>1900</v>
      </c>
      <c r="E186">
        <v>1024</v>
      </c>
      <c r="F186">
        <f t="shared" si="8"/>
        <v>1.85546875</v>
      </c>
      <c r="I186" s="2">
        <f>([412]L!J186*'D(Ti_Audétat23) Times'!$F186*0.000001)^2/(4*'D(Ti_Audétat23) Times'!$C186)/(365.35*24*3600)</f>
        <v>7586.4799573015416</v>
      </c>
      <c r="J186" s="2">
        <f>([412]L!K186*'D(Ti_Audétat23) Times'!$F186*0.000001)^2/(4*'D(Ti_Audétat23) Times'!$C186)/(365.35*24*3600)</f>
        <v>9755.2319683471724</v>
      </c>
      <c r="K186" s="2">
        <f>([412]L!L186*'D(Ti_Audétat23) Times'!$F186*0.000001)^2/(4*'D(Ti_Audétat23) Times'!$C186)/(365.35*24*3600)</f>
        <v>12379.906938840792</v>
      </c>
      <c r="L186" s="2">
        <f>([412]L!M186*'D(Ti_Audétat23) Times'!$F186*0.000001)^2/(4*'D(Ti_Audétat23) Times'!$C186)/(365.35*24*3600)</f>
        <v>10040.472071007382</v>
      </c>
      <c r="M186" s="2">
        <f>([412]L!N186*'D(Ti_Audétat23) Times'!$F186*0.000001)^2/(4*'D(Ti_Audétat23) Times'!$C186)/(365.35*24*3600)</f>
        <v>14847.706668534212</v>
      </c>
      <c r="N186" s="2">
        <f>([412]L!O186*'D(Ti_Audétat23) Times'!$F186*0.000001)^2/(4*'D(Ti_Audétat23) Times'!$C186)/(365.35*24*3600)</f>
        <v>6359.8051497811475</v>
      </c>
      <c r="O186" s="2">
        <f>([412]L!P186*'D(Ti_Audétat23) Times'!$F186*0.000001)^2/(4*'D(Ti_Audétat23) Times'!$C186)/(365.35*24*3600)</f>
        <v>9731.7159773730509</v>
      </c>
      <c r="P186" s="2">
        <f>([412]L!Q186*'D(Ti_Audétat23) Times'!$F186*0.000001)^2/(4*'D(Ti_Audétat23) Times'!$C186)/(365.35*24*3600)</f>
        <v>13648.487527809555</v>
      </c>
      <c r="Q186" s="2">
        <f>([412]L!R186*'D(Ti_Audétat23) Times'!$F186*0.000001)^2/(4*'D(Ti_Audétat23) Times'!$C186)/(365.35*24*3600)</f>
        <v>6782.1817825158423</v>
      </c>
      <c r="R186" s="2">
        <f>([412]L!S186*'D(Ti_Audétat23) Times'!$F186*0.000001)^2/(4*'D(Ti_Audétat23) Times'!$C186)/(365.35*24*3600)</f>
        <v>7186.9206396900463</v>
      </c>
      <c r="S186" s="2">
        <f>([412]L!T186*'D(Ti_Audétat23) Times'!$F186*0.000001)^2/(4*'D(Ti_Audétat23) Times'!$C186)/(365.35*24*3600)</f>
        <v>7772.7945204572279</v>
      </c>
      <c r="T186" s="2"/>
      <c r="U186" s="2">
        <f>([412]L!V186*'D(Ti_Audétat23) Times'!$F186*0.000001)^2/(4*'D(Ti_Audétat23) Times'!$C186)/(365.35*24*3600)</f>
        <v>9630.118950549082</v>
      </c>
      <c r="V186" s="2">
        <f>([412]L!W186*'D(Ti_Audétat23) Times'!$F186*0.000001)^2/(4*'D(Ti_Audétat23) Times'!$C186)/(365.35*24*3600)</f>
        <v>9456.768317759881</v>
      </c>
      <c r="W186" s="2">
        <f>([412]L!X186*'D(Ti_Audétat23) Times'!$F186*0.000001)^2/(4*'D(Ti_Audétat23) Times'!$C186)/(365.35*24*3600)</f>
        <v>9731.7159773730509</v>
      </c>
      <c r="X186" s="2"/>
      <c r="Y186" s="2">
        <f>([412]L!Z186*'D(Ti_Audétat23) Times'!$F186*0.000001)^2/(4*'D(Ti_Audétat23) Times'!$C186)/(365.35*24*3600)</f>
        <v>9082.4529178422126</v>
      </c>
      <c r="Z186" s="2">
        <f>([412]L!AB186*'D(Ti_Audétat23) Times'!$F186*0.000001)^2/(4*'D(Ti_Audétat23) Times'!$C186)/(365.35*24*3600)</f>
        <v>9298.1948958095363</v>
      </c>
      <c r="AA186" s="2">
        <f>([412]L!AC186*'D(Ti_Audétat23) Times'!$F186*0.000001)^2/(4*'D(Ti_Audétat23) Times'!$C186)/(365.35*24*3600)</f>
        <v>4597.6543013440551</v>
      </c>
      <c r="AB186" s="2">
        <f>([412]L!AD186*'D(Ti_Audétat23) Times'!$F186*0.000001)^2/(4*'D(Ti_Audétat23) Times'!$C186)/(365.35*24*3600)</f>
        <v>17125.895129025528</v>
      </c>
      <c r="AC186" s="2">
        <f t="shared" si="9"/>
        <v>4700.5405944654813</v>
      </c>
      <c r="AD186" s="2">
        <f t="shared" si="10"/>
        <v>7827.7002332159918</v>
      </c>
    </row>
    <row r="187" spans="1:30" x14ac:dyDescent="0.2">
      <c r="A187" t="str">
        <f>[412]L!A187</f>
        <v>CGI009-qtz10-CL-fit-5-offset</v>
      </c>
      <c r="B187">
        <v>750</v>
      </c>
      <c r="C187">
        <f t="shared" si="11"/>
        <v>1.1456341375347871E-23</v>
      </c>
      <c r="D187">
        <v>1900</v>
      </c>
      <c r="E187">
        <v>1024</v>
      </c>
      <c r="F187">
        <f t="shared" si="8"/>
        <v>1.85546875</v>
      </c>
      <c r="I187" s="2">
        <f>([412]L!J187*'D(Ti_Audétat23) Times'!$F187*0.000001)^2/(4*'D(Ti_Audétat23) Times'!$C187)/(365.35*24*3600)</f>
        <v>1680.9391849781496</v>
      </c>
      <c r="J187" s="2">
        <f>([412]L!K187*'D(Ti_Audétat23) Times'!$F187*0.000001)^2/(4*'D(Ti_Audétat23) Times'!$C187)/(365.35*24*3600)</f>
        <v>3.1835812619463402E-2</v>
      </c>
      <c r="K187" s="2">
        <f>([412]L!L187*'D(Ti_Audétat23) Times'!$F187*0.000001)^2/(4*'D(Ti_Audétat23) Times'!$C187)/(365.35*24*3600)</f>
        <v>805.6000881842466</v>
      </c>
      <c r="L187" s="2">
        <f>([412]L!M187*'D(Ti_Audétat23) Times'!$F187*0.000001)^2/(4*'D(Ti_Audétat23) Times'!$C187)/(365.35*24*3600)</f>
        <v>4860.1237690634161</v>
      </c>
      <c r="M187" s="2">
        <f>([412]L!N187*'D(Ti_Audétat23) Times'!$F187*0.000001)^2/(4*'D(Ti_Audétat23) Times'!$C187)/(365.35*24*3600)</f>
        <v>92.687768815402961</v>
      </c>
      <c r="N187" s="2">
        <f>([412]L!O187*'D(Ti_Audétat23) Times'!$F187*0.000001)^2/(4*'D(Ti_Audétat23) Times'!$C187)/(365.35*24*3600)</f>
        <v>117.81154843758929</v>
      </c>
      <c r="O187" s="2">
        <f>([412]L!P187*'D(Ti_Audétat23) Times'!$F187*0.000001)^2/(4*'D(Ti_Audétat23) Times'!$C187)/(365.35*24*3600)</f>
        <v>2089.9759669223999</v>
      </c>
      <c r="P187" s="2">
        <f>([412]L!Q187*'D(Ti_Audétat23) Times'!$F187*0.000001)^2/(4*'D(Ti_Audétat23) Times'!$C187)/(365.35*24*3600)</f>
        <v>172.11426487965815</v>
      </c>
      <c r="Q187" s="2">
        <f>([412]L!R187*'D(Ti_Audétat23) Times'!$F187*0.000001)^2/(4*'D(Ti_Audétat23) Times'!$C187)/(365.35*24*3600)</f>
        <v>62.460103931565179</v>
      </c>
      <c r="R187" s="2">
        <f>([412]L!S187*'D(Ti_Audétat23) Times'!$F187*0.000001)^2/(4*'D(Ti_Audétat23) Times'!$C187)/(365.35*24*3600)</f>
        <v>79.128559757228373</v>
      </c>
      <c r="S187" s="2">
        <f>([412]L!T187*'D(Ti_Audétat23) Times'!$F187*0.000001)^2/(4*'D(Ti_Audétat23) Times'!$C187)/(365.35*24*3600)</f>
        <v>80.144363782846398</v>
      </c>
      <c r="T187" s="2"/>
      <c r="U187" s="2">
        <f>([412]L!V187*'D(Ti_Audétat23) Times'!$F187*0.000001)^2/(4*'D(Ti_Audétat23) Times'!$C187)/(365.35*24*3600)</f>
        <v>1235.9822842622402</v>
      </c>
      <c r="V187" s="2">
        <f>([412]L!W187*'D(Ti_Audétat23) Times'!$F187*0.000001)^2/(4*'D(Ti_Audétat23) Times'!$C187)/(365.35*24*3600)</f>
        <v>493.41873786687023</v>
      </c>
      <c r="W187" s="2">
        <f>([412]L!X187*'D(Ti_Audétat23) Times'!$F187*0.000001)^2/(4*'D(Ti_Audétat23) Times'!$C187)/(365.35*24*3600)</f>
        <v>117.81154843758929</v>
      </c>
      <c r="X187" s="2"/>
      <c r="Y187" s="2">
        <f>([412]L!Z187*'D(Ti_Audétat23) Times'!$F187*0.000001)^2/(4*'D(Ti_Audétat23) Times'!$C187)/(365.35*24*3600)</f>
        <v>434.37435794232147</v>
      </c>
      <c r="Z187" s="2">
        <f>([412]L!AB187*'D(Ti_Audétat23) Times'!$F187*0.000001)^2/(4*'D(Ti_Audétat23) Times'!$C187)/(365.35*24*3600)</f>
        <v>705.63100205209685</v>
      </c>
      <c r="AA187" s="2">
        <f>([412]L!AC187*'D(Ti_Audétat23) Times'!$F187*0.000001)^2/(4*'D(Ti_Audétat23) Times'!$C187)/(365.35*24*3600)</f>
        <v>5.7494499107406938</v>
      </c>
      <c r="AB187" s="2">
        <f>([412]L!AD187*'D(Ti_Audétat23) Times'!$F187*0.000001)^2/(4*'D(Ti_Audétat23) Times'!$C187)/(365.35*24*3600)</f>
        <v>4733.6170084580808</v>
      </c>
      <c r="AC187" s="2">
        <f t="shared" si="9"/>
        <v>699.88155214135611</v>
      </c>
      <c r="AD187" s="2">
        <f t="shared" si="10"/>
        <v>4027.986006405984</v>
      </c>
    </row>
    <row r="188" spans="1:30" x14ac:dyDescent="0.2">
      <c r="A188" t="str">
        <f>[412]L!A188</f>
        <v>CGI009-qtz11-CL-fit-1-offset</v>
      </c>
      <c r="B188">
        <v>750</v>
      </c>
      <c r="C188">
        <f t="shared" si="11"/>
        <v>1.1456341375347871E-23</v>
      </c>
      <c r="D188">
        <v>1700</v>
      </c>
      <c r="E188">
        <v>1024</v>
      </c>
      <c r="F188">
        <f t="shared" si="8"/>
        <v>1.66015625</v>
      </c>
      <c r="I188" s="2">
        <f>([412]L!J188*'D(Ti_Audétat23) Times'!$F188*0.000001)^2/(4*'D(Ti_Audétat23) Times'!$C188)/(365.35*24*3600)</f>
        <v>35111.69159633285</v>
      </c>
      <c r="J188" s="2">
        <f>([412]L!K188*'D(Ti_Audétat23) Times'!$F188*0.000001)^2/(4*'D(Ti_Audétat23) Times'!$C188)/(365.35*24*3600)</f>
        <v>169.8216530370409</v>
      </c>
      <c r="K188" s="2">
        <f>([412]L!L188*'D(Ti_Audétat23) Times'!$F188*0.000001)^2/(4*'D(Ti_Audétat23) Times'!$C188)/(365.35*24*3600)</f>
        <v>2380.1756503765432</v>
      </c>
      <c r="L188" s="2">
        <f>([412]L!M188*'D(Ti_Audétat23) Times'!$F188*0.000001)^2/(4*'D(Ti_Audétat23) Times'!$C188)/(365.35*24*3600)</f>
        <v>261.95676524477403</v>
      </c>
      <c r="M188" s="2">
        <f>([412]L!N188*'D(Ti_Audétat23) Times'!$F188*0.000001)^2/(4*'D(Ti_Audétat23) Times'!$C188)/(365.35*24*3600)</f>
        <v>2795.0865937990229</v>
      </c>
      <c r="N188" s="2">
        <f>([412]L!O188*'D(Ti_Audétat23) Times'!$F188*0.000001)^2/(4*'D(Ti_Audétat23) Times'!$C188)/(365.35*24*3600)</f>
        <v>8372.0073203086049</v>
      </c>
      <c r="O188" s="2">
        <f>([412]L!P188*'D(Ti_Audétat23) Times'!$F188*0.000001)^2/(4*'D(Ti_Audétat23) Times'!$C188)/(365.35*24*3600)</f>
        <v>33309.094439867491</v>
      </c>
      <c r="P188" s="2">
        <f>([412]L!Q188*'D(Ti_Audétat23) Times'!$F188*0.000001)^2/(4*'D(Ti_Audétat23) Times'!$C188)/(365.35*24*3600)</f>
        <v>3128.6894763486202</v>
      </c>
      <c r="Q188" s="2">
        <f>([412]L!R188*'D(Ti_Audétat23) Times'!$F188*0.000001)^2/(4*'D(Ti_Audétat23) Times'!$C188)/(365.35*24*3600)</f>
        <v>137.62055950158151</v>
      </c>
      <c r="R188" s="2">
        <f>([412]L!S188*'D(Ti_Audétat23) Times'!$F188*0.000001)^2/(4*'D(Ti_Audétat23) Times'!$C188)/(365.35*24*3600)</f>
        <v>139.52734293927924</v>
      </c>
      <c r="S188" s="2">
        <f>([412]L!T188*'D(Ti_Audétat23) Times'!$F188*0.000001)^2/(4*'D(Ti_Audétat23) Times'!$C188)/(365.35*24*3600)</f>
        <v>1864.56807403633</v>
      </c>
      <c r="T188" s="2"/>
      <c r="U188" s="2">
        <f>([412]L!V188*'D(Ti_Audétat23) Times'!$F188*0.000001)^2/(4*'D(Ti_Audétat23) Times'!$C188)/(365.35*24*3600)</f>
        <v>4937.68362192735</v>
      </c>
      <c r="V188" s="2">
        <f>([412]L!W188*'D(Ti_Audétat23) Times'!$F188*0.000001)^2/(4*'D(Ti_Audétat23) Times'!$C188)/(365.35*24*3600)</f>
        <v>4224.0375048855512</v>
      </c>
      <c r="W188" s="2">
        <f>([412]L!X188*'D(Ti_Audétat23) Times'!$F188*0.000001)^2/(4*'D(Ti_Audétat23) Times'!$C188)/(365.35*24*3600)</f>
        <v>2380.1756503765432</v>
      </c>
      <c r="X188" s="2"/>
      <c r="Y188" s="2">
        <f>([412]L!Z188*'D(Ti_Audétat23) Times'!$F188*0.000001)^2/(4*'D(Ti_Audétat23) Times'!$C188)/(365.35*24*3600)</f>
        <v>4257.724777074236</v>
      </c>
      <c r="Z188" s="2">
        <f>([412]L!AB188*'D(Ti_Audétat23) Times'!$F188*0.000001)^2/(4*'D(Ti_Audétat23) Times'!$C188)/(365.35*24*3600)</f>
        <v>11204.7204359976</v>
      </c>
      <c r="AA188" s="2">
        <f>([412]L!AC188*'D(Ti_Audétat23) Times'!$F188*0.000001)^2/(4*'D(Ti_Audétat23) Times'!$C188)/(365.35*24*3600)</f>
        <v>4.1261665086291907E-2</v>
      </c>
      <c r="AB188" s="2">
        <f>([412]L!AD188*'D(Ti_Audétat23) Times'!$F188*0.000001)^2/(4*'D(Ti_Audétat23) Times'!$C188)/(365.35*24*3600)</f>
        <v>450776.68398853589</v>
      </c>
      <c r="AC188" s="2">
        <f t="shared" si="9"/>
        <v>11204.679174332514</v>
      </c>
      <c r="AD188" s="2">
        <f t="shared" si="10"/>
        <v>439571.96355253831</v>
      </c>
    </row>
    <row r="189" spans="1:30" x14ac:dyDescent="0.2">
      <c r="A189" t="str">
        <f>[412]L!A189</f>
        <v>CGI009-qtz11-CL-fit-2-offset</v>
      </c>
      <c r="B189">
        <v>750</v>
      </c>
      <c r="C189">
        <f t="shared" si="11"/>
        <v>1.1456341375347871E-23</v>
      </c>
      <c r="D189">
        <v>1700</v>
      </c>
      <c r="E189">
        <v>1024</v>
      </c>
      <c r="F189">
        <f t="shared" si="8"/>
        <v>1.66015625</v>
      </c>
      <c r="I189" s="2">
        <f>([412]L!J189*'D(Ti_Audétat23) Times'!$F189*0.000001)^2/(4*'D(Ti_Audétat23) Times'!$C189)/(365.35*24*3600)</f>
        <v>12278.982998862737</v>
      </c>
      <c r="J189" s="2">
        <f>([412]L!K189*'D(Ti_Audétat23) Times'!$F189*0.000001)^2/(4*'D(Ti_Audétat23) Times'!$C189)/(365.35*24*3600)</f>
        <v>7591.3624887452743</v>
      </c>
      <c r="K189" s="2">
        <f>([412]L!L189*'D(Ti_Audétat23) Times'!$F189*0.000001)^2/(4*'D(Ti_Audétat23) Times'!$C189)/(365.35*24*3600)</f>
        <v>10651.318672970045</v>
      </c>
      <c r="L189" s="2">
        <f>([412]L!M189*'D(Ti_Audétat23) Times'!$F189*0.000001)^2/(4*'D(Ti_Audétat23) Times'!$C189)/(365.35*24*3600)</f>
        <v>17575.271111036196</v>
      </c>
      <c r="M189" s="2">
        <f>([412]L!N189*'D(Ti_Audétat23) Times'!$F189*0.000001)^2/(4*'D(Ti_Audétat23) Times'!$C189)/(365.35*24*3600)</f>
        <v>10306.99284053219</v>
      </c>
      <c r="N189" s="2">
        <f>([412]L!O189*'D(Ti_Audétat23) Times'!$F189*0.000001)^2/(4*'D(Ti_Audétat23) Times'!$C189)/(365.35*24*3600)</f>
        <v>9597.2827052650991</v>
      </c>
      <c r="O189" s="2">
        <f>([412]L!P189*'D(Ti_Audétat23) Times'!$F189*0.000001)^2/(4*'D(Ti_Audétat23) Times'!$C189)/(365.35*24*3600)</f>
        <v>32850.312891624024</v>
      </c>
      <c r="P189" s="2">
        <f>([412]L!Q189*'D(Ti_Audétat23) Times'!$F189*0.000001)^2/(4*'D(Ti_Audétat23) Times'!$C189)/(365.35*24*3600)</f>
        <v>18204.242917397009</v>
      </c>
      <c r="Q189" s="2">
        <f>([412]L!R189*'D(Ti_Audétat23) Times'!$F189*0.000001)^2/(4*'D(Ti_Audétat23) Times'!$C189)/(365.35*24*3600)</f>
        <v>12428.755539888722</v>
      </c>
      <c r="R189" s="2">
        <f>([412]L!S189*'D(Ti_Audétat23) Times'!$F189*0.000001)^2/(4*'D(Ti_Audétat23) Times'!$C189)/(365.35*24*3600)</f>
        <v>3976.8451161507264</v>
      </c>
      <c r="S189" s="2">
        <f>([412]L!T189*'D(Ti_Audétat23) Times'!$F189*0.000001)^2/(4*'D(Ti_Audétat23) Times'!$C189)/(365.35*24*3600)</f>
        <v>6453.4055907813554</v>
      </c>
      <c r="T189" s="2"/>
      <c r="U189" s="2">
        <f>([412]L!V189*'D(Ti_Audétat23) Times'!$F189*0.000001)^2/(4*'D(Ti_Audétat23) Times'!$C189)/(365.35*24*3600)</f>
        <v>11542.47979265795</v>
      </c>
      <c r="V189" s="2">
        <f>([412]L!W189*'D(Ti_Audétat23) Times'!$F189*0.000001)^2/(4*'D(Ti_Audétat23) Times'!$C189)/(365.35*24*3600)</f>
        <v>11985.360236723132</v>
      </c>
      <c r="W189" s="2">
        <f>([412]L!X189*'D(Ti_Audétat23) Times'!$F189*0.000001)^2/(4*'D(Ti_Audétat23) Times'!$C189)/(365.35*24*3600)</f>
        <v>10651.318672970045</v>
      </c>
      <c r="X189" s="2"/>
      <c r="Y189" s="2">
        <f>([412]L!Z189*'D(Ti_Audétat23) Times'!$F189*0.000001)^2/(4*'D(Ti_Audétat23) Times'!$C189)/(365.35*24*3600)</f>
        <v>11791.469866074876</v>
      </c>
      <c r="Z189" s="2">
        <f>([412]L!AB189*'D(Ti_Audétat23) Times'!$F189*0.000001)^2/(4*'D(Ti_Audétat23) Times'!$C189)/(365.35*24*3600)</f>
        <v>11499.258924870257</v>
      </c>
      <c r="AA189" s="2">
        <f>([412]L!AC189*'D(Ti_Audétat23) Times'!$F189*0.000001)^2/(4*'D(Ti_Audétat23) Times'!$C189)/(365.35*24*3600)</f>
        <v>241.87034908403282</v>
      </c>
      <c r="AB189" s="2">
        <f>([412]L!AD189*'D(Ti_Audétat23) Times'!$F189*0.000001)^2/(4*'D(Ti_Audétat23) Times'!$C189)/(365.35*24*3600)</f>
        <v>31177.927102996335</v>
      </c>
      <c r="AC189" s="2">
        <f t="shared" si="9"/>
        <v>11257.388575786224</v>
      </c>
      <c r="AD189" s="2">
        <f t="shared" si="10"/>
        <v>19678.668178126078</v>
      </c>
    </row>
    <row r="190" spans="1:30" x14ac:dyDescent="0.2">
      <c r="A190" t="str">
        <f>[412]L!A190</f>
        <v>CGI009-qtz11-CL-fit-3-offset</v>
      </c>
      <c r="B190">
        <v>750</v>
      </c>
      <c r="C190">
        <f t="shared" si="11"/>
        <v>1.1456341375347871E-23</v>
      </c>
      <c r="D190">
        <v>1700</v>
      </c>
      <c r="E190">
        <v>1024</v>
      </c>
      <c r="F190">
        <f t="shared" si="8"/>
        <v>1.66015625</v>
      </c>
      <c r="I190" s="2">
        <f>([412]L!J190*'D(Ti_Audétat23) Times'!$F190*0.000001)^2/(4*'D(Ti_Audétat23) Times'!$C190)/(365.35*24*3600)</f>
        <v>25289.040856999287</v>
      </c>
      <c r="J190" s="2">
        <f>([412]L!K190*'D(Ti_Audétat23) Times'!$F190*0.000001)^2/(4*'D(Ti_Audétat23) Times'!$C190)/(365.35*24*3600)</f>
        <v>23929.641846552298</v>
      </c>
      <c r="K190" s="2">
        <f>([412]L!L190*'D(Ti_Audétat23) Times'!$F190*0.000001)^2/(4*'D(Ti_Audétat23) Times'!$C190)/(365.35*24*3600)</f>
        <v>24879.035962647631</v>
      </c>
      <c r="L190" s="2">
        <f>([412]L!M190*'D(Ti_Audétat23) Times'!$F190*0.000001)^2/(4*'D(Ti_Audétat23) Times'!$C190)/(365.35*24*3600)</f>
        <v>29488.531332891536</v>
      </c>
      <c r="M190" s="2">
        <f>([412]L!N190*'D(Ti_Audétat23) Times'!$F190*0.000001)^2/(4*'D(Ti_Audétat23) Times'!$C190)/(365.35*24*3600)</f>
        <v>30615.799981954093</v>
      </c>
      <c r="N190" s="2">
        <f>([412]L!O190*'D(Ti_Audétat23) Times'!$F190*0.000001)^2/(4*'D(Ti_Audétat23) Times'!$C190)/(365.35*24*3600)</f>
        <v>22141.272772109845</v>
      </c>
      <c r="O190" s="2">
        <f>([412]L!P190*'D(Ti_Audétat23) Times'!$F190*0.000001)^2/(4*'D(Ti_Audétat23) Times'!$C190)/(365.35*24*3600)</f>
        <v>36805.551025923531</v>
      </c>
      <c r="P190" s="2">
        <f>([412]L!Q190*'D(Ti_Audétat23) Times'!$F190*0.000001)^2/(4*'D(Ti_Audétat23) Times'!$C190)/(365.35*24*3600)</f>
        <v>26564.339226645588</v>
      </c>
      <c r="Q190" s="2">
        <f>([412]L!R190*'D(Ti_Audétat23) Times'!$F190*0.000001)^2/(4*'D(Ti_Audétat23) Times'!$C190)/(365.35*24*3600)</f>
        <v>26004.871589873706</v>
      </c>
      <c r="R190" s="2">
        <f>([412]L!S190*'D(Ti_Audétat23) Times'!$F190*0.000001)^2/(4*'D(Ti_Audétat23) Times'!$C190)/(365.35*24*3600)</f>
        <v>20056.560331589171</v>
      </c>
      <c r="S190" s="2">
        <f>([412]L!T190*'D(Ti_Audétat23) Times'!$F190*0.000001)^2/(4*'D(Ti_Audétat23) Times'!$C190)/(365.35*24*3600)</f>
        <v>23809.81826467573</v>
      </c>
      <c r="T190" s="2"/>
      <c r="U190" s="2">
        <f>([412]L!V190*'D(Ti_Audétat23) Times'!$F190*0.000001)^2/(4*'D(Ti_Audétat23) Times'!$C190)/(365.35*24*3600)</f>
        <v>27007.528657751867</v>
      </c>
      <c r="V190" s="2">
        <f>([412]L!W190*'D(Ti_Audétat23) Times'!$F190*0.000001)^2/(4*'D(Ti_Audétat23) Times'!$C190)/(365.35*24*3600)</f>
        <v>26154.618387967465</v>
      </c>
      <c r="W190" s="2">
        <f>([412]L!X190*'D(Ti_Audétat23) Times'!$F190*0.000001)^2/(4*'D(Ti_Audétat23) Times'!$C190)/(365.35*24*3600)</f>
        <v>25289.040856999287</v>
      </c>
      <c r="X190" s="2"/>
      <c r="Y190" s="2">
        <f>([412]L!Z190*'D(Ti_Audétat23) Times'!$F190*0.000001)^2/(4*'D(Ti_Audétat23) Times'!$C190)/(365.35*24*3600)</f>
        <v>26183.597644567504</v>
      </c>
      <c r="Z190" s="2">
        <f>([412]L!AB190*'D(Ti_Audétat23) Times'!$F190*0.000001)^2/(4*'D(Ti_Audétat23) Times'!$C190)/(365.35*24*3600)</f>
        <v>26363.304994143658</v>
      </c>
      <c r="AA190" s="2">
        <f>([412]L!AC190*'D(Ti_Audétat23) Times'!$F190*0.000001)^2/(4*'D(Ti_Audétat23) Times'!$C190)/(365.35*24*3600)</f>
        <v>14477.308224936063</v>
      </c>
      <c r="AB190" s="2">
        <f>([412]L!AD190*'D(Ti_Audétat23) Times'!$F190*0.000001)^2/(4*'D(Ti_Audétat23) Times'!$C190)/(365.35*24*3600)</f>
        <v>39803.217452097568</v>
      </c>
      <c r="AC190" s="2">
        <f t="shared" si="9"/>
        <v>11885.996769207595</v>
      </c>
      <c r="AD190" s="2">
        <f t="shared" si="10"/>
        <v>13439.912457953909</v>
      </c>
    </row>
    <row r="191" spans="1:30" x14ac:dyDescent="0.2">
      <c r="A191" t="str">
        <f>[412]L!A191</f>
        <v>CGI009-qtz11-CL-fit-4-offset</v>
      </c>
      <c r="B191">
        <v>750</v>
      </c>
      <c r="C191">
        <f t="shared" si="11"/>
        <v>1.1456341375347871E-23</v>
      </c>
      <c r="D191">
        <v>1700</v>
      </c>
      <c r="E191">
        <v>1024</v>
      </c>
      <c r="F191">
        <f t="shared" si="8"/>
        <v>1.66015625</v>
      </c>
      <c r="I191" s="2">
        <f>([412]L!J191*'D(Ti_Audétat23) Times'!$F191*0.000001)^2/(4*'D(Ti_Audétat23) Times'!$C191)/(365.35*24*3600)</f>
        <v>7663.5718037171282</v>
      </c>
      <c r="J191" s="2">
        <f>([412]L!K191*'D(Ti_Audétat23) Times'!$F191*0.000001)^2/(4*'D(Ti_Audétat23) Times'!$C191)/(365.35*24*3600)</f>
        <v>53089.803299384912</v>
      </c>
      <c r="K191" s="2">
        <f>([412]L!L191*'D(Ti_Audétat23) Times'!$F191*0.000001)^2/(4*'D(Ti_Audétat23) Times'!$C191)/(365.35*24*3600)</f>
        <v>39753.528073137197</v>
      </c>
      <c r="L191" s="2">
        <f>([412]L!M191*'D(Ti_Audétat23) Times'!$F191*0.000001)^2/(4*'D(Ti_Audétat23) Times'!$C191)/(365.35*24*3600)</f>
        <v>6737.6107111446545</v>
      </c>
      <c r="M191" s="2">
        <f>([412]L!N191*'D(Ti_Audétat23) Times'!$F191*0.000001)^2/(4*'D(Ti_Audétat23) Times'!$C191)/(365.35*24*3600)</f>
        <v>14408.858090067695</v>
      </c>
      <c r="N191" s="2">
        <f>([412]L!O191*'D(Ti_Audétat23) Times'!$F191*0.000001)^2/(4*'D(Ti_Audétat23) Times'!$C191)/(365.35*24*3600)</f>
        <v>3127.3763270632676</v>
      </c>
      <c r="O191" s="2">
        <f>([412]L!P191*'D(Ti_Audétat23) Times'!$F191*0.000001)^2/(4*'D(Ti_Audétat23) Times'!$C191)/(365.35*24*3600)</f>
        <v>3864.0337868219021</v>
      </c>
      <c r="P191" s="2">
        <f>([412]L!Q191*'D(Ti_Audétat23) Times'!$F191*0.000001)^2/(4*'D(Ti_Audétat23) Times'!$C191)/(365.35*24*3600)</f>
        <v>3.6049939599528176</v>
      </c>
      <c r="Q191" s="2">
        <f>([412]L!R191*'D(Ti_Audétat23) Times'!$F191*0.000001)^2/(4*'D(Ti_Audétat23) Times'!$C191)/(365.35*24*3600)</f>
        <v>7501.4663321063599</v>
      </c>
      <c r="R191" s="2">
        <f>([412]L!S191*'D(Ti_Audétat23) Times'!$F191*0.000001)^2/(4*'D(Ti_Audétat23) Times'!$C191)/(365.35*24*3600)</f>
        <v>188.60451990575265</v>
      </c>
      <c r="S191" s="2">
        <f>([412]L!T191*'D(Ti_Audétat23) Times'!$F191*0.000001)^2/(4*'D(Ti_Audétat23) Times'!$C191)/(365.35*24*3600)</f>
        <v>15541.169778053607</v>
      </c>
      <c r="T191" s="2"/>
      <c r="U191" s="2">
        <f>([412]L!V191*'D(Ti_Audétat23) Times'!$F191*0.000001)^2/(4*'D(Ti_Audétat23) Times'!$C191)/(365.35*24*3600)</f>
        <v>5200.9884062209976</v>
      </c>
      <c r="V191" s="2">
        <f>([412]L!W191*'D(Ti_Audétat23) Times'!$F191*0.000001)^2/(4*'D(Ti_Audétat23) Times'!$C191)/(365.35*24*3600)</f>
        <v>9364.0520091926974</v>
      </c>
      <c r="W191" s="2">
        <f>([412]L!X191*'D(Ti_Audétat23) Times'!$F191*0.000001)^2/(4*'D(Ti_Audétat23) Times'!$C191)/(365.35*24*3600)</f>
        <v>7501.4663321063599</v>
      </c>
      <c r="X191" s="2"/>
      <c r="Y191" s="2">
        <f>([412]L!Z191*'D(Ti_Audétat23) Times'!$F191*0.000001)^2/(4*'D(Ti_Audétat23) Times'!$C191)/(365.35*24*3600)</f>
        <v>5644.939012682009</v>
      </c>
      <c r="Z191" s="2">
        <f>([412]L!AB191*'D(Ti_Audétat23) Times'!$F191*0.000001)^2/(4*'D(Ti_Audétat23) Times'!$C191)/(365.35*24*3600)</f>
        <v>12179.31475257332</v>
      </c>
      <c r="AA191" s="2">
        <f>([412]L!AC191*'D(Ti_Audétat23) Times'!$F191*0.000001)^2/(4*'D(Ti_Audétat23) Times'!$C191)/(365.35*24*3600)</f>
        <v>215.70278102677304</v>
      </c>
      <c r="AB191" s="2">
        <f>([412]L!AD191*'D(Ti_Audétat23) Times'!$F191*0.000001)^2/(4*'D(Ti_Audétat23) Times'!$C191)/(365.35*24*3600)</f>
        <v>123338.7198135627</v>
      </c>
      <c r="AC191" s="2">
        <f t="shared" si="9"/>
        <v>11963.611971546547</v>
      </c>
      <c r="AD191" s="2">
        <f t="shared" si="10"/>
        <v>111159.40506098937</v>
      </c>
    </row>
    <row r="192" spans="1:30" x14ac:dyDescent="0.2">
      <c r="A192" t="str">
        <f>[412]L!A192</f>
        <v>CGI009-qtz11-CL-fit-5-offset</v>
      </c>
      <c r="B192">
        <v>750</v>
      </c>
      <c r="C192">
        <f t="shared" si="11"/>
        <v>1.1456341375347871E-23</v>
      </c>
      <c r="D192">
        <v>1700</v>
      </c>
      <c r="E192">
        <v>1024</v>
      </c>
      <c r="F192">
        <f t="shared" si="8"/>
        <v>1.66015625</v>
      </c>
      <c r="I192" s="2">
        <f>([412]L!J192*'D(Ti_Audétat23) Times'!$F192*0.000001)^2/(4*'D(Ti_Audétat23) Times'!$C192)/(365.35*24*3600)</f>
        <v>4151.6091659999029</v>
      </c>
      <c r="J192" s="2">
        <f>([412]L!K192*'D(Ti_Audétat23) Times'!$F192*0.000001)^2/(4*'D(Ti_Audétat23) Times'!$C192)/(365.35*24*3600)</f>
        <v>7108.6157876817888</v>
      </c>
      <c r="K192" s="2">
        <f>([412]L!L192*'D(Ti_Audétat23) Times'!$F192*0.000001)^2/(4*'D(Ti_Audétat23) Times'!$C192)/(365.35*24*3600)</f>
        <v>2941.1123102064053</v>
      </c>
      <c r="L192" s="2">
        <f>([412]L!M192*'D(Ti_Audétat23) Times'!$F192*0.000001)^2/(4*'D(Ti_Audétat23) Times'!$C192)/(365.35*24*3600)</f>
        <v>6015.3096939385796</v>
      </c>
      <c r="M192" s="2">
        <f>([412]L!N192*'D(Ti_Audétat23) Times'!$F192*0.000001)^2/(4*'D(Ti_Audétat23) Times'!$C192)/(365.35*24*3600)</f>
        <v>8808.3049142094733</v>
      </c>
      <c r="N192" s="2">
        <f>([412]L!O192*'D(Ti_Audétat23) Times'!$F192*0.000001)^2/(4*'D(Ti_Audétat23) Times'!$C192)/(365.35*24*3600)</f>
        <v>2472.7666808944359</v>
      </c>
      <c r="O192" s="2">
        <f>([412]L!P192*'D(Ti_Audétat23) Times'!$F192*0.000001)^2/(4*'D(Ti_Audétat23) Times'!$C192)/(365.35*24*3600)</f>
        <v>4808.623542314047</v>
      </c>
      <c r="P192" s="2">
        <f>([412]L!Q192*'D(Ti_Audétat23) Times'!$F192*0.000001)^2/(4*'D(Ti_Audétat23) Times'!$C192)/(365.35*24*3600)</f>
        <v>3685.1265176087472</v>
      </c>
      <c r="Q192" s="2">
        <f>([412]L!R192*'D(Ti_Audétat23) Times'!$F192*0.000001)^2/(4*'D(Ti_Audétat23) Times'!$C192)/(365.35*24*3600)</f>
        <v>2124.8859936171539</v>
      </c>
      <c r="R192" s="2">
        <f>([412]L!S192*'D(Ti_Audétat23) Times'!$F192*0.000001)^2/(4*'D(Ti_Audétat23) Times'!$C192)/(365.35*24*3600)</f>
        <v>2418.785210202107</v>
      </c>
      <c r="S192" s="2">
        <f>([412]L!T192*'D(Ti_Audétat23) Times'!$F192*0.000001)^2/(4*'D(Ti_Audétat23) Times'!$C192)/(365.35*24*3600)</f>
        <v>4611.441784163424</v>
      </c>
      <c r="T192" s="2"/>
      <c r="U192" s="2">
        <f>([412]L!V192*'D(Ti_Audétat23) Times'!$F192*0.000001)^2/(4*'D(Ti_Audétat23) Times'!$C192)/(365.35*24*3600)</f>
        <v>4070.1544575540138</v>
      </c>
      <c r="V192" s="2">
        <f>([412]L!W192*'D(Ti_Audétat23) Times'!$F192*0.000001)^2/(4*'D(Ti_Audétat23) Times'!$C192)/(365.35*24*3600)</f>
        <v>4252.8212556831959</v>
      </c>
      <c r="W192" s="2">
        <f>([412]L!X192*'D(Ti_Audétat23) Times'!$F192*0.000001)^2/(4*'D(Ti_Audétat23) Times'!$C192)/(365.35*24*3600)</f>
        <v>4151.6091659999029</v>
      </c>
      <c r="X192" s="2"/>
      <c r="Y192" s="2">
        <f>([412]L!Z192*'D(Ti_Audétat23) Times'!$F192*0.000001)^2/(4*'D(Ti_Audétat23) Times'!$C192)/(365.35*24*3600)</f>
        <v>3839.9458597408416</v>
      </c>
      <c r="Z192" s="2">
        <f>([412]L!AB192*'D(Ti_Audétat23) Times'!$F192*0.000001)^2/(4*'D(Ti_Audétat23) Times'!$C192)/(365.35*24*3600)</f>
        <v>3866.9640736681654</v>
      </c>
      <c r="AA192" s="2">
        <f>([412]L!AC192*'D(Ti_Audétat23) Times'!$F192*0.000001)^2/(4*'D(Ti_Audétat23) Times'!$C192)/(365.35*24*3600)</f>
        <v>152.01280931607982</v>
      </c>
      <c r="AB192" s="2">
        <f>([412]L!AD192*'D(Ti_Audétat23) Times'!$F192*0.000001)^2/(4*'D(Ti_Audétat23) Times'!$C192)/(365.35*24*3600)</f>
        <v>8258.3928070244729</v>
      </c>
      <c r="AC192" s="2">
        <f t="shared" si="9"/>
        <v>3714.9512643520857</v>
      </c>
      <c r="AD192" s="2">
        <f t="shared" si="10"/>
        <v>4391.4287333563079</v>
      </c>
    </row>
    <row r="193" spans="1:30" x14ac:dyDescent="0.2">
      <c r="A193" t="str">
        <f>[412]L!A193</f>
        <v>CGI009-qtz12-CL-fit-1-offset</v>
      </c>
      <c r="B193">
        <v>750</v>
      </c>
      <c r="C193">
        <f t="shared" si="11"/>
        <v>1.1456341375347871E-23</v>
      </c>
      <c r="D193">
        <v>2000</v>
      </c>
      <c r="E193">
        <v>1024</v>
      </c>
      <c r="F193">
        <f t="shared" si="8"/>
        <v>1.953125</v>
      </c>
      <c r="I193" s="2">
        <f>([412]L!J193*'D(Ti_Audétat23) Times'!$F193*0.000001)^2/(4*'D(Ti_Audétat23) Times'!$C193)/(365.35*24*3600)</f>
        <v>127096.90435148137</v>
      </c>
      <c r="J193" s="2">
        <f>([412]L!K193*'D(Ti_Audétat23) Times'!$F193*0.000001)^2/(4*'D(Ti_Audétat23) Times'!$C193)/(365.35*24*3600)</f>
        <v>45691.191296789148</v>
      </c>
      <c r="K193" s="2">
        <f>([412]L!L193*'D(Ti_Audétat23) Times'!$F193*0.000001)^2/(4*'D(Ti_Audétat23) Times'!$C193)/(365.35*24*3600)</f>
        <v>63621.398483950099</v>
      </c>
      <c r="L193" s="2">
        <f>([412]L!M193*'D(Ti_Audétat23) Times'!$F193*0.000001)^2/(4*'D(Ti_Audétat23) Times'!$C193)/(365.35*24*3600)</f>
        <v>80282.819402234265</v>
      </c>
      <c r="M193" s="2">
        <f>([412]L!N193*'D(Ti_Audétat23) Times'!$F193*0.000001)^2/(4*'D(Ti_Audétat23) Times'!$C193)/(365.35*24*3600)</f>
        <v>100389.5516845324</v>
      </c>
      <c r="N193" s="2">
        <f>([412]L!O193*'D(Ti_Audétat23) Times'!$F193*0.000001)^2/(4*'D(Ti_Audétat23) Times'!$C193)/(365.35*24*3600)</f>
        <v>131504.86705567833</v>
      </c>
      <c r="O193" s="2">
        <f>([412]L!P193*'D(Ti_Audétat23) Times'!$F193*0.000001)^2/(4*'D(Ti_Audétat23) Times'!$C193)/(365.35*24*3600)</f>
        <v>73045.874059458802</v>
      </c>
      <c r="P193" s="2">
        <f>([412]L!Q193*'D(Ti_Audétat23) Times'!$F193*0.000001)^2/(4*'D(Ti_Audétat23) Times'!$C193)/(365.35*24*3600)</f>
        <v>85323.944422623492</v>
      </c>
      <c r="Q193" s="2">
        <f>([412]L!R193*'D(Ti_Audétat23) Times'!$F193*0.000001)^2/(4*'D(Ti_Audétat23) Times'!$C193)/(365.35*24*3600)</f>
        <v>92910.058931982989</v>
      </c>
      <c r="R193" s="2">
        <f>([412]L!S193*'D(Ti_Audétat23) Times'!$F193*0.000001)^2/(4*'D(Ti_Audétat23) Times'!$C193)/(365.35*24*3600)</f>
        <v>126916.14020286145</v>
      </c>
      <c r="S193" s="2">
        <f>([412]L!T193*'D(Ti_Audétat23) Times'!$F193*0.000001)^2/(4*'D(Ti_Audétat23) Times'!$C193)/(365.35*24*3600)</f>
        <v>126991.97414214359</v>
      </c>
      <c r="T193" s="2"/>
      <c r="U193" s="2">
        <f>([412]L!V193*'D(Ti_Audétat23) Times'!$F193*0.000001)^2/(4*'D(Ti_Audétat23) Times'!$C193)/(365.35*24*3600)</f>
        <v>93805.963074359184</v>
      </c>
      <c r="V193" s="2">
        <f>([412]L!W193*'D(Ti_Audétat23) Times'!$F193*0.000001)^2/(4*'D(Ti_Audétat23) Times'!$C193)/(365.35*24*3600)</f>
        <v>93586.60451519741</v>
      </c>
      <c r="W193" s="2">
        <f>([412]L!X193*'D(Ti_Audétat23) Times'!$F193*0.000001)^2/(4*'D(Ti_Audétat23) Times'!$C193)/(365.35*24*3600)</f>
        <v>92910.058931982989</v>
      </c>
      <c r="X193" s="2"/>
      <c r="Y193" s="2">
        <f>([412]L!Z193*'D(Ti_Audétat23) Times'!$F193*0.000001)^2/(4*'D(Ti_Audétat23) Times'!$C193)/(365.35*24*3600)</f>
        <v>94971.207512469002</v>
      </c>
      <c r="Z193" s="2">
        <f>([412]L!AB193*'D(Ti_Audétat23) Times'!$F193*0.000001)^2/(4*'D(Ti_Audétat23) Times'!$C193)/(365.35*24*3600)</f>
        <v>94713.049522894493</v>
      </c>
      <c r="AA193" s="2">
        <f>([412]L!AC193*'D(Ti_Audétat23) Times'!$F193*0.000001)^2/(4*'D(Ti_Audétat23) Times'!$C193)/(365.35*24*3600)</f>
        <v>54618.868482122634</v>
      </c>
      <c r="AB193" s="2">
        <f>([412]L!AD193*'D(Ti_Audétat23) Times'!$F193*0.000001)^2/(4*'D(Ti_Audétat23) Times'!$C193)/(365.35*24*3600)</f>
        <v>160351.96550591491</v>
      </c>
      <c r="AC193" s="2">
        <f t="shared" si="9"/>
        <v>40094.181040771859</v>
      </c>
      <c r="AD193" s="2">
        <f t="shared" si="10"/>
        <v>65638.915983020415</v>
      </c>
    </row>
    <row r="194" spans="1:30" x14ac:dyDescent="0.2">
      <c r="A194" t="str">
        <f>[412]L!A194</f>
        <v>CGI009-qtz12-CL-fit-2-offset</v>
      </c>
      <c r="B194">
        <v>750</v>
      </c>
      <c r="C194">
        <f t="shared" si="11"/>
        <v>1.1456341375347871E-23</v>
      </c>
      <c r="D194">
        <v>2000</v>
      </c>
      <c r="E194">
        <v>1024</v>
      </c>
      <c r="F194">
        <f t="shared" si="8"/>
        <v>1.953125</v>
      </c>
      <c r="I194" s="2">
        <f>([412]L!J194*'D(Ti_Audétat23) Times'!$F194*0.000001)^2/(4*'D(Ti_Audétat23) Times'!$C194)/(365.35*24*3600)</f>
        <v>34670.097928970063</v>
      </c>
      <c r="J194" s="2">
        <f>([412]L!K194*'D(Ti_Audétat23) Times'!$F194*0.000001)^2/(4*'D(Ti_Audétat23) Times'!$C194)/(365.35*24*3600)</f>
        <v>17193.703277888133</v>
      </c>
      <c r="K194" s="2">
        <f>([412]L!L194*'D(Ti_Audétat23) Times'!$F194*0.000001)^2/(4*'D(Ti_Audétat23) Times'!$C194)/(365.35*24*3600)</f>
        <v>8463.9637351403962</v>
      </c>
      <c r="L194" s="2">
        <f>([412]L!M194*'D(Ti_Audétat23) Times'!$F194*0.000001)^2/(4*'D(Ti_Audétat23) Times'!$C194)/(365.35*24*3600)</f>
        <v>11520.766133612522</v>
      </c>
      <c r="M194" s="2">
        <f>([412]L!N194*'D(Ti_Audétat23) Times'!$F194*0.000001)^2/(4*'D(Ti_Audétat23) Times'!$C194)/(365.35*24*3600)</f>
        <v>20651.291352477132</v>
      </c>
      <c r="N194" s="2">
        <f>([412]L!O194*'D(Ti_Audétat23) Times'!$F194*0.000001)^2/(4*'D(Ti_Audétat23) Times'!$C194)/(365.35*24*3600)</f>
        <v>10675.174187708042</v>
      </c>
      <c r="O194" s="2">
        <f>([412]L!P194*'D(Ti_Audétat23) Times'!$F194*0.000001)^2/(4*'D(Ti_Audétat23) Times'!$C194)/(365.35*24*3600)</f>
        <v>13246.744388250336</v>
      </c>
      <c r="P194" s="2">
        <f>([412]L!Q194*'D(Ti_Audétat23) Times'!$F194*0.000001)^2/(4*'D(Ti_Audétat23) Times'!$C194)/(365.35*24*3600)</f>
        <v>5910.682731902165</v>
      </c>
      <c r="Q194" s="2">
        <f>([412]L!R194*'D(Ti_Audétat23) Times'!$F194*0.000001)^2/(4*'D(Ti_Audétat23) Times'!$C194)/(365.35*24*3600)</f>
        <v>41907.640402485442</v>
      </c>
      <c r="R194" s="2">
        <f>([412]L!S194*'D(Ti_Audétat23) Times'!$F194*0.000001)^2/(4*'D(Ti_Audétat23) Times'!$C194)/(365.35*24*3600)</f>
        <v>28012.628235725853</v>
      </c>
      <c r="S194" s="2">
        <f>([412]L!T194*'D(Ti_Audétat23) Times'!$F194*0.000001)^2/(4*'D(Ti_Audétat23) Times'!$C194)/(365.35*24*3600)</f>
        <v>60681.634224740257</v>
      </c>
      <c r="T194" s="2"/>
      <c r="U194" s="2">
        <f>([412]L!V194*'D(Ti_Audétat23) Times'!$F194*0.000001)^2/(4*'D(Ti_Audétat23) Times'!$C194)/(365.35*24*3600)</f>
        <v>19984.821650887152</v>
      </c>
      <c r="V194" s="2">
        <f>([412]L!W194*'D(Ti_Audétat23) Times'!$F194*0.000001)^2/(4*'D(Ti_Audétat23) Times'!$C194)/(365.35*24*3600)</f>
        <v>20477.088818342167</v>
      </c>
      <c r="W194" s="2">
        <f>([412]L!X194*'D(Ti_Audétat23) Times'!$F194*0.000001)^2/(4*'D(Ti_Audétat23) Times'!$C194)/(365.35*24*3600)</f>
        <v>17193.703277888133</v>
      </c>
      <c r="X194" s="2"/>
      <c r="Y194" s="2">
        <f>([412]L!Z194*'D(Ti_Audétat23) Times'!$F194*0.000001)^2/(4*'D(Ti_Audétat23) Times'!$C194)/(365.35*24*3600)</f>
        <v>20453.880342746907</v>
      </c>
      <c r="Z194" s="2">
        <f>([412]L!AB194*'D(Ti_Audétat23) Times'!$F194*0.000001)^2/(4*'D(Ti_Audétat23) Times'!$C194)/(365.35*24*3600)</f>
        <v>19290.205259312876</v>
      </c>
      <c r="AA194" s="2">
        <f>([412]L!AC194*'D(Ti_Audétat23) Times'!$F194*0.000001)^2/(4*'D(Ti_Audétat23) Times'!$C194)/(365.35*24*3600)</f>
        <v>4977.7214969938132</v>
      </c>
      <c r="AB194" s="2">
        <f>([412]L!AD194*'D(Ti_Audétat23) Times'!$F194*0.000001)^2/(4*'D(Ti_Audétat23) Times'!$C194)/(365.35*24*3600)</f>
        <v>37764.859372816289</v>
      </c>
      <c r="AC194" s="2">
        <f t="shared" si="9"/>
        <v>14312.483762319061</v>
      </c>
      <c r="AD194" s="2">
        <f t="shared" si="10"/>
        <v>18474.654113503413</v>
      </c>
    </row>
    <row r="195" spans="1:30" x14ac:dyDescent="0.2">
      <c r="A195" t="str">
        <f>[412]L!A195</f>
        <v>CGI009-qtz12-CL-fit-3-offset</v>
      </c>
      <c r="B195">
        <v>750</v>
      </c>
      <c r="C195">
        <f t="shared" si="11"/>
        <v>1.1456341375347871E-23</v>
      </c>
      <c r="D195">
        <v>2000</v>
      </c>
      <c r="E195">
        <v>1024</v>
      </c>
      <c r="F195">
        <f t="shared" ref="F195:F258" si="12">D195/E195</f>
        <v>1.953125</v>
      </c>
      <c r="I195" s="2">
        <f>([412]L!J195*'D(Ti_Audétat23) Times'!$F195*0.000001)^2/(4*'D(Ti_Audétat23) Times'!$C195)/(365.35*24*3600)</f>
        <v>5725.0042433747467</v>
      </c>
      <c r="J195" s="2">
        <f>([412]L!K195*'D(Ti_Audétat23) Times'!$F195*0.000001)^2/(4*'D(Ti_Audétat23) Times'!$C195)/(365.35*24*3600)</f>
        <v>2692.7093592328974</v>
      </c>
      <c r="K195" s="2">
        <f>([412]L!L195*'D(Ti_Audétat23) Times'!$F195*0.000001)^2/(4*'D(Ti_Audétat23) Times'!$C195)/(365.35*24*3600)</f>
        <v>11838.936484290205</v>
      </c>
      <c r="L195" s="2">
        <f>([412]L!M195*'D(Ti_Audétat23) Times'!$F195*0.000001)^2/(4*'D(Ti_Audétat23) Times'!$C195)/(365.35*24*3600)</f>
        <v>13142.617965302055</v>
      </c>
      <c r="M195" s="2">
        <f>([412]L!N195*'D(Ti_Audétat23) Times'!$F195*0.000001)^2/(4*'D(Ti_Audétat23) Times'!$C195)/(365.35*24*3600)</f>
        <v>19739.020157016654</v>
      </c>
      <c r="N195" s="2">
        <f>([412]L!O195*'D(Ti_Audétat23) Times'!$F195*0.000001)^2/(4*'D(Ti_Audétat23) Times'!$C195)/(365.35*24*3600)</f>
        <v>24275.307358463186</v>
      </c>
      <c r="O195" s="2">
        <f>([412]L!P195*'D(Ti_Audétat23) Times'!$F195*0.000001)^2/(4*'D(Ti_Audétat23) Times'!$C195)/(365.35*24*3600)</f>
        <v>26.389858566230778</v>
      </c>
      <c r="P195" s="2">
        <f>([412]L!Q195*'D(Ti_Audétat23) Times'!$F195*0.000001)^2/(4*'D(Ti_Audétat23) Times'!$C195)/(365.35*24*3600)</f>
        <v>3714.3019344002978</v>
      </c>
      <c r="Q195" s="2">
        <f>([412]L!R195*'D(Ti_Audétat23) Times'!$F195*0.000001)^2/(4*'D(Ti_Audétat23) Times'!$C195)/(365.35*24*3600)</f>
        <v>14201.428457328346</v>
      </c>
      <c r="R195" s="2">
        <f>([412]L!S195*'D(Ti_Audétat23) Times'!$F195*0.000001)^2/(4*'D(Ti_Audétat23) Times'!$C195)/(365.35*24*3600)</f>
        <v>484.81613063077577</v>
      </c>
      <c r="S195" s="2">
        <f>([412]L!T195*'D(Ti_Audétat23) Times'!$F195*0.000001)^2/(4*'D(Ti_Audétat23) Times'!$C195)/(365.35*24*3600)</f>
        <v>3330.9047894356572</v>
      </c>
      <c r="T195" s="2"/>
      <c r="U195" s="2">
        <f>([412]L!V195*'D(Ti_Audétat23) Times'!$F195*0.000001)^2/(4*'D(Ti_Audétat23) Times'!$C195)/(365.35*24*3600)</f>
        <v>10033.982723590463</v>
      </c>
      <c r="V195" s="2">
        <f>([412]L!W195*'D(Ti_Audétat23) Times'!$F195*0.000001)^2/(4*'D(Ti_Audétat23) Times'!$C195)/(365.35*24*3600)</f>
        <v>6878.2692131660033</v>
      </c>
      <c r="W195" s="2">
        <f>([412]L!X195*'D(Ti_Audétat23) Times'!$F195*0.000001)^2/(4*'D(Ti_Audétat23) Times'!$C195)/(365.35*24*3600)</f>
        <v>5725.0042433747467</v>
      </c>
      <c r="X195" s="2"/>
      <c r="Y195" s="2">
        <f>([412]L!Z195*'D(Ti_Audétat23) Times'!$F195*0.000001)^2/(4*'D(Ti_Audétat23) Times'!$C195)/(365.35*24*3600)</f>
        <v>7584.5509262221576</v>
      </c>
      <c r="Z195" s="2">
        <f>([412]L!AB195*'D(Ti_Audétat23) Times'!$F195*0.000001)^2/(4*'D(Ti_Audétat23) Times'!$C195)/(365.35*24*3600)</f>
        <v>9847.4155924318675</v>
      </c>
      <c r="AA195" s="2">
        <f>([412]L!AC195*'D(Ti_Audétat23) Times'!$F195*0.000001)^2/(4*'D(Ti_Audétat23) Times'!$C195)/(365.35*24*3600)</f>
        <v>54.790822346426459</v>
      </c>
      <c r="AB195" s="2">
        <f>([412]L!AD195*'D(Ti_Audétat23) Times'!$F195*0.000001)^2/(4*'D(Ti_Audétat23) Times'!$C195)/(365.35*24*3600)</f>
        <v>91703.935908041836</v>
      </c>
      <c r="AC195" s="2">
        <f t="shared" ref="AC195:AC258" si="13">Z195-AA195</f>
        <v>9792.6247700854419</v>
      </c>
      <c r="AD195" s="2">
        <f t="shared" ref="AD195:AD258" si="14">AB195-Z195</f>
        <v>81856.520315609974</v>
      </c>
    </row>
    <row r="196" spans="1:30" x14ac:dyDescent="0.2">
      <c r="A196" t="str">
        <f>[412]L!A196</f>
        <v>CGI009-qtz12-CL-fit-4-offset</v>
      </c>
      <c r="B196">
        <v>750</v>
      </c>
      <c r="C196">
        <f t="shared" ref="C196:C259" si="15">10^(-1.2133*(10000/(B196+273)-10.17)-23.42)</f>
        <v>1.1456341375347871E-23</v>
      </c>
      <c r="D196">
        <v>2000</v>
      </c>
      <c r="E196">
        <v>1024</v>
      </c>
      <c r="F196">
        <f t="shared" si="12"/>
        <v>1.953125</v>
      </c>
      <c r="I196" s="2">
        <f>([412]L!J196*'D(Ti_Audétat23) Times'!$F196*0.000001)^2/(4*'D(Ti_Audétat23) Times'!$C196)/(365.35*24*3600)</f>
        <v>19773.229129074789</v>
      </c>
      <c r="J196" s="2">
        <f>([412]L!K196*'D(Ti_Audétat23) Times'!$F196*0.000001)^2/(4*'D(Ti_Audétat23) Times'!$C196)/(365.35*24*3600)</f>
        <v>9555.807751333421</v>
      </c>
      <c r="K196" s="2">
        <f>([412]L!L196*'D(Ti_Audétat23) Times'!$F196*0.000001)^2/(4*'D(Ti_Audétat23) Times'!$C196)/(365.35*24*3600)</f>
        <v>6548.3178029355395</v>
      </c>
      <c r="L196" s="2">
        <f>([412]L!M196*'D(Ti_Audétat23) Times'!$F196*0.000001)^2/(4*'D(Ti_Audétat23) Times'!$C196)/(365.35*24*3600)</f>
        <v>15254.923603368072</v>
      </c>
      <c r="M196" s="2">
        <f>([412]L!N196*'D(Ti_Audétat23) Times'!$F196*0.000001)^2/(4*'D(Ti_Audétat23) Times'!$C196)/(365.35*24*3600)</f>
        <v>8547.2870607286131</v>
      </c>
      <c r="N196" s="2">
        <f>([412]L!O196*'D(Ti_Audétat23) Times'!$F196*0.000001)^2/(4*'D(Ti_Audétat23) Times'!$C196)/(365.35*24*3600)</f>
        <v>8809.5206376981223</v>
      </c>
      <c r="O196" s="2">
        <f>([412]L!P196*'D(Ti_Audétat23) Times'!$F196*0.000001)^2/(4*'D(Ti_Audétat23) Times'!$C196)/(365.35*24*3600)</f>
        <v>8414.5882415159267</v>
      </c>
      <c r="P196" s="2">
        <f>([412]L!Q196*'D(Ti_Audétat23) Times'!$F196*0.000001)^2/(4*'D(Ti_Audétat23) Times'!$C196)/(365.35*24*3600)</f>
        <v>5626.3391761952107</v>
      </c>
      <c r="Q196" s="2">
        <f>([412]L!R196*'D(Ti_Audétat23) Times'!$F196*0.000001)^2/(4*'D(Ti_Audétat23) Times'!$C196)/(365.35*24*3600)</f>
        <v>1773.7517177424211</v>
      </c>
      <c r="R196" s="2">
        <f>([412]L!S196*'D(Ti_Audétat23) Times'!$F196*0.000001)^2/(4*'D(Ti_Audétat23) Times'!$C196)/(365.35*24*3600)</f>
        <v>15574.479419938862</v>
      </c>
      <c r="S196" s="2">
        <f>([412]L!T196*'D(Ti_Audétat23) Times'!$F196*0.000001)^2/(4*'D(Ti_Audétat23) Times'!$C196)/(365.35*24*3600)</f>
        <v>58735.816002495354</v>
      </c>
      <c r="T196" s="2"/>
      <c r="U196" s="2">
        <f>([412]L!V196*'D(Ti_Audétat23) Times'!$F196*0.000001)^2/(4*'D(Ti_Audétat23) Times'!$C196)/(365.35*24*3600)</f>
        <v>8479.9291296952179</v>
      </c>
      <c r="V196" s="2">
        <f>([412]L!W196*'D(Ti_Audétat23) Times'!$F196*0.000001)^2/(4*'D(Ti_Audétat23) Times'!$C196)/(365.35*24*3600)</f>
        <v>12002.649054029729</v>
      </c>
      <c r="W196" s="2">
        <f>([412]L!X196*'D(Ti_Audétat23) Times'!$F196*0.000001)^2/(4*'D(Ti_Audétat23) Times'!$C196)/(365.35*24*3600)</f>
        <v>8809.5206376981223</v>
      </c>
      <c r="X196" s="2"/>
      <c r="Y196" s="2">
        <f>([412]L!Z196*'D(Ti_Audétat23) Times'!$F196*0.000001)^2/(4*'D(Ti_Audétat23) Times'!$C196)/(365.35*24*3600)</f>
        <v>6629.5798009955743</v>
      </c>
      <c r="Z196" s="2">
        <f>([412]L!AB196*'D(Ti_Audétat23) Times'!$F196*0.000001)^2/(4*'D(Ti_Audétat23) Times'!$C196)/(365.35*24*3600)</f>
        <v>7445.6256272097417</v>
      </c>
      <c r="AA196" s="2">
        <f>([412]L!AC196*'D(Ti_Audétat23) Times'!$F196*0.000001)^2/(4*'D(Ti_Audétat23) Times'!$C196)/(365.35*24*3600)</f>
        <v>0.15734910841708596</v>
      </c>
      <c r="AB196" s="2">
        <f>([412]L!AD196*'D(Ti_Audétat23) Times'!$F196*0.000001)^2/(4*'D(Ti_Audétat23) Times'!$C196)/(365.35*24*3600)</f>
        <v>40546.208012209267</v>
      </c>
      <c r="AC196" s="2">
        <f t="shared" si="13"/>
        <v>7445.4682781013244</v>
      </c>
      <c r="AD196" s="2">
        <f t="shared" si="14"/>
        <v>33100.582384999521</v>
      </c>
    </row>
    <row r="197" spans="1:30" x14ac:dyDescent="0.2">
      <c r="A197" t="str">
        <f>[412]L!A197</f>
        <v>CGI011-qtz01-CL-fit-1-offset</v>
      </c>
      <c r="B197">
        <v>750</v>
      </c>
      <c r="C197">
        <f t="shared" si="15"/>
        <v>1.1456341375347871E-23</v>
      </c>
      <c r="D197">
        <v>2000</v>
      </c>
      <c r="E197">
        <v>1024</v>
      </c>
      <c r="F197">
        <f t="shared" si="12"/>
        <v>1.953125</v>
      </c>
      <c r="I197" s="2">
        <f>([412]L!J197*'D(Ti_Audétat23) Times'!$F197*0.000001)^2/(4*'D(Ti_Audétat23) Times'!$C197)/(365.35*24*3600)</f>
        <v>58520.602373979214</v>
      </c>
      <c r="J197" s="2">
        <f>([412]L!K197*'D(Ti_Audétat23) Times'!$F197*0.000001)^2/(4*'D(Ti_Audétat23) Times'!$C197)/(365.35*24*3600)</f>
        <v>56547.882992369952</v>
      </c>
      <c r="K197" s="2">
        <f>([412]L!L197*'D(Ti_Audétat23) Times'!$F197*0.000001)^2/(4*'D(Ti_Audétat23) Times'!$C197)/(365.35*24*3600)</f>
        <v>37833.911256879546</v>
      </c>
      <c r="L197" s="2">
        <f>([412]L!M197*'D(Ti_Audétat23) Times'!$F197*0.000001)^2/(4*'D(Ti_Audétat23) Times'!$C197)/(365.35*24*3600)</f>
        <v>90147.497660577268</v>
      </c>
      <c r="M197" s="2">
        <f>([412]L!N197*'D(Ti_Audétat23) Times'!$F197*0.000001)^2/(4*'D(Ti_Audétat23) Times'!$C197)/(365.35*24*3600)</f>
        <v>48754.306616842288</v>
      </c>
      <c r="N197" s="2">
        <f>([412]L!O197*'D(Ti_Audétat23) Times'!$F197*0.000001)^2/(4*'D(Ti_Audétat23) Times'!$C197)/(365.35*24*3600)</f>
        <v>47757.606292048426</v>
      </c>
      <c r="O197" s="2">
        <f>([412]L!P197*'D(Ti_Audétat23) Times'!$F197*0.000001)^2/(4*'D(Ti_Audétat23) Times'!$C197)/(365.35*24*3600)</f>
        <v>62439.534571368356</v>
      </c>
      <c r="P197" s="2">
        <f>([412]L!Q197*'D(Ti_Audétat23) Times'!$F197*0.000001)^2/(4*'D(Ti_Audétat23) Times'!$C197)/(365.35*24*3600)</f>
        <v>105737.11583300158</v>
      </c>
      <c r="Q197" s="2">
        <f>([412]L!R197*'D(Ti_Audétat23) Times'!$F197*0.000001)^2/(4*'D(Ti_Audétat23) Times'!$C197)/(365.35*24*3600)</f>
        <v>64686.83736506573</v>
      </c>
      <c r="R197" s="2">
        <f>([412]L!S197*'D(Ti_Audétat23) Times'!$F197*0.000001)^2/(4*'D(Ti_Audétat23) Times'!$C197)/(365.35*24*3600)</f>
        <v>35552.713048938138</v>
      </c>
      <c r="S197" s="2">
        <f>([412]L!T197*'D(Ti_Audétat23) Times'!$F197*0.000001)^2/(4*'D(Ti_Audétat23) Times'!$C197)/(365.35*24*3600)</f>
        <v>69217.072263689683</v>
      </c>
      <c r="T197" s="2"/>
      <c r="U197" s="2">
        <f>([412]L!V197*'D(Ti_Audétat23) Times'!$F197*0.000001)^2/(4*'D(Ti_Audétat23) Times'!$C197)/(365.35*24*3600)</f>
        <v>58912.232788018242</v>
      </c>
      <c r="V197" s="2">
        <f>([412]L!W197*'D(Ti_Audétat23) Times'!$F197*0.000001)^2/(4*'D(Ti_Audétat23) Times'!$C197)/(365.35*24*3600)</f>
        <v>60017.675055184685</v>
      </c>
      <c r="W197" s="2">
        <f>([412]L!X197*'D(Ti_Audétat23) Times'!$F197*0.000001)^2/(4*'D(Ti_Audétat23) Times'!$C197)/(365.35*24*3600)</f>
        <v>58520.602373979214</v>
      </c>
      <c r="X197" s="2"/>
      <c r="Y197" s="2">
        <f>([412]L!Z197*'D(Ti_Audétat23) Times'!$F197*0.000001)^2/(4*'D(Ti_Audétat23) Times'!$C197)/(365.35*24*3600)</f>
        <v>57350.74058795684</v>
      </c>
      <c r="Z197" s="2">
        <f>([412]L!AB197*'D(Ti_Audétat23) Times'!$F197*0.000001)^2/(4*'D(Ti_Audétat23) Times'!$C197)/(365.35*24*3600)</f>
        <v>58626.079225539739</v>
      </c>
      <c r="AA197" s="2">
        <f>([412]L!AC197*'D(Ti_Audétat23) Times'!$F197*0.000001)^2/(4*'D(Ti_Audétat23) Times'!$C197)/(365.35*24*3600)</f>
        <v>27221.283194331612</v>
      </c>
      <c r="AB197" s="2">
        <f>([412]L!AD197*'D(Ti_Audétat23) Times'!$F197*0.000001)^2/(4*'D(Ti_Audétat23) Times'!$C197)/(365.35*24*3600)</f>
        <v>115880.41754115219</v>
      </c>
      <c r="AC197" s="2">
        <f t="shared" si="13"/>
        <v>31404.796031208127</v>
      </c>
      <c r="AD197" s="2">
        <f t="shared" si="14"/>
        <v>57254.338315612447</v>
      </c>
    </row>
    <row r="198" spans="1:30" x14ac:dyDescent="0.2">
      <c r="A198" t="str">
        <f>[412]L!A198</f>
        <v>CGI011-qtz01-CL-fit-2-offset</v>
      </c>
      <c r="B198">
        <v>750</v>
      </c>
      <c r="C198">
        <f t="shared" si="15"/>
        <v>1.1456341375347871E-23</v>
      </c>
      <c r="D198">
        <v>2000</v>
      </c>
      <c r="E198">
        <v>1024</v>
      </c>
      <c r="F198">
        <f t="shared" si="12"/>
        <v>1.953125</v>
      </c>
      <c r="I198" s="2">
        <f>([412]L!J198*'D(Ti_Audétat23) Times'!$F198*0.000001)^2/(4*'D(Ti_Audétat23) Times'!$C198)/(365.35*24*3600)</f>
        <v>5126.7908904430878</v>
      </c>
      <c r="J198" s="2">
        <f>([412]L!K198*'D(Ti_Audétat23) Times'!$F198*0.000001)^2/(4*'D(Ti_Audétat23) Times'!$C198)/(365.35*24*3600)</f>
        <v>77459.221028366082</v>
      </c>
      <c r="K198" s="2">
        <f>([412]L!L198*'D(Ti_Audétat23) Times'!$F198*0.000001)^2/(4*'D(Ti_Audétat23) Times'!$C198)/(365.35*24*3600)</f>
        <v>61630.775178768177</v>
      </c>
      <c r="L198" s="2">
        <f>([412]L!M198*'D(Ti_Audétat23) Times'!$F198*0.000001)^2/(4*'D(Ti_Audétat23) Times'!$C198)/(365.35*24*3600)</f>
        <v>18613.808097289846</v>
      </c>
      <c r="M198" s="2">
        <f>([412]L!N198*'D(Ti_Audétat23) Times'!$F198*0.000001)^2/(4*'D(Ti_Audétat23) Times'!$C198)/(365.35*24*3600)</f>
        <v>51127.980841364697</v>
      </c>
      <c r="N198" s="2">
        <f>([412]L!O198*'D(Ti_Audétat23) Times'!$F198*0.000001)^2/(4*'D(Ti_Audétat23) Times'!$C198)/(365.35*24*3600)</f>
        <v>13630.566948219741</v>
      </c>
      <c r="O198" s="2">
        <f>([412]L!P198*'D(Ti_Audétat23) Times'!$F198*0.000001)^2/(4*'D(Ti_Audétat23) Times'!$C198)/(365.35*24*3600)</f>
        <v>21800.983226524499</v>
      </c>
      <c r="P198" s="2">
        <f>([412]L!Q198*'D(Ti_Audétat23) Times'!$F198*0.000001)^2/(4*'D(Ti_Audétat23) Times'!$C198)/(365.35*24*3600)</f>
        <v>61257.375707637308</v>
      </c>
      <c r="Q198" s="2">
        <f>([412]L!R198*'D(Ti_Audétat23) Times'!$F198*0.000001)^2/(4*'D(Ti_Audétat23) Times'!$C198)/(365.35*24*3600)</f>
        <v>7908.0382640048683</v>
      </c>
      <c r="R198" s="2">
        <f>([412]L!S198*'D(Ti_Audétat23) Times'!$F198*0.000001)^2/(4*'D(Ti_Audétat23) Times'!$C198)/(365.35*24*3600)</f>
        <v>21509.304792331739</v>
      </c>
      <c r="S198" s="2">
        <f>([412]L!T198*'D(Ti_Audétat23) Times'!$F198*0.000001)^2/(4*'D(Ti_Audétat23) Times'!$C198)/(365.35*24*3600)</f>
        <v>10920.586946157973</v>
      </c>
      <c r="T198" s="2"/>
      <c r="U198" s="2">
        <f>([412]L!V198*'D(Ti_Audétat23) Times'!$F198*0.000001)^2/(4*'D(Ti_Audétat23) Times'!$C198)/(365.35*24*3600)</f>
        <v>25531.653743010735</v>
      </c>
      <c r="V198" s="2">
        <f>([412]L!W198*'D(Ti_Audétat23) Times'!$F198*0.000001)^2/(4*'D(Ti_Audétat23) Times'!$C198)/(365.35*24*3600)</f>
        <v>27156.420401353513</v>
      </c>
      <c r="W198" s="2">
        <f>([412]L!X198*'D(Ti_Audétat23) Times'!$F198*0.000001)^2/(4*'D(Ti_Audétat23) Times'!$C198)/(365.35*24*3600)</f>
        <v>21509.304792331739</v>
      </c>
      <c r="X198" s="2"/>
      <c r="Y198" s="2">
        <f>([412]L!Z198*'D(Ti_Audétat23) Times'!$F198*0.000001)^2/(4*'D(Ti_Audétat23) Times'!$C198)/(365.35*24*3600)</f>
        <v>26684.77927385681</v>
      </c>
      <c r="Z198" s="2">
        <f>([412]L!AB198*'D(Ti_Audétat23) Times'!$F198*0.000001)^2/(4*'D(Ti_Audétat23) Times'!$C198)/(365.35*24*3600)</f>
        <v>28626.759682298216</v>
      </c>
      <c r="AA198" s="2">
        <f>([412]L!AC198*'D(Ti_Audétat23) Times'!$F198*0.000001)^2/(4*'D(Ti_Audétat23) Times'!$C198)/(365.35*24*3600)</f>
        <v>3446.3562957935419</v>
      </c>
      <c r="AB198" s="2">
        <f>([412]L!AD198*'D(Ti_Audétat23) Times'!$F198*0.000001)^2/(4*'D(Ti_Audétat23) Times'!$C198)/(365.35*24*3600)</f>
        <v>97583.728939788925</v>
      </c>
      <c r="AC198" s="2">
        <f t="shared" si="13"/>
        <v>25180.403386504673</v>
      </c>
      <c r="AD198" s="2">
        <f t="shared" si="14"/>
        <v>68956.969257490709</v>
      </c>
    </row>
    <row r="199" spans="1:30" x14ac:dyDescent="0.2">
      <c r="A199" t="str">
        <f>[412]L!A199</f>
        <v>CGI011-qtz01-CL-fit-3-offset</v>
      </c>
      <c r="B199">
        <v>750</v>
      </c>
      <c r="C199">
        <f t="shared" si="15"/>
        <v>1.1456341375347871E-23</v>
      </c>
      <c r="D199">
        <v>2000</v>
      </c>
      <c r="E199">
        <v>1024</v>
      </c>
      <c r="F199">
        <f t="shared" si="12"/>
        <v>1.953125</v>
      </c>
      <c r="I199" s="2">
        <f>([412]L!J199*'D(Ti_Audétat23) Times'!$F199*0.000001)^2/(4*'D(Ti_Audétat23) Times'!$C199)/(365.35*24*3600)</f>
        <v>13520.125948595354</v>
      </c>
      <c r="J199" s="2">
        <f>([412]L!K199*'D(Ti_Audétat23) Times'!$F199*0.000001)^2/(4*'D(Ti_Audétat23) Times'!$C199)/(365.35*24*3600)</f>
        <v>13822.882242524245</v>
      </c>
      <c r="K199" s="2">
        <f>([412]L!L199*'D(Ti_Audétat23) Times'!$F199*0.000001)^2/(4*'D(Ti_Audétat23) Times'!$C199)/(365.35*24*3600)</f>
        <v>21999.887298553091</v>
      </c>
      <c r="L199" s="2">
        <f>([412]L!M199*'D(Ti_Audétat23) Times'!$F199*0.000001)^2/(4*'D(Ti_Audétat23) Times'!$C199)/(365.35*24*3600)</f>
        <v>24569.491177820157</v>
      </c>
      <c r="M199" s="2">
        <f>([412]L!N199*'D(Ti_Audétat23) Times'!$F199*0.000001)^2/(4*'D(Ti_Audétat23) Times'!$C199)/(365.35*24*3600)</f>
        <v>13864.896457857809</v>
      </c>
      <c r="N199" s="2">
        <f>([412]L!O199*'D(Ti_Audétat23) Times'!$F199*0.000001)^2/(4*'D(Ti_Audétat23) Times'!$C199)/(365.35*24*3600)</f>
        <v>16201.76692079774</v>
      </c>
      <c r="O199" s="2">
        <f>([412]L!P199*'D(Ti_Audétat23) Times'!$F199*0.000001)^2/(4*'D(Ti_Audétat23) Times'!$C199)/(365.35*24*3600)</f>
        <v>23246.494834496087</v>
      </c>
      <c r="P199" s="2">
        <f>([412]L!Q199*'D(Ti_Audétat23) Times'!$F199*0.000001)^2/(4*'D(Ti_Audétat23) Times'!$C199)/(365.35*24*3600)</f>
        <v>23489.523373290402</v>
      </c>
      <c r="Q199" s="2">
        <f>([412]L!R199*'D(Ti_Audétat23) Times'!$F199*0.000001)^2/(4*'D(Ti_Audétat23) Times'!$C199)/(365.35*24*3600)</f>
        <v>11681.16314170869</v>
      </c>
      <c r="R199" s="2">
        <f>([412]L!S199*'D(Ti_Audétat23) Times'!$F199*0.000001)^2/(4*'D(Ti_Audétat23) Times'!$C199)/(365.35*24*3600)</f>
        <v>11703.083461000208</v>
      </c>
      <c r="S199" s="2">
        <f>([412]L!T199*'D(Ti_Audétat23) Times'!$F199*0.000001)^2/(4*'D(Ti_Audétat23) Times'!$C199)/(365.35*24*3600)</f>
        <v>35213.313817246657</v>
      </c>
      <c r="T199" s="2"/>
      <c r="U199" s="2">
        <f>([412]L!V199*'D(Ti_Audétat23) Times'!$F199*0.000001)^2/(4*'D(Ti_Audétat23) Times'!$C199)/(365.35*24*3600)</f>
        <v>17749.211836837854</v>
      </c>
      <c r="V199" s="2">
        <f>([412]L!W199*'D(Ti_Audétat23) Times'!$F199*0.000001)^2/(4*'D(Ti_Audétat23) Times'!$C199)/(365.35*24*3600)</f>
        <v>18436.596568660218</v>
      </c>
      <c r="W199" s="2">
        <f>([412]L!X199*'D(Ti_Audétat23) Times'!$F199*0.000001)^2/(4*'D(Ti_Audétat23) Times'!$C199)/(365.35*24*3600)</f>
        <v>16201.76692079774</v>
      </c>
      <c r="X199" s="2"/>
      <c r="Y199" s="2">
        <f>([412]L!Z199*'D(Ti_Audétat23) Times'!$F199*0.000001)^2/(4*'D(Ti_Audétat23) Times'!$C199)/(365.35*24*3600)</f>
        <v>16385.77071984885</v>
      </c>
      <c r="Z199" s="2">
        <f>([412]L!AB199*'D(Ti_Audétat23) Times'!$F199*0.000001)^2/(4*'D(Ti_Audétat23) Times'!$C199)/(365.35*24*3600)</f>
        <v>17571.3803157119</v>
      </c>
      <c r="AA199" s="2">
        <f>([412]L!AC199*'D(Ti_Audétat23) Times'!$F199*0.000001)^2/(4*'D(Ti_Audétat23) Times'!$C199)/(365.35*24*3600)</f>
        <v>6978.7279137185142</v>
      </c>
      <c r="AB199" s="2">
        <f>([412]L!AD199*'D(Ti_Audétat23) Times'!$F199*0.000001)^2/(4*'D(Ti_Audétat23) Times'!$C199)/(365.35*24*3600)</f>
        <v>38304.324335232443</v>
      </c>
      <c r="AC199" s="2">
        <f t="shared" si="13"/>
        <v>10592.652401993386</v>
      </c>
      <c r="AD199" s="2">
        <f t="shared" si="14"/>
        <v>20732.944019520542</v>
      </c>
    </row>
    <row r="200" spans="1:30" x14ac:dyDescent="0.2">
      <c r="A200" t="str">
        <f>[412]L!A200</f>
        <v>CGI011-qtz01-CL-fit-4-offset</v>
      </c>
      <c r="B200">
        <v>750</v>
      </c>
      <c r="C200">
        <f t="shared" si="15"/>
        <v>1.1456341375347871E-23</v>
      </c>
      <c r="D200">
        <v>2000</v>
      </c>
      <c r="E200">
        <v>1024</v>
      </c>
      <c r="F200">
        <f t="shared" si="12"/>
        <v>1.953125</v>
      </c>
      <c r="I200" s="2">
        <f>([412]L!J200*'D(Ti_Audétat23) Times'!$F200*0.000001)^2/(4*'D(Ti_Audétat23) Times'!$C200)/(365.35*24*3600)</f>
        <v>70163.215093003935</v>
      </c>
      <c r="J200" s="2">
        <f>([412]L!K200*'D(Ti_Audétat23) Times'!$F200*0.000001)^2/(4*'D(Ti_Audétat23) Times'!$C200)/(365.35*24*3600)</f>
        <v>150999.08347063631</v>
      </c>
      <c r="K200" s="2">
        <f>([412]L!L200*'D(Ti_Audétat23) Times'!$F200*0.000001)^2/(4*'D(Ti_Audétat23) Times'!$C200)/(365.35*24*3600)</f>
        <v>4329.6115575244139</v>
      </c>
      <c r="L200" s="2">
        <f>([412]L!M200*'D(Ti_Audétat23) Times'!$F200*0.000001)^2/(4*'D(Ti_Audétat23) Times'!$C200)/(365.35*24*3600)</f>
        <v>250130.64520043528</v>
      </c>
      <c r="M200" s="2">
        <f>([412]L!N200*'D(Ti_Audétat23) Times'!$F200*0.000001)^2/(4*'D(Ti_Audétat23) Times'!$C200)/(365.35*24*3600)</f>
        <v>88248.055701863384</v>
      </c>
      <c r="N200" s="2">
        <f>([412]L!O200*'D(Ti_Audétat23) Times'!$F200*0.000001)^2/(4*'D(Ti_Audétat23) Times'!$C200)/(365.35*24*3600)</f>
        <v>127428.33392135285</v>
      </c>
      <c r="O200" s="2">
        <f>([412]L!P200*'D(Ti_Audétat23) Times'!$F200*0.000001)^2/(4*'D(Ti_Audétat23) Times'!$C200)/(365.35*24*3600)</f>
        <v>30976.557973822666</v>
      </c>
      <c r="P200" s="2">
        <f>([412]L!Q200*'D(Ti_Audétat23) Times'!$F200*0.000001)^2/(4*'D(Ti_Audétat23) Times'!$C200)/(365.35*24*3600)</f>
        <v>141893.99166095187</v>
      </c>
      <c r="Q200" s="2">
        <f>([412]L!R200*'D(Ti_Audétat23) Times'!$F200*0.000001)^2/(4*'D(Ti_Audétat23) Times'!$C200)/(365.35*24*3600)</f>
        <v>5752.3790346916094</v>
      </c>
      <c r="R200" s="2">
        <f>([412]L!S200*'D(Ti_Audétat23) Times'!$F200*0.000001)^2/(4*'D(Ti_Audétat23) Times'!$C200)/(365.35*24*3600)</f>
        <v>200919.55648546314</v>
      </c>
      <c r="S200" s="2">
        <f>([412]L!T200*'D(Ti_Audétat23) Times'!$F200*0.000001)^2/(4*'D(Ti_Audétat23) Times'!$C200)/(365.35*24*3600)</f>
        <v>124474.38130211917</v>
      </c>
      <c r="T200" s="2"/>
      <c r="U200" s="2">
        <f>([412]L!V200*'D(Ti_Audétat23) Times'!$F200*0.000001)^2/(4*'D(Ti_Audétat23) Times'!$C200)/(365.35*24*3600)</f>
        <v>108920.40050435151</v>
      </c>
      <c r="V200" s="2">
        <f>([412]L!W200*'D(Ti_Audétat23) Times'!$F200*0.000001)^2/(4*'D(Ti_Audétat23) Times'!$C200)/(365.35*24*3600)</f>
        <v>90164.835960397977</v>
      </c>
      <c r="W200" s="2">
        <f>([412]L!X200*'D(Ti_Audétat23) Times'!$F200*0.000001)^2/(4*'D(Ti_Audétat23) Times'!$C200)/(365.35*24*3600)</f>
        <v>124474.38130211917</v>
      </c>
      <c r="X200" s="2"/>
      <c r="Y200" s="2">
        <f>([412]L!Z200*'D(Ti_Audétat23) Times'!$F200*0.000001)^2/(4*'D(Ti_Audétat23) Times'!$C200)/(365.35*24*3600)</f>
        <v>101413.51981959505</v>
      </c>
      <c r="Z200" s="2">
        <f>([412]L!AB200*'D(Ti_Audétat23) Times'!$F200*0.000001)^2/(4*'D(Ti_Audétat23) Times'!$C200)/(365.35*24*3600)</f>
        <v>97193.697854995407</v>
      </c>
      <c r="AA200" s="2">
        <f>([412]L!AC200*'D(Ti_Audétat23) Times'!$F200*0.000001)^2/(4*'D(Ti_Audétat23) Times'!$C200)/(365.35*24*3600)</f>
        <v>5046.3318907388038</v>
      </c>
      <c r="AB200" s="2">
        <f>([412]L!AD200*'D(Ti_Audétat23) Times'!$F200*0.000001)^2/(4*'D(Ti_Audétat23) Times'!$C200)/(365.35*24*3600)</f>
        <v>326595.3161315741</v>
      </c>
      <c r="AC200" s="2">
        <f t="shared" si="13"/>
        <v>92147.365964256605</v>
      </c>
      <c r="AD200" s="2">
        <f t="shared" si="14"/>
        <v>229401.61827657869</v>
      </c>
    </row>
    <row r="201" spans="1:30" x14ac:dyDescent="0.2">
      <c r="A201" t="str">
        <f>[412]L!A201</f>
        <v>CGI011-qtz01-CL-fit-5-offset</v>
      </c>
      <c r="B201">
        <v>750</v>
      </c>
      <c r="C201">
        <f t="shared" si="15"/>
        <v>1.1456341375347871E-23</v>
      </c>
      <c r="D201">
        <v>2000</v>
      </c>
      <c r="E201">
        <v>1024</v>
      </c>
      <c r="F201">
        <f t="shared" si="12"/>
        <v>1.953125</v>
      </c>
      <c r="I201" s="2">
        <f>([412]L!J201*'D(Ti_Audétat23) Times'!$F201*0.000001)^2/(4*'D(Ti_Audétat23) Times'!$C201)/(365.35*24*3600)</f>
        <v>539.23762826369159</v>
      </c>
      <c r="J201" s="2">
        <f>([412]L!K201*'D(Ti_Audétat23) Times'!$F201*0.000001)^2/(4*'D(Ti_Audétat23) Times'!$C201)/(365.35*24*3600)</f>
        <v>6684.6036723383386</v>
      </c>
      <c r="K201" s="2">
        <f>([412]L!L201*'D(Ti_Audétat23) Times'!$F201*0.000001)^2/(4*'D(Ti_Audétat23) Times'!$C201)/(365.35*24*3600)</f>
        <v>7214.6373459645301</v>
      </c>
      <c r="L201" s="2">
        <f>([412]L!M201*'D(Ti_Audétat23) Times'!$F201*0.000001)^2/(4*'D(Ti_Audétat23) Times'!$C201)/(365.35*24*3600)</f>
        <v>2991.2013890737721</v>
      </c>
      <c r="M201" s="2">
        <f>([412]L!N201*'D(Ti_Audétat23) Times'!$F201*0.000001)^2/(4*'D(Ti_Audétat23) Times'!$C201)/(365.35*24*3600)</f>
        <v>6036.3164320488904</v>
      </c>
      <c r="N201" s="2">
        <f>([412]L!O201*'D(Ti_Audétat23) Times'!$F201*0.000001)^2/(4*'D(Ti_Audétat23) Times'!$C201)/(365.35*24*3600)</f>
        <v>8513.0513582249441</v>
      </c>
      <c r="O201" s="2">
        <f>([412]L!P201*'D(Ti_Audétat23) Times'!$F201*0.000001)^2/(4*'D(Ti_Audétat23) Times'!$C201)/(365.35*24*3600)</f>
        <v>6271.9484846644764</v>
      </c>
      <c r="P201" s="2">
        <f>([412]L!Q201*'D(Ti_Audétat23) Times'!$F201*0.000001)^2/(4*'D(Ti_Audétat23) Times'!$C201)/(365.35*24*3600)</f>
        <v>3.0608708880484259</v>
      </c>
      <c r="Q201" s="2">
        <f>([412]L!R201*'D(Ti_Audétat23) Times'!$F201*0.000001)^2/(4*'D(Ti_Audétat23) Times'!$C201)/(365.35*24*3600)</f>
        <v>8637.9653646690749</v>
      </c>
      <c r="R201" s="2">
        <f>([412]L!S201*'D(Ti_Audétat23) Times'!$F201*0.000001)^2/(4*'D(Ti_Audétat23) Times'!$C201)/(365.35*24*3600)</f>
        <v>5093.0859958320434</v>
      </c>
      <c r="S201" s="2">
        <f>([412]L!T201*'D(Ti_Audétat23) Times'!$F201*0.000001)^2/(4*'D(Ti_Audétat23) Times'!$C201)/(365.35*24*3600)</f>
        <v>14688.3790639826</v>
      </c>
      <c r="T201" s="2"/>
      <c r="U201" s="2">
        <f>([412]L!V201*'D(Ti_Audétat23) Times'!$F201*0.000001)^2/(4*'D(Ti_Audétat23) Times'!$C201)/(365.35*24*3600)</f>
        <v>7563.7834029375999</v>
      </c>
      <c r="V201" s="2">
        <f>([412]L!W201*'D(Ti_Audétat23) Times'!$F201*0.000001)^2/(4*'D(Ti_Audétat23) Times'!$C201)/(365.35*24*3600)</f>
        <v>5041.2459812395809</v>
      </c>
      <c r="W201" s="2">
        <f>([412]L!X201*'D(Ti_Audétat23) Times'!$F201*0.000001)^2/(4*'D(Ti_Audétat23) Times'!$C201)/(365.35*24*3600)</f>
        <v>6271.9484846644764</v>
      </c>
      <c r="X201" s="2"/>
      <c r="Y201" s="2">
        <f>([412]L!Z201*'D(Ti_Audétat23) Times'!$F201*0.000001)^2/(4*'D(Ti_Audétat23) Times'!$C201)/(365.35*24*3600)</f>
        <v>6290.3106836697443</v>
      </c>
      <c r="Z201" s="2">
        <f>([412]L!AB201*'D(Ti_Audétat23) Times'!$F201*0.000001)^2/(4*'D(Ti_Audétat23) Times'!$C201)/(365.35*24*3600)</f>
        <v>6484.1228474035988</v>
      </c>
      <c r="AA201" s="2">
        <f>([412]L!AC201*'D(Ti_Audétat23) Times'!$F201*0.000001)^2/(4*'D(Ti_Audétat23) Times'!$C201)/(365.35*24*3600)</f>
        <v>165.18652408712174</v>
      </c>
      <c r="AB201" s="2">
        <f>([412]L!AD201*'D(Ti_Audétat23) Times'!$F201*0.000001)^2/(4*'D(Ti_Audétat23) Times'!$C201)/(365.35*24*3600)</f>
        <v>22338.17554424642</v>
      </c>
      <c r="AC201" s="2">
        <f t="shared" si="13"/>
        <v>6318.9363233164768</v>
      </c>
      <c r="AD201" s="2">
        <f t="shared" si="14"/>
        <v>15854.05269684282</v>
      </c>
    </row>
    <row r="202" spans="1:30" x14ac:dyDescent="0.2">
      <c r="A202" t="str">
        <f>[412]L!A202</f>
        <v>CGI011-qtz02-CL-fit-1-offset</v>
      </c>
      <c r="B202">
        <v>750</v>
      </c>
      <c r="C202">
        <f t="shared" si="15"/>
        <v>1.1456341375347871E-23</v>
      </c>
      <c r="D202">
        <v>1600</v>
      </c>
      <c r="E202">
        <v>1024</v>
      </c>
      <c r="F202">
        <f t="shared" si="12"/>
        <v>1.5625</v>
      </c>
      <c r="I202" s="2">
        <f>([412]L!J202*'D(Ti_Audétat23) Times'!$F202*0.000001)^2/(4*'D(Ti_Audétat23) Times'!$C202)/(365.35*24*3600)</f>
        <v>81875.220089802242</v>
      </c>
      <c r="J202" s="2">
        <f>([412]L!K202*'D(Ti_Audétat23) Times'!$F202*0.000001)^2/(4*'D(Ti_Audétat23) Times'!$C202)/(365.35*24*3600)</f>
        <v>54772.720345269292</v>
      </c>
      <c r="K202" s="2">
        <f>([412]L!L202*'D(Ti_Audétat23) Times'!$F202*0.000001)^2/(4*'D(Ti_Audétat23) Times'!$C202)/(365.35*24*3600)</f>
        <v>27024.189774873212</v>
      </c>
      <c r="L202" s="2">
        <f>([412]L!M202*'D(Ti_Audétat23) Times'!$F202*0.000001)^2/(4*'D(Ti_Audétat23) Times'!$C202)/(365.35*24*3600)</f>
        <v>186575.04709005816</v>
      </c>
      <c r="M202" s="2">
        <f>([412]L!N202*'D(Ti_Audétat23) Times'!$F202*0.000001)^2/(4*'D(Ti_Audétat23) Times'!$C202)/(365.35*24*3600)</f>
        <v>58651.260035489191</v>
      </c>
      <c r="N202" s="2">
        <f>([412]L!O202*'D(Ti_Audétat23) Times'!$F202*0.000001)^2/(4*'D(Ti_Audétat23) Times'!$C202)/(365.35*24*3600)</f>
        <v>4586.5716388200744</v>
      </c>
      <c r="O202" s="2">
        <f>([412]L!P202*'D(Ti_Audétat23) Times'!$F202*0.000001)^2/(4*'D(Ti_Audétat23) Times'!$C202)/(365.35*24*3600)</f>
        <v>86582.488497151033</v>
      </c>
      <c r="P202" s="2">
        <f>([412]L!Q202*'D(Ti_Audétat23) Times'!$F202*0.000001)^2/(4*'D(Ti_Audétat23) Times'!$C202)/(365.35*24*3600)</f>
        <v>94446.843848107659</v>
      </c>
      <c r="Q202" s="2">
        <f>([412]L!R202*'D(Ti_Audétat23) Times'!$F202*0.000001)^2/(4*'D(Ti_Audétat23) Times'!$C202)/(365.35*24*3600)</f>
        <v>131189.87178053151</v>
      </c>
      <c r="R202" s="2">
        <f>([412]L!S202*'D(Ti_Audétat23) Times'!$F202*0.000001)^2/(4*'D(Ti_Audétat23) Times'!$C202)/(365.35*24*3600)</f>
        <v>25960.123020664629</v>
      </c>
      <c r="S202" s="2">
        <f>([412]L!T202*'D(Ti_Audétat23) Times'!$F202*0.000001)^2/(4*'D(Ti_Audétat23) Times'!$C202)/(365.35*24*3600)</f>
        <v>33358.51205576503</v>
      </c>
      <c r="T202" s="2"/>
      <c r="U202" s="2">
        <f>([412]L!V202*'D(Ti_Audétat23) Times'!$F202*0.000001)^2/(4*'D(Ti_Audétat23) Times'!$C202)/(365.35*24*3600)</f>
        <v>61730.440932437246</v>
      </c>
      <c r="V202" s="2">
        <f>([412]L!W202*'D(Ti_Audétat23) Times'!$F202*0.000001)^2/(4*'D(Ti_Audétat23) Times'!$C202)/(365.35*24*3600)</f>
        <v>61772.55732812635</v>
      </c>
      <c r="W202" s="2">
        <f>([412]L!X202*'D(Ti_Audétat23) Times'!$F202*0.000001)^2/(4*'D(Ti_Audétat23) Times'!$C202)/(365.35*24*3600)</f>
        <v>58651.260035489191</v>
      </c>
      <c r="X202" s="2"/>
      <c r="Y202" s="2">
        <f>([412]L!Z202*'D(Ti_Audétat23) Times'!$F202*0.000001)^2/(4*'D(Ti_Audétat23) Times'!$C202)/(365.35*24*3600)</f>
        <v>47652.847325627845</v>
      </c>
      <c r="Z202" s="2">
        <f>([412]L!AB202*'D(Ti_Audétat23) Times'!$F202*0.000001)^2/(4*'D(Ti_Audétat23) Times'!$C202)/(365.35*24*3600)</f>
        <v>74148.00478577592</v>
      </c>
      <c r="AA202" s="2">
        <f>([412]L!AC202*'D(Ti_Audétat23) Times'!$F202*0.000001)^2/(4*'D(Ti_Audétat23) Times'!$C202)/(365.35*24*3600)</f>
        <v>11461.956994751643</v>
      </c>
      <c r="AB202" s="2">
        <f>([412]L!AD202*'D(Ti_Audétat23) Times'!$F202*0.000001)^2/(4*'D(Ti_Audétat23) Times'!$C202)/(365.35*24*3600)</f>
        <v>487123.83123915264</v>
      </c>
      <c r="AC202" s="2">
        <f t="shared" si="13"/>
        <v>62686.047791024277</v>
      </c>
      <c r="AD202" s="2">
        <f t="shared" si="14"/>
        <v>412975.82645337674</v>
      </c>
    </row>
    <row r="203" spans="1:30" x14ac:dyDescent="0.2">
      <c r="A203" t="str">
        <f>[412]L!A203</f>
        <v>CGI011-qtz02-CL-fit-2-offset</v>
      </c>
      <c r="B203">
        <v>750</v>
      </c>
      <c r="C203">
        <f t="shared" si="15"/>
        <v>1.1456341375347871E-23</v>
      </c>
      <c r="D203">
        <v>1600</v>
      </c>
      <c r="E203">
        <v>1024</v>
      </c>
      <c r="F203">
        <f t="shared" si="12"/>
        <v>1.5625</v>
      </c>
      <c r="I203" s="2">
        <f>([412]L!J203*'D(Ti_Audétat23) Times'!$F203*0.000001)^2/(4*'D(Ti_Audétat23) Times'!$C203)/(365.35*24*3600)</f>
        <v>102046.01594975915</v>
      </c>
      <c r="J203" s="2">
        <f>([412]L!K203*'D(Ti_Audétat23) Times'!$F203*0.000001)^2/(4*'D(Ti_Audétat23) Times'!$C203)/(365.35*24*3600)</f>
        <v>122529.97311121711</v>
      </c>
      <c r="K203" s="2">
        <f>([412]L!L203*'D(Ti_Audétat23) Times'!$F203*0.000001)^2/(4*'D(Ti_Audétat23) Times'!$C203)/(365.35*24*3600)</f>
        <v>76256.25596679817</v>
      </c>
      <c r="L203" s="2">
        <f>([412]L!M203*'D(Ti_Audétat23) Times'!$F203*0.000001)^2/(4*'D(Ti_Audétat23) Times'!$C203)/(365.35*24*3600)</f>
        <v>98369.318722615615</v>
      </c>
      <c r="M203" s="2">
        <f>([412]L!N203*'D(Ti_Audétat23) Times'!$F203*0.000001)^2/(4*'D(Ti_Audétat23) Times'!$C203)/(365.35*24*3600)</f>
        <v>135849.22977165002</v>
      </c>
      <c r="N203" s="2">
        <f>([412]L!O203*'D(Ti_Audétat23) Times'!$F203*0.000001)^2/(4*'D(Ti_Audétat23) Times'!$C203)/(365.35*24*3600)</f>
        <v>91731.717853049529</v>
      </c>
      <c r="O203" s="2">
        <f>([412]L!P203*'D(Ti_Audétat23) Times'!$F203*0.000001)^2/(4*'D(Ti_Audétat23) Times'!$C203)/(365.35*24*3600)</f>
        <v>55013.076410823553</v>
      </c>
      <c r="P203" s="2">
        <f>([412]L!Q203*'D(Ti_Audétat23) Times'!$F203*0.000001)^2/(4*'D(Ti_Audétat23) Times'!$C203)/(365.35*24*3600)</f>
        <v>46352.21353070753</v>
      </c>
      <c r="Q203" s="2">
        <f>([412]L!R203*'D(Ti_Audétat23) Times'!$F203*0.000001)^2/(4*'D(Ti_Audétat23) Times'!$C203)/(365.35*24*3600)</f>
        <v>35069.557854078892</v>
      </c>
      <c r="R203" s="2">
        <f>([412]L!S203*'D(Ti_Audétat23) Times'!$F203*0.000001)^2/(4*'D(Ti_Audétat23) Times'!$C203)/(365.35*24*3600)</f>
        <v>21100.87364101594</v>
      </c>
      <c r="S203" s="2">
        <f>([412]L!T203*'D(Ti_Audétat23) Times'!$F203*0.000001)^2/(4*'D(Ti_Audétat23) Times'!$C203)/(365.35*24*3600)</f>
        <v>32295.223027348402</v>
      </c>
      <c r="T203" s="2"/>
      <c r="U203" s="2">
        <f>([412]L!V203*'D(Ti_Audétat23) Times'!$F203*0.000001)^2/(4*'D(Ti_Audétat23) Times'!$C203)/(365.35*24*3600)</f>
        <v>69293.476233536087</v>
      </c>
      <c r="V203" s="2">
        <f>([412]L!W203*'D(Ti_Audétat23) Times'!$F203*0.000001)^2/(4*'D(Ti_Audétat23) Times'!$C203)/(365.35*24*3600)</f>
        <v>69159.736753533361</v>
      </c>
      <c r="W203" s="2">
        <f>([412]L!X203*'D(Ti_Audétat23) Times'!$F203*0.000001)^2/(4*'D(Ti_Audétat23) Times'!$C203)/(365.35*24*3600)</f>
        <v>76256.25596679817</v>
      </c>
      <c r="X203" s="2"/>
      <c r="Y203" s="2">
        <f>([412]L!Z203*'D(Ti_Audétat23) Times'!$F203*0.000001)^2/(4*'D(Ti_Audétat23) Times'!$C203)/(365.35*24*3600)</f>
        <v>64658.4709146651</v>
      </c>
      <c r="Z203" s="2">
        <f>([412]L!AB203*'D(Ti_Audétat23) Times'!$F203*0.000001)^2/(4*'D(Ti_Audétat23) Times'!$C203)/(365.35*24*3600)</f>
        <v>64565.160157481019</v>
      </c>
      <c r="AA203" s="2">
        <f>([412]L!AC203*'D(Ti_Audétat23) Times'!$F203*0.000001)^2/(4*'D(Ti_Audétat23) Times'!$C203)/(365.35*24*3600)</f>
        <v>23419.653172639788</v>
      </c>
      <c r="AB203" s="2">
        <f>([412]L!AD203*'D(Ti_Audétat23) Times'!$F203*0.000001)^2/(4*'D(Ti_Audétat23) Times'!$C203)/(365.35*24*3600)</f>
        <v>141256.55902070468</v>
      </c>
      <c r="AC203" s="2">
        <f t="shared" si="13"/>
        <v>41145.506984841231</v>
      </c>
      <c r="AD203" s="2">
        <f t="shared" si="14"/>
        <v>76691.398863223658</v>
      </c>
    </row>
    <row r="204" spans="1:30" x14ac:dyDescent="0.2">
      <c r="A204" t="str">
        <f>[412]L!A204</f>
        <v>CGI011-qtz02-CL-fit-3-offset</v>
      </c>
      <c r="B204">
        <v>750</v>
      </c>
      <c r="C204">
        <f t="shared" si="15"/>
        <v>1.1456341375347871E-23</v>
      </c>
      <c r="D204">
        <v>1600</v>
      </c>
      <c r="E204">
        <v>1024</v>
      </c>
      <c r="F204">
        <f t="shared" si="12"/>
        <v>1.5625</v>
      </c>
      <c r="I204" s="2">
        <f>([412]L!J204*'D(Ti_Audétat23) Times'!$F204*0.000001)^2/(4*'D(Ti_Audétat23) Times'!$C204)/(365.35*24*3600)</f>
        <v>19317.405205677271</v>
      </c>
      <c r="J204" s="2">
        <f>([412]L!K204*'D(Ti_Audétat23) Times'!$F204*0.000001)^2/(4*'D(Ti_Audétat23) Times'!$C204)/(365.35*24*3600)</f>
        <v>10208.560899023954</v>
      </c>
      <c r="K204" s="2">
        <f>([412]L!L204*'D(Ti_Audétat23) Times'!$F204*0.000001)^2/(4*'D(Ti_Audétat23) Times'!$C204)/(365.35*24*3600)</f>
        <v>13076.064660253358</v>
      </c>
      <c r="L204" s="2">
        <f>([412]L!M204*'D(Ti_Audétat23) Times'!$F204*0.000001)^2/(4*'D(Ti_Audétat23) Times'!$C204)/(365.35*24*3600)</f>
        <v>14073.907364099803</v>
      </c>
      <c r="M204" s="2">
        <f>([412]L!N204*'D(Ti_Audétat23) Times'!$F204*0.000001)^2/(4*'D(Ti_Audétat23) Times'!$C204)/(365.35*24*3600)</f>
        <v>21322.776552066985</v>
      </c>
      <c r="N204" s="2">
        <f>([412]L!O204*'D(Ti_Audétat23) Times'!$F204*0.000001)^2/(4*'D(Ti_Audétat23) Times'!$C204)/(365.35*24*3600)</f>
        <v>18262.207774398204</v>
      </c>
      <c r="O204" s="2">
        <f>([412]L!P204*'D(Ti_Audétat23) Times'!$F204*0.000001)^2/(4*'D(Ti_Audétat23) Times'!$C204)/(365.35*24*3600)</f>
        <v>12225.926315797848</v>
      </c>
      <c r="P204" s="2">
        <f>([412]L!Q204*'D(Ti_Audétat23) Times'!$F204*0.000001)^2/(4*'D(Ti_Audétat23) Times'!$C204)/(365.35*24*3600)</f>
        <v>23105.108329656276</v>
      </c>
      <c r="Q204" s="2">
        <f>([412]L!R204*'D(Ti_Audétat23) Times'!$F204*0.000001)^2/(4*'D(Ti_Audétat23) Times'!$C204)/(365.35*24*3600)</f>
        <v>3067.7025285040045</v>
      </c>
      <c r="R204" s="2">
        <f>([412]L!S204*'D(Ti_Audétat23) Times'!$F204*0.000001)^2/(4*'D(Ti_Audétat23) Times'!$C204)/(365.35*24*3600)</f>
        <v>9448.4230373845257</v>
      </c>
      <c r="S204" s="2">
        <f>([412]L!T204*'D(Ti_Audétat23) Times'!$F204*0.000001)^2/(4*'D(Ti_Audétat23) Times'!$C204)/(365.35*24*3600)</f>
        <v>10184.80207656996</v>
      </c>
      <c r="T204" s="2"/>
      <c r="U204" s="2">
        <f>([412]L!V204*'D(Ti_Audétat23) Times'!$F204*0.000001)^2/(4*'D(Ti_Audétat23) Times'!$C204)/(365.35*24*3600)</f>
        <v>12962.837894334332</v>
      </c>
      <c r="V204" s="2">
        <f>([412]L!W204*'D(Ti_Audétat23) Times'!$F204*0.000001)^2/(4*'D(Ti_Audétat23) Times'!$C204)/(365.35*24*3600)</f>
        <v>13335.078953369848</v>
      </c>
      <c r="W204" s="2">
        <f>([412]L!X204*'D(Ti_Audétat23) Times'!$F204*0.000001)^2/(4*'D(Ti_Audétat23) Times'!$C204)/(365.35*24*3600)</f>
        <v>13076.064660253358</v>
      </c>
      <c r="X204" s="2"/>
      <c r="Y204" s="2">
        <f>([412]L!Z204*'D(Ti_Audétat23) Times'!$F204*0.000001)^2/(4*'D(Ti_Audétat23) Times'!$C204)/(365.35*24*3600)</f>
        <v>12797.837321861049</v>
      </c>
      <c r="Z204" s="2">
        <f>([412]L!AB204*'D(Ti_Audétat23) Times'!$F204*0.000001)^2/(4*'D(Ti_Audétat23) Times'!$C204)/(365.35*24*3600)</f>
        <v>12925.689820638605</v>
      </c>
      <c r="AA204" s="2">
        <f>([412]L!AC204*'D(Ti_Audétat23) Times'!$F204*0.000001)^2/(4*'D(Ti_Audétat23) Times'!$C204)/(365.35*24*3600)</f>
        <v>5235.6536033484763</v>
      </c>
      <c r="AB204" s="2">
        <f>([412]L!AD204*'D(Ti_Audétat23) Times'!$F204*0.000001)^2/(4*'D(Ti_Audétat23) Times'!$C204)/(365.35*24*3600)</f>
        <v>24343.624709713524</v>
      </c>
      <c r="AC204" s="2">
        <f t="shared" si="13"/>
        <v>7690.0362172901287</v>
      </c>
      <c r="AD204" s="2">
        <f t="shared" si="14"/>
        <v>11417.934889074919</v>
      </c>
    </row>
    <row r="205" spans="1:30" x14ac:dyDescent="0.2">
      <c r="A205" t="str">
        <f>[412]L!A205</f>
        <v>CGI011-qtz02-CL-fit-4-offset</v>
      </c>
      <c r="B205">
        <v>750</v>
      </c>
      <c r="C205">
        <f t="shared" si="15"/>
        <v>1.1456341375347871E-23</v>
      </c>
      <c r="D205">
        <v>1600</v>
      </c>
      <c r="E205">
        <v>1024</v>
      </c>
      <c r="F205">
        <f t="shared" si="12"/>
        <v>1.5625</v>
      </c>
      <c r="I205" s="2">
        <f>([412]L!J205*'D(Ti_Audétat23) Times'!$F205*0.000001)^2/(4*'D(Ti_Audétat23) Times'!$C205)/(365.35*24*3600)</f>
        <v>13434.909795794627</v>
      </c>
      <c r="J205" s="2">
        <f>([412]L!K205*'D(Ti_Audétat23) Times'!$F205*0.000001)^2/(4*'D(Ti_Audétat23) Times'!$C205)/(365.35*24*3600)</f>
        <v>19634.003588847849</v>
      </c>
      <c r="K205" s="2">
        <f>([412]L!L205*'D(Ti_Audétat23) Times'!$F205*0.000001)^2/(4*'D(Ti_Audétat23) Times'!$C205)/(365.35*24*3600)</f>
        <v>12753.394730035645</v>
      </c>
      <c r="L205" s="2">
        <f>([412]L!M205*'D(Ti_Audétat23) Times'!$F205*0.000001)^2/(4*'D(Ti_Audétat23) Times'!$C205)/(365.35*24*3600)</f>
        <v>13733.199246557408</v>
      </c>
      <c r="M205" s="2">
        <f>([412]L!N205*'D(Ti_Audétat23) Times'!$F205*0.000001)^2/(4*'D(Ti_Audétat23) Times'!$C205)/(365.35*24*3600)</f>
        <v>19758.990101309369</v>
      </c>
      <c r="N205" s="2">
        <f>([412]L!O205*'D(Ti_Audétat23) Times'!$F205*0.000001)^2/(4*'D(Ti_Audétat23) Times'!$C205)/(365.35*24*3600)</f>
        <v>8974.7236848686007</v>
      </c>
      <c r="O205" s="2">
        <f>([412]L!P205*'D(Ti_Audétat23) Times'!$F205*0.000001)^2/(4*'D(Ti_Audétat23) Times'!$C205)/(365.35*24*3600)</f>
        <v>29010.4350618545</v>
      </c>
      <c r="P205" s="2">
        <f>([412]L!Q205*'D(Ti_Audétat23) Times'!$F205*0.000001)^2/(4*'D(Ti_Audétat23) Times'!$C205)/(365.35*24*3600)</f>
        <v>5945.5664786798397</v>
      </c>
      <c r="Q205" s="2">
        <f>([412]L!R205*'D(Ti_Audétat23) Times'!$F205*0.000001)^2/(4*'D(Ti_Audétat23) Times'!$C205)/(365.35*24*3600)</f>
        <v>18233.839254642142</v>
      </c>
      <c r="R205" s="2">
        <f>([412]L!S205*'D(Ti_Audétat23) Times'!$F205*0.000001)^2/(4*'D(Ti_Audétat23) Times'!$C205)/(365.35*24*3600)</f>
        <v>5398.4391001638605</v>
      </c>
      <c r="S205" s="2">
        <f>([412]L!T205*'D(Ti_Audétat23) Times'!$F205*0.000001)^2/(4*'D(Ti_Audétat23) Times'!$C205)/(365.35*24*3600)</f>
        <v>14847.687678640195</v>
      </c>
      <c r="T205" s="2"/>
      <c r="U205" s="2">
        <f>([412]L!V205*'D(Ti_Audétat23) Times'!$F205*0.000001)^2/(4*'D(Ti_Audétat23) Times'!$C205)/(365.35*24*3600)</f>
        <v>14787.403477537304</v>
      </c>
      <c r="V205" s="2">
        <f>([412]L!W205*'D(Ti_Audétat23) Times'!$F205*0.000001)^2/(4*'D(Ti_Audétat23) Times'!$C205)/(365.35*24*3600)</f>
        <v>13950.652735435468</v>
      </c>
      <c r="W205" s="2">
        <f>([412]L!X205*'D(Ti_Audétat23) Times'!$F205*0.000001)^2/(4*'D(Ti_Audétat23) Times'!$C205)/(365.35*24*3600)</f>
        <v>13733.199246557408</v>
      </c>
      <c r="X205" s="2"/>
      <c r="Y205" s="2">
        <f>([412]L!Z205*'D(Ti_Audétat23) Times'!$F205*0.000001)^2/(4*'D(Ti_Audétat23) Times'!$C205)/(365.35*24*3600)</f>
        <v>14181.936407754494</v>
      </c>
      <c r="Z205" s="2">
        <f>([412]L!AB205*'D(Ti_Audétat23) Times'!$F205*0.000001)^2/(4*'D(Ti_Audétat23) Times'!$C205)/(365.35*24*3600)</f>
        <v>13895.658483632647</v>
      </c>
      <c r="AA205" s="2">
        <f>([412]L!AC205*'D(Ti_Audétat23) Times'!$F205*0.000001)^2/(4*'D(Ti_Audétat23) Times'!$C205)/(365.35*24*3600)</f>
        <v>4132.6459193851397</v>
      </c>
      <c r="AB205" s="2">
        <f>([412]L!AD205*'D(Ti_Audétat23) Times'!$F205*0.000001)^2/(4*'D(Ti_Audétat23) Times'!$C205)/(365.35*24*3600)</f>
        <v>31073.638987220835</v>
      </c>
      <c r="AC205" s="2">
        <f t="shared" si="13"/>
        <v>9763.0125642475068</v>
      </c>
      <c r="AD205" s="2">
        <f t="shared" si="14"/>
        <v>17177.980503588187</v>
      </c>
    </row>
    <row r="206" spans="1:30" x14ac:dyDescent="0.2">
      <c r="A206" t="str">
        <f>[412]L!A206</f>
        <v>CGI011-qtz02-CL-fit-5-offset</v>
      </c>
      <c r="B206">
        <v>750</v>
      </c>
      <c r="C206">
        <f t="shared" si="15"/>
        <v>1.1456341375347871E-23</v>
      </c>
      <c r="D206">
        <v>1600</v>
      </c>
      <c r="E206">
        <v>1024</v>
      </c>
      <c r="F206">
        <f t="shared" si="12"/>
        <v>1.5625</v>
      </c>
      <c r="I206" s="2">
        <f>([412]L!J206*'D(Ti_Audétat23) Times'!$F206*0.000001)^2/(4*'D(Ti_Audétat23) Times'!$C206)/(365.35*24*3600)</f>
        <v>1237.1182838233779</v>
      </c>
      <c r="J206" s="2">
        <f>([412]L!K206*'D(Ti_Audétat23) Times'!$F206*0.000001)^2/(4*'D(Ti_Audétat23) Times'!$C206)/(365.35*24*3600)</f>
        <v>2433.0558600287263</v>
      </c>
      <c r="K206" s="2">
        <f>([412]L!L206*'D(Ti_Audétat23) Times'!$F206*0.000001)^2/(4*'D(Ti_Audétat23) Times'!$C206)/(365.35*24*3600)</f>
        <v>2278.3924789220937</v>
      </c>
      <c r="L206" s="2">
        <f>([412]L!M206*'D(Ti_Audétat23) Times'!$F206*0.000001)^2/(4*'D(Ti_Audétat23) Times'!$C206)/(365.35*24*3600)</f>
        <v>1864.2343028934533</v>
      </c>
      <c r="M206" s="2">
        <f>([412]L!N206*'D(Ti_Audétat23) Times'!$F206*0.000001)^2/(4*'D(Ti_Audétat23) Times'!$C206)/(365.35*24*3600)</f>
        <v>3970.1939261431276</v>
      </c>
      <c r="N206" s="2">
        <f>([412]L!O206*'D(Ti_Audétat23) Times'!$F206*0.000001)^2/(4*'D(Ti_Audétat23) Times'!$C206)/(365.35*24*3600)</f>
        <v>1459.0734436924151</v>
      </c>
      <c r="O206" s="2">
        <f>([412]L!P206*'D(Ti_Audétat23) Times'!$F206*0.000001)^2/(4*'D(Ti_Audétat23) Times'!$C206)/(365.35*24*3600)</f>
        <v>8148.3181364591983</v>
      </c>
      <c r="P206" s="2">
        <f>([412]L!Q206*'D(Ti_Audétat23) Times'!$F206*0.000001)^2/(4*'D(Ti_Audétat23) Times'!$C206)/(365.35*24*3600)</f>
        <v>4670.483859960701</v>
      </c>
      <c r="Q206" s="2">
        <f>([412]L!R206*'D(Ti_Audétat23) Times'!$F206*0.000001)^2/(4*'D(Ti_Audétat23) Times'!$C206)/(365.35*24*3600)</f>
        <v>6877.1979395398721</v>
      </c>
      <c r="R206" s="2">
        <f>([412]L!S206*'D(Ti_Audétat23) Times'!$F206*0.000001)^2/(4*'D(Ti_Audétat23) Times'!$C206)/(365.35*24*3600)</f>
        <v>1785.8941302687947</v>
      </c>
      <c r="S206" s="2">
        <f>([412]L!T206*'D(Ti_Audétat23) Times'!$F206*0.000001)^2/(4*'D(Ti_Audétat23) Times'!$C206)/(365.35*24*3600)</f>
        <v>16.10025473315569</v>
      </c>
      <c r="T206" s="2"/>
      <c r="U206" s="2">
        <f>([412]L!V206*'D(Ti_Audétat23) Times'!$F206*0.000001)^2/(4*'D(Ti_Audétat23) Times'!$C206)/(365.35*24*3600)</f>
        <v>3693.6213213379201</v>
      </c>
      <c r="V206" s="2">
        <f>([412]L!W206*'D(Ti_Audétat23) Times'!$F206*0.000001)^2/(4*'D(Ti_Audétat23) Times'!$C206)/(365.35*24*3600)</f>
        <v>2632.8606236240694</v>
      </c>
      <c r="W206" s="2">
        <f>([412]L!X206*'D(Ti_Audétat23) Times'!$F206*0.000001)^2/(4*'D(Ti_Audétat23) Times'!$C206)/(365.35*24*3600)</f>
        <v>2278.3924789220937</v>
      </c>
      <c r="X206" s="2"/>
      <c r="Y206" s="2">
        <f>([412]L!Z206*'D(Ti_Audétat23) Times'!$F206*0.000001)^2/(4*'D(Ti_Audétat23) Times'!$C206)/(365.35*24*3600)</f>
        <v>3274.7869326050268</v>
      </c>
      <c r="Z206" s="2">
        <f>([412]L!AB206*'D(Ti_Audétat23) Times'!$F206*0.000001)^2/(4*'D(Ti_Audétat23) Times'!$C206)/(365.35*24*3600)</f>
        <v>3381.6819522901583</v>
      </c>
      <c r="AA206" s="2">
        <f>([412]L!AC206*'D(Ti_Audétat23) Times'!$F206*0.000001)^2/(4*'D(Ti_Audétat23) Times'!$C206)/(365.35*24*3600)</f>
        <v>113.7119181578551</v>
      </c>
      <c r="AB206" s="2">
        <f>([412]L!AD206*'D(Ti_Audétat23) Times'!$F206*0.000001)^2/(4*'D(Ti_Audétat23) Times'!$C206)/(365.35*24*3600)</f>
        <v>12548.760565366996</v>
      </c>
      <c r="AC206" s="2">
        <f t="shared" si="13"/>
        <v>3267.9700341323032</v>
      </c>
      <c r="AD206" s="2">
        <f t="shared" si="14"/>
        <v>9167.0786130768374</v>
      </c>
    </row>
    <row r="207" spans="1:30" x14ac:dyDescent="0.2">
      <c r="A207" t="str">
        <f>[412]L!A207</f>
        <v>CGI011-qtz03-CL-fit-1-offset</v>
      </c>
      <c r="B207">
        <v>750</v>
      </c>
      <c r="C207">
        <f t="shared" si="15"/>
        <v>1.1456341375347871E-23</v>
      </c>
      <c r="D207">
        <v>1550</v>
      </c>
      <c r="E207">
        <v>1024</v>
      </c>
      <c r="F207">
        <f t="shared" si="12"/>
        <v>1.513671875</v>
      </c>
      <c r="I207" s="2">
        <f>([412]L!J207*'D(Ti_Audétat23) Times'!$F207*0.000001)^2/(4*'D(Ti_Audétat23) Times'!$C207)/(365.35*24*3600)</f>
        <v>199750.13061047025</v>
      </c>
      <c r="J207" s="2">
        <f>([412]L!K207*'D(Ti_Audétat23) Times'!$F207*0.000001)^2/(4*'D(Ti_Audétat23) Times'!$C207)/(365.35*24*3600)</f>
        <v>95731.178290376323</v>
      </c>
      <c r="K207" s="2">
        <f>([412]L!L207*'D(Ti_Audétat23) Times'!$F207*0.000001)^2/(4*'D(Ti_Audétat23) Times'!$C207)/(365.35*24*3600)</f>
        <v>184697.89276273226</v>
      </c>
      <c r="L207" s="2">
        <f>([412]L!M207*'D(Ti_Audétat23) Times'!$F207*0.000001)^2/(4*'D(Ti_Audétat23) Times'!$C207)/(365.35*24*3600)</f>
        <v>71397.466345298861</v>
      </c>
      <c r="M207" s="2">
        <f>([412]L!N207*'D(Ti_Audétat23) Times'!$F207*0.000001)^2/(4*'D(Ti_Audétat23) Times'!$C207)/(365.35*24*3600)</f>
        <v>84734.866829552673</v>
      </c>
      <c r="N207" s="2">
        <f>([412]L!O207*'D(Ti_Audétat23) Times'!$F207*0.000001)^2/(4*'D(Ti_Audétat23) Times'!$C207)/(365.35*24*3600)</f>
        <v>83960.348959297058</v>
      </c>
      <c r="O207" s="2">
        <f>([412]L!P207*'D(Ti_Audétat23) Times'!$F207*0.000001)^2/(4*'D(Ti_Audétat23) Times'!$C207)/(365.35*24*3600)</f>
        <v>68915.924186375749</v>
      </c>
      <c r="P207" s="2">
        <f>([412]L!Q207*'D(Ti_Audétat23) Times'!$F207*0.000001)^2/(4*'D(Ti_Audétat23) Times'!$C207)/(365.35*24*3600)</f>
        <v>55977.219263984822</v>
      </c>
      <c r="Q207" s="2">
        <f>([412]L!R207*'D(Ti_Audétat23) Times'!$F207*0.000001)^2/(4*'D(Ti_Audétat23) Times'!$C207)/(365.35*24*3600)</f>
        <v>61379.469538070196</v>
      </c>
      <c r="R207" s="2">
        <f>([412]L!S207*'D(Ti_Audétat23) Times'!$F207*0.000001)^2/(4*'D(Ti_Audétat23) Times'!$C207)/(365.35*24*3600)</f>
        <v>68182.976535512556</v>
      </c>
      <c r="S207" s="2">
        <f>([412]L!T207*'D(Ti_Audétat23) Times'!$F207*0.000001)^2/(4*'D(Ti_Audétat23) Times'!$C207)/(365.35*24*3600)</f>
        <v>89789.838256364135</v>
      </c>
      <c r="T207" s="2"/>
      <c r="U207" s="2">
        <f>([412]L!V207*'D(Ti_Audétat23) Times'!$F207*0.000001)^2/(4*'D(Ti_Audétat23) Times'!$C207)/(365.35*24*3600)</f>
        <v>88106.52747758817</v>
      </c>
      <c r="V207" s="2">
        <f>([412]L!W207*'D(Ti_Audétat23) Times'!$F207*0.000001)^2/(4*'D(Ti_Audétat23) Times'!$C207)/(365.35*24*3600)</f>
        <v>92293.823770960618</v>
      </c>
      <c r="W207" s="2">
        <f>([412]L!X207*'D(Ti_Audétat23) Times'!$F207*0.000001)^2/(4*'D(Ti_Audétat23) Times'!$C207)/(365.35*24*3600)</f>
        <v>83960.348959297058</v>
      </c>
      <c r="X207" s="2"/>
      <c r="Y207" s="2">
        <f>([412]L!Z207*'D(Ti_Audétat23) Times'!$F207*0.000001)^2/(4*'D(Ti_Audétat23) Times'!$C207)/(365.35*24*3600)</f>
        <v>86837.326802214942</v>
      </c>
      <c r="Z207" s="2">
        <f>([412]L!AB207*'D(Ti_Audétat23) Times'!$F207*0.000001)^2/(4*'D(Ti_Audétat23) Times'!$C207)/(365.35*24*3600)</f>
        <v>88248.890442743286</v>
      </c>
      <c r="AA207" s="2">
        <f>([412]L!AC207*'D(Ti_Audétat23) Times'!$F207*0.000001)^2/(4*'D(Ti_Audétat23) Times'!$C207)/(365.35*24*3600)</f>
        <v>52547.350423633397</v>
      </c>
      <c r="AB207" s="2">
        <f>([412]L!AD207*'D(Ti_Audétat23) Times'!$F207*0.000001)^2/(4*'D(Ti_Audétat23) Times'!$C207)/(365.35*24*3600)</f>
        <v>142542.83286619236</v>
      </c>
      <c r="AC207" s="2">
        <f t="shared" si="13"/>
        <v>35701.540019109889</v>
      </c>
      <c r="AD207" s="2">
        <f t="shared" si="14"/>
        <v>54293.942423449073</v>
      </c>
    </row>
    <row r="208" spans="1:30" x14ac:dyDescent="0.2">
      <c r="A208" t="str">
        <f>[412]L!A208</f>
        <v>CGI011-qtz03-CL-fit-2-offset</v>
      </c>
      <c r="B208">
        <v>750</v>
      </c>
      <c r="C208">
        <f t="shared" si="15"/>
        <v>1.1456341375347871E-23</v>
      </c>
      <c r="D208">
        <v>1550</v>
      </c>
      <c r="E208">
        <v>1024</v>
      </c>
      <c r="F208">
        <f t="shared" si="12"/>
        <v>1.513671875</v>
      </c>
      <c r="I208" s="2">
        <f>([412]L!J208*'D(Ti_Audétat23) Times'!$F208*0.000001)^2/(4*'D(Ti_Audétat23) Times'!$C208)/(365.35*24*3600)</f>
        <v>32238.022173979487</v>
      </c>
      <c r="J208" s="2">
        <f>([412]L!K208*'D(Ti_Audétat23) Times'!$F208*0.000001)^2/(4*'D(Ti_Audétat23) Times'!$C208)/(365.35*24*3600)</f>
        <v>67395.657040511025</v>
      </c>
      <c r="K208" s="2">
        <f>([412]L!L208*'D(Ti_Audétat23) Times'!$F208*0.000001)^2/(4*'D(Ti_Audétat23) Times'!$C208)/(365.35*24*3600)</f>
        <v>60527.520786869354</v>
      </c>
      <c r="L208" s="2">
        <f>([412]L!M208*'D(Ti_Audétat23) Times'!$F208*0.000001)^2/(4*'D(Ti_Audétat23) Times'!$C208)/(365.35*24*3600)</f>
        <v>41006.299070787893</v>
      </c>
      <c r="M208" s="2">
        <f>([412]L!N208*'D(Ti_Audétat23) Times'!$F208*0.000001)^2/(4*'D(Ti_Audétat23) Times'!$C208)/(365.35*24*3600)</f>
        <v>50121.306038913455</v>
      </c>
      <c r="N208" s="2">
        <f>([412]L!O208*'D(Ti_Audétat23) Times'!$F208*0.000001)^2/(4*'D(Ti_Audétat23) Times'!$C208)/(365.35*24*3600)</f>
        <v>78325.886120822761</v>
      </c>
      <c r="O208" s="2">
        <f>([412]L!P208*'D(Ti_Audétat23) Times'!$F208*0.000001)^2/(4*'D(Ti_Audétat23) Times'!$C208)/(365.35*24*3600)</f>
        <v>52477.727244507645</v>
      </c>
      <c r="P208" s="2">
        <f>([412]L!Q208*'D(Ti_Audétat23) Times'!$F208*0.000001)^2/(4*'D(Ti_Audétat23) Times'!$C208)/(365.35*24*3600)</f>
        <v>47598.835085179155</v>
      </c>
      <c r="Q208" s="2">
        <f>([412]L!R208*'D(Ti_Audétat23) Times'!$F208*0.000001)^2/(4*'D(Ti_Audétat23) Times'!$C208)/(365.35*24*3600)</f>
        <v>5240.8642322058122</v>
      </c>
      <c r="R208" s="2">
        <f>([412]L!S208*'D(Ti_Audétat23) Times'!$F208*0.000001)^2/(4*'D(Ti_Audétat23) Times'!$C208)/(365.35*24*3600)</f>
        <v>78699.571972304417</v>
      </c>
      <c r="S208" s="2">
        <f>([412]L!T208*'D(Ti_Audétat23) Times'!$F208*0.000001)^2/(4*'D(Ti_Audétat23) Times'!$C208)/(365.35*24*3600)</f>
        <v>50326.535641083668</v>
      </c>
      <c r="T208" s="2"/>
      <c r="U208" s="2">
        <f>([412]L!V208*'D(Ti_Audétat23) Times'!$F208*0.000001)^2/(4*'D(Ti_Audétat23) Times'!$C208)/(365.35*24*3600)</f>
        <v>52379.024758321539</v>
      </c>
      <c r="V208" s="2">
        <f>([412]L!W208*'D(Ti_Audétat23) Times'!$F208*0.000001)^2/(4*'D(Ti_Audétat23) Times'!$C208)/(365.35*24*3600)</f>
        <v>48237.777829911487</v>
      </c>
      <c r="W208" s="2">
        <f>([412]L!X208*'D(Ti_Audétat23) Times'!$F208*0.000001)^2/(4*'D(Ti_Audétat23) Times'!$C208)/(365.35*24*3600)</f>
        <v>50326.535641083668</v>
      </c>
      <c r="X208" s="2"/>
      <c r="Y208" s="2">
        <f>([412]L!Z208*'D(Ti_Audétat23) Times'!$F208*0.000001)^2/(4*'D(Ti_Audétat23) Times'!$C208)/(365.35*24*3600)</f>
        <v>49333.91457017541</v>
      </c>
      <c r="Z208" s="2">
        <f>([412]L!AB208*'D(Ti_Audétat23) Times'!$F208*0.000001)^2/(4*'D(Ti_Audétat23) Times'!$C208)/(365.35*24*3600)</f>
        <v>50580.571069305384</v>
      </c>
      <c r="AA208" s="2">
        <f>([412]L!AC208*'D(Ti_Audétat23) Times'!$F208*0.000001)^2/(4*'D(Ti_Audétat23) Times'!$C208)/(365.35*24*3600)</f>
        <v>28341.5794009034</v>
      </c>
      <c r="AB208" s="2">
        <f>([412]L!AD208*'D(Ti_Audétat23) Times'!$F208*0.000001)^2/(4*'D(Ti_Audétat23) Times'!$C208)/(365.35*24*3600)</f>
        <v>88181.775258698748</v>
      </c>
      <c r="AC208" s="2">
        <f t="shared" si="13"/>
        <v>22238.991668401984</v>
      </c>
      <c r="AD208" s="2">
        <f t="shared" si="14"/>
        <v>37601.204189393364</v>
      </c>
    </row>
    <row r="209" spans="1:30" x14ac:dyDescent="0.2">
      <c r="A209" t="str">
        <f>[412]L!A209</f>
        <v>CGI011-qtz03-CL-fit-3-offset</v>
      </c>
      <c r="B209">
        <v>750</v>
      </c>
      <c r="C209">
        <f t="shared" si="15"/>
        <v>1.1456341375347871E-23</v>
      </c>
      <c r="D209">
        <v>1550</v>
      </c>
      <c r="E209">
        <v>1024</v>
      </c>
      <c r="F209">
        <f t="shared" si="12"/>
        <v>1.513671875</v>
      </c>
      <c r="I209" s="2">
        <f>([412]L!J209*'D(Ti_Audétat23) Times'!$F209*0.000001)^2/(4*'D(Ti_Audétat23) Times'!$C209)/(365.35*24*3600)</f>
        <v>15775.814938009498</v>
      </c>
      <c r="J209" s="2">
        <f>([412]L!K209*'D(Ti_Audétat23) Times'!$F209*0.000001)^2/(4*'D(Ti_Audétat23) Times'!$C209)/(365.35*24*3600)</f>
        <v>9515.2442452328851</v>
      </c>
      <c r="K209" s="2">
        <f>([412]L!L209*'D(Ti_Audétat23) Times'!$F209*0.000001)^2/(4*'D(Ti_Audétat23) Times'!$C209)/(365.35*24*3600)</f>
        <v>9741.4360846722975</v>
      </c>
      <c r="L209" s="2">
        <f>([412]L!M209*'D(Ti_Audétat23) Times'!$F209*0.000001)^2/(4*'D(Ti_Audétat23) Times'!$C209)/(365.35*24*3600)</f>
        <v>10697.210145269501</v>
      </c>
      <c r="M209" s="2">
        <f>([412]L!N209*'D(Ti_Audétat23) Times'!$F209*0.000001)^2/(4*'D(Ti_Audétat23) Times'!$C209)/(365.35*24*3600)</f>
        <v>19981.566621670165</v>
      </c>
      <c r="N209" s="2">
        <f>([412]L!O209*'D(Ti_Audétat23) Times'!$F209*0.000001)^2/(4*'D(Ti_Audétat23) Times'!$C209)/(365.35*24*3600)</f>
        <v>20169.468662002426</v>
      </c>
      <c r="O209" s="2">
        <f>([412]L!P209*'D(Ti_Audétat23) Times'!$F209*0.000001)^2/(4*'D(Ti_Audétat23) Times'!$C209)/(365.35*24*3600)</f>
        <v>16295.584949429391</v>
      </c>
      <c r="P209" s="2">
        <f>([412]L!Q209*'D(Ti_Audétat23) Times'!$F209*0.000001)^2/(4*'D(Ti_Audétat23) Times'!$C209)/(365.35*24*3600)</f>
        <v>17575.914820139962</v>
      </c>
      <c r="Q209" s="2">
        <f>([412]L!R209*'D(Ti_Audétat23) Times'!$F209*0.000001)^2/(4*'D(Ti_Audétat23) Times'!$C209)/(365.35*24*3600)</f>
        <v>12466.486555074864</v>
      </c>
      <c r="R209" s="2">
        <f>([412]L!S209*'D(Ti_Audétat23) Times'!$F209*0.000001)^2/(4*'D(Ti_Audétat23) Times'!$C209)/(365.35*24*3600)</f>
        <v>17290.967912230448</v>
      </c>
      <c r="S209" s="2">
        <f>([412]L!T209*'D(Ti_Audétat23) Times'!$F209*0.000001)^2/(4*'D(Ti_Audétat23) Times'!$C209)/(365.35*24*3600)</f>
        <v>14209.493552957192</v>
      </c>
      <c r="T209" s="2"/>
      <c r="U209" s="2">
        <f>([412]L!V209*'D(Ti_Audétat23) Times'!$F209*0.000001)^2/(4*'D(Ti_Audétat23) Times'!$C209)/(365.35*24*3600)</f>
        <v>14639.912966408005</v>
      </c>
      <c r="V209" s="2">
        <f>([412]L!W209*'D(Ti_Audétat23) Times'!$F209*0.000001)^2/(4*'D(Ti_Audétat23) Times'!$C209)/(365.35*24*3600)</f>
        <v>14646.057242547731</v>
      </c>
      <c r="W209" s="2">
        <f>([412]L!X209*'D(Ti_Audétat23) Times'!$F209*0.000001)^2/(4*'D(Ti_Audétat23) Times'!$C209)/(365.35*24*3600)</f>
        <v>15775.814938009498</v>
      </c>
      <c r="X209" s="2"/>
      <c r="Y209" s="2">
        <f>([412]L!Z209*'D(Ti_Audétat23) Times'!$F209*0.000001)^2/(4*'D(Ti_Audétat23) Times'!$C209)/(365.35*24*3600)</f>
        <v>13958.436066710203</v>
      </c>
      <c r="Z209" s="2">
        <f>([412]L!AB209*'D(Ti_Audétat23) Times'!$F209*0.000001)^2/(4*'D(Ti_Audétat23) Times'!$C209)/(365.35*24*3600)</f>
        <v>14014.160927319283</v>
      </c>
      <c r="AA209" s="2">
        <f>([412]L!AC209*'D(Ti_Audétat23) Times'!$F209*0.000001)^2/(4*'D(Ti_Audétat23) Times'!$C209)/(365.35*24*3600)</f>
        <v>8089.2221974930044</v>
      </c>
      <c r="AB209" s="2">
        <f>([412]L!AD209*'D(Ti_Audétat23) Times'!$F209*0.000001)^2/(4*'D(Ti_Audétat23) Times'!$C209)/(365.35*24*3600)</f>
        <v>23369.357295949922</v>
      </c>
      <c r="AC209" s="2">
        <f t="shared" si="13"/>
        <v>5924.9387298262782</v>
      </c>
      <c r="AD209" s="2">
        <f t="shared" si="14"/>
        <v>9355.196368630639</v>
      </c>
    </row>
    <row r="210" spans="1:30" x14ac:dyDescent="0.2">
      <c r="A210" t="str">
        <f>[412]L!A210</f>
        <v>CGI011-qtz04-CL-fit-1-offset</v>
      </c>
      <c r="B210">
        <v>750</v>
      </c>
      <c r="C210">
        <f t="shared" si="15"/>
        <v>1.1456341375347871E-23</v>
      </c>
      <c r="D210">
        <v>1800</v>
      </c>
      <c r="E210">
        <v>1024</v>
      </c>
      <c r="F210">
        <f t="shared" si="12"/>
        <v>1.7578125</v>
      </c>
      <c r="I210" s="2">
        <f>([412]L!J210*'D(Ti_Audétat23) Times'!$F210*0.000001)^2/(4*'D(Ti_Audétat23) Times'!$C210)/(365.35*24*3600)</f>
        <v>35977.285259441662</v>
      </c>
      <c r="J210" s="2">
        <f>([412]L!K210*'D(Ti_Audétat23) Times'!$F210*0.000001)^2/(4*'D(Ti_Audétat23) Times'!$C210)/(365.35*24*3600)</f>
        <v>8393.4293040592638</v>
      </c>
      <c r="K210" s="2">
        <f>([412]L!L210*'D(Ti_Audétat23) Times'!$F210*0.000001)^2/(4*'D(Ti_Audétat23) Times'!$C210)/(365.35*24*3600)</f>
        <v>12397.673321952438</v>
      </c>
      <c r="L210" s="2">
        <f>([412]L!M210*'D(Ti_Audétat23) Times'!$F210*0.000001)^2/(4*'D(Ti_Audétat23) Times'!$C210)/(365.35*24*3600)</f>
        <v>29227.325525759108</v>
      </c>
      <c r="M210" s="2">
        <f>([412]L!N210*'D(Ti_Audétat23) Times'!$F210*0.000001)^2/(4*'D(Ti_Audétat23) Times'!$C210)/(365.35*24*3600)</f>
        <v>51855.529442725594</v>
      </c>
      <c r="N210" s="2">
        <f>([412]L!O210*'D(Ti_Audétat23) Times'!$F210*0.000001)^2/(4*'D(Ti_Audétat23) Times'!$C210)/(365.35*24*3600)</f>
        <v>17951.801261262935</v>
      </c>
      <c r="O210" s="2">
        <f>([412]L!P210*'D(Ti_Audétat23) Times'!$F210*0.000001)^2/(4*'D(Ti_Audétat23) Times'!$C210)/(365.35*24*3600)</f>
        <v>60593.907447688754</v>
      </c>
      <c r="P210" s="2">
        <f>([412]L!Q210*'D(Ti_Audétat23) Times'!$F210*0.000001)^2/(4*'D(Ti_Audétat23) Times'!$C210)/(365.35*24*3600)</f>
        <v>18000.86264870816</v>
      </c>
      <c r="Q210" s="2">
        <f>([412]L!R210*'D(Ti_Audétat23) Times'!$F210*0.000001)^2/(4*'D(Ti_Audétat23) Times'!$C210)/(365.35*24*3600)</f>
        <v>18637.497884613844</v>
      </c>
      <c r="R210" s="2">
        <f>([412]L!S210*'D(Ti_Audétat23) Times'!$F210*0.000001)^2/(4*'D(Ti_Audétat23) Times'!$C210)/(365.35*24*3600)</f>
        <v>24267.442218288896</v>
      </c>
      <c r="S210" s="2">
        <f>([412]L!T210*'D(Ti_Audétat23) Times'!$F210*0.000001)^2/(4*'D(Ti_Audétat23) Times'!$C210)/(365.35*24*3600)</f>
        <v>51841.953676298494</v>
      </c>
      <c r="T210" s="2"/>
      <c r="U210" s="2">
        <f>([412]L!V210*'D(Ti_Audétat23) Times'!$F210*0.000001)^2/(4*'D(Ti_Audétat23) Times'!$C210)/(365.35*24*3600)</f>
        <v>24311.12919823367</v>
      </c>
      <c r="V210" s="2">
        <f>([412]L!W210*'D(Ti_Audétat23) Times'!$F210*0.000001)^2/(4*'D(Ti_Audétat23) Times'!$C210)/(365.35*24*3600)</f>
        <v>27544.318785828887</v>
      </c>
      <c r="W210" s="2">
        <f>([412]L!X210*'D(Ti_Audétat23) Times'!$F210*0.000001)^2/(4*'D(Ti_Audétat23) Times'!$C210)/(365.35*24*3600)</f>
        <v>24267.442218288896</v>
      </c>
      <c r="X210" s="2"/>
      <c r="Y210" s="2">
        <f>([412]L!Z210*'D(Ti_Audétat23) Times'!$F210*0.000001)^2/(4*'D(Ti_Audétat23) Times'!$C210)/(365.35*24*3600)</f>
        <v>22200.528963763518</v>
      </c>
      <c r="Z210" s="2">
        <f>([412]L!AB210*'D(Ti_Audétat23) Times'!$F210*0.000001)^2/(4*'D(Ti_Audétat23) Times'!$C210)/(365.35*24*3600)</f>
        <v>24864.717259920257</v>
      </c>
      <c r="AA210" s="2">
        <f>([412]L!AC210*'D(Ti_Audétat23) Times'!$F210*0.000001)^2/(4*'D(Ti_Audétat23) Times'!$C210)/(365.35*24*3600)</f>
        <v>8157.112993092147</v>
      </c>
      <c r="AB210" s="2">
        <f>([412]L!AD210*'D(Ti_Audétat23) Times'!$F210*0.000001)^2/(4*'D(Ti_Audétat23) Times'!$C210)/(365.35*24*3600)</f>
        <v>74219.744192048805</v>
      </c>
      <c r="AC210" s="2">
        <f t="shared" si="13"/>
        <v>16707.604266828108</v>
      </c>
      <c r="AD210" s="2">
        <f t="shared" si="14"/>
        <v>49355.026932128545</v>
      </c>
    </row>
    <row r="211" spans="1:30" x14ac:dyDescent="0.2">
      <c r="A211" t="str">
        <f>[412]L!A211</f>
        <v>CGI011-qtz04-CL-fit-2-offset</v>
      </c>
      <c r="B211">
        <v>750</v>
      </c>
      <c r="C211">
        <f t="shared" si="15"/>
        <v>1.1456341375347871E-23</v>
      </c>
      <c r="D211">
        <v>1800</v>
      </c>
      <c r="E211">
        <v>1024</v>
      </c>
      <c r="F211">
        <f t="shared" si="12"/>
        <v>1.7578125</v>
      </c>
      <c r="I211" s="2">
        <f>([412]L!J211*'D(Ti_Audétat23) Times'!$F211*0.000001)^2/(4*'D(Ti_Audétat23) Times'!$C211)/(365.35*24*3600)</f>
        <v>13363.993533379135</v>
      </c>
      <c r="J211" s="2">
        <f>([412]L!K211*'D(Ti_Audétat23) Times'!$F211*0.000001)^2/(4*'D(Ti_Audétat23) Times'!$C211)/(365.35*24*3600)</f>
        <v>18896.74930918782</v>
      </c>
      <c r="K211" s="2">
        <f>([412]L!L211*'D(Ti_Audétat23) Times'!$F211*0.000001)^2/(4*'D(Ti_Audétat23) Times'!$C211)/(365.35*24*3600)</f>
        <v>5472.4981529365214</v>
      </c>
      <c r="L211" s="2">
        <f>([412]L!M211*'D(Ti_Audétat23) Times'!$F211*0.000001)^2/(4*'D(Ti_Audétat23) Times'!$C211)/(365.35*24*3600)</f>
        <v>21772.700022542042</v>
      </c>
      <c r="M211" s="2">
        <f>([412]L!N211*'D(Ti_Audétat23) Times'!$F211*0.000001)^2/(4*'D(Ti_Audétat23) Times'!$C211)/(365.35*24*3600)</f>
        <v>13630.680244104737</v>
      </c>
      <c r="N211" s="2">
        <f>([412]L!O211*'D(Ti_Audétat23) Times'!$F211*0.000001)^2/(4*'D(Ti_Audétat23) Times'!$C211)/(365.35*24*3600)</f>
        <v>4270.3316577013829</v>
      </c>
      <c r="O211" s="2">
        <f>([412]L!P211*'D(Ti_Audétat23) Times'!$F211*0.000001)^2/(4*'D(Ti_Audétat23) Times'!$C211)/(365.35*24*3600)</f>
        <v>11889.206170749612</v>
      </c>
      <c r="P211" s="2">
        <f>([412]L!Q211*'D(Ti_Audétat23) Times'!$F211*0.000001)^2/(4*'D(Ti_Audétat23) Times'!$C211)/(365.35*24*3600)</f>
        <v>20650.132601718589</v>
      </c>
      <c r="Q211" s="2">
        <f>([412]L!R211*'D(Ti_Audétat23) Times'!$F211*0.000001)^2/(4*'D(Ti_Audétat23) Times'!$C211)/(365.35*24*3600)</f>
        <v>44293.519564611626</v>
      </c>
      <c r="R211" s="2">
        <f>([412]L!S211*'D(Ti_Audétat23) Times'!$F211*0.000001)^2/(4*'D(Ti_Audétat23) Times'!$C211)/(365.35*24*3600)</f>
        <v>5424.7273131010143</v>
      </c>
      <c r="S211" s="2">
        <f>([412]L!T211*'D(Ti_Audétat23) Times'!$F211*0.000001)^2/(4*'D(Ti_Audétat23) Times'!$C211)/(365.35*24*3600)</f>
        <v>14723.923847155391</v>
      </c>
      <c r="T211" s="2"/>
      <c r="U211" s="2">
        <f>([412]L!V211*'D(Ti_Audétat23) Times'!$F211*0.000001)^2/(4*'D(Ti_Audétat23) Times'!$C211)/(365.35*24*3600)</f>
        <v>13472.367437244209</v>
      </c>
      <c r="V211" s="2">
        <f>([412]L!W211*'D(Ti_Audétat23) Times'!$F211*0.000001)^2/(4*'D(Ti_Audétat23) Times'!$C211)/(365.35*24*3600)</f>
        <v>14288.788182413302</v>
      </c>
      <c r="W211" s="2">
        <f>([412]L!X211*'D(Ti_Audétat23) Times'!$F211*0.000001)^2/(4*'D(Ti_Audétat23) Times'!$C211)/(365.35*24*3600)</f>
        <v>13630.680244104737</v>
      </c>
      <c r="X211" s="2"/>
      <c r="Y211" s="2">
        <f>([412]L!Z211*'D(Ti_Audétat23) Times'!$F211*0.000001)^2/(4*'D(Ti_Audétat23) Times'!$C211)/(365.35*24*3600)</f>
        <v>12767.112683094312</v>
      </c>
      <c r="Z211" s="2">
        <f>([412]L!AB211*'D(Ti_Audétat23) Times'!$F211*0.000001)^2/(4*'D(Ti_Audétat23) Times'!$C211)/(365.35*24*3600)</f>
        <v>12541.834705949088</v>
      </c>
      <c r="AA211" s="2">
        <f>([412]L!AC211*'D(Ti_Audétat23) Times'!$F211*0.000001)^2/(4*'D(Ti_Audétat23) Times'!$C211)/(365.35*24*3600)</f>
        <v>317.61279751702568</v>
      </c>
      <c r="AB211" s="2">
        <f>([412]L!AD211*'D(Ti_Audétat23) Times'!$F211*0.000001)^2/(4*'D(Ti_Audétat23) Times'!$C211)/(365.35*24*3600)</f>
        <v>35562.859866160368</v>
      </c>
      <c r="AC211" s="2">
        <f t="shared" si="13"/>
        <v>12224.221908432062</v>
      </c>
      <c r="AD211" s="2">
        <f t="shared" si="14"/>
        <v>23021.02516021128</v>
      </c>
    </row>
    <row r="212" spans="1:30" x14ac:dyDescent="0.2">
      <c r="A212" t="str">
        <f>[412]L!A212</f>
        <v>CGI011-qtz04-CL-fit-3-offset</v>
      </c>
      <c r="B212">
        <v>750</v>
      </c>
      <c r="C212">
        <f t="shared" si="15"/>
        <v>1.1456341375347871E-23</v>
      </c>
      <c r="D212">
        <v>1800</v>
      </c>
      <c r="E212">
        <v>1024</v>
      </c>
      <c r="F212">
        <f t="shared" si="12"/>
        <v>1.7578125</v>
      </c>
      <c r="I212" s="2">
        <f>([412]L!J212*'D(Ti_Audétat23) Times'!$F212*0.000001)^2/(4*'D(Ti_Audétat23) Times'!$C212)/(365.35*24*3600)</f>
        <v>15901.285773551741</v>
      </c>
      <c r="J212" s="2">
        <f>([412]L!K212*'D(Ti_Audétat23) Times'!$F212*0.000001)^2/(4*'D(Ti_Audétat23) Times'!$C212)/(365.35*24*3600)</f>
        <v>28562.935583596471</v>
      </c>
      <c r="K212" s="2">
        <f>([412]L!L212*'D(Ti_Audétat23) Times'!$F212*0.000001)^2/(4*'D(Ti_Audétat23) Times'!$C212)/(365.35*24*3600)</f>
        <v>31081.850820682423</v>
      </c>
      <c r="L212" s="2">
        <f>([412]L!M212*'D(Ti_Audétat23) Times'!$F212*0.000001)^2/(4*'D(Ti_Audétat23) Times'!$C212)/(365.35*24*3600)</f>
        <v>25838.245090010179</v>
      </c>
      <c r="M212" s="2">
        <f>([412]L!N212*'D(Ti_Audétat23) Times'!$F212*0.000001)^2/(4*'D(Ti_Audétat23) Times'!$C212)/(365.35*24*3600)</f>
        <v>22823.256648006758</v>
      </c>
      <c r="N212" s="2">
        <f>([412]L!O212*'D(Ti_Audétat23) Times'!$F212*0.000001)^2/(4*'D(Ti_Audétat23) Times'!$C212)/(365.35*24*3600)</f>
        <v>35818.596800151281</v>
      </c>
      <c r="O212" s="2">
        <f>([412]L!P212*'D(Ti_Audétat23) Times'!$F212*0.000001)^2/(4*'D(Ti_Audétat23) Times'!$C212)/(365.35*24*3600)</f>
        <v>22905.704343860947</v>
      </c>
      <c r="P212" s="2">
        <f>([412]L!Q212*'D(Ti_Audétat23) Times'!$F212*0.000001)^2/(4*'D(Ti_Audétat23) Times'!$C212)/(365.35*24*3600)</f>
        <v>27338.530972577781</v>
      </c>
      <c r="Q212" s="2">
        <f>([412]L!R212*'D(Ti_Audétat23) Times'!$F212*0.000001)^2/(4*'D(Ti_Audétat23) Times'!$C212)/(365.35*24*3600)</f>
        <v>16233.306459720861</v>
      </c>
      <c r="R212" s="2">
        <f>([412]L!S212*'D(Ti_Audétat23) Times'!$F212*0.000001)^2/(4*'D(Ti_Audétat23) Times'!$C212)/(365.35*24*3600)</f>
        <v>16824.911706802599</v>
      </c>
      <c r="S212" s="2">
        <f>([412]L!T212*'D(Ti_Audétat23) Times'!$F212*0.000001)^2/(4*'D(Ti_Audétat23) Times'!$C212)/(365.35*24*3600)</f>
        <v>23418.286963604438</v>
      </c>
      <c r="T212" s="2"/>
      <c r="U212" s="2">
        <f>([412]L!V212*'D(Ti_Audétat23) Times'!$F212*0.000001)^2/(4*'D(Ti_Audétat23) Times'!$C212)/(365.35*24*3600)</f>
        <v>24627.565109621919</v>
      </c>
      <c r="V212" s="2">
        <f>([412]L!W212*'D(Ti_Audétat23) Times'!$F212*0.000001)^2/(4*'D(Ti_Audétat23) Times'!$C212)/(365.35*24*3600)</f>
        <v>23865.254843163642</v>
      </c>
      <c r="W212" s="2">
        <f>([412]L!X212*'D(Ti_Audétat23) Times'!$F212*0.000001)^2/(4*'D(Ti_Audétat23) Times'!$C212)/(365.35*24*3600)</f>
        <v>23418.286963604438</v>
      </c>
      <c r="X212" s="2"/>
      <c r="Y212" s="2">
        <f>([412]L!Z212*'D(Ti_Audétat23) Times'!$F212*0.000001)^2/(4*'D(Ti_Audétat23) Times'!$C212)/(365.35*24*3600)</f>
        <v>24538.607404092338</v>
      </c>
      <c r="Z212" s="2">
        <f>([412]L!AB212*'D(Ti_Audétat23) Times'!$F212*0.000001)^2/(4*'D(Ti_Audétat23) Times'!$C212)/(365.35*24*3600)</f>
        <v>24554.150583813051</v>
      </c>
      <c r="AA212" s="2">
        <f>([412]L!AC212*'D(Ti_Audétat23) Times'!$F212*0.000001)^2/(4*'D(Ti_Audétat23) Times'!$C212)/(365.35*24*3600)</f>
        <v>13214.535621224499</v>
      </c>
      <c r="AB212" s="2">
        <f>([412]L!AD212*'D(Ti_Audétat23) Times'!$F212*0.000001)^2/(4*'D(Ti_Audétat23) Times'!$C212)/(365.35*24*3600)</f>
        <v>41939.134350211054</v>
      </c>
      <c r="AC212" s="2">
        <f t="shared" si="13"/>
        <v>11339.614962588552</v>
      </c>
      <c r="AD212" s="2">
        <f t="shared" si="14"/>
        <v>17384.983766398003</v>
      </c>
    </row>
    <row r="213" spans="1:30" x14ac:dyDescent="0.2">
      <c r="A213" t="str">
        <f>[412]L!A213</f>
        <v>CGI011-qtz04-CL-fit-4-offset</v>
      </c>
      <c r="B213">
        <v>750</v>
      </c>
      <c r="C213">
        <f t="shared" si="15"/>
        <v>1.1456341375347871E-23</v>
      </c>
      <c r="D213">
        <v>1800</v>
      </c>
      <c r="E213">
        <v>1024</v>
      </c>
      <c r="F213">
        <f t="shared" si="12"/>
        <v>1.7578125</v>
      </c>
      <c r="I213" s="2">
        <f>([412]L!J213*'D(Ti_Audétat23) Times'!$F213*0.000001)^2/(4*'D(Ti_Audétat23) Times'!$C213)/(365.35*24*3600)</f>
        <v>9513.9493617020798</v>
      </c>
      <c r="J213" s="2">
        <f>([412]L!K213*'D(Ti_Audétat23) Times'!$F213*0.000001)^2/(4*'D(Ti_Audétat23) Times'!$C213)/(365.35*24*3600)</f>
        <v>12786.201504447563</v>
      </c>
      <c r="K213" s="2">
        <f>([412]L!L213*'D(Ti_Audétat23) Times'!$F213*0.000001)^2/(4*'D(Ti_Audétat23) Times'!$C213)/(365.35*24*3600)</f>
        <v>10624.436274724112</v>
      </c>
      <c r="L213" s="2">
        <f>([412]L!M213*'D(Ti_Audétat23) Times'!$F213*0.000001)^2/(4*'D(Ti_Audétat23) Times'!$C213)/(365.35*24*3600)</f>
        <v>6621.5040730266937</v>
      </c>
      <c r="M213" s="2">
        <f>([412]L!N213*'D(Ti_Audétat23) Times'!$F213*0.000001)^2/(4*'D(Ti_Audétat23) Times'!$C213)/(365.35*24*3600)</f>
        <v>10117.136019438818</v>
      </c>
      <c r="N213" s="2">
        <f>([412]L!O213*'D(Ti_Audétat23) Times'!$F213*0.000001)^2/(4*'D(Ti_Audétat23) Times'!$C213)/(365.35*24*3600)</f>
        <v>9759.1646979920715</v>
      </c>
      <c r="O213" s="2">
        <f>([412]L!P213*'D(Ti_Audétat23) Times'!$F213*0.000001)^2/(4*'D(Ti_Audétat23) Times'!$C213)/(365.35*24*3600)</f>
        <v>15391.026299103614</v>
      </c>
      <c r="P213" s="2">
        <f>([412]L!Q213*'D(Ti_Audétat23) Times'!$F213*0.000001)^2/(4*'D(Ti_Audétat23) Times'!$C213)/(365.35*24*3600)</f>
        <v>13312.394145674391</v>
      </c>
      <c r="Q213" s="2">
        <f>([412]L!R213*'D(Ti_Audétat23) Times'!$F213*0.000001)^2/(4*'D(Ti_Audétat23) Times'!$C213)/(365.35*24*3600)</f>
        <v>0</v>
      </c>
      <c r="R213" s="2">
        <f>([412]L!S213*'D(Ti_Audétat23) Times'!$F213*0.000001)^2/(4*'D(Ti_Audétat23) Times'!$C213)/(365.35*24*3600)</f>
        <v>34277.756151227513</v>
      </c>
      <c r="S213" s="2">
        <f>([412]L!T213*'D(Ti_Audétat23) Times'!$F213*0.000001)^2/(4*'D(Ti_Audétat23) Times'!$C213)/(365.35*24*3600)</f>
        <v>34190.956336721087</v>
      </c>
      <c r="T213" s="2"/>
      <c r="U213" s="2">
        <f>([412]L!V213*'D(Ti_Audétat23) Times'!$F213*0.000001)^2/(4*'D(Ti_Audétat23) Times'!$C213)/(365.35*24*3600)</f>
        <v>15611.038474974643</v>
      </c>
      <c r="V213" s="2">
        <f>([412]L!W213*'D(Ti_Audétat23) Times'!$F213*0.000001)^2/(4*'D(Ti_Audétat23) Times'!$C213)/(365.35*24*3600)</f>
        <v>14494.377513881429</v>
      </c>
      <c r="W213" s="2">
        <f>([412]L!X213*'D(Ti_Audétat23) Times'!$F213*0.000001)^2/(4*'D(Ti_Audétat23) Times'!$C213)/(365.35*24*3600)</f>
        <v>11680.31298373517</v>
      </c>
      <c r="X213" s="2"/>
      <c r="Y213" s="2">
        <f>([412]L!Z213*'D(Ti_Audétat23) Times'!$F213*0.000001)^2/(4*'D(Ti_Audétat23) Times'!$C213)/(365.35*24*3600)</f>
        <v>15034.420262315696</v>
      </c>
      <c r="Z213" s="2">
        <f>([412]L!AB213*'D(Ti_Audétat23) Times'!$F213*0.000001)^2/(4*'D(Ti_Audétat23) Times'!$C213)/(365.35*24*3600)</f>
        <v>15384.15456551329</v>
      </c>
      <c r="AA213" s="2">
        <f>([412]L!AC213*'D(Ti_Audétat23) Times'!$F213*0.000001)^2/(4*'D(Ti_Audétat23) Times'!$C213)/(365.35*24*3600)</f>
        <v>3978.1886094374781</v>
      </c>
      <c r="AB213" s="2">
        <f>([412]L!AD213*'D(Ti_Audétat23) Times'!$F213*0.000001)^2/(4*'D(Ti_Audétat23) Times'!$C213)/(365.35*24*3600)</f>
        <v>35206.553874275603</v>
      </c>
      <c r="AC213" s="2">
        <f t="shared" si="13"/>
        <v>11405.965956075812</v>
      </c>
      <c r="AD213" s="2">
        <f t="shared" si="14"/>
        <v>19822.399308762313</v>
      </c>
    </row>
    <row r="214" spans="1:30" x14ac:dyDescent="0.2">
      <c r="A214" t="str">
        <f>[412]L!A214</f>
        <v>CGI011-qtz04-CL-fit-5-offset</v>
      </c>
      <c r="B214">
        <v>750</v>
      </c>
      <c r="C214">
        <f t="shared" si="15"/>
        <v>1.1456341375347871E-23</v>
      </c>
      <c r="D214">
        <v>1800</v>
      </c>
      <c r="E214">
        <v>1024</v>
      </c>
      <c r="F214">
        <f t="shared" si="12"/>
        <v>1.7578125</v>
      </c>
      <c r="I214" s="2">
        <f>([412]L!J214*'D(Ti_Audétat23) Times'!$F214*0.000001)^2/(4*'D(Ti_Audétat23) Times'!$C214)/(365.35*24*3600)</f>
        <v>1007.4935925617381</v>
      </c>
      <c r="J214" s="2">
        <f>([412]L!K214*'D(Ti_Audétat23) Times'!$F214*0.000001)^2/(4*'D(Ti_Audétat23) Times'!$C214)/(365.35*24*3600)</f>
        <v>3837.4959665408323</v>
      </c>
      <c r="K214" s="2">
        <f>([412]L!L214*'D(Ti_Audétat23) Times'!$F214*0.000001)^2/(4*'D(Ti_Audétat23) Times'!$C214)/(365.35*24*3600)</f>
        <v>149.80911918210913</v>
      </c>
      <c r="L214" s="2">
        <f>([412]L!M214*'D(Ti_Audétat23) Times'!$F214*0.000001)^2/(4*'D(Ti_Audétat23) Times'!$C214)/(365.35*24*3600)</f>
        <v>2422.6744415717321</v>
      </c>
      <c r="M214" s="2">
        <f>([412]L!N214*'D(Ti_Audétat23) Times'!$F214*0.000001)^2/(4*'D(Ti_Audétat23) Times'!$C214)/(365.35*24*3600)</f>
        <v>915.1608927554056</v>
      </c>
      <c r="N214" s="2">
        <f>([412]L!O214*'D(Ti_Audétat23) Times'!$F214*0.000001)^2/(4*'D(Ti_Audétat23) Times'!$C214)/(365.35*24*3600)</f>
        <v>2172.5943760795521</v>
      </c>
      <c r="O214" s="2">
        <f>([412]L!P214*'D(Ti_Audétat23) Times'!$F214*0.000001)^2/(4*'D(Ti_Audétat23) Times'!$C214)/(365.35*24*3600)</f>
        <v>5068.9654722146679</v>
      </c>
      <c r="P214" s="2">
        <f>([412]L!Q214*'D(Ti_Audétat23) Times'!$F214*0.000001)^2/(4*'D(Ti_Audétat23) Times'!$C214)/(365.35*24*3600)</f>
        <v>3300.4711765440588</v>
      </c>
      <c r="Q214" s="2">
        <f>([412]L!R214*'D(Ti_Audétat23) Times'!$F214*0.000001)^2/(4*'D(Ti_Audétat23) Times'!$C214)/(365.35*24*3600)</f>
        <v>1315.2293544991587</v>
      </c>
      <c r="R214" s="2">
        <f>([412]L!S214*'D(Ti_Audétat23) Times'!$F214*0.000001)^2/(4*'D(Ti_Audétat23) Times'!$C214)/(365.35*24*3600)</f>
        <v>3246.6432647825277</v>
      </c>
      <c r="S214" s="2">
        <f>([412]L!T214*'D(Ti_Audétat23) Times'!$F214*0.000001)^2/(4*'D(Ti_Audétat23) Times'!$C214)/(365.35*24*3600)</f>
        <v>2956.9342480879614</v>
      </c>
      <c r="T214" s="2"/>
      <c r="U214" s="2">
        <f>([412]L!V214*'D(Ti_Audétat23) Times'!$F214*0.000001)^2/(4*'D(Ti_Audétat23) Times'!$C214)/(365.35*24*3600)</f>
        <v>2157.043227855539</v>
      </c>
      <c r="V214" s="2">
        <f>([412]L!W214*'D(Ti_Audétat23) Times'!$F214*0.000001)^2/(4*'D(Ti_Audétat23) Times'!$C214)/(365.35*24*3600)</f>
        <v>2135.1214816770325</v>
      </c>
      <c r="W214" s="2">
        <f>([412]L!X214*'D(Ti_Audétat23) Times'!$F214*0.000001)^2/(4*'D(Ti_Audétat23) Times'!$C214)/(365.35*24*3600)</f>
        <v>2422.6744415717321</v>
      </c>
      <c r="X214" s="2"/>
      <c r="Y214" s="2">
        <f>([412]L!Z214*'D(Ti_Audétat23) Times'!$F214*0.000001)^2/(4*'D(Ti_Audétat23) Times'!$C214)/(365.35*24*3600)</f>
        <v>1987.9214488054138</v>
      </c>
      <c r="Z214" s="2">
        <f>([412]L!AB214*'D(Ti_Audétat23) Times'!$F214*0.000001)^2/(4*'D(Ti_Audétat23) Times'!$C214)/(365.35*24*3600)</f>
        <v>1996.5697015320604</v>
      </c>
      <c r="AA214" s="2">
        <f>([412]L!AC214*'D(Ti_Audétat23) Times'!$F214*0.000001)^2/(4*'D(Ti_Audétat23) Times'!$C214)/(365.35*24*3600)</f>
        <v>64.079704793282716</v>
      </c>
      <c r="AB214" s="2">
        <f>([412]L!AD214*'D(Ti_Audétat23) Times'!$F214*0.000001)^2/(4*'D(Ti_Audétat23) Times'!$C214)/(365.35*24*3600)</f>
        <v>7555.8450828717678</v>
      </c>
      <c r="AC214" s="2">
        <f t="shared" si="13"/>
        <v>1932.4899967387778</v>
      </c>
      <c r="AD214" s="2">
        <f t="shared" si="14"/>
        <v>5559.2753813397076</v>
      </c>
    </row>
    <row r="215" spans="1:30" x14ac:dyDescent="0.2">
      <c r="A215" t="str">
        <f>[412]L!A215</f>
        <v>CGI011-qtz05-CL-fit-1-offset</v>
      </c>
      <c r="B215">
        <v>750</v>
      </c>
      <c r="C215">
        <f t="shared" si="15"/>
        <v>1.1456341375347871E-23</v>
      </c>
      <c r="D215">
        <v>2200</v>
      </c>
      <c r="E215">
        <v>1024</v>
      </c>
      <c r="F215">
        <f t="shared" si="12"/>
        <v>2.1484375</v>
      </c>
      <c r="I215" s="2">
        <f>([412]L!J215*'D(Ti_Audétat23) Times'!$F215*0.000001)^2/(4*'D(Ti_Audétat23) Times'!$C215)/(365.35*24*3600)</f>
        <v>56938.788213696986</v>
      </c>
      <c r="J215" s="2">
        <f>([412]L!K215*'D(Ti_Audétat23) Times'!$F215*0.000001)^2/(4*'D(Ti_Audétat23) Times'!$C215)/(365.35*24*3600)</f>
        <v>91769.318725832476</v>
      </c>
      <c r="K215" s="2">
        <f>([412]L!L215*'D(Ti_Audétat23) Times'!$F215*0.000001)^2/(4*'D(Ti_Audétat23) Times'!$C215)/(365.35*24*3600)</f>
        <v>43341.030838381164</v>
      </c>
      <c r="L215" s="2">
        <f>([412]L!M215*'D(Ti_Audétat23) Times'!$F215*0.000001)^2/(4*'D(Ti_Audétat23) Times'!$C215)/(365.35*24*3600)</f>
        <v>97062.850804654314</v>
      </c>
      <c r="M215" s="2">
        <f>([412]L!N215*'D(Ti_Audétat23) Times'!$F215*0.000001)^2/(4*'D(Ti_Audétat23) Times'!$C215)/(365.35*24*3600)</f>
        <v>23786.17732503168</v>
      </c>
      <c r="N215" s="2">
        <f>([412]L!O215*'D(Ti_Audétat23) Times'!$F215*0.000001)^2/(4*'D(Ti_Audétat23) Times'!$C215)/(365.35*24*3600)</f>
        <v>115258.2406920463</v>
      </c>
      <c r="O215" s="2">
        <f>([412]L!P215*'D(Ti_Audétat23) Times'!$F215*0.000001)^2/(4*'D(Ti_Audétat23) Times'!$C215)/(365.35*24*3600)</f>
        <v>70550.142146630111</v>
      </c>
      <c r="P215" s="2">
        <f>([412]L!Q215*'D(Ti_Audétat23) Times'!$F215*0.000001)^2/(4*'D(Ti_Audétat23) Times'!$C215)/(365.35*24*3600)</f>
        <v>91782.092417893262</v>
      </c>
      <c r="Q215" s="2">
        <f>([412]L!R215*'D(Ti_Audétat23) Times'!$F215*0.000001)^2/(4*'D(Ti_Audétat23) Times'!$C215)/(365.35*24*3600)</f>
        <v>67867.843609265197</v>
      </c>
      <c r="R215" s="2">
        <f>([412]L!S215*'D(Ti_Audétat23) Times'!$F215*0.000001)^2/(4*'D(Ti_Audétat23) Times'!$C215)/(365.35*24*3600)</f>
        <v>86860.297931800247</v>
      </c>
      <c r="S215" s="2">
        <f>([412]L!T215*'D(Ti_Audétat23) Times'!$F215*0.000001)^2/(4*'D(Ti_Audétat23) Times'!$C215)/(365.35*24*3600)</f>
        <v>86711.974365629896</v>
      </c>
      <c r="T215" s="2"/>
      <c r="U215" s="2">
        <f>([412]L!V215*'D(Ti_Audétat23) Times'!$F215*0.000001)^2/(4*'D(Ti_Audétat23) Times'!$C215)/(365.35*24*3600)</f>
        <v>71176.998140315191</v>
      </c>
      <c r="V215" s="2">
        <f>([412]L!W215*'D(Ti_Audétat23) Times'!$F215*0.000001)^2/(4*'D(Ti_Audétat23) Times'!$C215)/(365.35*24*3600)</f>
        <v>73061.3308839362</v>
      </c>
      <c r="W215" s="2">
        <f>([412]L!X215*'D(Ti_Audétat23) Times'!$F215*0.000001)^2/(4*'D(Ti_Audétat23) Times'!$C215)/(365.35*24*3600)</f>
        <v>86711.974365629896</v>
      </c>
      <c r="X215" s="2"/>
      <c r="Y215" s="2">
        <f>([412]L!Z215*'D(Ti_Audétat23) Times'!$F215*0.000001)^2/(4*'D(Ti_Audétat23) Times'!$C215)/(365.35*24*3600)</f>
        <v>64604.194579924697</v>
      </c>
      <c r="Z215" s="2">
        <f>([412]L!AB215*'D(Ti_Audétat23) Times'!$F215*0.000001)^2/(4*'D(Ti_Audétat23) Times'!$C215)/(365.35*24*3600)</f>
        <v>60649.297425090663</v>
      </c>
      <c r="AA215" s="2">
        <f>([412]L!AC215*'D(Ti_Audétat23) Times'!$F215*0.000001)^2/(4*'D(Ti_Audétat23) Times'!$C215)/(365.35*24*3600)</f>
        <v>310.6923235060097</v>
      </c>
      <c r="AB215" s="2">
        <f>([412]L!AD215*'D(Ti_Audétat23) Times'!$F215*0.000001)^2/(4*'D(Ti_Audétat23) Times'!$C215)/(365.35*24*3600)</f>
        <v>137881.34502370088</v>
      </c>
      <c r="AC215" s="2">
        <f t="shared" si="13"/>
        <v>60338.605101584653</v>
      </c>
      <c r="AD215" s="2">
        <f t="shared" si="14"/>
        <v>77232.047598610225</v>
      </c>
    </row>
    <row r="216" spans="1:30" x14ac:dyDescent="0.2">
      <c r="A216" t="str">
        <f>[412]L!A216</f>
        <v>CGI011-qtz05-CL-fit-2-offset</v>
      </c>
      <c r="B216">
        <v>750</v>
      </c>
      <c r="C216">
        <f t="shared" si="15"/>
        <v>1.1456341375347871E-23</v>
      </c>
      <c r="D216">
        <v>2200</v>
      </c>
      <c r="E216">
        <v>1024</v>
      </c>
      <c r="F216">
        <f t="shared" si="12"/>
        <v>2.1484375</v>
      </c>
      <c r="I216" s="2">
        <f>([412]L!J216*'D(Ti_Audétat23) Times'!$F216*0.000001)^2/(4*'D(Ti_Audétat23) Times'!$C216)/(365.35*24*3600)</f>
        <v>204705.81143886357</v>
      </c>
      <c r="J216" s="2">
        <f>([412]L!K216*'D(Ti_Audétat23) Times'!$F216*0.000001)^2/(4*'D(Ti_Audétat23) Times'!$C216)/(365.35*24*3600)</f>
        <v>111149.6442301576</v>
      </c>
      <c r="K216" s="2">
        <f>([412]L!L216*'D(Ti_Audétat23) Times'!$F216*0.000001)^2/(4*'D(Ti_Audétat23) Times'!$C216)/(365.35*24*3600)</f>
        <v>89607.655136192538</v>
      </c>
      <c r="L216" s="2">
        <f>([412]L!M216*'D(Ti_Audétat23) Times'!$F216*0.000001)^2/(4*'D(Ti_Audétat23) Times'!$C216)/(365.35*24*3600)</f>
        <v>110700.20391162766</v>
      </c>
      <c r="M216" s="2">
        <f>([412]L!N216*'D(Ti_Audétat23) Times'!$F216*0.000001)^2/(4*'D(Ti_Audétat23) Times'!$C216)/(365.35*24*3600)</f>
        <v>169146.4029639693</v>
      </c>
      <c r="N216" s="2">
        <f>([412]L!O216*'D(Ti_Audétat23) Times'!$F216*0.000001)^2/(4*'D(Ti_Audétat23) Times'!$C216)/(365.35*24*3600)</f>
        <v>97698.412555448653</v>
      </c>
      <c r="O216" s="2">
        <f>([412]L!P216*'D(Ti_Audétat23) Times'!$F216*0.000001)^2/(4*'D(Ti_Audétat23) Times'!$C216)/(365.35*24*3600)</f>
        <v>120568.52695341632</v>
      </c>
      <c r="P216" s="2">
        <f>([412]L!Q216*'D(Ti_Audétat23) Times'!$F216*0.000001)^2/(4*'D(Ti_Audétat23) Times'!$C216)/(365.35*24*3600)</f>
        <v>97856.225679859024</v>
      </c>
      <c r="Q216" s="2">
        <f>([412]L!R216*'D(Ti_Audétat23) Times'!$F216*0.000001)^2/(4*'D(Ti_Audétat23) Times'!$C216)/(365.35*24*3600)</f>
        <v>108052.62546335105</v>
      </c>
      <c r="R216" s="2">
        <f>([412]L!S216*'D(Ti_Audétat23) Times'!$F216*0.000001)^2/(4*'D(Ti_Audétat23) Times'!$C216)/(365.35*24*3600)</f>
        <v>92929.866856272492</v>
      </c>
      <c r="S216" s="2">
        <f>([412]L!T216*'D(Ti_Audétat23) Times'!$F216*0.000001)^2/(4*'D(Ti_Audétat23) Times'!$C216)/(365.35*24*3600)</f>
        <v>86200.228384007773</v>
      </c>
      <c r="T216" s="2"/>
      <c r="U216" s="2">
        <f>([412]L!V216*'D(Ti_Audétat23) Times'!$F216*0.000001)^2/(4*'D(Ti_Audétat23) Times'!$C216)/(365.35*24*3600)</f>
        <v>111290.02938855738</v>
      </c>
      <c r="V216" s="2">
        <f>([412]L!W216*'D(Ti_Audétat23) Times'!$F216*0.000001)^2/(4*'D(Ti_Audétat23) Times'!$C216)/(365.35*24*3600)</f>
        <v>114917.59043934417</v>
      </c>
      <c r="W216" s="2">
        <f>([412]L!X216*'D(Ti_Audétat23) Times'!$F216*0.000001)^2/(4*'D(Ti_Audétat23) Times'!$C216)/(365.35*24*3600)</f>
        <v>108052.62546335105</v>
      </c>
      <c r="X216" s="2"/>
      <c r="Y216" s="2">
        <f>([412]L!Z216*'D(Ti_Audétat23) Times'!$F216*0.000001)^2/(4*'D(Ti_Audétat23) Times'!$C216)/(365.35*24*3600)</f>
        <v>111877.97775750642</v>
      </c>
      <c r="Z216" s="2">
        <f>([412]L!AB216*'D(Ti_Audétat23) Times'!$F216*0.000001)^2/(4*'D(Ti_Audétat23) Times'!$C216)/(365.35*24*3600)</f>
        <v>116975.20296505459</v>
      </c>
      <c r="AA216" s="2">
        <f>([412]L!AC216*'D(Ti_Audétat23) Times'!$F216*0.000001)^2/(4*'D(Ti_Audétat23) Times'!$C216)/(365.35*24*3600)</f>
        <v>78605.208045678461</v>
      </c>
      <c r="AB216" s="2">
        <f>([412]L!AD216*'D(Ti_Audétat23) Times'!$F216*0.000001)^2/(4*'D(Ti_Audétat23) Times'!$C216)/(365.35*24*3600)</f>
        <v>232201.95545222497</v>
      </c>
      <c r="AC216" s="2">
        <f t="shared" si="13"/>
        <v>38369.994919376128</v>
      </c>
      <c r="AD216" s="2">
        <f t="shared" si="14"/>
        <v>115226.75248717038</v>
      </c>
    </row>
    <row r="217" spans="1:30" x14ac:dyDescent="0.2">
      <c r="A217" t="str">
        <f>[412]L!A217</f>
        <v>CGI011-qtz05-CL-fit-3-offset</v>
      </c>
      <c r="B217">
        <v>750</v>
      </c>
      <c r="C217">
        <f t="shared" si="15"/>
        <v>1.1456341375347871E-23</v>
      </c>
      <c r="D217">
        <v>2200</v>
      </c>
      <c r="E217">
        <v>1024</v>
      </c>
      <c r="F217">
        <f t="shared" si="12"/>
        <v>2.1484375</v>
      </c>
      <c r="I217" s="2">
        <f>([412]L!J217*'D(Ti_Audétat23) Times'!$F217*0.000001)^2/(4*'D(Ti_Audétat23) Times'!$C217)/(365.35*24*3600)</f>
        <v>81803.733038292572</v>
      </c>
      <c r="J217" s="2">
        <f>([412]L!K217*'D(Ti_Audétat23) Times'!$F217*0.000001)^2/(4*'D(Ti_Audétat23) Times'!$C217)/(365.35*24*3600)</f>
        <v>48243.839220720933</v>
      </c>
      <c r="K217" s="2">
        <f>([412]L!L217*'D(Ti_Audétat23) Times'!$F217*0.000001)^2/(4*'D(Ti_Audétat23) Times'!$C217)/(365.35*24*3600)</f>
        <v>41987.091443132515</v>
      </c>
      <c r="L217" s="2">
        <f>([412]L!M217*'D(Ti_Audétat23) Times'!$F217*0.000001)^2/(4*'D(Ti_Audétat23) Times'!$C217)/(365.35*24*3600)</f>
        <v>46459.768133768637</v>
      </c>
      <c r="M217" s="2">
        <f>([412]L!N217*'D(Ti_Audétat23) Times'!$F217*0.000001)^2/(4*'D(Ti_Audétat23) Times'!$C217)/(365.35*24*3600)</f>
        <v>59418.990389482853</v>
      </c>
      <c r="N217" s="2">
        <f>([412]L!O217*'D(Ti_Audétat23) Times'!$F217*0.000001)^2/(4*'D(Ti_Audétat23) Times'!$C217)/(365.35*24*3600)</f>
        <v>21628.585826976567</v>
      </c>
      <c r="O217" s="2">
        <f>([412]L!P217*'D(Ti_Audétat23) Times'!$F217*0.000001)^2/(4*'D(Ti_Audétat23) Times'!$C217)/(365.35*24*3600)</f>
        <v>50821.541141102629</v>
      </c>
      <c r="P217" s="2">
        <f>([412]L!Q217*'D(Ti_Audétat23) Times'!$F217*0.000001)^2/(4*'D(Ti_Audétat23) Times'!$C217)/(365.35*24*3600)</f>
        <v>74549.373599876097</v>
      </c>
      <c r="Q217" s="2">
        <f>([412]L!R217*'D(Ti_Audétat23) Times'!$F217*0.000001)^2/(4*'D(Ti_Audétat23) Times'!$C217)/(365.35*24*3600)</f>
        <v>64952.118943517344</v>
      </c>
      <c r="R217" s="2">
        <f>([412]L!S217*'D(Ti_Audétat23) Times'!$F217*0.000001)^2/(4*'D(Ti_Audétat23) Times'!$C217)/(365.35*24*3600)</f>
        <v>66089.553584379377</v>
      </c>
      <c r="S217" s="2">
        <f>([412]L!T217*'D(Ti_Audétat23) Times'!$F217*0.000001)^2/(4*'D(Ti_Audétat23) Times'!$C217)/(365.35*24*3600)</f>
        <v>99210.541565883381</v>
      </c>
      <c r="T217" s="2"/>
      <c r="U217" s="2">
        <f>([412]L!V217*'D(Ti_Audétat23) Times'!$F217*0.000001)^2/(4*'D(Ti_Audétat23) Times'!$C217)/(365.35*24*3600)</f>
        <v>58018.724557450951</v>
      </c>
      <c r="V217" s="2">
        <f>([412]L!W217*'D(Ti_Audétat23) Times'!$F217*0.000001)^2/(4*'D(Ti_Audétat23) Times'!$C217)/(365.35*24*3600)</f>
        <v>57701.47611785488</v>
      </c>
      <c r="W217" s="2">
        <f>([412]L!X217*'D(Ti_Audétat23) Times'!$F217*0.000001)^2/(4*'D(Ti_Audétat23) Times'!$C217)/(365.35*24*3600)</f>
        <v>59418.990389482853</v>
      </c>
      <c r="X217" s="2"/>
      <c r="Y217" s="2">
        <f>([412]L!Z217*'D(Ti_Audétat23) Times'!$F217*0.000001)^2/(4*'D(Ti_Audétat23) Times'!$C217)/(365.35*24*3600)</f>
        <v>56804.392397764655</v>
      </c>
      <c r="Z217" s="2">
        <f>([412]L!AB217*'D(Ti_Audétat23) Times'!$F217*0.000001)^2/(4*'D(Ti_Audétat23) Times'!$C217)/(365.35*24*3600)</f>
        <v>57022.470916548227</v>
      </c>
      <c r="AA217" s="2">
        <f>([412]L!AC217*'D(Ti_Audétat23) Times'!$F217*0.000001)^2/(4*'D(Ti_Audétat23) Times'!$C217)/(365.35*24*3600)</f>
        <v>23391.392737272898</v>
      </c>
      <c r="AB217" s="2">
        <f>([412]L!AD217*'D(Ti_Audétat23) Times'!$F217*0.000001)^2/(4*'D(Ti_Audétat23) Times'!$C217)/(365.35*24*3600)</f>
        <v>109128.21185736428</v>
      </c>
      <c r="AC217" s="2">
        <f t="shared" si="13"/>
        <v>33631.078179275326</v>
      </c>
      <c r="AD217" s="2">
        <f t="shared" si="14"/>
        <v>52105.740940816053</v>
      </c>
    </row>
    <row r="218" spans="1:30" x14ac:dyDescent="0.2">
      <c r="A218" t="str">
        <f>[412]L!A218</f>
        <v>CGI011-qtz05-CL-fit-4-offset</v>
      </c>
      <c r="B218">
        <v>750</v>
      </c>
      <c r="C218">
        <f t="shared" si="15"/>
        <v>1.1456341375347871E-23</v>
      </c>
      <c r="D218">
        <v>2200</v>
      </c>
      <c r="E218">
        <v>1024</v>
      </c>
      <c r="F218">
        <f t="shared" si="12"/>
        <v>2.1484375</v>
      </c>
      <c r="I218" s="2">
        <f>([412]L!J218*'D(Ti_Audétat23) Times'!$F218*0.000001)^2/(4*'D(Ti_Audétat23) Times'!$C218)/(365.35*24*3600)</f>
        <v>27913.830951604934</v>
      </c>
      <c r="J218" s="2">
        <f>([412]L!K218*'D(Ti_Audétat23) Times'!$F218*0.000001)^2/(4*'D(Ti_Audétat23) Times'!$C218)/(365.35*24*3600)</f>
        <v>27197.12452129407</v>
      </c>
      <c r="K218" s="2">
        <f>([412]L!L218*'D(Ti_Audétat23) Times'!$F218*0.000001)^2/(4*'D(Ti_Audétat23) Times'!$C218)/(365.35*24*3600)</f>
        <v>14057.008500202865</v>
      </c>
      <c r="L218" s="2">
        <f>([412]L!M218*'D(Ti_Audétat23) Times'!$F218*0.000001)^2/(4*'D(Ti_Audétat23) Times'!$C218)/(365.35*24*3600)</f>
        <v>5187.7693854186691</v>
      </c>
      <c r="M218" s="2">
        <f>([412]L!N218*'D(Ti_Audétat23) Times'!$F218*0.000001)^2/(4*'D(Ti_Audétat23) Times'!$C218)/(365.35*24*3600)</f>
        <v>32557.69239146906</v>
      </c>
      <c r="N218" s="2">
        <f>([412]L!O218*'D(Ti_Audétat23) Times'!$F218*0.000001)^2/(4*'D(Ti_Audétat23) Times'!$C218)/(365.35*24*3600)</f>
        <v>15262.084823233152</v>
      </c>
      <c r="O218" s="2">
        <f>([412]L!P218*'D(Ti_Audétat23) Times'!$F218*0.000001)^2/(4*'D(Ti_Audétat23) Times'!$C218)/(365.35*24*3600)</f>
        <v>20181.190201463694</v>
      </c>
      <c r="P218" s="2">
        <f>([412]L!Q218*'D(Ti_Audétat23) Times'!$F218*0.000001)^2/(4*'D(Ti_Audétat23) Times'!$C218)/(365.35*24*3600)</f>
        <v>14926.575327164688</v>
      </c>
      <c r="Q218" s="2">
        <f>([412]L!R218*'D(Ti_Audétat23) Times'!$F218*0.000001)^2/(4*'D(Ti_Audétat23) Times'!$C218)/(365.35*24*3600)</f>
        <v>6946.4431156222308</v>
      </c>
      <c r="R218" s="2">
        <f>([412]L!S218*'D(Ti_Audétat23) Times'!$F218*0.000001)^2/(4*'D(Ti_Audétat23) Times'!$C218)/(365.35*24*3600)</f>
        <v>6106.4888637879631</v>
      </c>
      <c r="S218" s="2">
        <f>([412]L!T218*'D(Ti_Audétat23) Times'!$F218*0.000001)^2/(4*'D(Ti_Audétat23) Times'!$C218)/(365.35*24*3600)</f>
        <v>22469.773486807979</v>
      </c>
      <c r="T218" s="2"/>
      <c r="U218" s="2">
        <f>([412]L!V218*'D(Ti_Audétat23) Times'!$F218*0.000001)^2/(4*'D(Ti_Audétat23) Times'!$C218)/(365.35*24*3600)</f>
        <v>18467.16997549975</v>
      </c>
      <c r="V218" s="2">
        <f>([412]L!W218*'D(Ti_Audétat23) Times'!$F218*0.000001)^2/(4*'D(Ti_Audétat23) Times'!$C218)/(365.35*24*3600)</f>
        <v>16248.809905519774</v>
      </c>
      <c r="W218" s="2">
        <f>([412]L!X218*'D(Ti_Audétat23) Times'!$F218*0.000001)^2/(4*'D(Ti_Audétat23) Times'!$C218)/(365.35*24*3600)</f>
        <v>15262.084823233152</v>
      </c>
      <c r="X218" s="2"/>
      <c r="Y218" s="2">
        <f>([412]L!Z218*'D(Ti_Audétat23) Times'!$F218*0.000001)^2/(4*'D(Ti_Audétat23) Times'!$C218)/(365.35*24*3600)</f>
        <v>17461.891502453367</v>
      </c>
      <c r="Z218" s="2">
        <f>([412]L!AB218*'D(Ti_Audétat23) Times'!$F218*0.000001)^2/(4*'D(Ti_Audétat23) Times'!$C218)/(365.35*24*3600)</f>
        <v>17691.755145094507</v>
      </c>
      <c r="AA218" s="2">
        <f>([412]L!AC218*'D(Ti_Audétat23) Times'!$F218*0.000001)^2/(4*'D(Ti_Audétat23) Times'!$C218)/(365.35*24*3600)</f>
        <v>3136.2557892963077</v>
      </c>
      <c r="AB218" s="2">
        <f>([412]L!AD218*'D(Ti_Audétat23) Times'!$F218*0.000001)^2/(4*'D(Ti_Audétat23) Times'!$C218)/(365.35*24*3600)</f>
        <v>46664.24025400661</v>
      </c>
      <c r="AC218" s="2">
        <f t="shared" si="13"/>
        <v>14555.499355798198</v>
      </c>
      <c r="AD218" s="2">
        <f t="shared" si="14"/>
        <v>28972.485108912104</v>
      </c>
    </row>
    <row r="219" spans="1:30" x14ac:dyDescent="0.2">
      <c r="A219" t="str">
        <f>[412]L!A219</f>
        <v>CGI011-qtz05-CL-fit-5-offset</v>
      </c>
      <c r="B219">
        <v>750</v>
      </c>
      <c r="C219">
        <f t="shared" si="15"/>
        <v>1.1456341375347871E-23</v>
      </c>
      <c r="D219">
        <v>2200</v>
      </c>
      <c r="E219">
        <v>1024</v>
      </c>
      <c r="F219">
        <f t="shared" si="12"/>
        <v>2.1484375</v>
      </c>
      <c r="I219" s="2">
        <f>([412]L!J219*'D(Ti_Audétat23) Times'!$F219*0.000001)^2/(4*'D(Ti_Audétat23) Times'!$C219)/(365.35*24*3600)</f>
        <v>16562.153653965903</v>
      </c>
      <c r="J219" s="2">
        <f>([412]L!K219*'D(Ti_Audétat23) Times'!$F219*0.000001)^2/(4*'D(Ti_Audétat23) Times'!$C219)/(365.35*24*3600)</f>
        <v>18363.501464135166</v>
      </c>
      <c r="K219" s="2">
        <f>([412]L!L219*'D(Ti_Audétat23) Times'!$F219*0.000001)^2/(4*'D(Ti_Audétat23) Times'!$C219)/(365.35*24*3600)</f>
        <v>12845.469850556681</v>
      </c>
      <c r="L219" s="2">
        <f>([412]L!M219*'D(Ti_Audétat23) Times'!$F219*0.000001)^2/(4*'D(Ti_Audétat23) Times'!$C219)/(365.35*24*3600)</f>
        <v>14430.715731355844</v>
      </c>
      <c r="M219" s="2">
        <f>([412]L!N219*'D(Ti_Audétat23) Times'!$F219*0.000001)^2/(4*'D(Ti_Audétat23) Times'!$C219)/(365.35*24*3600)</f>
        <v>24676.381363568184</v>
      </c>
      <c r="N219" s="2">
        <f>([412]L!O219*'D(Ti_Audétat23) Times'!$F219*0.000001)^2/(4*'D(Ti_Audétat23) Times'!$C219)/(365.35*24*3600)</f>
        <v>20929.838384135674</v>
      </c>
      <c r="O219" s="2">
        <f>([412]L!P219*'D(Ti_Audétat23) Times'!$F219*0.000001)^2/(4*'D(Ti_Audétat23) Times'!$C219)/(365.35*24*3600)</f>
        <v>12859.116655046922</v>
      </c>
      <c r="P219" s="2">
        <f>([412]L!Q219*'D(Ti_Audétat23) Times'!$F219*0.000001)^2/(4*'D(Ti_Audétat23) Times'!$C219)/(365.35*24*3600)</f>
        <v>18897.101998684117</v>
      </c>
      <c r="Q219" s="2">
        <f>([412]L!R219*'D(Ti_Audétat23) Times'!$F219*0.000001)^2/(4*'D(Ti_Audétat23) Times'!$C219)/(365.35*24*3600)</f>
        <v>8905.1462661202531</v>
      </c>
      <c r="R219" s="2">
        <f>([412]L!S219*'D(Ti_Audétat23) Times'!$F219*0.000001)^2/(4*'D(Ti_Audétat23) Times'!$C219)/(365.35*24*3600)</f>
        <v>20245.72842960669</v>
      </c>
      <c r="S219" s="2">
        <f>([412]L!T219*'D(Ti_Audétat23) Times'!$F219*0.000001)^2/(4*'D(Ti_Audétat23) Times'!$C219)/(365.35*24*3600)</f>
        <v>23672.032690197058</v>
      </c>
      <c r="T219" s="2"/>
      <c r="U219" s="2">
        <f>([412]L!V219*'D(Ti_Audétat23) Times'!$F219*0.000001)^2/(4*'D(Ti_Audétat23) Times'!$C219)/(365.35*24*3600)</f>
        <v>17622.503954778414</v>
      </c>
      <c r="V219" s="2">
        <f>([412]L!W219*'D(Ti_Audétat23) Times'!$F219*0.000001)^2/(4*'D(Ti_Audétat23) Times'!$C219)/(365.35*24*3600)</f>
        <v>17156.40311023713</v>
      </c>
      <c r="W219" s="2">
        <f>([412]L!X219*'D(Ti_Audétat23) Times'!$F219*0.000001)^2/(4*'D(Ti_Audétat23) Times'!$C219)/(365.35*24*3600)</f>
        <v>18363.501464135166</v>
      </c>
      <c r="X219" s="2"/>
      <c r="Y219" s="2">
        <f>([412]L!Z219*'D(Ti_Audétat23) Times'!$F219*0.000001)^2/(4*'D(Ti_Audétat23) Times'!$C219)/(365.35*24*3600)</f>
        <v>17337.707230732507</v>
      </c>
      <c r="Z219" s="2">
        <f>([412]L!AB219*'D(Ti_Audétat23) Times'!$F219*0.000001)^2/(4*'D(Ti_Audétat23) Times'!$C219)/(365.35*24*3600)</f>
        <v>16951.690609719051</v>
      </c>
      <c r="AA219" s="2">
        <f>([412]L!AC219*'D(Ti_Audétat23) Times'!$F219*0.000001)^2/(4*'D(Ti_Audétat23) Times'!$C219)/(365.35*24*3600)</f>
        <v>5294.2596437579696</v>
      </c>
      <c r="AB219" s="2">
        <f>([412]L!AD219*'D(Ti_Audétat23) Times'!$F219*0.000001)^2/(4*'D(Ti_Audétat23) Times'!$C219)/(365.35*24*3600)</f>
        <v>33121.908650901947</v>
      </c>
      <c r="AC219" s="2">
        <f t="shared" si="13"/>
        <v>11657.430965961081</v>
      </c>
      <c r="AD219" s="2">
        <f t="shared" si="14"/>
        <v>16170.218041182896</v>
      </c>
    </row>
    <row r="220" spans="1:30" x14ac:dyDescent="0.2">
      <c r="A220" t="str">
        <f>[412]L!A220</f>
        <v>CGI011-qtz06-CL-fit-1-offset</v>
      </c>
      <c r="B220">
        <v>750</v>
      </c>
      <c r="C220">
        <f t="shared" si="15"/>
        <v>1.1456341375347871E-23</v>
      </c>
      <c r="D220">
        <v>1650</v>
      </c>
      <c r="E220">
        <v>1024</v>
      </c>
      <c r="F220">
        <f t="shared" si="12"/>
        <v>1.611328125</v>
      </c>
      <c r="I220" s="2">
        <f>([412]L!J220*'D(Ti_Audétat23) Times'!$F220*0.000001)^2/(4*'D(Ti_Audétat23) Times'!$C220)/(365.35*24*3600)</f>
        <v>203244.93374107438</v>
      </c>
      <c r="J220" s="2">
        <f>([412]L!K220*'D(Ti_Audétat23) Times'!$F220*0.000001)^2/(4*'D(Ti_Audétat23) Times'!$C220)/(365.35*24*3600)</f>
        <v>235348.1943410415</v>
      </c>
      <c r="K220" s="2">
        <f>([412]L!L220*'D(Ti_Audétat23) Times'!$F220*0.000001)^2/(4*'D(Ti_Audétat23) Times'!$C220)/(365.35*24*3600)</f>
        <v>179197.45006420207</v>
      </c>
      <c r="L220" s="2">
        <f>([412]L!M220*'D(Ti_Audétat23) Times'!$F220*0.000001)^2/(4*'D(Ti_Audétat23) Times'!$C220)/(365.35*24*3600)</f>
        <v>267546.60369562672</v>
      </c>
      <c r="M220" s="2">
        <f>([412]L!N220*'D(Ti_Audétat23) Times'!$F220*0.000001)^2/(4*'D(Ti_Audétat23) Times'!$C220)/(365.35*24*3600)</f>
        <v>276482.83646566974</v>
      </c>
      <c r="N220" s="2">
        <f>([412]L!O220*'D(Ti_Audétat23) Times'!$F220*0.000001)^2/(4*'D(Ti_Audétat23) Times'!$C220)/(365.35*24*3600)</f>
        <v>291593.94686035067</v>
      </c>
      <c r="O220" s="2">
        <f>([412]L!P220*'D(Ti_Audétat23) Times'!$F220*0.000001)^2/(4*'D(Ti_Audétat23) Times'!$C220)/(365.35*24*3600)</f>
        <v>238146.02582036675</v>
      </c>
      <c r="P220" s="2">
        <f>([412]L!Q220*'D(Ti_Audétat23) Times'!$F220*0.000001)^2/(4*'D(Ti_Audétat23) Times'!$C220)/(365.35*24*3600)</f>
        <v>197918.29999178048</v>
      </c>
      <c r="Q220" s="2">
        <f>([412]L!R220*'D(Ti_Audétat23) Times'!$F220*0.000001)^2/(4*'D(Ti_Audétat23) Times'!$C220)/(365.35*24*3600)</f>
        <v>284107.00358268851</v>
      </c>
      <c r="R220" s="2">
        <f>([412]L!S220*'D(Ti_Audétat23) Times'!$F220*0.000001)^2/(4*'D(Ti_Audétat23) Times'!$C220)/(365.35*24*3600)</f>
        <v>246324.21432779849</v>
      </c>
      <c r="S220" s="2">
        <f>([412]L!T220*'D(Ti_Audétat23) Times'!$F220*0.000001)^2/(4*'D(Ti_Audétat23) Times'!$C220)/(365.35*24*3600)</f>
        <v>203020.00937816181</v>
      </c>
      <c r="T220" s="2"/>
      <c r="U220" s="2">
        <f>([412]L!V220*'D(Ti_Audétat23) Times'!$F220*0.000001)^2/(4*'D(Ti_Audétat23) Times'!$C220)/(365.35*24*3600)</f>
        <v>238431.39039277984</v>
      </c>
      <c r="V220" s="2">
        <f>([412]L!W220*'D(Ti_Audétat23) Times'!$F220*0.000001)^2/(4*'D(Ti_Audétat23) Times'!$C220)/(365.35*24*3600)</f>
        <v>237002.38954196457</v>
      </c>
      <c r="W220" s="2">
        <f>([412]L!X220*'D(Ti_Audétat23) Times'!$F220*0.000001)^2/(4*'D(Ti_Audétat23) Times'!$C220)/(365.35*24*3600)</f>
        <v>238146.02582036675</v>
      </c>
      <c r="X220" s="2"/>
      <c r="Y220" s="2">
        <f>([412]L!Z220*'D(Ti_Audétat23) Times'!$F220*0.000001)^2/(4*'D(Ti_Audétat23) Times'!$C220)/(365.35*24*3600)</f>
        <v>237182.01491835696</v>
      </c>
      <c r="Z220" s="2">
        <f>([412]L!AB220*'D(Ti_Audétat23) Times'!$F220*0.000001)^2/(4*'D(Ti_Audétat23) Times'!$C220)/(365.35*24*3600)</f>
        <v>240452.94146369115</v>
      </c>
      <c r="AA220" s="2">
        <f>([412]L!AC220*'D(Ti_Audétat23) Times'!$F220*0.000001)^2/(4*'D(Ti_Audétat23) Times'!$C220)/(365.35*24*3600)</f>
        <v>155364.66906276037</v>
      </c>
      <c r="AB220" s="2">
        <f>([412]L!AD220*'D(Ti_Audétat23) Times'!$F220*0.000001)^2/(4*'D(Ti_Audétat23) Times'!$C220)/(365.35*24*3600)</f>
        <v>364870.65280653723</v>
      </c>
      <c r="AC220" s="2">
        <f t="shared" si="13"/>
        <v>85088.272400930786</v>
      </c>
      <c r="AD220" s="2">
        <f t="shared" si="14"/>
        <v>124417.71134284607</v>
      </c>
    </row>
    <row r="221" spans="1:30" x14ac:dyDescent="0.2">
      <c r="A221" t="str">
        <f>[412]L!A221</f>
        <v>CGI011-qtz06-CL-fit-2-offset</v>
      </c>
      <c r="B221">
        <v>750</v>
      </c>
      <c r="C221">
        <f t="shared" si="15"/>
        <v>1.1456341375347871E-23</v>
      </c>
      <c r="D221">
        <v>1650</v>
      </c>
      <c r="E221">
        <v>1024</v>
      </c>
      <c r="F221">
        <f t="shared" si="12"/>
        <v>1.611328125</v>
      </c>
      <c r="I221" s="2">
        <f>([412]L!J221*'D(Ti_Audétat23) Times'!$F221*0.000001)^2/(4*'D(Ti_Audétat23) Times'!$C221)/(365.35*24*3600)</f>
        <v>69024.199341003507</v>
      </c>
      <c r="J221" s="2">
        <f>([412]L!K221*'D(Ti_Audétat23) Times'!$F221*0.000001)^2/(4*'D(Ti_Audétat23) Times'!$C221)/(365.35*24*3600)</f>
        <v>69210.804057758956</v>
      </c>
      <c r="K221" s="2">
        <f>([412]L!L221*'D(Ti_Audétat23) Times'!$F221*0.000001)^2/(4*'D(Ti_Audétat23) Times'!$C221)/(365.35*24*3600)</f>
        <v>60562.435785596645</v>
      </c>
      <c r="L221" s="2">
        <f>([412]L!M221*'D(Ti_Audétat23) Times'!$F221*0.000001)^2/(4*'D(Ti_Audétat23) Times'!$C221)/(365.35*24*3600)</f>
        <v>80850.318917741926</v>
      </c>
      <c r="M221" s="2">
        <f>([412]L!N221*'D(Ti_Audétat23) Times'!$F221*0.000001)^2/(4*'D(Ti_Audétat23) Times'!$C221)/(365.35*24*3600)</f>
        <v>72383.663940385843</v>
      </c>
      <c r="N221" s="2">
        <f>([412]L!O221*'D(Ti_Audétat23) Times'!$F221*0.000001)^2/(4*'D(Ti_Audétat23) Times'!$C221)/(365.35*24*3600)</f>
        <v>88336.202112699582</v>
      </c>
      <c r="O221" s="2">
        <f>([412]L!P221*'D(Ti_Audétat23) Times'!$F221*0.000001)^2/(4*'D(Ti_Audétat23) Times'!$C221)/(365.35*24*3600)</f>
        <v>79258.653963883742</v>
      </c>
      <c r="P221" s="2">
        <f>([412]L!Q221*'D(Ti_Audétat23) Times'!$F221*0.000001)^2/(4*'D(Ti_Audétat23) Times'!$C221)/(365.35*24*3600)</f>
        <v>93486.289271373316</v>
      </c>
      <c r="Q221" s="2">
        <f>([412]L!R221*'D(Ti_Audétat23) Times'!$F221*0.000001)^2/(4*'D(Ti_Audétat23) Times'!$C221)/(365.35*24*3600)</f>
        <v>66418.407617321674</v>
      </c>
      <c r="R221" s="2">
        <f>([412]L!S221*'D(Ti_Audétat23) Times'!$F221*0.000001)^2/(4*'D(Ti_Audétat23) Times'!$C221)/(365.35*24*3600)</f>
        <v>76629.825642058233</v>
      </c>
      <c r="S221" s="2">
        <f>([412]L!T221*'D(Ti_Audétat23) Times'!$F221*0.000001)^2/(4*'D(Ti_Audétat23) Times'!$C221)/(365.35*24*3600)</f>
        <v>71714.902704720371</v>
      </c>
      <c r="T221" s="2"/>
      <c r="U221" s="2">
        <f>([412]L!V221*'D(Ti_Audétat23) Times'!$F221*0.000001)^2/(4*'D(Ti_Audétat23) Times'!$C221)/(365.35*24*3600)</f>
        <v>75941.602750349688</v>
      </c>
      <c r="V221" s="2">
        <f>([412]L!W221*'D(Ti_Audétat23) Times'!$F221*0.000001)^2/(4*'D(Ti_Audétat23) Times'!$C221)/(365.35*24*3600)</f>
        <v>74982.167088839546</v>
      </c>
      <c r="W221" s="2">
        <f>([412]L!X221*'D(Ti_Audétat23) Times'!$F221*0.000001)^2/(4*'D(Ti_Audétat23) Times'!$C221)/(365.35*24*3600)</f>
        <v>72383.663940385843</v>
      </c>
      <c r="X221" s="2"/>
      <c r="Y221" s="2">
        <f>([412]L!Z221*'D(Ti_Audétat23) Times'!$F221*0.000001)^2/(4*'D(Ti_Audétat23) Times'!$C221)/(365.35*24*3600)</f>
        <v>74457.194772119692</v>
      </c>
      <c r="Z221" s="2">
        <f>([412]L!AB221*'D(Ti_Audétat23) Times'!$F221*0.000001)^2/(4*'D(Ti_Audétat23) Times'!$C221)/(365.35*24*3600)</f>
        <v>75841.729202105897</v>
      </c>
      <c r="AA221" s="2">
        <f>([412]L!AC221*'D(Ti_Audétat23) Times'!$F221*0.000001)^2/(4*'D(Ti_Audétat23) Times'!$C221)/(365.35*24*3600)</f>
        <v>48198.979424921483</v>
      </c>
      <c r="AB221" s="2">
        <f>([412]L!AD221*'D(Ti_Audétat23) Times'!$F221*0.000001)^2/(4*'D(Ti_Audétat23) Times'!$C221)/(365.35*24*3600)</f>
        <v>116096.2767585508</v>
      </c>
      <c r="AC221" s="2">
        <f t="shared" si="13"/>
        <v>27642.749777184414</v>
      </c>
      <c r="AD221" s="2">
        <f t="shared" si="14"/>
        <v>40254.547556444901</v>
      </c>
    </row>
    <row r="222" spans="1:30" x14ac:dyDescent="0.2">
      <c r="A222" t="str">
        <f>[412]L!A222</f>
        <v>CGI011-qtz06-CL-fit-3-offset</v>
      </c>
      <c r="B222">
        <v>750</v>
      </c>
      <c r="C222">
        <f t="shared" si="15"/>
        <v>1.1456341375347871E-23</v>
      </c>
      <c r="D222">
        <v>1650</v>
      </c>
      <c r="E222">
        <v>1024</v>
      </c>
      <c r="F222">
        <f t="shared" si="12"/>
        <v>1.611328125</v>
      </c>
      <c r="I222" s="2">
        <f>([412]L!J222*'D(Ti_Audétat23) Times'!$F222*0.000001)^2/(4*'D(Ti_Audétat23) Times'!$C222)/(365.35*24*3600)</f>
        <v>22800.64768578652</v>
      </c>
      <c r="J222" s="2">
        <f>([412]L!K222*'D(Ti_Audétat23) Times'!$F222*0.000001)^2/(4*'D(Ti_Audétat23) Times'!$C222)/(365.35*24*3600)</f>
        <v>17813.842382976272</v>
      </c>
      <c r="K222" s="2">
        <f>([412]L!L222*'D(Ti_Audétat23) Times'!$F222*0.000001)^2/(4*'D(Ti_Audétat23) Times'!$C222)/(365.35*24*3600)</f>
        <v>12377.881142697759</v>
      </c>
      <c r="L222" s="2">
        <f>([412]L!M222*'D(Ti_Audétat23) Times'!$F222*0.000001)^2/(4*'D(Ti_Audétat23) Times'!$C222)/(365.35*24*3600)</f>
        <v>20376.05686365471</v>
      </c>
      <c r="M222" s="2">
        <f>([412]L!N222*'D(Ti_Audétat23) Times'!$F222*0.000001)^2/(4*'D(Ti_Audétat23) Times'!$C222)/(365.35*24*3600)</f>
        <v>34214.129615353588</v>
      </c>
      <c r="N222" s="2">
        <f>([412]L!O222*'D(Ti_Audétat23) Times'!$F222*0.000001)^2/(4*'D(Ti_Audétat23) Times'!$C222)/(365.35*24*3600)</f>
        <v>19375.907811807789</v>
      </c>
      <c r="O222" s="2">
        <f>([412]L!P222*'D(Ti_Audétat23) Times'!$F222*0.000001)^2/(4*'D(Ti_Audétat23) Times'!$C222)/(365.35*24*3600)</f>
        <v>34547.866546815399</v>
      </c>
      <c r="P222" s="2">
        <f>([412]L!Q222*'D(Ti_Audétat23) Times'!$F222*0.000001)^2/(4*'D(Ti_Audétat23) Times'!$C222)/(365.35*24*3600)</f>
        <v>22859.399826592962</v>
      </c>
      <c r="Q222" s="2">
        <f>([412]L!R222*'D(Ti_Audétat23) Times'!$F222*0.000001)^2/(4*'D(Ti_Audétat23) Times'!$C222)/(365.35*24*3600)</f>
        <v>24182.392859346284</v>
      </c>
      <c r="R222" s="2">
        <f>([412]L!S222*'D(Ti_Audétat23) Times'!$F222*0.000001)^2/(4*'D(Ti_Audétat23) Times'!$C222)/(365.35*24*3600)</f>
        <v>20671.686349563042</v>
      </c>
      <c r="S222" s="2">
        <f>([412]L!T222*'D(Ti_Audétat23) Times'!$F222*0.000001)^2/(4*'D(Ti_Audétat23) Times'!$C222)/(365.35*24*3600)</f>
        <v>33555.181600920529</v>
      </c>
      <c r="T222" s="2"/>
      <c r="U222" s="2">
        <f>([412]L!V222*'D(Ti_Audétat23) Times'!$F222*0.000001)^2/(4*'D(Ti_Audétat23) Times'!$C222)/(365.35*24*3600)</f>
        <v>23167.913702179467</v>
      </c>
      <c r="V222" s="2">
        <f>([412]L!W222*'D(Ti_Audétat23) Times'!$F222*0.000001)^2/(4*'D(Ti_Audétat23) Times'!$C222)/(365.35*24*3600)</f>
        <v>23385.748069462119</v>
      </c>
      <c r="W222" s="2">
        <f>([412]L!X222*'D(Ti_Audétat23) Times'!$F222*0.000001)^2/(4*'D(Ti_Audétat23) Times'!$C222)/(365.35*24*3600)</f>
        <v>22800.64768578652</v>
      </c>
      <c r="X222" s="2"/>
      <c r="Y222" s="2">
        <f>([412]L!Z222*'D(Ti_Audétat23) Times'!$F222*0.000001)^2/(4*'D(Ti_Audétat23) Times'!$C222)/(365.35*24*3600)</f>
        <v>22536.043106650308</v>
      </c>
      <c r="Z222" s="2">
        <f>([412]L!AB222*'D(Ti_Audétat23) Times'!$F222*0.000001)^2/(4*'D(Ti_Audétat23) Times'!$C222)/(365.35*24*3600)</f>
        <v>22590.105784887481</v>
      </c>
      <c r="AA222" s="2">
        <f>([412]L!AC222*'D(Ti_Audétat23) Times'!$F222*0.000001)^2/(4*'D(Ti_Audétat23) Times'!$C222)/(365.35*24*3600)</f>
        <v>10957.530911283637</v>
      </c>
      <c r="AB222" s="2">
        <f>([412]L!AD222*'D(Ti_Audétat23) Times'!$F222*0.000001)^2/(4*'D(Ti_Audétat23) Times'!$C222)/(365.35*24*3600)</f>
        <v>37275.184531199091</v>
      </c>
      <c r="AC222" s="2">
        <f t="shared" si="13"/>
        <v>11632.574873603844</v>
      </c>
      <c r="AD222" s="2">
        <f t="shared" si="14"/>
        <v>14685.07874631161</v>
      </c>
    </row>
    <row r="223" spans="1:30" x14ac:dyDescent="0.2">
      <c r="A223" t="str">
        <f>[412]L!A223</f>
        <v>CGI011-qtz06-CL-fit-4-offset</v>
      </c>
      <c r="B223">
        <v>750</v>
      </c>
      <c r="C223">
        <f t="shared" si="15"/>
        <v>1.1456341375347871E-23</v>
      </c>
      <c r="D223">
        <v>1650</v>
      </c>
      <c r="E223">
        <v>1024</v>
      </c>
      <c r="F223">
        <f t="shared" si="12"/>
        <v>1.611328125</v>
      </c>
      <c r="I223" s="2">
        <f>([412]L!J223*'D(Ti_Audétat23) Times'!$F223*0.000001)^2/(4*'D(Ti_Audétat23) Times'!$C223)/(365.35*24*3600)</f>
        <v>13281.773811662446</v>
      </c>
      <c r="J223" s="2">
        <f>([412]L!K223*'D(Ti_Audétat23) Times'!$F223*0.000001)^2/(4*'D(Ti_Audétat23) Times'!$C223)/(365.35*24*3600)</f>
        <v>9028.4620796086529</v>
      </c>
      <c r="K223" s="2">
        <f>([412]L!L223*'D(Ti_Audétat23) Times'!$F223*0.000001)^2/(4*'D(Ti_Audétat23) Times'!$C223)/(365.35*24*3600)</f>
        <v>15837.582300249558</v>
      </c>
      <c r="L223" s="2">
        <f>([412]L!M223*'D(Ti_Audétat23) Times'!$F223*0.000001)^2/(4*'D(Ti_Audétat23) Times'!$C223)/(365.35*24*3600)</f>
        <v>18221.927737284503</v>
      </c>
      <c r="M223" s="2">
        <f>([412]L!N223*'D(Ti_Audétat23) Times'!$F223*0.000001)^2/(4*'D(Ti_Audétat23) Times'!$C223)/(365.35*24*3600)</f>
        <v>26678.560367422695</v>
      </c>
      <c r="N223" s="2">
        <f>([412]L!O223*'D(Ti_Audétat23) Times'!$F223*0.000001)^2/(4*'D(Ti_Audétat23) Times'!$C223)/(365.35*24*3600)</f>
        <v>6169.4848485841585</v>
      </c>
      <c r="O223" s="2">
        <f>([412]L!P223*'D(Ti_Audétat23) Times'!$F223*0.000001)^2/(4*'D(Ti_Audétat23) Times'!$C223)/(365.35*24*3600)</f>
        <v>19940.830328277454</v>
      </c>
      <c r="P223" s="2">
        <f>([412]L!Q223*'D(Ti_Audétat23) Times'!$F223*0.000001)^2/(4*'D(Ti_Audétat23) Times'!$C223)/(365.35*24*3600)</f>
        <v>11652.946026636389</v>
      </c>
      <c r="Q223" s="2">
        <f>([412]L!R223*'D(Ti_Audétat23) Times'!$F223*0.000001)^2/(4*'D(Ti_Audétat23) Times'!$C223)/(365.35*24*3600)</f>
        <v>19778.177780041238</v>
      </c>
      <c r="R223" s="2">
        <f>([412]L!S223*'D(Ti_Audétat23) Times'!$F223*0.000001)^2/(4*'D(Ti_Audétat23) Times'!$C223)/(365.35*24*3600)</f>
        <v>11424.639384881191</v>
      </c>
      <c r="S223" s="2">
        <f>([412]L!T223*'D(Ti_Audétat23) Times'!$F223*0.000001)^2/(4*'D(Ti_Audétat23) Times'!$C223)/(365.35*24*3600)</f>
        <v>26915.01702525049</v>
      </c>
      <c r="T223" s="2"/>
      <c r="U223" s="2">
        <f>([412]L!V223*'D(Ti_Audétat23) Times'!$F223*0.000001)^2/(4*'D(Ti_Audétat23) Times'!$C223)/(365.35*24*3600)</f>
        <v>16493.18399676288</v>
      </c>
      <c r="V223" s="2">
        <f>([412]L!W223*'D(Ti_Audétat23) Times'!$F223*0.000001)^2/(4*'D(Ti_Audétat23) Times'!$C223)/(365.35*24*3600)</f>
        <v>15595.978768204055</v>
      </c>
      <c r="W223" s="2">
        <f>([412]L!X223*'D(Ti_Audétat23) Times'!$F223*0.000001)^2/(4*'D(Ti_Audétat23) Times'!$C223)/(365.35*24*3600)</f>
        <v>15837.582300249558</v>
      </c>
      <c r="X223" s="2"/>
      <c r="Y223" s="2">
        <f>([412]L!Z223*'D(Ti_Audétat23) Times'!$F223*0.000001)^2/(4*'D(Ti_Audétat23) Times'!$C223)/(365.35*24*3600)</f>
        <v>15490.821175987991</v>
      </c>
      <c r="Z223" s="2">
        <f>([412]L!AB223*'D(Ti_Audétat23) Times'!$F223*0.000001)^2/(4*'D(Ti_Audétat23) Times'!$C223)/(365.35*24*3600)</f>
        <v>15562.168358090767</v>
      </c>
      <c r="AA223" s="2">
        <f>([412]L!AC223*'D(Ti_Audétat23) Times'!$F223*0.000001)^2/(4*'D(Ti_Audétat23) Times'!$C223)/(365.35*24*3600)</f>
        <v>5440.8729963423457</v>
      </c>
      <c r="AB223" s="2">
        <f>([412]L!AD223*'D(Ti_Audétat23) Times'!$F223*0.000001)^2/(4*'D(Ti_Audétat23) Times'!$C223)/(365.35*24*3600)</f>
        <v>33113.845027953525</v>
      </c>
      <c r="AC223" s="2">
        <f t="shared" si="13"/>
        <v>10121.29536174842</v>
      </c>
      <c r="AD223" s="2">
        <f t="shared" si="14"/>
        <v>17551.676669862758</v>
      </c>
    </row>
    <row r="224" spans="1:30" x14ac:dyDescent="0.2">
      <c r="A224" t="str">
        <f>[412]L!A224</f>
        <v>CGI011-qtz07-CL-fit-1-offset</v>
      </c>
      <c r="B224">
        <v>750</v>
      </c>
      <c r="C224">
        <f t="shared" si="15"/>
        <v>1.1456341375347871E-23</v>
      </c>
      <c r="D224">
        <v>1250</v>
      </c>
      <c r="E224">
        <v>1024</v>
      </c>
      <c r="F224">
        <f t="shared" si="12"/>
        <v>1.220703125</v>
      </c>
      <c r="I224" s="2">
        <f>([412]L!J224*'D(Ti_Audétat23) Times'!$F224*0.000001)^2/(4*'D(Ti_Audétat23) Times'!$C224)/(365.35*24*3600)</f>
        <v>32115.207994575332</v>
      </c>
      <c r="J224" s="2">
        <f>([412]L!K224*'D(Ti_Audétat23) Times'!$F224*0.000001)^2/(4*'D(Ti_Audétat23) Times'!$C224)/(365.35*24*3600)</f>
        <v>29436.69095941637</v>
      </c>
      <c r="K224" s="2">
        <f>([412]L!L224*'D(Ti_Audétat23) Times'!$F224*0.000001)^2/(4*'D(Ti_Audétat23) Times'!$C224)/(365.35*24*3600)</f>
        <v>39893.959831951375</v>
      </c>
      <c r="L224" s="2">
        <f>([412]L!M224*'D(Ti_Audétat23) Times'!$F224*0.000001)^2/(4*'D(Ti_Audétat23) Times'!$C224)/(365.35*24*3600)</f>
        <v>27842.90550296571</v>
      </c>
      <c r="M224" s="2">
        <f>([412]L!N224*'D(Ti_Audétat23) Times'!$F224*0.000001)^2/(4*'D(Ti_Audétat23) Times'!$C224)/(365.35*24*3600)</f>
        <v>39032.62844186146</v>
      </c>
      <c r="N224" s="2">
        <f>([412]L!O224*'D(Ti_Audétat23) Times'!$F224*0.000001)^2/(4*'D(Ti_Audétat23) Times'!$C224)/(365.35*24*3600)</f>
        <v>18113.080733299201</v>
      </c>
      <c r="O224" s="2">
        <f>([412]L!P224*'D(Ti_Audétat23) Times'!$F224*0.000001)^2/(4*'D(Ti_Audétat23) Times'!$C224)/(365.35*24*3600)</f>
        <v>25859.437625907798</v>
      </c>
      <c r="P224" s="2">
        <f>([412]L!Q224*'D(Ti_Audétat23) Times'!$F224*0.000001)^2/(4*'D(Ti_Audétat23) Times'!$C224)/(365.35*24*3600)</f>
        <v>32340.622697541716</v>
      </c>
      <c r="Q224" s="2">
        <f>([412]L!R224*'D(Ti_Audétat23) Times'!$F224*0.000001)^2/(4*'D(Ti_Audétat23) Times'!$C224)/(365.35*24*3600)</f>
        <v>23079.360485634534</v>
      </c>
      <c r="R224" s="2">
        <f>([412]L!S224*'D(Ti_Audétat23) Times'!$F224*0.000001)^2/(4*'D(Ti_Audétat23) Times'!$C224)/(365.35*24*3600)</f>
        <v>25265.966048191676</v>
      </c>
      <c r="S224" s="2">
        <f>([412]L!T224*'D(Ti_Audétat23) Times'!$F224*0.000001)^2/(4*'D(Ti_Audétat23) Times'!$C224)/(365.35*24*3600)</f>
        <v>21362.884708780224</v>
      </c>
      <c r="T224" s="2"/>
      <c r="U224" s="2">
        <f>([412]L!V224*'D(Ti_Audétat23) Times'!$F224*0.000001)^2/(4*'D(Ti_Audétat23) Times'!$C224)/(365.35*24*3600)</f>
        <v>27537.408351575723</v>
      </c>
      <c r="V224" s="2">
        <f>([412]L!W224*'D(Ti_Audétat23) Times'!$F224*0.000001)^2/(4*'D(Ti_Audétat23) Times'!$C224)/(365.35*24*3600)</f>
        <v>28199.644861669269</v>
      </c>
      <c r="W224" s="2">
        <f>([412]L!X224*'D(Ti_Audétat23) Times'!$F224*0.000001)^2/(4*'D(Ti_Audétat23) Times'!$C224)/(365.35*24*3600)</f>
        <v>27842.90550296571</v>
      </c>
      <c r="X224" s="2"/>
      <c r="Y224" s="2">
        <f>([412]L!Z224*'D(Ti_Audétat23) Times'!$F224*0.000001)^2/(4*'D(Ti_Audétat23) Times'!$C224)/(365.35*24*3600)</f>
        <v>26882.681300376287</v>
      </c>
      <c r="Z224" s="2">
        <f>([412]L!AB224*'D(Ti_Audétat23) Times'!$F224*0.000001)^2/(4*'D(Ti_Audétat23) Times'!$C224)/(365.35*24*3600)</f>
        <v>27423.841490078146</v>
      </c>
      <c r="AA224" s="2">
        <f>([412]L!AC224*'D(Ti_Audétat23) Times'!$F224*0.000001)^2/(4*'D(Ti_Audétat23) Times'!$C224)/(365.35*24*3600)</f>
        <v>16286.177772616842</v>
      </c>
      <c r="AB224" s="2">
        <f>([412]L!AD224*'D(Ti_Audétat23) Times'!$F224*0.000001)^2/(4*'D(Ti_Audétat23) Times'!$C224)/(365.35*24*3600)</f>
        <v>47011.351760197831</v>
      </c>
      <c r="AC224" s="2">
        <f t="shared" si="13"/>
        <v>11137.663717461304</v>
      </c>
      <c r="AD224" s="2">
        <f t="shared" si="14"/>
        <v>19587.510270119685</v>
      </c>
    </row>
    <row r="225" spans="1:30" x14ac:dyDescent="0.2">
      <c r="A225" t="str">
        <f>[412]L!A225</f>
        <v>CGI011-qtz07-CL-fit-2-offset</v>
      </c>
      <c r="B225">
        <v>750</v>
      </c>
      <c r="C225">
        <f t="shared" si="15"/>
        <v>1.1456341375347871E-23</v>
      </c>
      <c r="D225">
        <v>1250</v>
      </c>
      <c r="E225">
        <v>1024</v>
      </c>
      <c r="F225">
        <f t="shared" si="12"/>
        <v>1.220703125</v>
      </c>
      <c r="I225" s="2">
        <f>([412]L!J225*'D(Ti_Audétat23) Times'!$F225*0.000001)^2/(4*'D(Ti_Audétat23) Times'!$C225)/(365.35*24*3600)</f>
        <v>11423.193488475896</v>
      </c>
      <c r="J225" s="2">
        <f>([412]L!K225*'D(Ti_Audétat23) Times'!$F225*0.000001)^2/(4*'D(Ti_Audétat23) Times'!$C225)/(365.35*24*3600)</f>
        <v>19570.665092919706</v>
      </c>
      <c r="K225" s="2">
        <f>([412]L!L225*'D(Ti_Audétat23) Times'!$F225*0.000001)^2/(4*'D(Ti_Audétat23) Times'!$C225)/(365.35*24*3600)</f>
        <v>12891.690487282815</v>
      </c>
      <c r="L225" s="2">
        <f>([412]L!M225*'D(Ti_Audétat23) Times'!$F225*0.000001)^2/(4*'D(Ti_Audétat23) Times'!$C225)/(365.35*24*3600)</f>
        <v>12047.24997254851</v>
      </c>
      <c r="M225" s="2">
        <f>([412]L!N225*'D(Ti_Audétat23) Times'!$F225*0.000001)^2/(4*'D(Ti_Audétat23) Times'!$C225)/(365.35*24*3600)</f>
        <v>20825.562297450721</v>
      </c>
      <c r="N225" s="2">
        <f>([412]L!O225*'D(Ti_Audétat23) Times'!$F225*0.000001)^2/(4*'D(Ti_Audétat23) Times'!$C225)/(365.35*24*3600)</f>
        <v>16594.153870546696</v>
      </c>
      <c r="O225" s="2">
        <f>([412]L!P225*'D(Ti_Audétat23) Times'!$F225*0.000001)^2/(4*'D(Ti_Audétat23) Times'!$C225)/(365.35*24*3600)</f>
        <v>14380.353432419475</v>
      </c>
      <c r="P225" s="2">
        <f>([412]L!Q225*'D(Ti_Audétat23) Times'!$F225*0.000001)^2/(4*'D(Ti_Audétat23) Times'!$C225)/(365.35*24*3600)</f>
        <v>8410.4096491263845</v>
      </c>
      <c r="Q225" s="2">
        <f>([412]L!R225*'D(Ti_Audétat23) Times'!$F225*0.000001)^2/(4*'D(Ti_Audétat23) Times'!$C225)/(365.35*24*3600)</f>
        <v>7270.0364070239357</v>
      </c>
      <c r="R225" s="2">
        <f>([412]L!S225*'D(Ti_Audétat23) Times'!$F225*0.000001)^2/(4*'D(Ti_Audétat23) Times'!$C225)/(365.35*24*3600)</f>
        <v>12249.165742343779</v>
      </c>
      <c r="S225" s="2">
        <f>([412]L!T225*'D(Ti_Audétat23) Times'!$F225*0.000001)^2/(4*'D(Ti_Audétat23) Times'!$C225)/(365.35*24*3600)</f>
        <v>11717.251006770221</v>
      </c>
      <c r="T225" s="2"/>
      <c r="U225" s="2">
        <f>([412]L!V225*'D(Ti_Audétat23) Times'!$F225*0.000001)^2/(4*'D(Ti_Audétat23) Times'!$C225)/(365.35*24*3600)</f>
        <v>12860.439498323836</v>
      </c>
      <c r="V225" s="2">
        <f>([412]L!W225*'D(Ti_Audétat23) Times'!$F225*0.000001)^2/(4*'D(Ti_Audétat23) Times'!$C225)/(365.35*24*3600)</f>
        <v>13100.220243878382</v>
      </c>
      <c r="W225" s="2">
        <f>([412]L!X225*'D(Ti_Audétat23) Times'!$F225*0.000001)^2/(4*'D(Ti_Audétat23) Times'!$C225)/(365.35*24*3600)</f>
        <v>12249.165742343779</v>
      </c>
      <c r="X225" s="2"/>
      <c r="Y225" s="2">
        <f>([412]L!Z225*'D(Ti_Audétat23) Times'!$F225*0.000001)^2/(4*'D(Ti_Audétat23) Times'!$C225)/(365.35*24*3600)</f>
        <v>12659.200136131698</v>
      </c>
      <c r="Z225" s="2">
        <f>([412]L!AB225*'D(Ti_Audétat23) Times'!$F225*0.000001)^2/(4*'D(Ti_Audétat23) Times'!$C225)/(365.35*24*3600)</f>
        <v>12680.521366324223</v>
      </c>
      <c r="AA225" s="2">
        <f>([412]L!AC225*'D(Ti_Audétat23) Times'!$F225*0.000001)^2/(4*'D(Ti_Audétat23) Times'!$C225)/(365.35*24*3600)</f>
        <v>6416.2150393389766</v>
      </c>
      <c r="AB225" s="2">
        <f>([412]L!AD225*'D(Ti_Audétat23) Times'!$F225*0.000001)^2/(4*'D(Ti_Audétat23) Times'!$C225)/(365.35*24*3600)</f>
        <v>22932.766005980633</v>
      </c>
      <c r="AC225" s="2">
        <f t="shared" si="13"/>
        <v>6264.3063269852464</v>
      </c>
      <c r="AD225" s="2">
        <f t="shared" si="14"/>
        <v>10252.24463965641</v>
      </c>
    </row>
    <row r="226" spans="1:30" x14ac:dyDescent="0.2">
      <c r="A226" t="str">
        <f>[412]L!A226</f>
        <v>CGI011-qtz07-CL-fit-3-offset</v>
      </c>
      <c r="B226">
        <v>750</v>
      </c>
      <c r="C226">
        <f t="shared" si="15"/>
        <v>1.1456341375347871E-23</v>
      </c>
      <c r="D226">
        <v>1250</v>
      </c>
      <c r="E226">
        <v>1024</v>
      </c>
      <c r="F226">
        <f t="shared" si="12"/>
        <v>1.220703125</v>
      </c>
      <c r="I226" s="2">
        <f>([412]L!J226*'D(Ti_Audétat23) Times'!$F226*0.000001)^2/(4*'D(Ti_Audétat23) Times'!$C226)/(365.35*24*3600)</f>
        <v>18232.384186684474</v>
      </c>
      <c r="J226" s="2">
        <f>([412]L!K226*'D(Ti_Audétat23) Times'!$F226*0.000001)^2/(4*'D(Ti_Audétat23) Times'!$C226)/(365.35*24*3600)</f>
        <v>13924.875690594105</v>
      </c>
      <c r="K226" s="2">
        <f>([412]L!L226*'D(Ti_Audétat23) Times'!$F226*0.000001)^2/(4*'D(Ti_Audétat23) Times'!$C226)/(365.35*24*3600)</f>
        <v>10541.211053684683</v>
      </c>
      <c r="L226" s="2">
        <f>([412]L!M226*'D(Ti_Audétat23) Times'!$F226*0.000001)^2/(4*'D(Ti_Audétat23) Times'!$C226)/(365.35*24*3600)</f>
        <v>10924.804933182651</v>
      </c>
      <c r="M226" s="2">
        <f>([412]L!N226*'D(Ti_Audétat23) Times'!$F226*0.000001)^2/(4*'D(Ti_Audétat23) Times'!$C226)/(365.35*24*3600)</f>
        <v>4930.9500191098996</v>
      </c>
      <c r="N226" s="2">
        <f>([412]L!O226*'D(Ti_Audétat23) Times'!$F226*0.000001)^2/(4*'D(Ti_Audétat23) Times'!$C226)/(365.35*24*3600)</f>
        <v>17523.662406589512</v>
      </c>
      <c r="O226" s="2">
        <f>([412]L!P226*'D(Ti_Audétat23) Times'!$F226*0.000001)^2/(4*'D(Ti_Audétat23) Times'!$C226)/(365.35*24*3600)</f>
        <v>11605.708320309765</v>
      </c>
      <c r="P226" s="2">
        <f>([412]L!Q226*'D(Ti_Audétat23) Times'!$F226*0.000001)^2/(4*'D(Ti_Audétat23) Times'!$C226)/(365.35*24*3600)</f>
        <v>7691.0869069043119</v>
      </c>
      <c r="Q226" s="2">
        <f>([412]L!R226*'D(Ti_Audétat23) Times'!$F226*0.000001)^2/(4*'D(Ti_Audétat23) Times'!$C226)/(365.35*24*3600)</f>
        <v>12843.432877133833</v>
      </c>
      <c r="R226" s="2">
        <f>([412]L!S226*'D(Ti_Audétat23) Times'!$F226*0.000001)^2/(4*'D(Ti_Audétat23) Times'!$C226)/(365.35*24*3600)</f>
        <v>10639.171609895817</v>
      </c>
      <c r="S226" s="2">
        <f>([412]L!T226*'D(Ti_Audétat23) Times'!$F226*0.000001)^2/(4*'D(Ti_Audétat23) Times'!$C226)/(365.35*24*3600)</f>
        <v>12084.178489171609</v>
      </c>
      <c r="T226" s="2"/>
      <c r="U226" s="2">
        <f>([412]L!V226*'D(Ti_Audétat23) Times'!$F226*0.000001)^2/(4*'D(Ti_Audétat23) Times'!$C226)/(365.35*24*3600)</f>
        <v>11364.17093141196</v>
      </c>
      <c r="V226" s="2">
        <f>([412]L!W226*'D(Ti_Audétat23) Times'!$F226*0.000001)^2/(4*'D(Ti_Audétat23) Times'!$C226)/(365.35*24*3600)</f>
        <v>11598.367108245455</v>
      </c>
      <c r="W226" s="2">
        <f>([412]L!X226*'D(Ti_Audétat23) Times'!$F226*0.000001)^2/(4*'D(Ti_Audétat23) Times'!$C226)/(365.35*24*3600)</f>
        <v>11605.708320309765</v>
      </c>
      <c r="X226" s="2"/>
      <c r="Y226" s="2">
        <f>([412]L!Z226*'D(Ti_Audétat23) Times'!$F226*0.000001)^2/(4*'D(Ti_Audétat23) Times'!$C226)/(365.35*24*3600)</f>
        <v>11138.257304158251</v>
      </c>
      <c r="Z226" s="2">
        <f>([412]L!AB226*'D(Ti_Audétat23) Times'!$F226*0.000001)^2/(4*'D(Ti_Audétat23) Times'!$C226)/(365.35*24*3600)</f>
        <v>11108.07431634386</v>
      </c>
      <c r="AA226" s="2">
        <f>([412]L!AC226*'D(Ti_Audétat23) Times'!$F226*0.000001)^2/(4*'D(Ti_Audétat23) Times'!$C226)/(365.35*24*3600)</f>
        <v>5066.2765659591059</v>
      </c>
      <c r="AB226" s="2">
        <f>([412]L!AD226*'D(Ti_Audétat23) Times'!$F226*0.000001)^2/(4*'D(Ti_Audétat23) Times'!$C226)/(365.35*24*3600)</f>
        <v>18130.414221287054</v>
      </c>
      <c r="AC226" s="2">
        <f t="shared" si="13"/>
        <v>6041.7977503847542</v>
      </c>
      <c r="AD226" s="2">
        <f t="shared" si="14"/>
        <v>7022.3399049431937</v>
      </c>
    </row>
    <row r="227" spans="1:30" x14ac:dyDescent="0.2">
      <c r="A227" t="str">
        <f>[412]L!A227</f>
        <v>CGI011-qtz08-CL-fit-1-offset</v>
      </c>
      <c r="B227">
        <v>750</v>
      </c>
      <c r="C227">
        <f t="shared" si="15"/>
        <v>1.1456341375347871E-23</v>
      </c>
      <c r="D227">
        <v>1300</v>
      </c>
      <c r="E227">
        <v>1024</v>
      </c>
      <c r="F227">
        <f t="shared" si="12"/>
        <v>1.26953125</v>
      </c>
      <c r="I227" s="2">
        <f>([412]L!J227*'D(Ti_Audétat23) Times'!$F227*0.000001)^2/(4*'D(Ti_Audétat23) Times'!$C227)/(365.35*24*3600)</f>
        <v>0</v>
      </c>
      <c r="J227" s="2">
        <f>([412]L!K227*'D(Ti_Audétat23) Times'!$F227*0.000001)^2/(4*'D(Ti_Audétat23) Times'!$C227)/(365.35*24*3600)</f>
        <v>27953.603297965135</v>
      </c>
      <c r="K227" s="2">
        <f>([412]L!L227*'D(Ti_Audétat23) Times'!$F227*0.000001)^2/(4*'D(Ti_Audétat23) Times'!$C227)/(365.35*24*3600)</f>
        <v>52680.289083946387</v>
      </c>
      <c r="L227" s="2">
        <f>([412]L!M227*'D(Ti_Audétat23) Times'!$F227*0.000001)^2/(4*'D(Ti_Audétat23) Times'!$C227)/(365.35*24*3600)</f>
        <v>49320.717572440328</v>
      </c>
      <c r="M227" s="2">
        <f>([412]L!N227*'D(Ti_Audétat23) Times'!$F227*0.000001)^2/(4*'D(Ti_Audétat23) Times'!$C227)/(365.35*24*3600)</f>
        <v>50148.752531179256</v>
      </c>
      <c r="N227" s="2">
        <f>([412]L!O227*'D(Ti_Audétat23) Times'!$F227*0.000001)^2/(4*'D(Ti_Audétat23) Times'!$C227)/(365.35*24*3600)</f>
        <v>17406.344578050011</v>
      </c>
      <c r="O227" s="2">
        <f>([412]L!P227*'D(Ti_Audétat23) Times'!$F227*0.000001)^2/(4*'D(Ti_Audétat23) Times'!$C227)/(365.35*24*3600)</f>
        <v>39349.04716033749</v>
      </c>
      <c r="P227" s="2">
        <f>([412]L!Q227*'D(Ti_Audétat23) Times'!$F227*0.000001)^2/(4*'D(Ti_Audétat23) Times'!$C227)/(365.35*24*3600)</f>
        <v>12673.593556168116</v>
      </c>
      <c r="Q227" s="2">
        <f>([412]L!R227*'D(Ti_Audétat23) Times'!$F227*0.000001)^2/(4*'D(Ti_Audétat23) Times'!$C227)/(365.35*24*3600)</f>
        <v>20243.927332436775</v>
      </c>
      <c r="R227" s="2">
        <f>([412]L!S227*'D(Ti_Audétat23) Times'!$F227*0.000001)^2/(4*'D(Ti_Audétat23) Times'!$C227)/(365.35*24*3600)</f>
        <v>20419.896703429109</v>
      </c>
      <c r="S227" s="2">
        <f>([412]L!T227*'D(Ti_Audétat23) Times'!$F227*0.000001)^2/(4*'D(Ti_Audétat23) Times'!$C227)/(365.35*24*3600)</f>
        <v>0</v>
      </c>
      <c r="T227" s="2"/>
      <c r="U227" s="2">
        <f>([412]L!V227*'D(Ti_Audétat23) Times'!$F227*0.000001)^2/(4*'D(Ti_Audétat23) Times'!$C227)/(365.35*24*3600)</f>
        <v>28055.75212186827</v>
      </c>
      <c r="V227" s="2">
        <f>([412]L!W227*'D(Ti_Audétat23) Times'!$F227*0.000001)^2/(4*'D(Ti_Audétat23) Times'!$C227)/(365.35*24*3600)</f>
        <v>30461.593559916062</v>
      </c>
      <c r="W227" s="2">
        <f>([412]L!X227*'D(Ti_Audétat23) Times'!$F227*0.000001)^2/(4*'D(Ti_Audétat23) Times'!$C227)/(365.35*24*3600)</f>
        <v>27953.603297965135</v>
      </c>
      <c r="X227" s="2"/>
      <c r="Y227" s="2">
        <f>([412]L!Z227*'D(Ti_Audétat23) Times'!$F227*0.000001)^2/(4*'D(Ti_Audétat23) Times'!$C227)/(365.35*24*3600)</f>
        <v>27474.85069196155</v>
      </c>
      <c r="Z227" s="2">
        <f>([412]L!AB227*'D(Ti_Audétat23) Times'!$F227*0.000001)^2/(4*'D(Ti_Audétat23) Times'!$C227)/(365.35*24*3600)</f>
        <v>40416.681494277029</v>
      </c>
      <c r="AA227" s="2">
        <f>([412]L!AC227*'D(Ti_Audétat23) Times'!$F227*0.000001)^2/(4*'D(Ti_Audétat23) Times'!$C227)/(365.35*24*3600)</f>
        <v>5280.3350696836233</v>
      </c>
      <c r="AB227" s="2">
        <f>([412]L!AD227*'D(Ti_Audétat23) Times'!$F227*0.000001)^2/(4*'D(Ti_Audétat23) Times'!$C227)/(365.35*24*3600)</f>
        <v>262893.68628646911</v>
      </c>
      <c r="AC227" s="2">
        <f t="shared" si="13"/>
        <v>35136.346424593408</v>
      </c>
      <c r="AD227" s="2">
        <f t="shared" si="14"/>
        <v>222477.00479219208</v>
      </c>
    </row>
    <row r="228" spans="1:30" x14ac:dyDescent="0.2">
      <c r="A228" t="str">
        <f>[412]L!A228</f>
        <v>CGI011-qtz08-CL-fit-2-offset</v>
      </c>
      <c r="B228">
        <v>750</v>
      </c>
      <c r="C228">
        <f t="shared" si="15"/>
        <v>1.1456341375347871E-23</v>
      </c>
      <c r="D228">
        <v>1300</v>
      </c>
      <c r="E228">
        <v>1024</v>
      </c>
      <c r="F228">
        <f t="shared" si="12"/>
        <v>1.26953125</v>
      </c>
      <c r="I228" s="2">
        <f>([412]L!J228*'D(Ti_Audétat23) Times'!$F228*0.000001)^2/(4*'D(Ti_Audétat23) Times'!$C228)/(365.35*24*3600)</f>
        <v>222404.04043142422</v>
      </c>
      <c r="J228" s="2">
        <f>([412]L!K228*'D(Ti_Audétat23) Times'!$F228*0.000001)^2/(4*'D(Ti_Audétat23) Times'!$C228)/(365.35*24*3600)</f>
        <v>202052.97651254857</v>
      </c>
      <c r="K228" s="2">
        <f>([412]L!L228*'D(Ti_Audétat23) Times'!$F228*0.000001)^2/(4*'D(Ti_Audétat23) Times'!$C228)/(365.35*24*3600)</f>
        <v>249845.43924220148</v>
      </c>
      <c r="L228" s="2">
        <f>([412]L!M228*'D(Ti_Audétat23) Times'!$F228*0.000001)^2/(4*'D(Ti_Audétat23) Times'!$C228)/(365.35*24*3600)</f>
        <v>317921.96821308188</v>
      </c>
      <c r="M228" s="2">
        <f>([412]L!N228*'D(Ti_Audétat23) Times'!$F228*0.000001)^2/(4*'D(Ti_Audétat23) Times'!$C228)/(365.35*24*3600)</f>
        <v>224552.41160001312</v>
      </c>
      <c r="N228" s="2">
        <f>([412]L!O228*'D(Ti_Audétat23) Times'!$F228*0.000001)^2/(4*'D(Ti_Audétat23) Times'!$C228)/(365.35*24*3600)</f>
        <v>186000.98399958559</v>
      </c>
      <c r="O228" s="2">
        <f>([412]L!P228*'D(Ti_Audétat23) Times'!$F228*0.000001)^2/(4*'D(Ti_Audétat23) Times'!$C228)/(365.35*24*3600)</f>
        <v>306222.21215827303</v>
      </c>
      <c r="P228" s="2">
        <f>([412]L!Q228*'D(Ti_Audétat23) Times'!$F228*0.000001)^2/(4*'D(Ti_Audétat23) Times'!$C228)/(365.35*24*3600)</f>
        <v>199334.17268328433</v>
      </c>
      <c r="Q228" s="2">
        <f>([412]L!R228*'D(Ti_Audétat23) Times'!$F228*0.000001)^2/(4*'D(Ti_Audétat23) Times'!$C228)/(365.35*24*3600)</f>
        <v>157816.8262566271</v>
      </c>
      <c r="R228" s="2">
        <f>([412]L!S228*'D(Ti_Audétat23) Times'!$F228*0.000001)^2/(4*'D(Ti_Audétat23) Times'!$C228)/(365.35*24*3600)</f>
        <v>205712.33358479507</v>
      </c>
      <c r="S228" s="2">
        <f>([412]L!T228*'D(Ti_Audétat23) Times'!$F228*0.000001)^2/(4*'D(Ti_Audétat23) Times'!$C228)/(365.35*24*3600)</f>
        <v>147470.14032069029</v>
      </c>
      <c r="T228" s="2"/>
      <c r="U228" s="2">
        <f>([412]L!V228*'D(Ti_Audétat23) Times'!$F228*0.000001)^2/(4*'D(Ti_Audétat23) Times'!$C228)/(365.35*24*3600)</f>
        <v>214670.32072250667</v>
      </c>
      <c r="V228" s="2">
        <f>([412]L!W228*'D(Ti_Audétat23) Times'!$F228*0.000001)^2/(4*'D(Ti_Audétat23) Times'!$C228)/(365.35*24*3600)</f>
        <v>217038.81495975808</v>
      </c>
      <c r="W228" s="2">
        <f>([412]L!X228*'D(Ti_Audétat23) Times'!$F228*0.000001)^2/(4*'D(Ti_Audétat23) Times'!$C228)/(365.35*24*3600)</f>
        <v>205712.33358479507</v>
      </c>
      <c r="X228" s="2"/>
      <c r="Y228" s="2">
        <f>([412]L!Z228*'D(Ti_Audétat23) Times'!$F228*0.000001)^2/(4*'D(Ti_Audétat23) Times'!$C228)/(365.35*24*3600)</f>
        <v>211658.3303407403</v>
      </c>
      <c r="Z228" s="2">
        <f>([412]L!AB228*'D(Ti_Audétat23) Times'!$F228*0.000001)^2/(4*'D(Ti_Audétat23) Times'!$C228)/(365.35*24*3600)</f>
        <v>216142.13819461755</v>
      </c>
      <c r="AA228" s="2">
        <f>([412]L!AC228*'D(Ti_Audétat23) Times'!$F228*0.000001)^2/(4*'D(Ti_Audétat23) Times'!$C228)/(365.35*24*3600)</f>
        <v>145434.24827662882</v>
      </c>
      <c r="AB228" s="2">
        <f>([412]L!AD228*'D(Ti_Audétat23) Times'!$F228*0.000001)^2/(4*'D(Ti_Audétat23) Times'!$C228)/(365.35*24*3600)</f>
        <v>311984.85863380128</v>
      </c>
      <c r="AC228" s="2">
        <f t="shared" si="13"/>
        <v>70707.889917988738</v>
      </c>
      <c r="AD228" s="2">
        <f t="shared" si="14"/>
        <v>95842.720439183729</v>
      </c>
    </row>
    <row r="229" spans="1:30" x14ac:dyDescent="0.2">
      <c r="A229" t="str">
        <f>[412]L!A229</f>
        <v>CGI011-qtz08-CL-fit-3-offset</v>
      </c>
      <c r="B229">
        <v>750</v>
      </c>
      <c r="C229">
        <f t="shared" si="15"/>
        <v>1.1456341375347871E-23</v>
      </c>
      <c r="D229">
        <v>1300</v>
      </c>
      <c r="E229">
        <v>1024</v>
      </c>
      <c r="F229">
        <f t="shared" si="12"/>
        <v>1.26953125</v>
      </c>
      <c r="I229" s="2">
        <f>([412]L!J229*'D(Ti_Audétat23) Times'!$F229*0.000001)^2/(4*'D(Ti_Audétat23) Times'!$C229)/(365.35*24*3600)</f>
        <v>22381.983550031026</v>
      </c>
      <c r="J229" s="2">
        <f>([412]L!K229*'D(Ti_Audétat23) Times'!$F229*0.000001)^2/(4*'D(Ti_Audétat23) Times'!$C229)/(365.35*24*3600)</f>
        <v>23141.659222727933</v>
      </c>
      <c r="K229" s="2">
        <f>([412]L!L229*'D(Ti_Audétat23) Times'!$F229*0.000001)^2/(4*'D(Ti_Audétat23) Times'!$C229)/(365.35*24*3600)</f>
        <v>17219.657108564883</v>
      </c>
      <c r="L229" s="2">
        <f>([412]L!M229*'D(Ti_Audétat23) Times'!$F229*0.000001)^2/(4*'D(Ti_Audétat23) Times'!$C229)/(365.35*24*3600)</f>
        <v>35238.044051403907</v>
      </c>
      <c r="M229" s="2">
        <f>([412]L!N229*'D(Ti_Audétat23) Times'!$F229*0.000001)^2/(4*'D(Ti_Audétat23) Times'!$C229)/(365.35*24*3600)</f>
        <v>35571.955980912258</v>
      </c>
      <c r="N229" s="2">
        <f>([412]L!O229*'D(Ti_Audétat23) Times'!$F229*0.000001)^2/(4*'D(Ti_Audétat23) Times'!$C229)/(365.35*24*3600)</f>
        <v>24258.930551785783</v>
      </c>
      <c r="O229" s="2">
        <f>([412]L!P229*'D(Ti_Audétat23) Times'!$F229*0.000001)^2/(4*'D(Ti_Audétat23) Times'!$C229)/(365.35*24*3600)</f>
        <v>43167.547402362638</v>
      </c>
      <c r="P229" s="2">
        <f>([412]L!Q229*'D(Ti_Audétat23) Times'!$F229*0.000001)^2/(4*'D(Ti_Audétat23) Times'!$C229)/(365.35*24*3600)</f>
        <v>31747.717068958544</v>
      </c>
      <c r="Q229" s="2">
        <f>([412]L!R229*'D(Ti_Audétat23) Times'!$F229*0.000001)^2/(4*'D(Ti_Audétat23) Times'!$C229)/(365.35*24*3600)</f>
        <v>42087.000886210823</v>
      </c>
      <c r="R229" s="2">
        <f>([412]L!S229*'D(Ti_Audétat23) Times'!$F229*0.000001)^2/(4*'D(Ti_Audétat23) Times'!$C229)/(365.35*24*3600)</f>
        <v>47352.89944646052</v>
      </c>
      <c r="S229" s="2">
        <f>([412]L!T229*'D(Ti_Audétat23) Times'!$F229*0.000001)^2/(4*'D(Ti_Audétat23) Times'!$C229)/(365.35*24*3600)</f>
        <v>32131.646760831478</v>
      </c>
      <c r="T229" s="2"/>
      <c r="U229" s="2">
        <f>([412]L!V229*'D(Ti_Audétat23) Times'!$F229*0.000001)^2/(4*'D(Ti_Audétat23) Times'!$C229)/(365.35*24*3600)</f>
        <v>31740.881633764388</v>
      </c>
      <c r="V229" s="2">
        <f>([412]L!W229*'D(Ti_Audétat23) Times'!$F229*0.000001)^2/(4*'D(Ti_Audétat23) Times'!$C229)/(365.35*24*3600)</f>
        <v>31522.00077896013</v>
      </c>
      <c r="W229" s="2">
        <f>([412]L!X229*'D(Ti_Audétat23) Times'!$F229*0.000001)^2/(4*'D(Ti_Audétat23) Times'!$C229)/(365.35*24*3600)</f>
        <v>32131.646760831478</v>
      </c>
      <c r="X229" s="2"/>
      <c r="Y229" s="2">
        <f>([412]L!Z229*'D(Ti_Audétat23) Times'!$F229*0.000001)^2/(4*'D(Ti_Audétat23) Times'!$C229)/(365.35*24*3600)</f>
        <v>32463.455751920323</v>
      </c>
      <c r="Z229" s="2">
        <f>([412]L!AB229*'D(Ti_Audétat23) Times'!$F229*0.000001)^2/(4*'D(Ti_Audétat23) Times'!$C229)/(365.35*24*3600)</f>
        <v>31696.247834642465</v>
      </c>
      <c r="AA229" s="2">
        <f>([412]L!AC229*'D(Ti_Audétat23) Times'!$F229*0.000001)^2/(4*'D(Ti_Audétat23) Times'!$C229)/(365.35*24*3600)</f>
        <v>19018.682602614103</v>
      </c>
      <c r="AB229" s="2">
        <f>([412]L!AD229*'D(Ti_Audétat23) Times'!$F229*0.000001)^2/(4*'D(Ti_Audétat23) Times'!$C229)/(365.35*24*3600)</f>
        <v>47722.423951409903</v>
      </c>
      <c r="AC229" s="2">
        <f t="shared" si="13"/>
        <v>12677.565232028363</v>
      </c>
      <c r="AD229" s="2">
        <f t="shared" si="14"/>
        <v>16026.176116767438</v>
      </c>
    </row>
    <row r="230" spans="1:30" x14ac:dyDescent="0.2">
      <c r="A230" t="str">
        <f>[412]L!A230</f>
        <v>CGI011-qtz08-CL-fit-4-offset</v>
      </c>
      <c r="B230">
        <v>750</v>
      </c>
      <c r="C230">
        <f t="shared" si="15"/>
        <v>1.1456341375347871E-23</v>
      </c>
      <c r="D230">
        <v>1300</v>
      </c>
      <c r="E230">
        <v>1024</v>
      </c>
      <c r="F230">
        <f t="shared" si="12"/>
        <v>1.26953125</v>
      </c>
      <c r="I230" s="2">
        <f>([412]L!J230*'D(Ti_Audétat23) Times'!$F230*0.000001)^2/(4*'D(Ti_Audétat23) Times'!$C230)/(365.35*24*3600)</f>
        <v>7311.3635034251065</v>
      </c>
      <c r="J230" s="2">
        <f>([412]L!K230*'D(Ti_Audétat23) Times'!$F230*0.000001)^2/(4*'D(Ti_Audétat23) Times'!$C230)/(365.35*24*3600)</f>
        <v>6321.6510030192976</v>
      </c>
      <c r="K230" s="2">
        <f>([412]L!L230*'D(Ti_Audétat23) Times'!$F230*0.000001)^2/(4*'D(Ti_Audétat23) Times'!$C230)/(365.35*24*3600)</f>
        <v>5330.9376848770053</v>
      </c>
      <c r="L230" s="2">
        <f>([412]L!M230*'D(Ti_Audétat23) Times'!$F230*0.000001)^2/(4*'D(Ti_Audétat23) Times'!$C230)/(365.35*24*3600)</f>
        <v>7954.8361455258573</v>
      </c>
      <c r="M230" s="2">
        <f>([412]L!N230*'D(Ti_Audétat23) Times'!$F230*0.000001)^2/(4*'D(Ti_Audétat23) Times'!$C230)/(365.35*24*3600)</f>
        <v>5630.5941112884329</v>
      </c>
      <c r="N230" s="2">
        <f>([412]L!O230*'D(Ti_Audétat23) Times'!$F230*0.000001)^2/(4*'D(Ti_Audétat23) Times'!$C230)/(365.35*24*3600)</f>
        <v>3235.4031722175141</v>
      </c>
      <c r="O230" s="2">
        <f>([412]L!P230*'D(Ti_Audétat23) Times'!$F230*0.000001)^2/(4*'D(Ti_Audétat23) Times'!$C230)/(365.35*24*3600)</f>
        <v>3405.3303890330162</v>
      </c>
      <c r="P230" s="2">
        <f>([412]L!Q230*'D(Ti_Audétat23) Times'!$F230*0.000001)^2/(4*'D(Ti_Audétat23) Times'!$C230)/(365.35*24*3600)</f>
        <v>4932.5386252864282</v>
      </c>
      <c r="Q230" s="2">
        <f>([412]L!R230*'D(Ti_Audétat23) Times'!$F230*0.000001)^2/(4*'D(Ti_Audétat23) Times'!$C230)/(365.35*24*3600)</f>
        <v>2433.7070070101881</v>
      </c>
      <c r="R230" s="2">
        <f>([412]L!S230*'D(Ti_Audétat23) Times'!$F230*0.000001)^2/(4*'D(Ti_Audétat23) Times'!$C230)/(365.35*24*3600)</f>
        <v>3352.2293023946495</v>
      </c>
      <c r="S230" s="2">
        <f>([412]L!T230*'D(Ti_Audétat23) Times'!$F230*0.000001)^2/(4*'D(Ti_Audétat23) Times'!$C230)/(365.35*24*3600)</f>
        <v>4811.6452860548306</v>
      </c>
      <c r="T230" s="2"/>
      <c r="U230" s="2">
        <f>([412]L!V230*'D(Ti_Audétat23) Times'!$F230*0.000001)^2/(4*'D(Ti_Audétat23) Times'!$C230)/(365.35*24*3600)</f>
        <v>4892.408988462872</v>
      </c>
      <c r="V230" s="2">
        <f>([412]L!W230*'D(Ti_Audétat23) Times'!$F230*0.000001)^2/(4*'D(Ti_Audétat23) Times'!$C230)/(365.35*24*3600)</f>
        <v>4827.984476671847</v>
      </c>
      <c r="W230" s="2">
        <f>([412]L!X230*'D(Ti_Audétat23) Times'!$F230*0.000001)^2/(4*'D(Ti_Audétat23) Times'!$C230)/(365.35*24*3600)</f>
        <v>4932.5386252864282</v>
      </c>
      <c r="X230" s="2"/>
      <c r="Y230" s="2">
        <f>([412]L!Z230*'D(Ti_Audétat23) Times'!$F230*0.000001)^2/(4*'D(Ti_Audétat23) Times'!$C230)/(365.35*24*3600)</f>
        <v>4618.2304816415262</v>
      </c>
      <c r="Z230" s="2">
        <f>([412]L!AB230*'D(Ti_Audétat23) Times'!$F230*0.000001)^2/(4*'D(Ti_Audétat23) Times'!$C230)/(365.35*24*3600)</f>
        <v>4613.9384493353482</v>
      </c>
      <c r="AA230" s="2">
        <f>([412]L!AC230*'D(Ti_Audétat23) Times'!$F230*0.000001)^2/(4*'D(Ti_Audétat23) Times'!$C230)/(365.35*24*3600)</f>
        <v>870.03298655609012</v>
      </c>
      <c r="AB230" s="2">
        <f>([412]L!AD230*'D(Ti_Audétat23) Times'!$F230*0.000001)^2/(4*'D(Ti_Audétat23) Times'!$C230)/(365.35*24*3600)</f>
        <v>10327.567424422528</v>
      </c>
      <c r="AC230" s="2">
        <f t="shared" si="13"/>
        <v>3743.905462779258</v>
      </c>
      <c r="AD230" s="2">
        <f t="shared" si="14"/>
        <v>5713.6289750871802</v>
      </c>
    </row>
    <row r="231" spans="1:30" x14ac:dyDescent="0.2">
      <c r="A231" t="str">
        <f>[412]L!A231</f>
        <v>CGI011-qtz08-CL-fit-5-offset</v>
      </c>
      <c r="B231">
        <v>750</v>
      </c>
      <c r="C231">
        <f t="shared" si="15"/>
        <v>1.1456341375347871E-23</v>
      </c>
      <c r="D231">
        <v>1300</v>
      </c>
      <c r="E231">
        <v>1024</v>
      </c>
      <c r="F231">
        <f t="shared" si="12"/>
        <v>1.26953125</v>
      </c>
      <c r="I231" s="2">
        <f>([412]L!J231*'D(Ti_Audétat23) Times'!$F231*0.000001)^2/(4*'D(Ti_Audétat23) Times'!$C231)/(365.35*24*3600)</f>
        <v>14682.427929694741</v>
      </c>
      <c r="J231" s="2">
        <f>([412]L!K231*'D(Ti_Audétat23) Times'!$F231*0.000001)^2/(4*'D(Ti_Audétat23) Times'!$C231)/(365.35*24*3600)</f>
        <v>17460.469966201774</v>
      </c>
      <c r="K231" s="2">
        <f>([412]L!L231*'D(Ti_Audétat23) Times'!$F231*0.000001)^2/(4*'D(Ti_Audétat23) Times'!$C231)/(365.35*24*3600)</f>
        <v>23629.224674636342</v>
      </c>
      <c r="L231" s="2">
        <f>([412]L!M231*'D(Ti_Audétat23) Times'!$F231*0.000001)^2/(4*'D(Ti_Audétat23) Times'!$C231)/(365.35*24*3600)</f>
        <v>27799.94127445401</v>
      </c>
      <c r="M231" s="2">
        <f>([412]L!N231*'D(Ti_Audétat23) Times'!$F231*0.000001)^2/(4*'D(Ti_Audétat23) Times'!$C231)/(365.35*24*3600)</f>
        <v>32120.814505910141</v>
      </c>
      <c r="N231" s="2">
        <f>([412]L!O231*'D(Ti_Audétat23) Times'!$F231*0.000001)^2/(4*'D(Ti_Audétat23) Times'!$C231)/(365.35*24*3600)</f>
        <v>28319.881890961493</v>
      </c>
      <c r="O231" s="2">
        <f>([412]L!P231*'D(Ti_Audétat23) Times'!$F231*0.000001)^2/(4*'D(Ti_Audétat23) Times'!$C231)/(365.35*24*3600)</f>
        <v>16813.81829448212</v>
      </c>
      <c r="P231" s="2">
        <f>([412]L!Q231*'D(Ti_Audétat23) Times'!$F231*0.000001)^2/(4*'D(Ti_Audétat23) Times'!$C231)/(365.35*24*3600)</f>
        <v>24580.539256888009</v>
      </c>
      <c r="Q231" s="2">
        <f>([412]L!R231*'D(Ti_Audétat23) Times'!$F231*0.000001)^2/(4*'D(Ti_Audétat23) Times'!$C231)/(365.35*24*3600)</f>
        <v>25309.747291095609</v>
      </c>
      <c r="R231" s="2">
        <f>([412]L!S231*'D(Ti_Audétat23) Times'!$F231*0.000001)^2/(4*'D(Ti_Audétat23) Times'!$C231)/(365.35*24*3600)</f>
        <v>16129.102450157368</v>
      </c>
      <c r="S231" s="2">
        <f>([412]L!T231*'D(Ti_Audétat23) Times'!$F231*0.000001)^2/(4*'D(Ti_Audétat23) Times'!$C231)/(365.35*24*3600)</f>
        <v>23610.60859543016</v>
      </c>
      <c r="T231" s="2"/>
      <c r="U231" s="2">
        <f>([412]L!V231*'D(Ti_Audétat23) Times'!$F231*0.000001)^2/(4*'D(Ti_Audétat23) Times'!$C231)/(365.35*24*3600)</f>
        <v>21640.449277573491</v>
      </c>
      <c r="V231" s="2">
        <f>([412]L!W231*'D(Ti_Audétat23) Times'!$F231*0.000001)^2/(4*'D(Ti_Audétat23) Times'!$C231)/(365.35*24*3600)</f>
        <v>22430.953825085689</v>
      </c>
      <c r="W231" s="2">
        <f>([412]L!X231*'D(Ti_Audétat23) Times'!$F231*0.000001)^2/(4*'D(Ti_Audétat23) Times'!$C231)/(365.35*24*3600)</f>
        <v>23629.224674636342</v>
      </c>
      <c r="X231" s="2"/>
      <c r="Y231" s="2">
        <f>([412]L!Z231*'D(Ti_Audétat23) Times'!$F231*0.000001)^2/(4*'D(Ti_Audétat23) Times'!$C231)/(365.35*24*3600)</f>
        <v>20752.369289354021</v>
      </c>
      <c r="Z231" s="2">
        <f>([412]L!AB231*'D(Ti_Audétat23) Times'!$F231*0.000001)^2/(4*'D(Ti_Audétat23) Times'!$C231)/(365.35*24*3600)</f>
        <v>21433.907687140963</v>
      </c>
      <c r="AA231" s="2">
        <f>([412]L!AC231*'D(Ti_Audétat23) Times'!$F231*0.000001)^2/(4*'D(Ti_Audétat23) Times'!$C231)/(365.35*24*3600)</f>
        <v>11545.509163185301</v>
      </c>
      <c r="AB231" s="2">
        <f>([412]L!AD231*'D(Ti_Audétat23) Times'!$F231*0.000001)^2/(4*'D(Ti_Audétat23) Times'!$C231)/(365.35*24*3600)</f>
        <v>36909.15278344728</v>
      </c>
      <c r="AC231" s="2">
        <f t="shared" si="13"/>
        <v>9888.3985239556623</v>
      </c>
      <c r="AD231" s="2">
        <f t="shared" si="14"/>
        <v>15475.245096306317</v>
      </c>
    </row>
    <row r="232" spans="1:30" x14ac:dyDescent="0.2">
      <c r="A232" t="str">
        <f>[412]L!A232</f>
        <v>CGI011-qtz09-CL-fit-1-offset</v>
      </c>
      <c r="B232">
        <v>750</v>
      </c>
      <c r="C232">
        <f t="shared" si="15"/>
        <v>1.1456341375347871E-23</v>
      </c>
      <c r="D232">
        <v>1100</v>
      </c>
      <c r="E232">
        <v>1024</v>
      </c>
      <c r="F232">
        <f t="shared" si="12"/>
        <v>1.07421875</v>
      </c>
      <c r="I232" s="2">
        <f>([412]L!J232*'D(Ti_Audétat23) Times'!$F232*0.000001)^2/(4*'D(Ti_Audétat23) Times'!$C232)/(365.35*24*3600)</f>
        <v>10231.082361287128</v>
      </c>
      <c r="J232" s="2">
        <f>([412]L!K232*'D(Ti_Audétat23) Times'!$F232*0.000001)^2/(4*'D(Ti_Audétat23) Times'!$C232)/(365.35*24*3600)</f>
        <v>11784.459348429848</v>
      </c>
      <c r="K232" s="2">
        <f>([412]L!L232*'D(Ti_Audétat23) Times'!$F232*0.000001)^2/(4*'D(Ti_Audétat23) Times'!$C232)/(365.35*24*3600)</f>
        <v>8752.8554739386709</v>
      </c>
      <c r="L232" s="2">
        <f>([412]L!M232*'D(Ti_Audétat23) Times'!$F232*0.000001)^2/(4*'D(Ti_Audétat23) Times'!$C232)/(365.35*24*3600)</f>
        <v>0</v>
      </c>
      <c r="M232" s="2">
        <f>([412]L!N232*'D(Ti_Audétat23) Times'!$F232*0.000001)^2/(4*'D(Ti_Audétat23) Times'!$C232)/(365.35*24*3600)</f>
        <v>22777.521703511047</v>
      </c>
      <c r="N232" s="2">
        <f>([412]L!O232*'D(Ti_Audétat23) Times'!$F232*0.000001)^2/(4*'D(Ti_Audétat23) Times'!$C232)/(365.35*24*3600)</f>
        <v>22079.402405638957</v>
      </c>
      <c r="O232" s="2">
        <f>([412]L!P232*'D(Ti_Audétat23) Times'!$F232*0.000001)^2/(4*'D(Ti_Audétat23) Times'!$C232)/(365.35*24*3600)</f>
        <v>564.22191221979404</v>
      </c>
      <c r="P232" s="2">
        <f>([412]L!Q232*'D(Ti_Audétat23) Times'!$F232*0.000001)^2/(4*'D(Ti_Audétat23) Times'!$C232)/(365.35*24*3600)</f>
        <v>2222.9641014910198</v>
      </c>
      <c r="Q232" s="2">
        <f>([412]L!R232*'D(Ti_Audétat23) Times'!$F232*0.000001)^2/(4*'D(Ti_Audétat23) Times'!$C232)/(365.35*24*3600)</f>
        <v>32871.406780783844</v>
      </c>
      <c r="R232" s="2">
        <f>([412]L!S232*'D(Ti_Audétat23) Times'!$F232*0.000001)^2/(4*'D(Ti_Audétat23) Times'!$C232)/(365.35*24*3600)</f>
        <v>28796.184245444678</v>
      </c>
      <c r="S232" s="2">
        <f>([412]L!T232*'D(Ti_Audétat23) Times'!$F232*0.000001)^2/(4*'D(Ti_Audétat23) Times'!$C232)/(365.35*24*3600)</f>
        <v>17013.404743914089</v>
      </c>
      <c r="T232" s="2"/>
      <c r="U232" s="2">
        <f>([412]L!V232*'D(Ti_Audétat23) Times'!$F232*0.000001)^2/(4*'D(Ti_Audétat23) Times'!$C232)/(365.35*24*3600)</f>
        <v>13558.987221886589</v>
      </c>
      <c r="V232" s="2">
        <f>([412]L!W232*'D(Ti_Audétat23) Times'!$F232*0.000001)^2/(4*'D(Ti_Audétat23) Times'!$C232)/(365.35*24*3600)</f>
        <v>13342.828752214124</v>
      </c>
      <c r="W232" s="2">
        <f>([412]L!X232*'D(Ti_Audétat23) Times'!$F232*0.000001)^2/(4*'D(Ti_Audétat23) Times'!$C232)/(365.35*24*3600)</f>
        <v>14279.257273240168</v>
      </c>
      <c r="X232" s="2"/>
      <c r="Y232" s="2">
        <f>([412]L!Z232*'D(Ti_Audétat23) Times'!$F232*0.000001)^2/(4*'D(Ti_Audétat23) Times'!$C232)/(365.35*24*3600)</f>
        <v>12520.744144986786</v>
      </c>
      <c r="Z232" s="2">
        <f>([412]L!AB232*'D(Ti_Audétat23) Times'!$F232*0.000001)^2/(4*'D(Ti_Audétat23) Times'!$C232)/(365.35*24*3600)</f>
        <v>13990.960870569412</v>
      </c>
      <c r="AA232" s="2">
        <f>([412]L!AC232*'D(Ti_Audétat23) Times'!$F232*0.000001)^2/(4*'D(Ti_Audétat23) Times'!$C232)/(365.35*24*3600)</f>
        <v>97.290050112704108</v>
      </c>
      <c r="AB232" s="2">
        <f>([412]L!AD232*'D(Ti_Audétat23) Times'!$F232*0.000001)^2/(4*'D(Ti_Audétat23) Times'!$C232)/(365.35*24*3600)</f>
        <v>66423.817877002439</v>
      </c>
      <c r="AC232" s="2">
        <f t="shared" si="13"/>
        <v>13893.670820456708</v>
      </c>
      <c r="AD232" s="2">
        <f t="shared" si="14"/>
        <v>52432.857006433027</v>
      </c>
    </row>
    <row r="233" spans="1:30" x14ac:dyDescent="0.2">
      <c r="A233" t="str">
        <f>[412]L!A233</f>
        <v>CGI011-qtz09-CL-fit-2-offset</v>
      </c>
      <c r="B233">
        <v>750</v>
      </c>
      <c r="C233">
        <f t="shared" si="15"/>
        <v>1.1456341375347871E-23</v>
      </c>
      <c r="D233">
        <v>1100</v>
      </c>
      <c r="E233">
        <v>1024</v>
      </c>
      <c r="F233">
        <f t="shared" si="12"/>
        <v>1.07421875</v>
      </c>
      <c r="I233" s="2">
        <f>([412]L!J233*'D(Ti_Audétat23) Times'!$F233*0.000001)^2/(4*'D(Ti_Audétat23) Times'!$C233)/(365.35*24*3600)</f>
        <v>58372.498929909707</v>
      </c>
      <c r="J233" s="2">
        <f>([412]L!K233*'D(Ti_Audétat23) Times'!$F233*0.000001)^2/(4*'D(Ti_Audétat23) Times'!$C233)/(365.35*24*3600)</f>
        <v>35397.020856478288</v>
      </c>
      <c r="K233" s="2">
        <f>([412]L!L233*'D(Ti_Audétat23) Times'!$F233*0.000001)^2/(4*'D(Ti_Audétat23) Times'!$C233)/(365.35*24*3600)</f>
        <v>53672.23649628133</v>
      </c>
      <c r="L233" s="2">
        <f>([412]L!M233*'D(Ti_Audétat23) Times'!$F233*0.000001)^2/(4*'D(Ti_Audétat23) Times'!$C233)/(365.35*24*3600)</f>
        <v>19373.477542857261</v>
      </c>
      <c r="M233" s="2">
        <f>([412]L!N233*'D(Ti_Audétat23) Times'!$F233*0.000001)^2/(4*'D(Ti_Audétat23) Times'!$C233)/(365.35*24*3600)</f>
        <v>36752.858862482324</v>
      </c>
      <c r="N233" s="2">
        <f>([412]L!O233*'D(Ti_Audétat23) Times'!$F233*0.000001)^2/(4*'D(Ti_Audétat23) Times'!$C233)/(365.35*24*3600)</f>
        <v>17547.218425339168</v>
      </c>
      <c r="O233" s="2">
        <f>([412]L!P233*'D(Ti_Audétat23) Times'!$F233*0.000001)^2/(4*'D(Ti_Audétat23) Times'!$C233)/(365.35*24*3600)</f>
        <v>25066.292825442531</v>
      </c>
      <c r="P233" s="2">
        <f>([412]L!Q233*'D(Ti_Audétat23) Times'!$F233*0.000001)^2/(4*'D(Ti_Audétat23) Times'!$C233)/(365.35*24*3600)</f>
        <v>34177.093053402867</v>
      </c>
      <c r="Q233" s="2">
        <f>([412]L!R233*'D(Ti_Audétat23) Times'!$F233*0.000001)^2/(4*'D(Ti_Audétat23) Times'!$C233)/(365.35*24*3600)</f>
        <v>30501.107001633925</v>
      </c>
      <c r="R233" s="2">
        <f>([412]L!S233*'D(Ti_Audétat23) Times'!$F233*0.000001)^2/(4*'D(Ti_Audétat23) Times'!$C233)/(365.35*24*3600)</f>
        <v>10285.870915813097</v>
      </c>
      <c r="S233" s="2">
        <f>([412]L!T233*'D(Ti_Audétat23) Times'!$F233*0.000001)^2/(4*'D(Ti_Audétat23) Times'!$C233)/(365.35*24*3600)</f>
        <v>0</v>
      </c>
      <c r="T233" s="2"/>
      <c r="U233" s="2">
        <f>([412]L!V233*'D(Ti_Audétat23) Times'!$F233*0.000001)^2/(4*'D(Ti_Audétat23) Times'!$C233)/(365.35*24*3600)</f>
        <v>29653.036752047523</v>
      </c>
      <c r="V233" s="2">
        <f>([412]L!W233*'D(Ti_Audétat23) Times'!$F233*0.000001)^2/(4*'D(Ti_Audétat23) Times'!$C233)/(365.35*24*3600)</f>
        <v>30416.803077155415</v>
      </c>
      <c r="W233" s="2">
        <f>([412]L!X233*'D(Ti_Audétat23) Times'!$F233*0.000001)^2/(4*'D(Ti_Audétat23) Times'!$C233)/(365.35*24*3600)</f>
        <v>32312.963316300273</v>
      </c>
      <c r="X233" s="2"/>
      <c r="Y233" s="2">
        <f>([412]L!Z233*'D(Ti_Audétat23) Times'!$F233*0.000001)^2/(4*'D(Ti_Audétat23) Times'!$C233)/(365.35*24*3600)</f>
        <v>27540.735114335595</v>
      </c>
      <c r="Z233" s="2">
        <f>([412]L!AB233*'D(Ti_Audétat23) Times'!$F233*0.000001)^2/(4*'D(Ti_Audétat23) Times'!$C233)/(365.35*24*3600)</f>
        <v>30856.491739602887</v>
      </c>
      <c r="AA233" s="2">
        <f>([412]L!AC233*'D(Ti_Audétat23) Times'!$F233*0.000001)^2/(4*'D(Ti_Audétat23) Times'!$C233)/(365.35*24*3600)</f>
        <v>10598.364128569716</v>
      </c>
      <c r="AB233" s="2">
        <f>([412]L!AD233*'D(Ti_Audétat23) Times'!$F233*0.000001)^2/(4*'D(Ti_Audétat23) Times'!$C233)/(365.35*24*3600)</f>
        <v>84179.875730910862</v>
      </c>
      <c r="AC233" s="2">
        <f t="shared" si="13"/>
        <v>20258.127611033171</v>
      </c>
      <c r="AD233" s="2">
        <f t="shared" si="14"/>
        <v>53323.383991307972</v>
      </c>
    </row>
    <row r="234" spans="1:30" x14ac:dyDescent="0.2">
      <c r="A234" t="str">
        <f>[412]L!A234</f>
        <v>CGI011-qtz09-CL-fit-3-offset</v>
      </c>
      <c r="B234">
        <v>750</v>
      </c>
      <c r="C234">
        <f t="shared" si="15"/>
        <v>1.1456341375347871E-23</v>
      </c>
      <c r="D234">
        <v>1100</v>
      </c>
      <c r="E234">
        <v>1024</v>
      </c>
      <c r="F234">
        <f t="shared" si="12"/>
        <v>1.07421875</v>
      </c>
      <c r="I234" s="2">
        <f>([412]L!J234*'D(Ti_Audétat23) Times'!$F234*0.000001)^2/(4*'D(Ti_Audétat23) Times'!$C234)/(365.35*24*3600)</f>
        <v>21066.55099518823</v>
      </c>
      <c r="J234" s="2">
        <f>([412]L!K234*'D(Ti_Audétat23) Times'!$F234*0.000001)^2/(4*'D(Ti_Audétat23) Times'!$C234)/(365.35*24*3600)</f>
        <v>35285.147595157767</v>
      </c>
      <c r="K234" s="2">
        <f>([412]L!L234*'D(Ti_Audétat23) Times'!$F234*0.000001)^2/(4*'D(Ti_Audétat23) Times'!$C234)/(365.35*24*3600)</f>
        <v>10396.963222956296</v>
      </c>
      <c r="L234" s="2">
        <f>([412]L!M234*'D(Ti_Audétat23) Times'!$F234*0.000001)^2/(4*'D(Ti_Audétat23) Times'!$C234)/(365.35*24*3600)</f>
        <v>15239.761558647564</v>
      </c>
      <c r="M234" s="2">
        <f>([412]L!N234*'D(Ti_Audétat23) Times'!$F234*0.000001)^2/(4*'D(Ti_Audétat23) Times'!$C234)/(365.35*24*3600)</f>
        <v>13351.462717862736</v>
      </c>
      <c r="N234" s="2">
        <f>([412]L!O234*'D(Ti_Audétat23) Times'!$F234*0.000001)^2/(4*'D(Ti_Audétat23) Times'!$C234)/(365.35*24*3600)</f>
        <v>9286.9058197586655</v>
      </c>
      <c r="O234" s="2">
        <f>([412]L!P234*'D(Ti_Audétat23) Times'!$F234*0.000001)^2/(4*'D(Ti_Audétat23) Times'!$C234)/(365.35*24*3600)</f>
        <v>23394.162671159389</v>
      </c>
      <c r="P234" s="2">
        <f>([412]L!Q234*'D(Ti_Audétat23) Times'!$F234*0.000001)^2/(4*'D(Ti_Audétat23) Times'!$C234)/(365.35*24*3600)</f>
        <v>13125.858785434944</v>
      </c>
      <c r="Q234" s="2">
        <f>([412]L!R234*'D(Ti_Audétat23) Times'!$F234*0.000001)^2/(4*'D(Ti_Audétat23) Times'!$C234)/(365.35*24*3600)</f>
        <v>11038.141139387824</v>
      </c>
      <c r="R234" s="2">
        <f>([412]L!S234*'D(Ti_Audétat23) Times'!$F234*0.000001)^2/(4*'D(Ti_Audétat23) Times'!$C234)/(365.35*24*3600)</f>
        <v>11284.052037562808</v>
      </c>
      <c r="S234" s="2">
        <f>([412]L!T234*'D(Ti_Audétat23) Times'!$F234*0.000001)^2/(4*'D(Ti_Audétat23) Times'!$C234)/(365.35*24*3600)</f>
        <v>13327.195926659626</v>
      </c>
      <c r="T234" s="2"/>
      <c r="U234" s="2">
        <f>([412]L!V234*'D(Ti_Audétat23) Times'!$F234*0.000001)^2/(4*'D(Ti_Audétat23) Times'!$C234)/(365.35*24*3600)</f>
        <v>15100.816985734964</v>
      </c>
      <c r="V234" s="2">
        <f>([412]L!W234*'D(Ti_Audétat23) Times'!$F234*0.000001)^2/(4*'D(Ti_Audétat23) Times'!$C234)/(365.35*24*3600)</f>
        <v>15388.870966468501</v>
      </c>
      <c r="W234" s="2">
        <f>([412]L!X234*'D(Ti_Audétat23) Times'!$F234*0.000001)^2/(4*'D(Ti_Audétat23) Times'!$C234)/(365.35*24*3600)</f>
        <v>13327.195926659626</v>
      </c>
      <c r="X234" s="2"/>
      <c r="Y234" s="2">
        <f>([412]L!Z234*'D(Ti_Audétat23) Times'!$F234*0.000001)^2/(4*'D(Ti_Audétat23) Times'!$C234)/(365.35*24*3600)</f>
        <v>14835.700623769939</v>
      </c>
      <c r="Z234" s="2">
        <f>([412]L!AB234*'D(Ti_Audétat23) Times'!$F234*0.000001)^2/(4*'D(Ti_Audétat23) Times'!$C234)/(365.35*24*3600)</f>
        <v>15164.888137399852</v>
      </c>
      <c r="AA234" s="2">
        <f>([412]L!AC234*'D(Ti_Audétat23) Times'!$F234*0.000001)^2/(4*'D(Ti_Audétat23) Times'!$C234)/(365.35*24*3600)</f>
        <v>7066.0075068246952</v>
      </c>
      <c r="AB234" s="2">
        <f>([412]L!AD234*'D(Ti_Audétat23) Times'!$F234*0.000001)^2/(4*'D(Ti_Audétat23) Times'!$C234)/(365.35*24*3600)</f>
        <v>31414.716770302457</v>
      </c>
      <c r="AC234" s="2">
        <f t="shared" si="13"/>
        <v>8098.8806305751568</v>
      </c>
      <c r="AD234" s="2">
        <f t="shared" si="14"/>
        <v>16249.828632902605</v>
      </c>
    </row>
    <row r="235" spans="1:30" x14ac:dyDescent="0.2">
      <c r="A235" t="str">
        <f>[412]L!A235</f>
        <v>CGI011-qtz09-CL-fit-4-offset</v>
      </c>
      <c r="B235">
        <v>750</v>
      </c>
      <c r="C235">
        <f t="shared" si="15"/>
        <v>1.1456341375347871E-23</v>
      </c>
      <c r="D235">
        <v>1100</v>
      </c>
      <c r="E235">
        <v>1024</v>
      </c>
      <c r="F235">
        <f t="shared" si="12"/>
        <v>1.07421875</v>
      </c>
      <c r="I235" s="2">
        <f>([412]L!J235*'D(Ti_Audétat23) Times'!$F235*0.000001)^2/(4*'D(Ti_Audétat23) Times'!$C235)/(365.35*24*3600)</f>
        <v>15839.437180069259</v>
      </c>
      <c r="J235" s="2">
        <f>([412]L!K235*'D(Ti_Audétat23) Times'!$F235*0.000001)^2/(4*'D(Ti_Audétat23) Times'!$C235)/(365.35*24*3600)</f>
        <v>6007.0727963287418</v>
      </c>
      <c r="K235" s="2">
        <f>([412]L!L235*'D(Ti_Audétat23) Times'!$F235*0.000001)^2/(4*'D(Ti_Audétat23) Times'!$C235)/(365.35*24*3600)</f>
        <v>2212.520940446474</v>
      </c>
      <c r="L235" s="2">
        <f>([412]L!M235*'D(Ti_Audétat23) Times'!$F235*0.000001)^2/(4*'D(Ti_Audétat23) Times'!$C235)/(365.35*24*3600)</f>
        <v>7155.3972194931339</v>
      </c>
      <c r="M235" s="2">
        <f>([412]L!N235*'D(Ti_Audétat23) Times'!$F235*0.000001)^2/(4*'D(Ti_Audétat23) Times'!$C235)/(365.35*24*3600)</f>
        <v>2588.8548970739025</v>
      </c>
      <c r="N235" s="2">
        <f>([412]L!O235*'D(Ti_Audétat23) Times'!$F235*0.000001)^2/(4*'D(Ti_Audétat23) Times'!$C235)/(365.35*24*3600)</f>
        <v>10224.571083134961</v>
      </c>
      <c r="O235" s="2">
        <f>([412]L!P235*'D(Ti_Audétat23) Times'!$F235*0.000001)^2/(4*'D(Ti_Audétat23) Times'!$C235)/(365.35*24*3600)</f>
        <v>6678.7493707122158</v>
      </c>
      <c r="P235" s="2">
        <f>([412]L!Q235*'D(Ti_Audétat23) Times'!$F235*0.000001)^2/(4*'D(Ti_Audétat23) Times'!$C235)/(365.35*24*3600)</f>
        <v>15666.821722464287</v>
      </c>
      <c r="Q235" s="2">
        <f>([412]L!R235*'D(Ti_Audétat23) Times'!$F235*0.000001)^2/(4*'D(Ti_Audétat23) Times'!$C235)/(365.35*24*3600)</f>
        <v>23907.464154724006</v>
      </c>
      <c r="R235" s="2">
        <f>([412]L!S235*'D(Ti_Audétat23) Times'!$F235*0.000001)^2/(4*'D(Ti_Audétat23) Times'!$C235)/(365.35*24*3600)</f>
        <v>5133.9143116717751</v>
      </c>
      <c r="S235" s="2">
        <f>([412]L!T235*'D(Ti_Audétat23) Times'!$F235*0.000001)^2/(4*'D(Ti_Audétat23) Times'!$C235)/(365.35*24*3600)</f>
        <v>5612.3707551391108</v>
      </c>
      <c r="T235" s="2"/>
      <c r="U235" s="2">
        <f>([412]L!V235*'D(Ti_Audétat23) Times'!$F235*0.000001)^2/(4*'D(Ti_Audétat23) Times'!$C235)/(365.35*24*3600)</f>
        <v>8076.4963415995517</v>
      </c>
      <c r="V235" s="2">
        <f>([412]L!W235*'D(Ti_Audétat23) Times'!$F235*0.000001)^2/(4*'D(Ti_Audétat23) Times'!$C235)/(365.35*24*3600)</f>
        <v>8183.0583681028047</v>
      </c>
      <c r="W235" s="2">
        <f>([412]L!X235*'D(Ti_Audétat23) Times'!$F235*0.000001)^2/(4*'D(Ti_Audétat23) Times'!$C235)/(365.35*24*3600)</f>
        <v>6678.7493707122158</v>
      </c>
      <c r="X235" s="2"/>
      <c r="Y235" s="2">
        <f>([412]L!Z235*'D(Ti_Audétat23) Times'!$F235*0.000001)^2/(4*'D(Ti_Audétat23) Times'!$C235)/(365.35*24*3600)</f>
        <v>7991.5827267649875</v>
      </c>
      <c r="Z235" s="2">
        <f>([412]L!AB235*'D(Ti_Audétat23) Times'!$F235*0.000001)^2/(4*'D(Ti_Audétat23) Times'!$C235)/(365.35*24*3600)</f>
        <v>7815.9457384285788</v>
      </c>
      <c r="AA235" s="2">
        <f>([412]L!AC235*'D(Ti_Audétat23) Times'!$F235*0.000001)^2/(4*'D(Ti_Audétat23) Times'!$C235)/(365.35*24*3600)</f>
        <v>1134.3849142081742</v>
      </c>
      <c r="AB235" s="2">
        <f>([412]L!AD235*'D(Ti_Audétat23) Times'!$F235*0.000001)^2/(4*'D(Ti_Audétat23) Times'!$C235)/(365.35*24*3600)</f>
        <v>18179.806630368599</v>
      </c>
      <c r="AC235" s="2">
        <f t="shared" si="13"/>
        <v>6681.5608242204044</v>
      </c>
      <c r="AD235" s="2">
        <f t="shared" si="14"/>
        <v>10363.860891940021</v>
      </c>
    </row>
    <row r="236" spans="1:30" x14ac:dyDescent="0.2">
      <c r="A236" t="str">
        <f>[412]L!A236</f>
        <v>CGI011-qtz11-CL-fit-1-offset</v>
      </c>
      <c r="B236">
        <v>750</v>
      </c>
      <c r="C236">
        <f t="shared" si="15"/>
        <v>1.1456341375347871E-23</v>
      </c>
      <c r="D236">
        <v>1600</v>
      </c>
      <c r="E236">
        <v>1024</v>
      </c>
      <c r="F236">
        <f t="shared" si="12"/>
        <v>1.5625</v>
      </c>
      <c r="I236" s="2">
        <f>([412]L!J236*'D(Ti_Audétat23) Times'!$F236*0.000001)^2/(4*'D(Ti_Audétat23) Times'!$C236)/(365.35*24*3600)</f>
        <v>42603.26978635769</v>
      </c>
      <c r="J236" s="2">
        <f>([412]L!K236*'D(Ti_Audétat23) Times'!$F236*0.000001)^2/(4*'D(Ti_Audétat23) Times'!$C236)/(365.35*24*3600)</f>
        <v>54956.967815266151</v>
      </c>
      <c r="K236" s="2">
        <f>([412]L!L236*'D(Ti_Audétat23) Times'!$F236*0.000001)^2/(4*'D(Ti_Audétat23) Times'!$C236)/(365.35*24*3600)</f>
        <v>61538.914777071004</v>
      </c>
      <c r="L236" s="2">
        <f>([412]L!M236*'D(Ti_Audétat23) Times'!$F236*0.000001)^2/(4*'D(Ti_Audétat23) Times'!$C236)/(365.35*24*3600)</f>
        <v>97009.842659417278</v>
      </c>
      <c r="M236" s="2">
        <f>([412]L!N236*'D(Ti_Audétat23) Times'!$F236*0.000001)^2/(4*'D(Ti_Audétat23) Times'!$C236)/(365.35*24*3600)</f>
        <v>104938.05986113958</v>
      </c>
      <c r="N236" s="2">
        <f>([412]L!O236*'D(Ti_Audétat23) Times'!$F236*0.000001)^2/(4*'D(Ti_Audétat23) Times'!$C236)/(365.35*24*3600)</f>
        <v>98068.927971893703</v>
      </c>
      <c r="O236" s="2">
        <f>([412]L!P236*'D(Ti_Audétat23) Times'!$F236*0.000001)^2/(4*'D(Ti_Audétat23) Times'!$C236)/(365.35*24*3600)</f>
        <v>135515.2611407497</v>
      </c>
      <c r="P236" s="2">
        <f>([412]L!Q236*'D(Ti_Audétat23) Times'!$F236*0.000001)^2/(4*'D(Ti_Audétat23) Times'!$C236)/(365.35*24*3600)</f>
        <v>131114.45458864642</v>
      </c>
      <c r="Q236" s="2">
        <f>([412]L!R236*'D(Ti_Audétat23) Times'!$F236*0.000001)^2/(4*'D(Ti_Audétat23) Times'!$C236)/(365.35*24*3600)</f>
        <v>134992.08211080046</v>
      </c>
      <c r="R236" s="2">
        <f>([412]L!S236*'D(Ti_Audétat23) Times'!$F236*0.000001)^2/(4*'D(Ti_Audétat23) Times'!$C236)/(365.35*24*3600)</f>
        <v>154554.45300654398</v>
      </c>
      <c r="S236" s="2">
        <f>([412]L!T236*'D(Ti_Audétat23) Times'!$F236*0.000001)^2/(4*'D(Ti_Audétat23) Times'!$C236)/(365.35*24*3600)</f>
        <v>103805.53222062311</v>
      </c>
      <c r="T236" s="2"/>
      <c r="U236" s="2">
        <f>([412]L!V236*'D(Ti_Audétat23) Times'!$F236*0.000001)^2/(4*'D(Ti_Audétat23) Times'!$C236)/(365.35*24*3600)</f>
        <v>93812.095381686871</v>
      </c>
      <c r="V236" s="2">
        <f>([412]L!W236*'D(Ti_Audétat23) Times'!$F236*0.000001)^2/(4*'D(Ti_Audétat23) Times'!$C236)/(365.35*24*3600)</f>
        <v>98392.109999899461</v>
      </c>
      <c r="W236" s="2">
        <f>([412]L!X236*'D(Ti_Audétat23) Times'!$F236*0.000001)^2/(4*'D(Ti_Audétat23) Times'!$C236)/(365.35*24*3600)</f>
        <v>103805.53222062311</v>
      </c>
      <c r="X236" s="2"/>
      <c r="Y236" s="2">
        <f>([412]L!Z236*'D(Ti_Audétat23) Times'!$F236*0.000001)^2/(4*'D(Ti_Audétat23) Times'!$C236)/(365.35*24*3600)</f>
        <v>92718.123228756143</v>
      </c>
      <c r="Z236" s="2">
        <f>([412]L!AB236*'D(Ti_Audétat23) Times'!$F236*0.000001)^2/(4*'D(Ti_Audétat23) Times'!$C236)/(365.35*24*3600)</f>
        <v>93331.747604447562</v>
      </c>
      <c r="AA236" s="2">
        <f>([412]L!AC236*'D(Ti_Audétat23) Times'!$F236*0.000001)^2/(4*'D(Ti_Audétat23) Times'!$C236)/(365.35*24*3600)</f>
        <v>58827.973854658027</v>
      </c>
      <c r="AB236" s="2">
        <f>([412]L!AD236*'D(Ti_Audétat23) Times'!$F236*0.000001)^2/(4*'D(Ti_Audétat23) Times'!$C236)/(365.35*24*3600)</f>
        <v>136406.58164458509</v>
      </c>
      <c r="AC236" s="2">
        <f t="shared" si="13"/>
        <v>34503.773749789536</v>
      </c>
      <c r="AD236" s="2">
        <f t="shared" si="14"/>
        <v>43074.834040137532</v>
      </c>
    </row>
    <row r="237" spans="1:30" x14ac:dyDescent="0.2">
      <c r="A237" t="str">
        <f>[412]L!A237</f>
        <v>CGI011-qtz11-CL-fit-2-offset</v>
      </c>
      <c r="B237">
        <v>750</v>
      </c>
      <c r="C237">
        <f t="shared" si="15"/>
        <v>1.1456341375347871E-23</v>
      </c>
      <c r="D237">
        <v>1600</v>
      </c>
      <c r="E237">
        <v>1024</v>
      </c>
      <c r="F237">
        <f t="shared" si="12"/>
        <v>1.5625</v>
      </c>
      <c r="I237" s="2">
        <f>([412]L!J237*'D(Ti_Audétat23) Times'!$F237*0.000001)^2/(4*'D(Ti_Audétat23) Times'!$C237)/(365.35*24*3600)</f>
        <v>76164.638177384608</v>
      </c>
      <c r="J237" s="2">
        <f>([412]L!K237*'D(Ti_Audétat23) Times'!$F237*0.000001)^2/(4*'D(Ti_Audétat23) Times'!$C237)/(365.35*24*3600)</f>
        <v>41887.720366257076</v>
      </c>
      <c r="K237" s="2">
        <f>([412]L!L237*'D(Ti_Audétat23) Times'!$F237*0.000001)^2/(4*'D(Ti_Audétat23) Times'!$C237)/(365.35*24*3600)</f>
        <v>48612.127959255471</v>
      </c>
      <c r="L237" s="2">
        <f>([412]L!M237*'D(Ti_Audétat23) Times'!$F237*0.000001)^2/(4*'D(Ti_Audétat23) Times'!$C237)/(365.35*24*3600)</f>
        <v>56675.791033990579</v>
      </c>
      <c r="M237" s="2">
        <f>([412]L!N237*'D(Ti_Audétat23) Times'!$F237*0.000001)^2/(4*'D(Ti_Audétat23) Times'!$C237)/(365.35*24*3600)</f>
        <v>56359.733697659743</v>
      </c>
      <c r="N237" s="2">
        <f>([412]L!O237*'D(Ti_Audétat23) Times'!$F237*0.000001)^2/(4*'D(Ti_Audétat23) Times'!$C237)/(365.35*24*3600)</f>
        <v>47757.192992716904</v>
      </c>
      <c r="O237" s="2">
        <f>([412]L!P237*'D(Ti_Audétat23) Times'!$F237*0.000001)^2/(4*'D(Ti_Audétat23) Times'!$C237)/(365.35*24*3600)</f>
        <v>48861.093808752907</v>
      </c>
      <c r="P237" s="2">
        <f>([412]L!Q237*'D(Ti_Audétat23) Times'!$F237*0.000001)^2/(4*'D(Ti_Audétat23) Times'!$C237)/(365.35*24*3600)</f>
        <v>36696.694046742494</v>
      </c>
      <c r="Q237" s="2">
        <f>([412]L!R237*'D(Ti_Audétat23) Times'!$F237*0.000001)^2/(4*'D(Ti_Audétat23) Times'!$C237)/(365.35*24*3600)</f>
        <v>50678.646126762615</v>
      </c>
      <c r="R237" s="2">
        <f>([412]L!S237*'D(Ti_Audétat23) Times'!$F237*0.000001)^2/(4*'D(Ti_Audétat23) Times'!$C237)/(365.35*24*3600)</f>
        <v>45561.130995221749</v>
      </c>
      <c r="S237" s="2">
        <f>([412]L!T237*'D(Ti_Audétat23) Times'!$F237*0.000001)^2/(4*'D(Ti_Audétat23) Times'!$C237)/(365.35*24*3600)</f>
        <v>53524.31177628327</v>
      </c>
      <c r="T237" s="2"/>
      <c r="U237" s="2">
        <f>([412]L!V237*'D(Ti_Audétat23) Times'!$F237*0.000001)^2/(4*'D(Ti_Audétat23) Times'!$C237)/(365.35*24*3600)</f>
        <v>50715.179048553822</v>
      </c>
      <c r="V237" s="2">
        <f>([412]L!W237*'D(Ti_Audétat23) Times'!$F237*0.000001)^2/(4*'D(Ti_Audétat23) Times'!$C237)/(365.35*24*3600)</f>
        <v>50733.922576578589</v>
      </c>
      <c r="W237" s="2">
        <f>([412]L!X237*'D(Ti_Audétat23) Times'!$F237*0.000001)^2/(4*'D(Ti_Audétat23) Times'!$C237)/(365.35*24*3600)</f>
        <v>48861.093808752907</v>
      </c>
      <c r="X237" s="2"/>
      <c r="Y237" s="2">
        <f>([412]L!Z237*'D(Ti_Audétat23) Times'!$F237*0.000001)^2/(4*'D(Ti_Audétat23) Times'!$C237)/(365.35*24*3600)</f>
        <v>51659.045395854657</v>
      </c>
      <c r="Z237" s="2">
        <f>([412]L!AB237*'D(Ti_Audétat23) Times'!$F237*0.000001)^2/(4*'D(Ti_Audétat23) Times'!$C237)/(365.35*24*3600)</f>
        <v>51358.330959141582</v>
      </c>
      <c r="AA237" s="2">
        <f>([412]L!AC237*'D(Ti_Audétat23) Times'!$F237*0.000001)^2/(4*'D(Ti_Audétat23) Times'!$C237)/(365.35*24*3600)</f>
        <v>36285.566879017279</v>
      </c>
      <c r="AB237" s="2">
        <f>([412]L!AD237*'D(Ti_Audétat23) Times'!$F237*0.000001)^2/(4*'D(Ti_Audétat23) Times'!$C237)/(365.35*24*3600)</f>
        <v>69666.364775336828</v>
      </c>
      <c r="AC237" s="2">
        <f t="shared" si="13"/>
        <v>15072.764080124303</v>
      </c>
      <c r="AD237" s="2">
        <f t="shared" si="14"/>
        <v>18308.033816195246</v>
      </c>
    </row>
    <row r="238" spans="1:30" x14ac:dyDescent="0.2">
      <c r="A238" t="str">
        <f>[412]L!A238</f>
        <v>CGI011-qtz11-CL-fit-3-offset</v>
      </c>
      <c r="B238">
        <v>750</v>
      </c>
      <c r="C238">
        <f t="shared" si="15"/>
        <v>1.1456341375347871E-23</v>
      </c>
      <c r="D238">
        <v>1600</v>
      </c>
      <c r="E238">
        <v>1024</v>
      </c>
      <c r="F238">
        <f t="shared" si="12"/>
        <v>1.5625</v>
      </c>
      <c r="I238" s="2">
        <f>([412]L!J238*'D(Ti_Audétat23) Times'!$F238*0.000001)^2/(4*'D(Ti_Audétat23) Times'!$C238)/(365.35*24*3600)</f>
        <v>41274.246505430019</v>
      </c>
      <c r="J238" s="2">
        <f>([412]L!K238*'D(Ti_Audétat23) Times'!$F238*0.000001)^2/(4*'D(Ti_Audétat23) Times'!$C238)/(365.35*24*3600)</f>
        <v>27174.056349347637</v>
      </c>
      <c r="K238" s="2">
        <f>([412]L!L238*'D(Ti_Audétat23) Times'!$F238*0.000001)^2/(4*'D(Ti_Audétat23) Times'!$C238)/(365.35*24*3600)</f>
        <v>33419.75057512708</v>
      </c>
      <c r="L238" s="2">
        <f>([412]L!M238*'D(Ti_Audétat23) Times'!$F238*0.000001)^2/(4*'D(Ti_Audétat23) Times'!$C238)/(365.35*24*3600)</f>
        <v>25318.06981306594</v>
      </c>
      <c r="M238" s="2">
        <f>([412]L!N238*'D(Ti_Audétat23) Times'!$F238*0.000001)^2/(4*'D(Ti_Audétat23) Times'!$C238)/(365.35*24*3600)</f>
        <v>29703.302431003605</v>
      </c>
      <c r="N238" s="2">
        <f>([412]L!O238*'D(Ti_Audétat23) Times'!$F238*0.000001)^2/(4*'D(Ti_Audétat23) Times'!$C238)/(365.35*24*3600)</f>
        <v>31970.142592303044</v>
      </c>
      <c r="O238" s="2">
        <f>([412]L!P238*'D(Ti_Audétat23) Times'!$F238*0.000001)^2/(4*'D(Ti_Audétat23) Times'!$C238)/(365.35*24*3600)</f>
        <v>35182.132219297149</v>
      </c>
      <c r="P238" s="2">
        <f>([412]L!Q238*'D(Ti_Audétat23) Times'!$F238*0.000001)^2/(4*'D(Ti_Audétat23) Times'!$C238)/(365.35*24*3600)</f>
        <v>34042.306824122963</v>
      </c>
      <c r="Q238" s="2">
        <f>([412]L!R238*'D(Ti_Audétat23) Times'!$F238*0.000001)^2/(4*'D(Ti_Audétat23) Times'!$C238)/(365.35*24*3600)</f>
        <v>17931.462860560085</v>
      </c>
      <c r="R238" s="2">
        <f>([412]L!S238*'D(Ti_Audétat23) Times'!$F238*0.000001)^2/(4*'D(Ti_Audétat23) Times'!$C238)/(365.35*24*3600)</f>
        <v>27256.878170640022</v>
      </c>
      <c r="S238" s="2">
        <f>([412]L!T238*'D(Ti_Audétat23) Times'!$F238*0.000001)^2/(4*'D(Ti_Audétat23) Times'!$C238)/(365.35*24*3600)</f>
        <v>23434.227262404198</v>
      </c>
      <c r="T238" s="2"/>
      <c r="U238" s="2">
        <f>([412]L!V238*'D(Ti_Audétat23) Times'!$F238*0.000001)^2/(4*'D(Ti_Audétat23) Times'!$C238)/(365.35*24*3600)</f>
        <v>30417.890742110892</v>
      </c>
      <c r="V238" s="2">
        <f>([412]L!W238*'D(Ti_Audétat23) Times'!$F238*0.000001)^2/(4*'D(Ti_Audétat23) Times'!$C238)/(365.35*24*3600)</f>
        <v>29373.093382239196</v>
      </c>
      <c r="W238" s="2">
        <f>([412]L!X238*'D(Ti_Audétat23) Times'!$F238*0.000001)^2/(4*'D(Ti_Audétat23) Times'!$C238)/(365.35*24*3600)</f>
        <v>29703.302431003605</v>
      </c>
      <c r="X238" s="2"/>
      <c r="Y238" s="2">
        <f>([412]L!Z238*'D(Ti_Audétat23) Times'!$F238*0.000001)^2/(4*'D(Ti_Audétat23) Times'!$C238)/(365.35*24*3600)</f>
        <v>30828.782295695117</v>
      </c>
      <c r="Z238" s="2">
        <f>([412]L!AB238*'D(Ti_Audétat23) Times'!$F238*0.000001)^2/(4*'D(Ti_Audétat23) Times'!$C238)/(365.35*24*3600)</f>
        <v>30529.965349527323</v>
      </c>
      <c r="AA238" s="2">
        <f>([412]L!AC238*'D(Ti_Audétat23) Times'!$F238*0.000001)^2/(4*'D(Ti_Audétat23) Times'!$C238)/(365.35*24*3600)</f>
        <v>16276.109863886713</v>
      </c>
      <c r="AB238" s="2">
        <f>([412]L!AD238*'D(Ti_Audétat23) Times'!$F238*0.000001)^2/(4*'D(Ti_Audétat23) Times'!$C238)/(365.35*24*3600)</f>
        <v>49772.81615742547</v>
      </c>
      <c r="AC238" s="2">
        <f t="shared" si="13"/>
        <v>14253.85548564061</v>
      </c>
      <c r="AD238" s="2">
        <f t="shared" si="14"/>
        <v>19242.850807898147</v>
      </c>
    </row>
    <row r="239" spans="1:30" x14ac:dyDescent="0.2">
      <c r="A239" t="str">
        <f>[412]L!A239</f>
        <v>CGI011-qtz11-CL-fit-4-offset</v>
      </c>
      <c r="B239">
        <v>750</v>
      </c>
      <c r="C239">
        <f t="shared" si="15"/>
        <v>1.1456341375347871E-23</v>
      </c>
      <c r="D239">
        <v>1600</v>
      </c>
      <c r="E239">
        <v>1024</v>
      </c>
      <c r="F239">
        <f t="shared" si="12"/>
        <v>1.5625</v>
      </c>
      <c r="I239" s="2">
        <f>([412]L!J239*'D(Ti_Audétat23) Times'!$F239*0.000001)^2/(4*'D(Ti_Audétat23) Times'!$C239)/(365.35*24*3600)</f>
        <v>14575.292713094086</v>
      </c>
      <c r="J239" s="2">
        <f>([412]L!K239*'D(Ti_Audétat23) Times'!$F239*0.000001)^2/(4*'D(Ti_Audétat23) Times'!$C239)/(365.35*24*3600)</f>
        <v>12080.009599691499</v>
      </c>
      <c r="K239" s="2">
        <f>([412]L!L239*'D(Ti_Audétat23) Times'!$F239*0.000001)^2/(4*'D(Ti_Audétat23) Times'!$C239)/(365.35*24*3600)</f>
        <v>10753.183475120995</v>
      </c>
      <c r="L239" s="2">
        <f>([412]L!M239*'D(Ti_Audétat23) Times'!$F239*0.000001)^2/(4*'D(Ti_Audétat23) Times'!$C239)/(365.35*24*3600)</f>
        <v>11663.978299172606</v>
      </c>
      <c r="M239" s="2">
        <f>([412]L!N239*'D(Ti_Audétat23) Times'!$F239*0.000001)^2/(4*'D(Ti_Audétat23) Times'!$C239)/(365.35*24*3600)</f>
        <v>1596.0209366025663</v>
      </c>
      <c r="N239" s="2">
        <f>([412]L!O239*'D(Ti_Audétat23) Times'!$F239*0.000001)^2/(4*'D(Ti_Audétat23) Times'!$C239)/(365.35*24*3600)</f>
        <v>637.40441012722169</v>
      </c>
      <c r="O239" s="2">
        <f>([412]L!P239*'D(Ti_Audétat23) Times'!$F239*0.000001)^2/(4*'D(Ti_Audétat23) Times'!$C239)/(365.35*24*3600)</f>
        <v>2878.0294332264771</v>
      </c>
      <c r="P239" s="2">
        <f>([412]L!Q239*'D(Ti_Audétat23) Times'!$F239*0.000001)^2/(4*'D(Ti_Audétat23) Times'!$C239)/(365.35*24*3600)</f>
        <v>5797.3824926184989</v>
      </c>
      <c r="Q239" s="2">
        <f>([412]L!R239*'D(Ti_Audétat23) Times'!$F239*0.000001)^2/(4*'D(Ti_Audétat23) Times'!$C239)/(365.35*24*3600)</f>
        <v>9758.406670293487</v>
      </c>
      <c r="R239" s="2">
        <f>([412]L!S239*'D(Ti_Audétat23) Times'!$F239*0.000001)^2/(4*'D(Ti_Audétat23) Times'!$C239)/(365.35*24*3600)</f>
        <v>8268.4383391302672</v>
      </c>
      <c r="S239" s="2">
        <f>([412]L!T239*'D(Ti_Audétat23) Times'!$F239*0.000001)^2/(4*'D(Ti_Audétat23) Times'!$C239)/(365.35*24*3600)</f>
        <v>8192.2005239726259</v>
      </c>
      <c r="T239" s="2"/>
      <c r="U239" s="2">
        <f>([412]L!V239*'D(Ti_Audétat23) Times'!$F239*0.000001)^2/(4*'D(Ti_Audétat23) Times'!$C239)/(365.35*24*3600)</f>
        <v>7306.3706982000776</v>
      </c>
      <c r="V239" s="2">
        <f>([412]L!W239*'D(Ti_Audétat23) Times'!$F239*0.000001)^2/(4*'D(Ti_Audétat23) Times'!$C239)/(365.35*24*3600)</f>
        <v>6957.774394829501</v>
      </c>
      <c r="W239" s="2">
        <f>([412]L!X239*'D(Ti_Audétat23) Times'!$F239*0.000001)^2/(4*'D(Ti_Audétat23) Times'!$C239)/(365.35*24*3600)</f>
        <v>8268.4383391302672</v>
      </c>
      <c r="X239" s="2"/>
      <c r="Y239" s="2">
        <f>([412]L!Z239*'D(Ti_Audétat23) Times'!$F239*0.000001)^2/(4*'D(Ti_Audétat23) Times'!$C239)/(365.35*24*3600)</f>
        <v>6255.1428694998158</v>
      </c>
      <c r="Z239" s="2">
        <f>([412]L!AB239*'D(Ti_Audétat23) Times'!$F239*0.000001)^2/(4*'D(Ti_Audétat23) Times'!$C239)/(365.35*24*3600)</f>
        <v>5865.5464472691156</v>
      </c>
      <c r="AA239" s="2">
        <f>([412]L!AC239*'D(Ti_Audétat23) Times'!$F239*0.000001)^2/(4*'D(Ti_Audétat23) Times'!$C239)/(365.35*24*3600)</f>
        <v>662.79884813118736</v>
      </c>
      <c r="AB239" s="2">
        <f>([412]L!AD239*'D(Ti_Audétat23) Times'!$F239*0.000001)^2/(4*'D(Ti_Audétat23) Times'!$C239)/(365.35*24*3600)</f>
        <v>14626.105808724833</v>
      </c>
      <c r="AC239" s="2">
        <f t="shared" si="13"/>
        <v>5202.7475991379279</v>
      </c>
      <c r="AD239" s="2">
        <f t="shared" si="14"/>
        <v>8760.5593614557183</v>
      </c>
    </row>
    <row r="240" spans="1:30" x14ac:dyDescent="0.2">
      <c r="A240" t="str">
        <f>[412]L!A240</f>
        <v>CGI011-qtz12-CL-fit-1-offset</v>
      </c>
      <c r="B240">
        <v>750</v>
      </c>
      <c r="C240">
        <f t="shared" si="15"/>
        <v>1.1456341375347871E-23</v>
      </c>
      <c r="D240">
        <v>1550</v>
      </c>
      <c r="E240">
        <v>1024</v>
      </c>
      <c r="F240">
        <f t="shared" si="12"/>
        <v>1.513671875</v>
      </c>
      <c r="I240" s="2">
        <f>([412]L!J240*'D(Ti_Audétat23) Times'!$F240*0.000001)^2/(4*'D(Ti_Audétat23) Times'!$C240)/(365.35*24*3600)</f>
        <v>54977.865574867996</v>
      </c>
      <c r="J240" s="2">
        <f>([412]L!K240*'D(Ti_Audétat23) Times'!$F240*0.000001)^2/(4*'D(Ti_Audétat23) Times'!$C240)/(365.35*24*3600)</f>
        <v>28004.565014082673</v>
      </c>
      <c r="K240" s="2">
        <f>([412]L!L240*'D(Ti_Audétat23) Times'!$F240*0.000001)^2/(4*'D(Ti_Audétat23) Times'!$C240)/(365.35*24*3600)</f>
        <v>31278.877330018153</v>
      </c>
      <c r="L240" s="2">
        <f>([412]L!M240*'D(Ti_Audétat23) Times'!$F240*0.000001)^2/(4*'D(Ti_Audétat23) Times'!$C240)/(365.35*24*3600)</f>
        <v>26688.321693565467</v>
      </c>
      <c r="M240" s="2">
        <f>([412]L!N240*'D(Ti_Audétat23) Times'!$F240*0.000001)^2/(4*'D(Ti_Audétat23) Times'!$C240)/(365.35*24*3600)</f>
        <v>31880.851382018667</v>
      </c>
      <c r="N240" s="2">
        <f>([412]L!O240*'D(Ti_Audétat23) Times'!$F240*0.000001)^2/(4*'D(Ti_Audétat23) Times'!$C240)/(365.35*24*3600)</f>
        <v>25274.441976782746</v>
      </c>
      <c r="O240" s="2">
        <f>([412]L!P240*'D(Ti_Audétat23) Times'!$F240*0.000001)^2/(4*'D(Ti_Audétat23) Times'!$C240)/(365.35*24*3600)</f>
        <v>36937.130522308522</v>
      </c>
      <c r="P240" s="2">
        <f>([412]L!Q240*'D(Ti_Audétat23) Times'!$F240*0.000001)^2/(4*'D(Ti_Audétat23) Times'!$C240)/(365.35*24*3600)</f>
        <v>27324.529732586307</v>
      </c>
      <c r="Q240" s="2">
        <f>([412]L!R240*'D(Ti_Audétat23) Times'!$F240*0.000001)^2/(4*'D(Ti_Audétat23) Times'!$C240)/(365.35*24*3600)</f>
        <v>99132.555997655902</v>
      </c>
      <c r="R240" s="2">
        <f>([412]L!S240*'D(Ti_Audétat23) Times'!$F240*0.000001)^2/(4*'D(Ti_Audétat23) Times'!$C240)/(365.35*24*3600)</f>
        <v>64586.439234199686</v>
      </c>
      <c r="S240" s="2">
        <f>([412]L!T240*'D(Ti_Audétat23) Times'!$F240*0.000001)^2/(4*'D(Ti_Audétat23) Times'!$C240)/(365.35*24*3600)</f>
        <v>54307.467680425143</v>
      </c>
      <c r="T240" s="2"/>
      <c r="U240" s="2">
        <f>([412]L!V240*'D(Ti_Audétat23) Times'!$F240*0.000001)^2/(4*'D(Ti_Audétat23) Times'!$C240)/(365.35*24*3600)</f>
        <v>39531.870554137189</v>
      </c>
      <c r="V240" s="2">
        <f>([412]L!W240*'D(Ti_Audétat23) Times'!$F240*0.000001)^2/(4*'D(Ti_Audétat23) Times'!$C240)/(365.35*24*3600)</f>
        <v>41434.37267180952</v>
      </c>
      <c r="W240" s="2">
        <f>([412]L!X240*'D(Ti_Audétat23) Times'!$F240*0.000001)^2/(4*'D(Ti_Audétat23) Times'!$C240)/(365.35*24*3600)</f>
        <v>31880.851382018667</v>
      </c>
      <c r="X240" s="2"/>
      <c r="Y240" s="2">
        <f>([412]L!Z240*'D(Ti_Audétat23) Times'!$F240*0.000001)^2/(4*'D(Ti_Audétat23) Times'!$C240)/(365.35*24*3600)</f>
        <v>38079.774937959533</v>
      </c>
      <c r="Z240" s="2">
        <f>([412]L!AB240*'D(Ti_Audétat23) Times'!$F240*0.000001)^2/(4*'D(Ti_Audétat23) Times'!$C240)/(365.35*24*3600)</f>
        <v>40502.539956723631</v>
      </c>
      <c r="AA240" s="2">
        <f>([412]L!AC240*'D(Ti_Audétat23) Times'!$F240*0.000001)^2/(4*'D(Ti_Audétat23) Times'!$C240)/(365.35*24*3600)</f>
        <v>14775.166541081791</v>
      </c>
      <c r="AB240" s="2">
        <f>([412]L!AD240*'D(Ti_Audétat23) Times'!$F240*0.000001)^2/(4*'D(Ti_Audétat23) Times'!$C240)/(365.35*24*3600)</f>
        <v>76857.507234738034</v>
      </c>
      <c r="AC240" s="2">
        <f t="shared" si="13"/>
        <v>25727.37341564184</v>
      </c>
      <c r="AD240" s="2">
        <f t="shared" si="14"/>
        <v>36354.967278014403</v>
      </c>
    </row>
    <row r="241" spans="1:30" x14ac:dyDescent="0.2">
      <c r="A241" t="str">
        <f>[412]L!A241</f>
        <v>CGI011-qtz12-CL-fit-2-offset</v>
      </c>
      <c r="B241">
        <v>750</v>
      </c>
      <c r="C241">
        <f t="shared" si="15"/>
        <v>1.1456341375347871E-23</v>
      </c>
      <c r="D241">
        <v>1550</v>
      </c>
      <c r="E241">
        <v>1024</v>
      </c>
      <c r="F241">
        <f t="shared" si="12"/>
        <v>1.513671875</v>
      </c>
      <c r="I241" s="2">
        <f>([412]L!J241*'D(Ti_Audétat23) Times'!$F241*0.000001)^2/(4*'D(Ti_Audétat23) Times'!$C241)/(365.35*24*3600)</f>
        <v>55544.293991861625</v>
      </c>
      <c r="J241" s="2">
        <f>([412]L!K241*'D(Ti_Audétat23) Times'!$F241*0.000001)^2/(4*'D(Ti_Audétat23) Times'!$C241)/(365.35*24*3600)</f>
        <v>41322.252474873581</v>
      </c>
      <c r="K241" s="2">
        <f>([412]L!L241*'D(Ti_Audétat23) Times'!$F241*0.000001)^2/(4*'D(Ti_Audétat23) Times'!$C241)/(365.35*24*3600)</f>
        <v>69557.300044270596</v>
      </c>
      <c r="L241" s="2">
        <f>([412]L!M241*'D(Ti_Audétat23) Times'!$F241*0.000001)^2/(4*'D(Ti_Audétat23) Times'!$C241)/(365.35*24*3600)</f>
        <v>37362.562062543162</v>
      </c>
      <c r="M241" s="2">
        <f>([412]L!N241*'D(Ti_Audétat23) Times'!$F241*0.000001)^2/(4*'D(Ti_Audétat23) Times'!$C241)/(365.35*24*3600)</f>
        <v>60665.772199576575</v>
      </c>
      <c r="N241" s="2">
        <f>([412]L!O241*'D(Ti_Audétat23) Times'!$F241*0.000001)^2/(4*'D(Ti_Audétat23) Times'!$C241)/(365.35*24*3600)</f>
        <v>54266.594782950153</v>
      </c>
      <c r="O241" s="2">
        <f>([412]L!P241*'D(Ti_Audétat23) Times'!$F241*0.000001)^2/(4*'D(Ti_Audétat23) Times'!$C241)/(365.35*24*3600)</f>
        <v>56416.563316995409</v>
      </c>
      <c r="P241" s="2">
        <f>([412]L!Q241*'D(Ti_Audétat23) Times'!$F241*0.000001)^2/(4*'D(Ti_Audétat23) Times'!$C241)/(365.35*24*3600)</f>
        <v>73820.231969105836</v>
      </c>
      <c r="Q241" s="2">
        <f>([412]L!R241*'D(Ti_Audétat23) Times'!$F241*0.000001)^2/(4*'D(Ti_Audétat23) Times'!$C241)/(365.35*24*3600)</f>
        <v>35204.326313907084</v>
      </c>
      <c r="R241" s="2">
        <f>([412]L!S241*'D(Ti_Audétat23) Times'!$F241*0.000001)^2/(4*'D(Ti_Audétat23) Times'!$C241)/(365.35*24*3600)</f>
        <v>56673.097475887123</v>
      </c>
      <c r="S241" s="2">
        <f>([412]L!T241*'D(Ti_Audétat23) Times'!$F241*0.000001)^2/(4*'D(Ti_Audétat23) Times'!$C241)/(365.35*24*3600)</f>
        <v>32979.661610409297</v>
      </c>
      <c r="T241" s="2"/>
      <c r="U241" s="2">
        <f>([412]L!V241*'D(Ti_Audétat23) Times'!$F241*0.000001)^2/(4*'D(Ti_Audétat23) Times'!$C241)/(365.35*24*3600)</f>
        <v>50171.602285302164</v>
      </c>
      <c r="V241" s="2">
        <f>([412]L!W241*'D(Ti_Audétat23) Times'!$F241*0.000001)^2/(4*'D(Ti_Audétat23) Times'!$C241)/(365.35*24*3600)</f>
        <v>51312.844159614877</v>
      </c>
      <c r="W241" s="2">
        <f>([412]L!X241*'D(Ti_Audétat23) Times'!$F241*0.000001)^2/(4*'D(Ti_Audétat23) Times'!$C241)/(365.35*24*3600)</f>
        <v>55544.293991861625</v>
      </c>
      <c r="X241" s="2"/>
      <c r="Y241" s="2">
        <f>([412]L!Z241*'D(Ti_Audétat23) Times'!$F241*0.000001)^2/(4*'D(Ti_Audétat23) Times'!$C241)/(365.35*24*3600)</f>
        <v>49242.251926624893</v>
      </c>
      <c r="Z241" s="2">
        <f>([412]L!AB241*'D(Ti_Audétat23) Times'!$F241*0.000001)^2/(4*'D(Ti_Audétat23) Times'!$C241)/(365.35*24*3600)</f>
        <v>49571.97093152946</v>
      </c>
      <c r="AA241" s="2">
        <f>([412]L!AC241*'D(Ti_Audétat23) Times'!$F241*0.000001)^2/(4*'D(Ti_Audétat23) Times'!$C241)/(365.35*24*3600)</f>
        <v>31328.865321401121</v>
      </c>
      <c r="AB241" s="2">
        <f>([412]L!AD241*'D(Ti_Audétat23) Times'!$F241*0.000001)^2/(4*'D(Ti_Audétat23) Times'!$C241)/(365.35*24*3600)</f>
        <v>83195.963629158359</v>
      </c>
      <c r="AC241" s="2">
        <f t="shared" si="13"/>
        <v>18243.105610128339</v>
      </c>
      <c r="AD241" s="2">
        <f t="shared" si="14"/>
        <v>33623.992697628899</v>
      </c>
    </row>
    <row r="242" spans="1:30" x14ac:dyDescent="0.2">
      <c r="A242" t="str">
        <f>[412]L!A242</f>
        <v>CGI011-qtz12-CL-fit-3-offset</v>
      </c>
      <c r="B242">
        <v>750</v>
      </c>
      <c r="C242">
        <f t="shared" si="15"/>
        <v>1.1456341375347871E-23</v>
      </c>
      <c r="D242">
        <v>1550</v>
      </c>
      <c r="E242">
        <v>1024</v>
      </c>
      <c r="F242">
        <f t="shared" si="12"/>
        <v>1.513671875</v>
      </c>
      <c r="I242" s="2">
        <f>([412]L!J242*'D(Ti_Audétat23) Times'!$F242*0.000001)^2/(4*'D(Ti_Audétat23) Times'!$C242)/(365.35*24*3600)</f>
        <v>0</v>
      </c>
      <c r="J242" s="2">
        <f>([412]L!K242*'D(Ti_Audétat23) Times'!$F242*0.000001)^2/(4*'D(Ti_Audétat23) Times'!$C242)/(365.35*24*3600)</f>
        <v>44285.184286577351</v>
      </c>
      <c r="K242" s="2">
        <f>([412]L!L242*'D(Ti_Audétat23) Times'!$F242*0.000001)^2/(4*'D(Ti_Audétat23) Times'!$C242)/(365.35*24*3600)</f>
        <v>55445.597661734646</v>
      </c>
      <c r="L242" s="2">
        <f>([412]L!M242*'D(Ti_Audétat23) Times'!$F242*0.000001)^2/(4*'D(Ti_Audétat23) Times'!$C242)/(365.35*24*3600)</f>
        <v>20675.681257031072</v>
      </c>
      <c r="M242" s="2">
        <f>([412]L!N242*'D(Ti_Audétat23) Times'!$F242*0.000001)^2/(4*'D(Ti_Audétat23) Times'!$C242)/(365.35*24*3600)</f>
        <v>30455.050182227726</v>
      </c>
      <c r="N242" s="2">
        <f>([412]L!O242*'D(Ti_Audétat23) Times'!$F242*0.000001)^2/(4*'D(Ti_Audétat23) Times'!$C242)/(365.35*24*3600)</f>
        <v>33052.65975741014</v>
      </c>
      <c r="O242" s="2">
        <f>([412]L!P242*'D(Ti_Audétat23) Times'!$F242*0.000001)^2/(4*'D(Ti_Audétat23) Times'!$C242)/(365.35*24*3600)</f>
        <v>25397.74153307304</v>
      </c>
      <c r="P242" s="2">
        <f>([412]L!Q242*'D(Ti_Audétat23) Times'!$F242*0.000001)^2/(4*'D(Ti_Audétat23) Times'!$C242)/(365.35*24*3600)</f>
        <v>39698.310991894592</v>
      </c>
      <c r="Q242" s="2">
        <f>([412]L!R242*'D(Ti_Audétat23) Times'!$F242*0.000001)^2/(4*'D(Ti_Audétat23) Times'!$C242)/(365.35*24*3600)</f>
        <v>30558.969059326737</v>
      </c>
      <c r="R242" s="2">
        <f>([412]L!S242*'D(Ti_Audétat23) Times'!$F242*0.000001)^2/(4*'D(Ti_Audétat23) Times'!$C242)/(365.35*24*3600)</f>
        <v>54859.089193543448</v>
      </c>
      <c r="S242" s="2">
        <f>([412]L!T242*'D(Ti_Audétat23) Times'!$F242*0.000001)^2/(4*'D(Ti_Audétat23) Times'!$C242)/(365.35*24*3600)</f>
        <v>33456.33489437338</v>
      </c>
      <c r="T242" s="2"/>
      <c r="U242" s="2">
        <f>([412]L!V242*'D(Ti_Audétat23) Times'!$F242*0.000001)^2/(4*'D(Ti_Audétat23) Times'!$C242)/(365.35*24*3600)</f>
        <v>38242.205869652811</v>
      </c>
      <c r="V242" s="2">
        <f>([412]L!W242*'D(Ti_Audétat23) Times'!$F242*0.000001)^2/(4*'D(Ti_Audétat23) Times'!$C242)/(365.35*24*3600)</f>
        <v>35969.799901737824</v>
      </c>
      <c r="W242" s="2">
        <f>([412]L!X242*'D(Ti_Audétat23) Times'!$F242*0.000001)^2/(4*'D(Ti_Audétat23) Times'!$C242)/(365.35*24*3600)</f>
        <v>33254.191060705685</v>
      </c>
      <c r="X242" s="2"/>
      <c r="Y242" s="2">
        <f>([412]L!Z242*'D(Ti_Audétat23) Times'!$F242*0.000001)^2/(4*'D(Ti_Audétat23) Times'!$C242)/(365.35*24*3600)</f>
        <v>36522.118155528529</v>
      </c>
      <c r="Z242" s="2">
        <f>([412]L!AB242*'D(Ti_Audétat23) Times'!$F242*0.000001)^2/(4*'D(Ti_Audétat23) Times'!$C242)/(365.35*24*3600)</f>
        <v>36005.967066682962</v>
      </c>
      <c r="AA242" s="2">
        <f>([412]L!AC242*'D(Ti_Audétat23) Times'!$F242*0.000001)^2/(4*'D(Ti_Audétat23) Times'!$C242)/(365.35*24*3600)</f>
        <v>16287.862558368974</v>
      </c>
      <c r="AB242" s="2">
        <f>([412]L!AD242*'D(Ti_Audétat23) Times'!$F242*0.000001)^2/(4*'D(Ti_Audétat23) Times'!$C242)/(365.35*24*3600)</f>
        <v>67393.274676785397</v>
      </c>
      <c r="AC242" s="2">
        <f t="shared" si="13"/>
        <v>19718.104508313991</v>
      </c>
      <c r="AD242" s="2">
        <f t="shared" si="14"/>
        <v>31387.307610102434</v>
      </c>
    </row>
    <row r="243" spans="1:30" x14ac:dyDescent="0.2">
      <c r="A243" t="str">
        <f>[412]L!A243</f>
        <v>CGI011-qtz12-CL-fit-4-offset</v>
      </c>
      <c r="B243">
        <v>750</v>
      </c>
      <c r="C243">
        <f t="shared" si="15"/>
        <v>1.1456341375347871E-23</v>
      </c>
      <c r="D243">
        <v>1550</v>
      </c>
      <c r="E243">
        <v>1024</v>
      </c>
      <c r="F243">
        <f t="shared" si="12"/>
        <v>1.513671875</v>
      </c>
      <c r="I243" s="2">
        <f>([412]L!J243*'D(Ti_Audétat23) Times'!$F243*0.000001)^2/(4*'D(Ti_Audétat23) Times'!$C243)/(365.35*24*3600)</f>
        <v>13909.745211708379</v>
      </c>
      <c r="J243" s="2">
        <f>([412]L!K243*'D(Ti_Audétat23) Times'!$F243*0.000001)^2/(4*'D(Ti_Audétat23) Times'!$C243)/(365.35*24*3600)</f>
        <v>16023.730373453325</v>
      </c>
      <c r="K243" s="2">
        <f>([412]L!L243*'D(Ti_Audétat23) Times'!$F243*0.000001)^2/(4*'D(Ti_Audétat23) Times'!$C243)/(365.35*24*3600)</f>
        <v>31309.246262891927</v>
      </c>
      <c r="L243" s="2">
        <f>([412]L!M243*'D(Ti_Audétat23) Times'!$F243*0.000001)^2/(4*'D(Ti_Audétat23) Times'!$C243)/(365.35*24*3600)</f>
        <v>23646.475191323629</v>
      </c>
      <c r="M243" s="2">
        <f>([412]L!N243*'D(Ti_Audétat23) Times'!$F243*0.000001)^2/(4*'D(Ti_Audétat23) Times'!$C243)/(365.35*24*3600)</f>
        <v>20632.775194940612</v>
      </c>
      <c r="N243" s="2">
        <f>([412]L!O243*'D(Ti_Audétat23) Times'!$F243*0.000001)^2/(4*'D(Ti_Audétat23) Times'!$C243)/(365.35*24*3600)</f>
        <v>18495.117810955795</v>
      </c>
      <c r="O243" s="2">
        <f>([412]L!P243*'D(Ti_Audétat23) Times'!$F243*0.000001)^2/(4*'D(Ti_Audétat23) Times'!$C243)/(365.35*24*3600)</f>
        <v>15384.307082636766</v>
      </c>
      <c r="P243" s="2">
        <f>([412]L!Q243*'D(Ti_Audétat23) Times'!$F243*0.000001)^2/(4*'D(Ti_Audétat23) Times'!$C243)/(365.35*24*3600)</f>
        <v>21661.993226820108</v>
      </c>
      <c r="Q243" s="2">
        <f>([412]L!R243*'D(Ti_Audétat23) Times'!$F243*0.000001)^2/(4*'D(Ti_Audétat23) Times'!$C243)/(365.35*24*3600)</f>
        <v>33484.287746707232</v>
      </c>
      <c r="R243" s="2">
        <f>([412]L!S243*'D(Ti_Audétat23) Times'!$F243*0.000001)^2/(4*'D(Ti_Audétat23) Times'!$C243)/(365.35*24*3600)</f>
        <v>26274.672910602501</v>
      </c>
      <c r="S243" s="2">
        <f>([412]L!T243*'D(Ti_Audétat23) Times'!$F243*0.000001)^2/(4*'D(Ti_Audétat23) Times'!$C243)/(365.35*24*3600)</f>
        <v>19131.210712188105</v>
      </c>
      <c r="T243" s="2"/>
      <c r="U243" s="2">
        <f>([412]L!V243*'D(Ti_Audétat23) Times'!$F243*0.000001)^2/(4*'D(Ti_Audétat23) Times'!$C243)/(365.35*24*3600)</f>
        <v>20689.04322078207</v>
      </c>
      <c r="V243" s="2">
        <f>([412]L!W243*'D(Ti_Audétat23) Times'!$F243*0.000001)^2/(4*'D(Ti_Audétat23) Times'!$C243)/(365.35*24*3600)</f>
        <v>21408.788404493822</v>
      </c>
      <c r="W243" s="2">
        <f>([412]L!X243*'D(Ti_Audétat23) Times'!$F243*0.000001)^2/(4*'D(Ti_Audétat23) Times'!$C243)/(365.35*24*3600)</f>
        <v>20632.775194940612</v>
      </c>
      <c r="X243" s="2"/>
      <c r="Y243" s="2">
        <f>([412]L!Z243*'D(Ti_Audétat23) Times'!$F243*0.000001)^2/(4*'D(Ti_Audétat23) Times'!$C243)/(365.35*24*3600)</f>
        <v>20839.10913281118</v>
      </c>
      <c r="Z243" s="2">
        <f>([412]L!AB243*'D(Ti_Audétat23) Times'!$F243*0.000001)^2/(4*'D(Ti_Audétat23) Times'!$C243)/(365.35*24*3600)</f>
        <v>21590.336622830775</v>
      </c>
      <c r="AA243" s="2">
        <f>([412]L!AC243*'D(Ti_Audétat23) Times'!$F243*0.000001)^2/(4*'D(Ti_Audétat23) Times'!$C243)/(365.35*24*3600)</f>
        <v>11515.651823988672</v>
      </c>
      <c r="AB243" s="2">
        <f>([412]L!AD243*'D(Ti_Audétat23) Times'!$F243*0.000001)^2/(4*'D(Ti_Audétat23) Times'!$C243)/(365.35*24*3600)</f>
        <v>37125.840698787426</v>
      </c>
      <c r="AC243" s="2">
        <f t="shared" si="13"/>
        <v>10074.684798842103</v>
      </c>
      <c r="AD243" s="2">
        <f t="shared" si="14"/>
        <v>15535.504075956651</v>
      </c>
    </row>
    <row r="244" spans="1:30" x14ac:dyDescent="0.2">
      <c r="A244" t="str">
        <f>[412]L!A244</f>
        <v>CGI014-qtz01-CL-fit-1-offset</v>
      </c>
      <c r="B244">
        <v>750</v>
      </c>
      <c r="C244">
        <f t="shared" si="15"/>
        <v>1.1456341375347871E-23</v>
      </c>
      <c r="D244">
        <v>1600</v>
      </c>
      <c r="E244">
        <v>1024</v>
      </c>
      <c r="F244">
        <f t="shared" si="12"/>
        <v>1.5625</v>
      </c>
      <c r="I244" s="2">
        <f>([412]L!J244*'D(Ti_Audétat23) Times'!$F244*0.000001)^2/(4*'D(Ti_Audétat23) Times'!$C244)/(365.35*24*3600)</f>
        <v>6.4663366149599613</v>
      </c>
      <c r="J244" s="2">
        <f>([412]L!K244*'D(Ti_Audétat23) Times'!$F244*0.000001)^2/(4*'D(Ti_Audétat23) Times'!$C244)/(365.35*24*3600)</f>
        <v>46875.376749245224</v>
      </c>
      <c r="K244" s="2">
        <f>([412]L!L244*'D(Ti_Audétat23) Times'!$F244*0.000001)^2/(4*'D(Ti_Audétat23) Times'!$C244)/(365.35*24*3600)</f>
        <v>59983.053726038343</v>
      </c>
      <c r="L244" s="2">
        <f>([412]L!M244*'D(Ti_Audétat23) Times'!$F244*0.000001)^2/(4*'D(Ti_Audétat23) Times'!$C244)/(365.35*24*3600)</f>
        <v>3088.8475616241217</v>
      </c>
      <c r="M244" s="2">
        <f>([412]L!N244*'D(Ti_Audétat23) Times'!$F244*0.000001)^2/(4*'D(Ti_Audétat23) Times'!$C244)/(365.35*24*3600)</f>
        <v>11765.884157205981</v>
      </c>
      <c r="N244" s="2">
        <f>([412]L!O244*'D(Ti_Audétat23) Times'!$F244*0.000001)^2/(4*'D(Ti_Audétat23) Times'!$C244)/(365.35*24*3600)</f>
        <v>2964.612451636955</v>
      </c>
      <c r="O244" s="2">
        <f>([412]L!P244*'D(Ti_Audétat23) Times'!$F244*0.000001)^2/(4*'D(Ti_Audétat23) Times'!$C244)/(365.35*24*3600)</f>
        <v>22482.944685206854</v>
      </c>
      <c r="P244" s="2">
        <f>([412]L!Q244*'D(Ti_Audétat23) Times'!$F244*0.000001)^2/(4*'D(Ti_Audétat23) Times'!$C244)/(365.35*24*3600)</f>
        <v>1.7204321465125429E-2</v>
      </c>
      <c r="Q244" s="2">
        <f>([412]L!R244*'D(Ti_Audétat23) Times'!$F244*0.000001)^2/(4*'D(Ti_Audétat23) Times'!$C244)/(365.35*24*3600)</f>
        <v>12532.76855933421</v>
      </c>
      <c r="R244" s="2">
        <f>([412]L!S244*'D(Ti_Audétat23) Times'!$F244*0.000001)^2/(4*'D(Ti_Audétat23) Times'!$C244)/(365.35*24*3600)</f>
        <v>9.7675362597769304</v>
      </c>
      <c r="S244" s="2">
        <f>([412]L!T244*'D(Ti_Audétat23) Times'!$F244*0.000001)^2/(4*'D(Ti_Audétat23) Times'!$C244)/(365.35*24*3600)</f>
        <v>17598.259408956947</v>
      </c>
      <c r="T244" s="2"/>
      <c r="U244" s="2">
        <f>([412]L!V244*'D(Ti_Audétat23) Times'!$F244*0.000001)^2/(4*'D(Ti_Audétat23) Times'!$C244)/(365.35*24*3600)</f>
        <v>10618.728823593878</v>
      </c>
      <c r="V244" s="2">
        <f>([412]L!W244*'D(Ti_Audétat23) Times'!$F244*0.000001)^2/(4*'D(Ti_Audétat23) Times'!$C244)/(365.35*24*3600)</f>
        <v>9644.4667592655696</v>
      </c>
      <c r="W244" s="2">
        <f>([412]L!X244*'D(Ti_Audétat23) Times'!$F244*0.000001)^2/(4*'D(Ti_Audétat23) Times'!$C244)/(365.35*24*3600)</f>
        <v>11765.884157205981</v>
      </c>
      <c r="X244" s="2"/>
      <c r="Y244" s="2">
        <f>([412]L!Z244*'D(Ti_Audétat23) Times'!$F244*0.000001)^2/(4*'D(Ti_Audétat23) Times'!$C244)/(365.35*24*3600)</f>
        <v>8801.8064154693639</v>
      </c>
      <c r="Z244" s="2">
        <f>([412]L!AB244*'D(Ti_Audétat23) Times'!$F244*0.000001)^2/(4*'D(Ti_Audétat23) Times'!$C244)/(365.35*24*3600)</f>
        <v>14523.711291918784</v>
      </c>
      <c r="AA244" s="2">
        <f>([412]L!AC244*'D(Ti_Audétat23) Times'!$F244*0.000001)^2/(4*'D(Ti_Audétat23) Times'!$C244)/(365.35*24*3600)</f>
        <v>0.21515015310862437</v>
      </c>
      <c r="AB244" s="2">
        <f>([412]L!AD244*'D(Ti_Audétat23) Times'!$F244*0.000001)^2/(4*'D(Ti_Audétat23) Times'!$C244)/(365.35*24*3600)</f>
        <v>225276.65191616013</v>
      </c>
      <c r="AC244" s="2">
        <f t="shared" si="13"/>
        <v>14523.496141765676</v>
      </c>
      <c r="AD244" s="2">
        <f t="shared" si="14"/>
        <v>210752.94062424134</v>
      </c>
    </row>
    <row r="245" spans="1:30" x14ac:dyDescent="0.2">
      <c r="A245" t="str">
        <f>[412]L!A245</f>
        <v>CGI014-qtz01-CL-fit-2-offset</v>
      </c>
      <c r="B245">
        <v>750</v>
      </c>
      <c r="C245">
        <f t="shared" si="15"/>
        <v>1.1456341375347871E-23</v>
      </c>
      <c r="D245">
        <v>1600</v>
      </c>
      <c r="E245">
        <v>1024</v>
      </c>
      <c r="F245">
        <f t="shared" si="12"/>
        <v>1.5625</v>
      </c>
      <c r="I245" s="2">
        <f>([412]L!J245*'D(Ti_Audétat23) Times'!$F245*0.000001)^2/(4*'D(Ti_Audétat23) Times'!$C245)/(365.35*24*3600)</f>
        <v>90.136305910039923</v>
      </c>
      <c r="J245" s="2">
        <f>([412]L!K245*'D(Ti_Audétat23) Times'!$F245*0.000001)^2/(4*'D(Ti_Audétat23) Times'!$C245)/(365.35*24*3600)</f>
        <v>98.465144904865681</v>
      </c>
      <c r="K245" s="2">
        <f>([412]L!L245*'D(Ti_Audétat23) Times'!$F245*0.000001)^2/(4*'D(Ti_Audétat23) Times'!$C245)/(365.35*24*3600)</f>
        <v>2917.5031481939172</v>
      </c>
      <c r="L245" s="2">
        <f>([412]L!M245*'D(Ti_Audétat23) Times'!$F245*0.000001)^2/(4*'D(Ti_Audétat23) Times'!$C245)/(365.35*24*3600)</f>
        <v>19.646356443516154</v>
      </c>
      <c r="M245" s="2">
        <f>([412]L!N245*'D(Ti_Audétat23) Times'!$F245*0.000001)^2/(4*'D(Ti_Audétat23) Times'!$C245)/(365.35*24*3600)</f>
        <v>98.131762077415132</v>
      </c>
      <c r="N245" s="2">
        <f>([412]L!O245*'D(Ti_Audétat23) Times'!$F245*0.000001)^2/(4*'D(Ti_Audétat23) Times'!$C245)/(365.35*24*3600)</f>
        <v>2629.0322140627177</v>
      </c>
      <c r="O245" s="2">
        <f>([412]L!P245*'D(Ti_Audétat23) Times'!$F245*0.000001)^2/(4*'D(Ti_Audétat23) Times'!$C245)/(365.35*24*3600)</f>
        <v>1960.1165071017324</v>
      </c>
      <c r="P245" s="2">
        <f>([412]L!Q245*'D(Ti_Audétat23) Times'!$F245*0.000001)^2/(4*'D(Ti_Audétat23) Times'!$C245)/(365.35*24*3600)</f>
        <v>86.038106412764975</v>
      </c>
      <c r="Q245" s="2">
        <f>([412]L!R245*'D(Ti_Audétat23) Times'!$F245*0.000001)^2/(4*'D(Ti_Audétat23) Times'!$C245)/(365.35*24*3600)</f>
        <v>2562.6220408146132</v>
      </c>
      <c r="R245" s="2">
        <f>([412]L!S245*'D(Ti_Audétat23) Times'!$F245*0.000001)^2/(4*'D(Ti_Audétat23) Times'!$C245)/(365.35*24*3600)</f>
        <v>71.605166046288986</v>
      </c>
      <c r="S245" s="2">
        <f>([412]L!T245*'D(Ti_Audétat23) Times'!$F245*0.000001)^2/(4*'D(Ti_Audétat23) Times'!$C245)/(365.35*24*3600)</f>
        <v>11282.66687151207</v>
      </c>
      <c r="T245" s="2"/>
      <c r="U245" s="2">
        <f>([412]L!V245*'D(Ti_Audétat23) Times'!$F245*0.000001)^2/(4*'D(Ti_Audétat23) Times'!$C245)/(365.35*24*3600)</f>
        <v>112.09437959298441</v>
      </c>
      <c r="V245" s="2">
        <f>([412]L!W245*'D(Ti_Audétat23) Times'!$F245*0.000001)^2/(4*'D(Ti_Audétat23) Times'!$C245)/(365.35*24*3600)</f>
        <v>1058.5951657771143</v>
      </c>
      <c r="W245" s="2">
        <f>([412]L!X245*'D(Ti_Audétat23) Times'!$F245*0.000001)^2/(4*'D(Ti_Audétat23) Times'!$C245)/(365.35*24*3600)</f>
        <v>98.465144904865681</v>
      </c>
      <c r="X245" s="2"/>
      <c r="Y245" s="2">
        <f>([412]L!Z245*'D(Ti_Audétat23) Times'!$F245*0.000001)^2/(4*'D(Ti_Audétat23) Times'!$C245)/(365.35*24*3600)</f>
        <v>474.44894260164244</v>
      </c>
      <c r="Z245" s="2">
        <f>([412]L!AB245*'D(Ti_Audétat23) Times'!$F245*0.000001)^2/(4*'D(Ti_Audétat23) Times'!$C245)/(365.35*24*3600)</f>
        <v>1445.1186418198413</v>
      </c>
      <c r="AA245" s="2">
        <f>([412]L!AC245*'D(Ti_Audétat23) Times'!$F245*0.000001)^2/(4*'D(Ti_Audétat23) Times'!$C245)/(365.35*24*3600)</f>
        <v>7.1317907170521578E-10</v>
      </c>
      <c r="AB245" s="2">
        <f>([412]L!AD245*'D(Ti_Audétat23) Times'!$F245*0.000001)^2/(4*'D(Ti_Audétat23) Times'!$C245)/(365.35*24*3600)</f>
        <v>26653.551958127053</v>
      </c>
      <c r="AC245" s="2">
        <f t="shared" si="13"/>
        <v>1445.118641819128</v>
      </c>
      <c r="AD245" s="2">
        <f t="shared" si="14"/>
        <v>25208.433316307211</v>
      </c>
    </row>
    <row r="246" spans="1:30" x14ac:dyDescent="0.2">
      <c r="A246" t="str">
        <f>[412]L!A246</f>
        <v>CGI014-qtz02-CL-fit-1-offset</v>
      </c>
      <c r="B246">
        <v>750</v>
      </c>
      <c r="C246">
        <f t="shared" si="15"/>
        <v>1.1456341375347871E-23</v>
      </c>
      <c r="D246">
        <v>2000</v>
      </c>
      <c r="E246">
        <v>1024</v>
      </c>
      <c r="F246">
        <f t="shared" si="12"/>
        <v>1.953125</v>
      </c>
      <c r="I246" s="2">
        <f>([412]L!J246*'D(Ti_Audétat23) Times'!$F246*0.000001)^2/(4*'D(Ti_Audétat23) Times'!$C246)/(365.35*24*3600)</f>
        <v>37192.397341475051</v>
      </c>
      <c r="J246" s="2">
        <f>([412]L!K246*'D(Ti_Audétat23) Times'!$F246*0.000001)^2/(4*'D(Ti_Audétat23) Times'!$C246)/(365.35*24*3600)</f>
        <v>49899.556754184581</v>
      </c>
      <c r="K246" s="2">
        <f>([412]L!L246*'D(Ti_Audétat23) Times'!$F246*0.000001)^2/(4*'D(Ti_Audétat23) Times'!$C246)/(365.35*24*3600)</f>
        <v>47192.600870808186</v>
      </c>
      <c r="L246" s="2">
        <f>([412]L!M246*'D(Ti_Audétat23) Times'!$F246*0.000001)^2/(4*'D(Ti_Audétat23) Times'!$C246)/(365.35*24*3600)</f>
        <v>29094.176035831173</v>
      </c>
      <c r="M246" s="2">
        <f>([412]L!N246*'D(Ti_Audétat23) Times'!$F246*0.000001)^2/(4*'D(Ti_Audétat23) Times'!$C246)/(365.35*24*3600)</f>
        <v>56423.512762469159</v>
      </c>
      <c r="N246" s="2">
        <f>([412]L!O246*'D(Ti_Audétat23) Times'!$F246*0.000001)^2/(4*'D(Ti_Audétat23) Times'!$C246)/(365.35*24*3600)</f>
        <v>51415.434093899414</v>
      </c>
      <c r="O246" s="2">
        <f>([412]L!P246*'D(Ti_Audétat23) Times'!$F246*0.000001)^2/(4*'D(Ti_Audétat23) Times'!$C246)/(365.35*24*3600)</f>
        <v>46049.73019277797</v>
      </c>
      <c r="P246" s="2">
        <f>([412]L!Q246*'D(Ti_Audétat23) Times'!$F246*0.000001)^2/(4*'D(Ti_Audétat23) Times'!$C246)/(365.35*24*3600)</f>
        <v>56568.07740594526</v>
      </c>
      <c r="Q246" s="2">
        <f>([412]L!R246*'D(Ti_Audétat23) Times'!$F246*0.000001)^2/(4*'D(Ti_Audétat23) Times'!$C246)/(365.35*24*3600)</f>
        <v>41883.479048769856</v>
      </c>
      <c r="R246" s="2">
        <f>([412]L!S246*'D(Ti_Audétat23) Times'!$F246*0.000001)^2/(4*'D(Ti_Audétat23) Times'!$C246)/(365.35*24*3600)</f>
        <v>20591.211722143787</v>
      </c>
      <c r="S246" s="2">
        <f>([412]L!T246*'D(Ti_Audétat23) Times'!$F246*0.000001)^2/(4*'D(Ti_Audétat23) Times'!$C246)/(365.35*24*3600)</f>
        <v>37018.30399018951</v>
      </c>
      <c r="T246" s="2"/>
      <c r="U246" s="2">
        <f>([412]L!V246*'D(Ti_Audétat23) Times'!$F246*0.000001)^2/(4*'D(Ti_Audétat23) Times'!$C246)/(365.35*24*3600)</f>
        <v>41050.25417949375</v>
      </c>
      <c r="V246" s="2">
        <f>([412]L!W246*'D(Ti_Audétat23) Times'!$F246*0.000001)^2/(4*'D(Ti_Audétat23) Times'!$C246)/(365.35*24*3600)</f>
        <v>42260.705548051039</v>
      </c>
      <c r="W246" s="2">
        <f>([412]L!X246*'D(Ti_Audétat23) Times'!$F246*0.000001)^2/(4*'D(Ti_Audétat23) Times'!$C246)/(365.35*24*3600)</f>
        <v>46049.73019277797</v>
      </c>
      <c r="X246" s="2"/>
      <c r="Y246" s="2">
        <f>([412]L!Z246*'D(Ti_Audétat23) Times'!$F246*0.000001)^2/(4*'D(Ti_Audétat23) Times'!$C246)/(365.35*24*3600)</f>
        <v>41129.367845404828</v>
      </c>
      <c r="Z246" s="2">
        <f>([412]L!AB246*'D(Ti_Audétat23) Times'!$F246*0.000001)^2/(4*'D(Ti_Audétat23) Times'!$C246)/(365.35*24*3600)</f>
        <v>42096.508166882908</v>
      </c>
      <c r="AA246" s="2">
        <f>([412]L!AC246*'D(Ti_Audétat23) Times'!$F246*0.000001)^2/(4*'D(Ti_Audétat23) Times'!$C246)/(365.35*24*3600)</f>
        <v>22624.439783173824</v>
      </c>
      <c r="AB246" s="2">
        <f>([412]L!AD246*'D(Ti_Audétat23) Times'!$F246*0.000001)^2/(4*'D(Ti_Audétat23) Times'!$C246)/(365.35*24*3600)</f>
        <v>68176.146794325468</v>
      </c>
      <c r="AC246" s="2">
        <f t="shared" si="13"/>
        <v>19472.068383709084</v>
      </c>
      <c r="AD246" s="2">
        <f t="shared" si="14"/>
        <v>26079.63862744256</v>
      </c>
    </row>
    <row r="247" spans="1:30" x14ac:dyDescent="0.2">
      <c r="A247" t="str">
        <f>[412]L!A247</f>
        <v>CGI014-qtz02-CL-fit-2-offset</v>
      </c>
      <c r="B247">
        <v>750</v>
      </c>
      <c r="C247">
        <f t="shared" si="15"/>
        <v>1.1456341375347871E-23</v>
      </c>
      <c r="D247">
        <v>2000</v>
      </c>
      <c r="E247">
        <v>1024</v>
      </c>
      <c r="F247">
        <f t="shared" si="12"/>
        <v>1.953125</v>
      </c>
      <c r="I247" s="2">
        <f>([412]L!J247*'D(Ti_Audétat23) Times'!$F247*0.000001)^2/(4*'D(Ti_Audétat23) Times'!$C247)/(365.35*24*3600)</f>
        <v>24113.021542987048</v>
      </c>
      <c r="J247" s="2">
        <f>([412]L!K247*'D(Ti_Audétat23) Times'!$F247*0.000001)^2/(4*'D(Ti_Audétat23) Times'!$C247)/(365.35*24*3600)</f>
        <v>4734.7007646990596</v>
      </c>
      <c r="K247" s="2">
        <f>([412]L!L247*'D(Ti_Audétat23) Times'!$F247*0.000001)^2/(4*'D(Ti_Audétat23) Times'!$C247)/(365.35*24*3600)</f>
        <v>13329.262871716011</v>
      </c>
      <c r="L247" s="2">
        <f>([412]L!M247*'D(Ti_Audétat23) Times'!$F247*0.000001)^2/(4*'D(Ti_Audétat23) Times'!$C247)/(365.35*24*3600)</f>
        <v>30206.991848453952</v>
      </c>
      <c r="M247" s="2">
        <f>([412]L!N247*'D(Ti_Audétat23) Times'!$F247*0.000001)^2/(4*'D(Ti_Audétat23) Times'!$C247)/(365.35*24*3600)</f>
        <v>4717.9660783631534</v>
      </c>
      <c r="N247" s="2">
        <f>([412]L!O247*'D(Ti_Audétat23) Times'!$F247*0.000001)^2/(4*'D(Ti_Audétat23) Times'!$C247)/(365.35*24*3600)</f>
        <v>10346.159534589835</v>
      </c>
      <c r="O247" s="2">
        <f>([412]L!P247*'D(Ti_Audétat23) Times'!$F247*0.000001)^2/(4*'D(Ti_Audétat23) Times'!$C247)/(365.35*24*3600)</f>
        <v>1913.8712082069153</v>
      </c>
      <c r="P247" s="2">
        <f>([412]L!Q247*'D(Ti_Audétat23) Times'!$F247*0.000001)^2/(4*'D(Ti_Audétat23) Times'!$C247)/(365.35*24*3600)</f>
        <v>7192.9661430989872</v>
      </c>
      <c r="Q247" s="2">
        <f>([412]L!R247*'D(Ti_Audétat23) Times'!$F247*0.000001)^2/(4*'D(Ti_Audétat23) Times'!$C247)/(365.35*24*3600)</f>
        <v>16213.27588186576</v>
      </c>
      <c r="R247" s="2">
        <f>([412]L!S247*'D(Ti_Audétat23) Times'!$F247*0.000001)^2/(4*'D(Ti_Audétat23) Times'!$C247)/(365.35*24*3600)</f>
        <v>8076.6166740987874</v>
      </c>
      <c r="S247" s="2">
        <f>([412]L!T247*'D(Ti_Audétat23) Times'!$F247*0.000001)^2/(4*'D(Ti_Audétat23) Times'!$C247)/(365.35*24*3600)</f>
        <v>4267.3808196614027</v>
      </c>
      <c r="T247" s="2"/>
      <c r="U247" s="2">
        <f>([412]L!V247*'D(Ti_Audétat23) Times'!$F247*0.000001)^2/(4*'D(Ti_Audétat23) Times'!$C247)/(365.35*24*3600)</f>
        <v>8030.3155088151861</v>
      </c>
      <c r="V247" s="2">
        <f>([412]L!W247*'D(Ti_Audétat23) Times'!$F247*0.000001)^2/(4*'D(Ti_Audétat23) Times'!$C247)/(365.35*24*3600)</f>
        <v>9906.3314072949579</v>
      </c>
      <c r="W247" s="2">
        <f>([412]L!X247*'D(Ti_Audétat23) Times'!$F247*0.000001)^2/(4*'D(Ti_Audétat23) Times'!$C247)/(365.35*24*3600)</f>
        <v>8076.6166740987874</v>
      </c>
      <c r="X247" s="2"/>
      <c r="Y247" s="2">
        <f>([412]L!Z247*'D(Ti_Audétat23) Times'!$F247*0.000001)^2/(4*'D(Ti_Audétat23) Times'!$C247)/(365.35*24*3600)</f>
        <v>8339.2253743841811</v>
      </c>
      <c r="Z247" s="2">
        <f>([412]L!AB247*'D(Ti_Audétat23) Times'!$F247*0.000001)^2/(4*'D(Ti_Audétat23) Times'!$C247)/(365.35*24*3600)</f>
        <v>9331.4913607320468</v>
      </c>
      <c r="AA247" s="2">
        <f>([412]L!AC247*'D(Ti_Audétat23) Times'!$F247*0.000001)^2/(4*'D(Ti_Audétat23) Times'!$C247)/(365.35*24*3600)</f>
        <v>1139.0388724558707</v>
      </c>
      <c r="AB247" s="2">
        <f>([412]L!AD247*'D(Ti_Audétat23) Times'!$F247*0.000001)^2/(4*'D(Ti_Audétat23) Times'!$C247)/(365.35*24*3600)</f>
        <v>41369.12166751593</v>
      </c>
      <c r="AC247" s="2">
        <f t="shared" si="13"/>
        <v>8192.4524882761762</v>
      </c>
      <c r="AD247" s="2">
        <f t="shared" si="14"/>
        <v>32037.630306783882</v>
      </c>
    </row>
    <row r="248" spans="1:30" x14ac:dyDescent="0.2">
      <c r="A248" t="str">
        <f>[412]L!A248</f>
        <v>CGI014-qtz02-CL-fit-3-offset</v>
      </c>
      <c r="B248">
        <v>750</v>
      </c>
      <c r="C248">
        <f t="shared" si="15"/>
        <v>1.1456341375347871E-23</v>
      </c>
      <c r="D248">
        <v>2000</v>
      </c>
      <c r="E248">
        <v>1024</v>
      </c>
      <c r="F248">
        <f t="shared" si="12"/>
        <v>1.953125</v>
      </c>
      <c r="I248" s="2">
        <f>([412]L!J248*'D(Ti_Audétat23) Times'!$F248*0.000001)^2/(4*'D(Ti_Audétat23) Times'!$C248)/(365.35*24*3600)</f>
        <v>10640.776265395856</v>
      </c>
      <c r="J248" s="2">
        <f>([412]L!K248*'D(Ti_Audétat23) Times'!$F248*0.000001)^2/(4*'D(Ti_Audétat23) Times'!$C248)/(365.35*24*3600)</f>
        <v>4800.539513304193</v>
      </c>
      <c r="K248" s="2">
        <f>([412]L!L248*'D(Ti_Audétat23) Times'!$F248*0.000001)^2/(4*'D(Ti_Audétat23) Times'!$C248)/(365.35*24*3600)</f>
        <v>9039.4850604629883</v>
      </c>
      <c r="L248" s="2">
        <f>([412]L!M248*'D(Ti_Audétat23) Times'!$F248*0.000001)^2/(4*'D(Ti_Audétat23) Times'!$C248)/(365.35*24*3600)</f>
        <v>1381.2406298027647</v>
      </c>
      <c r="M248" s="2">
        <f>([412]L!N248*'D(Ti_Audétat23) Times'!$F248*0.000001)^2/(4*'D(Ti_Audétat23) Times'!$C248)/(365.35*24*3600)</f>
        <v>14073.56243308093</v>
      </c>
      <c r="N248" s="2">
        <f>([412]L!O248*'D(Ti_Audétat23) Times'!$F248*0.000001)^2/(4*'D(Ti_Audétat23) Times'!$C248)/(365.35*24*3600)</f>
        <v>1009.3082453476977</v>
      </c>
      <c r="O248" s="2">
        <f>([412]L!P248*'D(Ti_Audétat23) Times'!$F248*0.000001)^2/(4*'D(Ti_Audétat23) Times'!$C248)/(365.35*24*3600)</f>
        <v>2152.9631884001396</v>
      </c>
      <c r="P248" s="2">
        <f>([412]L!Q248*'D(Ti_Audétat23) Times'!$F248*0.000001)^2/(4*'D(Ti_Audétat23) Times'!$C248)/(365.35*24*3600)</f>
        <v>10.006871655821202</v>
      </c>
      <c r="Q248" s="2">
        <f>([412]L!R248*'D(Ti_Audétat23) Times'!$F248*0.000001)^2/(4*'D(Ti_Audétat23) Times'!$C248)/(365.35*24*3600)</f>
        <v>55.683757622209889</v>
      </c>
      <c r="R248" s="2">
        <f>([412]L!S248*'D(Ti_Audétat23) Times'!$F248*0.000001)^2/(4*'D(Ti_Audétat23) Times'!$C248)/(365.35*24*3600)</f>
        <v>2068.0970797114951</v>
      </c>
      <c r="S248" s="2">
        <f>([412]L!T248*'D(Ti_Audétat23) Times'!$F248*0.000001)^2/(4*'D(Ti_Audétat23) Times'!$C248)/(365.35*24*3600)</f>
        <v>1483.1639472019917</v>
      </c>
      <c r="T248" s="2"/>
      <c r="U248" s="2">
        <f>([412]L!V248*'D(Ti_Audétat23) Times'!$F248*0.000001)^2/(4*'D(Ti_Audétat23) Times'!$C248)/(365.35*24*3600)</f>
        <v>2303.8599443101143</v>
      </c>
      <c r="V248" s="2">
        <f>([412]L!W248*'D(Ti_Audétat23) Times'!$F248*0.000001)^2/(4*'D(Ti_Audétat23) Times'!$C248)/(365.35*24*3600)</f>
        <v>2936.6224221960993</v>
      </c>
      <c r="W248" s="2">
        <f>([412]L!X248*'D(Ti_Audétat23) Times'!$F248*0.000001)^2/(4*'D(Ti_Audétat23) Times'!$C248)/(365.35*24*3600)</f>
        <v>2068.0970797114951</v>
      </c>
      <c r="X248" s="2"/>
      <c r="Y248" s="2">
        <f>([412]L!Z248*'D(Ti_Audétat23) Times'!$F248*0.000001)^2/(4*'D(Ti_Audétat23) Times'!$C248)/(365.35*24*3600)</f>
        <v>2087.0299798547962</v>
      </c>
      <c r="Z248" s="2">
        <f>([412]L!AB248*'D(Ti_Audétat23) Times'!$F248*0.000001)^2/(4*'D(Ti_Audétat23) Times'!$C248)/(365.35*24*3600)</f>
        <v>3505.1547408740557</v>
      </c>
      <c r="AA248" s="2">
        <f>([412]L!AC248*'D(Ti_Audétat23) Times'!$F248*0.000001)^2/(4*'D(Ti_Audétat23) Times'!$C248)/(365.35*24*3600)</f>
        <v>94.405929109482543</v>
      </c>
      <c r="AB248" s="2">
        <f>([412]L!AD248*'D(Ti_Audétat23) Times'!$F248*0.000001)^2/(4*'D(Ti_Audétat23) Times'!$C248)/(365.35*24*3600)</f>
        <v>31275.128127305263</v>
      </c>
      <c r="AC248" s="2">
        <f t="shared" si="13"/>
        <v>3410.748811764573</v>
      </c>
      <c r="AD248" s="2">
        <f t="shared" si="14"/>
        <v>27769.973386431207</v>
      </c>
    </row>
    <row r="249" spans="1:30" x14ac:dyDescent="0.2">
      <c r="A249" t="str">
        <f>[412]L!A249</f>
        <v>CGI014-qtz02-CL-fit-4-offset</v>
      </c>
      <c r="B249">
        <v>750</v>
      </c>
      <c r="C249">
        <f t="shared" si="15"/>
        <v>1.1456341375347871E-23</v>
      </c>
      <c r="D249">
        <v>2000</v>
      </c>
      <c r="E249">
        <v>1024</v>
      </c>
      <c r="F249">
        <f t="shared" si="12"/>
        <v>1.953125</v>
      </c>
      <c r="I249" s="2">
        <f>([412]L!J249*'D(Ti_Audétat23) Times'!$F249*0.000001)^2/(4*'D(Ti_Audétat23) Times'!$C249)/(365.35*24*3600)</f>
        <v>62.911332099304879</v>
      </c>
      <c r="J249" s="2">
        <f>([412]L!K249*'D(Ti_Audétat23) Times'!$F249*0.000001)^2/(4*'D(Ti_Audétat23) Times'!$C249)/(365.35*24*3600)</f>
        <v>2328.0407653359762</v>
      </c>
      <c r="K249" s="2">
        <f>([412]L!L249*'D(Ti_Audétat23) Times'!$F249*0.000001)^2/(4*'D(Ti_Audétat23) Times'!$C249)/(365.35*24*3600)</f>
        <v>16.538749614066134</v>
      </c>
      <c r="L249" s="2">
        <f>([412]L!M249*'D(Ti_Audétat23) Times'!$F249*0.000001)^2/(4*'D(Ti_Audétat23) Times'!$C249)/(365.35*24*3600)</f>
        <v>55.337696703136842</v>
      </c>
      <c r="M249" s="2">
        <f>([412]L!N249*'D(Ti_Audétat23) Times'!$F249*0.000001)^2/(4*'D(Ti_Audétat23) Times'!$C249)/(365.35*24*3600)</f>
        <v>7.7896945190957094</v>
      </c>
      <c r="N249" s="2">
        <f>([412]L!O249*'D(Ti_Audétat23) Times'!$F249*0.000001)^2/(4*'D(Ti_Audétat23) Times'!$C249)/(365.35*24*3600)</f>
        <v>65.688350139843962</v>
      </c>
      <c r="O249" s="2">
        <f>([412]L!P249*'D(Ti_Audétat23) Times'!$F249*0.000001)^2/(4*'D(Ti_Audétat23) Times'!$C249)/(365.35*24*3600)</f>
        <v>158.84082236977974</v>
      </c>
      <c r="P249" s="2">
        <f>([412]L!Q249*'D(Ti_Audétat23) Times'!$F249*0.000001)^2/(4*'D(Ti_Audétat23) Times'!$C249)/(365.35*24*3600)</f>
        <v>2095.7742540552194</v>
      </c>
      <c r="Q249" s="2">
        <f>([412]L!R249*'D(Ti_Audétat23) Times'!$F249*0.000001)^2/(4*'D(Ti_Audétat23) Times'!$C249)/(365.35*24*3600)</f>
        <v>672.0022616558108</v>
      </c>
      <c r="R249" s="2">
        <f>([412]L!S249*'D(Ti_Audétat23) Times'!$F249*0.000001)^2/(4*'D(Ti_Audétat23) Times'!$C249)/(365.35*24*3600)</f>
        <v>419.19554015064875</v>
      </c>
      <c r="S249" s="2">
        <f>([412]L!T249*'D(Ti_Audétat23) Times'!$F249*0.000001)^2/(4*'D(Ti_Audétat23) Times'!$C249)/(365.35*24*3600)</f>
        <v>862.83554624467945</v>
      </c>
      <c r="T249" s="2"/>
      <c r="U249" s="2">
        <f>([412]L!V249*'D(Ti_Audétat23) Times'!$F249*0.000001)^2/(4*'D(Ti_Audétat23) Times'!$C249)/(365.35*24*3600)</f>
        <v>758.83683842252492</v>
      </c>
      <c r="V249" s="2">
        <f>([412]L!W249*'D(Ti_Audétat23) Times'!$F249*0.000001)^2/(4*'D(Ti_Audétat23) Times'!$C249)/(365.35*24*3600)</f>
        <v>374.02562763738416</v>
      </c>
      <c r="W249" s="2">
        <f>([412]L!X249*'D(Ti_Audétat23) Times'!$F249*0.000001)^2/(4*'D(Ti_Audétat23) Times'!$C249)/(365.35*24*3600)</f>
        <v>158.84082236977974</v>
      </c>
      <c r="X249" s="2"/>
      <c r="Y249" s="2">
        <f>([412]L!Z249*'D(Ti_Audétat23) Times'!$F249*0.000001)^2/(4*'D(Ti_Audétat23) Times'!$C249)/(365.35*24*3600)</f>
        <v>182.39314310810886</v>
      </c>
      <c r="Z249" s="2">
        <f>([412]L!AB249*'D(Ti_Audétat23) Times'!$F249*0.000001)^2/(4*'D(Ti_Audétat23) Times'!$C249)/(365.35*24*3600)</f>
        <v>434.62650226327139</v>
      </c>
      <c r="AA249" s="2">
        <f>([412]L!AC249*'D(Ti_Audétat23) Times'!$F249*0.000001)^2/(4*'D(Ti_Audétat23) Times'!$C249)/(365.35*24*3600)</f>
        <v>0.51624938082596206</v>
      </c>
      <c r="AB249" s="2">
        <f>([412]L!AD249*'D(Ti_Audétat23) Times'!$F249*0.000001)^2/(4*'D(Ti_Audétat23) Times'!$C249)/(365.35*24*3600)</f>
        <v>2995.853782836728</v>
      </c>
      <c r="AC249" s="2">
        <f t="shared" si="13"/>
        <v>434.11025288244542</v>
      </c>
      <c r="AD249" s="2">
        <f t="shared" si="14"/>
        <v>2561.2272805734565</v>
      </c>
    </row>
    <row r="250" spans="1:30" x14ac:dyDescent="0.2">
      <c r="A250" t="str">
        <f>[412]L!A250</f>
        <v>CGI014-qtz03-CL-fit-1-offset</v>
      </c>
      <c r="B250">
        <v>750</v>
      </c>
      <c r="C250">
        <f t="shared" si="15"/>
        <v>1.1456341375347871E-23</v>
      </c>
      <c r="D250">
        <v>1800</v>
      </c>
      <c r="E250">
        <v>1024</v>
      </c>
      <c r="F250">
        <f t="shared" si="12"/>
        <v>1.7578125</v>
      </c>
      <c r="I250" s="2">
        <f>([412]L!J250*'D(Ti_Audétat23) Times'!$F250*0.000001)^2/(4*'D(Ti_Audétat23) Times'!$C250)/(365.35*24*3600)</f>
        <v>167246.79295077079</v>
      </c>
      <c r="J250" s="2">
        <f>([412]L!K250*'D(Ti_Audétat23) Times'!$F250*0.000001)^2/(4*'D(Ti_Audétat23) Times'!$C250)/(365.35*24*3600)</f>
        <v>48370.246444622018</v>
      </c>
      <c r="K250" s="2">
        <f>([412]L!L250*'D(Ti_Audétat23) Times'!$F250*0.000001)^2/(4*'D(Ti_Audétat23) Times'!$C250)/(365.35*24*3600)</f>
        <v>160376.71763829931</v>
      </c>
      <c r="L250" s="2">
        <f>([412]L!M250*'D(Ti_Audétat23) Times'!$F250*0.000001)^2/(4*'D(Ti_Audétat23) Times'!$C250)/(365.35*24*3600)</f>
        <v>113823.70999585232</v>
      </c>
      <c r="M250" s="2">
        <f>([412]L!N250*'D(Ti_Audétat23) Times'!$F250*0.000001)^2/(4*'D(Ti_Audétat23) Times'!$C250)/(365.35*24*3600)</f>
        <v>246388.15936487986</v>
      </c>
      <c r="N250" s="2">
        <f>([412]L!O250*'D(Ti_Audétat23) Times'!$F250*0.000001)^2/(4*'D(Ti_Audétat23) Times'!$C250)/(365.35*24*3600)</f>
        <v>180778.79647579475</v>
      </c>
      <c r="O250" s="2">
        <f>([412]L!P250*'D(Ti_Audétat23) Times'!$F250*0.000001)^2/(4*'D(Ti_Audétat23) Times'!$C250)/(365.35*24*3600)</f>
        <v>109913.2894894926</v>
      </c>
      <c r="P250" s="2">
        <f>([412]L!Q250*'D(Ti_Audétat23) Times'!$F250*0.000001)^2/(4*'D(Ti_Audétat23) Times'!$C250)/(365.35*24*3600)</f>
        <v>99419.693979247022</v>
      </c>
      <c r="Q250" s="2">
        <f>([412]L!R250*'D(Ti_Audétat23) Times'!$F250*0.000001)^2/(4*'D(Ti_Audétat23) Times'!$C250)/(365.35*24*3600)</f>
        <v>119154.12007000028</v>
      </c>
      <c r="R250" s="2">
        <f>([412]L!S250*'D(Ti_Audétat23) Times'!$F250*0.000001)^2/(4*'D(Ti_Audétat23) Times'!$C250)/(365.35*24*3600)</f>
        <v>219560.88832775221</v>
      </c>
      <c r="S250" s="2">
        <f>([412]L!T250*'D(Ti_Audétat23) Times'!$F250*0.000001)^2/(4*'D(Ti_Audétat23) Times'!$C250)/(365.35*24*3600)</f>
        <v>351666.91201468121</v>
      </c>
      <c r="T250" s="2"/>
      <c r="U250" s="2">
        <f>([412]L!V250*'D(Ti_Audétat23) Times'!$F250*0.000001)^2/(4*'D(Ti_Audétat23) Times'!$C250)/(365.35*24*3600)</f>
        <v>143431.05060152384</v>
      </c>
      <c r="V250" s="2">
        <f>([412]L!W250*'D(Ti_Audétat23) Times'!$F250*0.000001)^2/(4*'D(Ti_Audétat23) Times'!$C250)/(365.35*24*3600)</f>
        <v>155803.2203465499</v>
      </c>
      <c r="W250" s="2">
        <f>([412]L!X250*'D(Ti_Audétat23) Times'!$F250*0.000001)^2/(4*'D(Ti_Audétat23) Times'!$C250)/(365.35*24*3600)</f>
        <v>160376.71763829931</v>
      </c>
      <c r="X250" s="2"/>
      <c r="Y250" s="2">
        <f>([412]L!Z250*'D(Ti_Audétat23) Times'!$F250*0.000001)^2/(4*'D(Ti_Audétat23) Times'!$C250)/(365.35*24*3600)</f>
        <v>140263.95103597149</v>
      </c>
      <c r="Z250" s="2">
        <f>([412]L!AB250*'D(Ti_Audétat23) Times'!$F250*0.000001)^2/(4*'D(Ti_Audétat23) Times'!$C250)/(365.35*24*3600)</f>
        <v>139003.8163472577</v>
      </c>
      <c r="AA250" s="2">
        <f>([412]L!AC250*'D(Ti_Audétat23) Times'!$F250*0.000001)^2/(4*'D(Ti_Audétat23) Times'!$C250)/(365.35*24*3600)</f>
        <v>50778.038655570454</v>
      </c>
      <c r="AB250" s="2">
        <f>([412]L!AD250*'D(Ti_Audétat23) Times'!$F250*0.000001)^2/(4*'D(Ti_Audétat23) Times'!$C250)/(365.35*24*3600)</f>
        <v>283422.15579748474</v>
      </c>
      <c r="AC250" s="2">
        <f t="shared" si="13"/>
        <v>88225.777691687254</v>
      </c>
      <c r="AD250" s="2">
        <f t="shared" si="14"/>
        <v>144418.33945022704</v>
      </c>
    </row>
    <row r="251" spans="1:30" x14ac:dyDescent="0.2">
      <c r="A251" t="str">
        <f>[412]L!A251</f>
        <v>CGI014-qtz03-CL-fit-2-offset</v>
      </c>
      <c r="B251">
        <v>750</v>
      </c>
      <c r="C251">
        <f t="shared" si="15"/>
        <v>1.1456341375347871E-23</v>
      </c>
      <c r="D251">
        <v>1800</v>
      </c>
      <c r="E251">
        <v>1024</v>
      </c>
      <c r="F251">
        <f t="shared" si="12"/>
        <v>1.7578125</v>
      </c>
      <c r="I251" s="2">
        <f>([412]L!J251*'D(Ti_Audétat23) Times'!$F251*0.000001)^2/(4*'D(Ti_Audétat23) Times'!$C251)/(365.35*24*3600)</f>
        <v>94627.344908565341</v>
      </c>
      <c r="J251" s="2">
        <f>([412]L!K251*'D(Ti_Audétat23) Times'!$F251*0.000001)^2/(4*'D(Ti_Audétat23) Times'!$C251)/(365.35*24*3600)</f>
        <v>76300.698702244597</v>
      </c>
      <c r="K251" s="2">
        <f>([412]L!L251*'D(Ti_Audétat23) Times'!$F251*0.000001)^2/(4*'D(Ti_Audétat23) Times'!$C251)/(365.35*24*3600)</f>
        <v>44132.320132500128</v>
      </c>
      <c r="L251" s="2">
        <f>([412]L!M251*'D(Ti_Audétat23) Times'!$F251*0.000001)^2/(4*'D(Ti_Audétat23) Times'!$C251)/(365.35*24*3600)</f>
        <v>63194.71563773774</v>
      </c>
      <c r="M251" s="2">
        <f>([412]L!N251*'D(Ti_Audétat23) Times'!$F251*0.000001)^2/(4*'D(Ti_Audétat23) Times'!$C251)/(365.35*24*3600)</f>
        <v>80890.059271532562</v>
      </c>
      <c r="N251" s="2">
        <f>([412]L!O251*'D(Ti_Audétat23) Times'!$F251*0.000001)^2/(4*'D(Ti_Audétat23) Times'!$C251)/(365.35*24*3600)</f>
        <v>6301.4835788225064</v>
      </c>
      <c r="O251" s="2">
        <f>([412]L!P251*'D(Ti_Audétat23) Times'!$F251*0.000001)^2/(4*'D(Ti_Audétat23) Times'!$C251)/(365.35*24*3600)</f>
        <v>51561.432376327553</v>
      </c>
      <c r="P251" s="2">
        <f>([412]L!Q251*'D(Ti_Audétat23) Times'!$F251*0.000001)^2/(4*'D(Ti_Audétat23) Times'!$C251)/(365.35*24*3600)</f>
        <v>41449.329679087154</v>
      </c>
      <c r="Q251" s="2">
        <f>([412]L!R251*'D(Ti_Audétat23) Times'!$F251*0.000001)^2/(4*'D(Ti_Audétat23) Times'!$C251)/(365.35*24*3600)</f>
        <v>37449.198676244472</v>
      </c>
      <c r="R251" s="2">
        <f>([412]L!S251*'D(Ti_Audétat23) Times'!$F251*0.000001)^2/(4*'D(Ti_Audétat23) Times'!$C251)/(365.35*24*3600)</f>
        <v>24847.730760352057</v>
      </c>
      <c r="S251" s="2">
        <f>([412]L!T251*'D(Ti_Audétat23) Times'!$F251*0.000001)^2/(4*'D(Ti_Audétat23) Times'!$C251)/(365.35*24*3600)</f>
        <v>22536.311359975152</v>
      </c>
      <c r="T251" s="2"/>
      <c r="U251" s="2">
        <f>([412]L!V251*'D(Ti_Audétat23) Times'!$F251*0.000001)^2/(4*'D(Ti_Audétat23) Times'!$C251)/(365.35*24*3600)</f>
        <v>47083.449159643875</v>
      </c>
      <c r="V251" s="2">
        <f>([412]L!W251*'D(Ti_Audétat23) Times'!$F251*0.000001)^2/(4*'D(Ti_Audétat23) Times'!$C251)/(365.35*24*3600)</f>
        <v>45292.765144221914</v>
      </c>
      <c r="W251" s="2">
        <f>([412]L!X251*'D(Ti_Audétat23) Times'!$F251*0.000001)^2/(4*'D(Ti_Audétat23) Times'!$C251)/(365.35*24*3600)</f>
        <v>44132.320132500128</v>
      </c>
      <c r="X251" s="2"/>
      <c r="Y251" s="2">
        <f>([412]L!Z251*'D(Ti_Audétat23) Times'!$F251*0.000001)^2/(4*'D(Ti_Audétat23) Times'!$C251)/(365.35*24*3600)</f>
        <v>40473.160769418828</v>
      </c>
      <c r="Z251" s="2">
        <f>([412]L!AB251*'D(Ti_Audétat23) Times'!$F251*0.000001)^2/(4*'D(Ti_Audétat23) Times'!$C251)/(365.35*24*3600)</f>
        <v>41438.988329972883</v>
      </c>
      <c r="AA251" s="2">
        <f>([412]L!AC251*'D(Ti_Audétat23) Times'!$F251*0.000001)^2/(4*'D(Ti_Audétat23) Times'!$C251)/(365.35*24*3600)</f>
        <v>3095.9538947373735</v>
      </c>
      <c r="AB251" s="2">
        <f>([412]L!AD251*'D(Ti_Audétat23) Times'!$F251*0.000001)^2/(4*'D(Ti_Audétat23) Times'!$C251)/(365.35*24*3600)</f>
        <v>141768.7410982229</v>
      </c>
      <c r="AC251" s="2">
        <f t="shared" si="13"/>
        <v>38343.03443523551</v>
      </c>
      <c r="AD251" s="2">
        <f t="shared" si="14"/>
        <v>100329.75276825002</v>
      </c>
    </row>
    <row r="252" spans="1:30" x14ac:dyDescent="0.2">
      <c r="A252" t="str">
        <f>[412]L!A252</f>
        <v>CGI014-qtz03-CL-fit-3-offset</v>
      </c>
      <c r="B252">
        <v>750</v>
      </c>
      <c r="C252">
        <f t="shared" si="15"/>
        <v>1.1456341375347871E-23</v>
      </c>
      <c r="D252">
        <v>1800</v>
      </c>
      <c r="E252">
        <v>1024</v>
      </c>
      <c r="F252">
        <f t="shared" si="12"/>
        <v>1.7578125</v>
      </c>
      <c r="I252" s="2">
        <f>([412]L!J252*'D(Ti_Audétat23) Times'!$F252*0.000001)^2/(4*'D(Ti_Audétat23) Times'!$C252)/(365.35*24*3600)</f>
        <v>3158.7881607335376</v>
      </c>
      <c r="J252" s="2">
        <f>([412]L!K252*'D(Ti_Audétat23) Times'!$F252*0.000001)^2/(4*'D(Ti_Audétat23) Times'!$C252)/(365.35*24*3600)</f>
        <v>4959.3081866493776</v>
      </c>
      <c r="K252" s="2">
        <f>([412]L!L252*'D(Ti_Audétat23) Times'!$F252*0.000001)^2/(4*'D(Ti_Audétat23) Times'!$C252)/(365.35*24*3600)</f>
        <v>11923.722123043523</v>
      </c>
      <c r="L252" s="2">
        <f>([412]L!M252*'D(Ti_Audétat23) Times'!$F252*0.000001)^2/(4*'D(Ti_Audétat23) Times'!$C252)/(365.35*24*3600)</f>
        <v>1101.2273219847514</v>
      </c>
      <c r="M252" s="2">
        <f>([412]L!N252*'D(Ti_Audétat23) Times'!$F252*0.000001)^2/(4*'D(Ti_Audétat23) Times'!$C252)/(365.35*24*3600)</f>
        <v>117.83463932628916</v>
      </c>
      <c r="N252" s="2">
        <f>([412]L!O252*'D(Ti_Audétat23) Times'!$F252*0.000001)^2/(4*'D(Ti_Audétat23) Times'!$C252)/(365.35*24*3600)</f>
        <v>17596.782083406106</v>
      </c>
      <c r="O252" s="2">
        <f>([412]L!P252*'D(Ti_Audétat23) Times'!$F252*0.000001)^2/(4*'D(Ti_Audétat23) Times'!$C252)/(365.35*24*3600)</f>
        <v>10801.739241211741</v>
      </c>
      <c r="P252" s="2">
        <f>([412]L!Q252*'D(Ti_Audétat23) Times'!$F252*0.000001)^2/(4*'D(Ti_Audétat23) Times'!$C252)/(365.35*24*3600)</f>
        <v>638.69596735490518</v>
      </c>
      <c r="Q252" s="2">
        <f>([412]L!R252*'D(Ti_Audétat23) Times'!$F252*0.000001)^2/(4*'D(Ti_Audétat23) Times'!$C252)/(365.35*24*3600)</f>
        <v>4728.3546847471634</v>
      </c>
      <c r="R252" s="2">
        <f>([412]L!S252*'D(Ti_Audétat23) Times'!$F252*0.000001)^2/(4*'D(Ti_Audétat23) Times'!$C252)/(365.35*24*3600)</f>
        <v>1421.7281646464558</v>
      </c>
      <c r="S252" s="2">
        <f>([412]L!T252*'D(Ti_Audétat23) Times'!$F252*0.000001)^2/(4*'D(Ti_Audétat23) Times'!$C252)/(365.35*24*3600)</f>
        <v>14396.364503931612</v>
      </c>
      <c r="T252" s="2"/>
      <c r="U252" s="2">
        <f>([412]L!V252*'D(Ti_Audétat23) Times'!$F252*0.000001)^2/(4*'D(Ti_Audétat23) Times'!$C252)/(365.35*24*3600)</f>
        <v>3409.6934818582113</v>
      </c>
      <c r="V252" s="2">
        <f>([412]L!W252*'D(Ti_Audétat23) Times'!$F252*0.000001)^2/(4*'D(Ti_Audétat23) Times'!$C252)/(365.35*24*3600)</f>
        <v>4876.7567140315832</v>
      </c>
      <c r="W252" s="2">
        <f>([412]L!X252*'D(Ti_Audétat23) Times'!$F252*0.000001)^2/(4*'D(Ti_Audétat23) Times'!$C252)/(365.35*24*3600)</f>
        <v>4728.3546847471634</v>
      </c>
      <c r="X252" s="2"/>
      <c r="Y252" s="2">
        <f>([412]L!Z252*'D(Ti_Audétat23) Times'!$F252*0.000001)^2/(4*'D(Ti_Audétat23) Times'!$C252)/(365.35*24*3600)</f>
        <v>2709.4909204775317</v>
      </c>
      <c r="Z252" s="2">
        <f>([412]L!AB252*'D(Ti_Audétat23) Times'!$F252*0.000001)^2/(4*'D(Ti_Audétat23) Times'!$C252)/(365.35*24*3600)</f>
        <v>3205.9661187197535</v>
      </c>
      <c r="AA252" s="2">
        <f>([412]L!AC252*'D(Ti_Audétat23) Times'!$F252*0.000001)^2/(4*'D(Ti_Audétat23) Times'!$C252)/(365.35*24*3600)</f>
        <v>1.1079279316892002E-9</v>
      </c>
      <c r="AB252" s="2">
        <f>([412]L!AD252*'D(Ti_Audétat23) Times'!$F252*0.000001)^2/(4*'D(Ti_Audétat23) Times'!$C252)/(365.35*24*3600)</f>
        <v>20653.141316442168</v>
      </c>
      <c r="AC252" s="2">
        <f t="shared" si="13"/>
        <v>3205.9661187186457</v>
      </c>
      <c r="AD252" s="2">
        <f t="shared" si="14"/>
        <v>17447.175197722416</v>
      </c>
    </row>
    <row r="253" spans="1:30" x14ac:dyDescent="0.2">
      <c r="A253" t="str">
        <f>[412]L!A253</f>
        <v>CGI014-qtz03-CL-fit-4-offset</v>
      </c>
      <c r="B253">
        <v>750</v>
      </c>
      <c r="C253">
        <f t="shared" si="15"/>
        <v>1.1456341375347871E-23</v>
      </c>
      <c r="D253">
        <v>1800</v>
      </c>
      <c r="E253">
        <v>1024</v>
      </c>
      <c r="F253">
        <f t="shared" si="12"/>
        <v>1.7578125</v>
      </c>
      <c r="I253" s="2">
        <f>([412]L!J253*'D(Ti_Audétat23) Times'!$F253*0.000001)^2/(4*'D(Ti_Audétat23) Times'!$C253)/(365.35*24*3600)</f>
        <v>22098.132051732311</v>
      </c>
      <c r="J253" s="2">
        <f>([412]L!K253*'D(Ti_Audétat23) Times'!$F253*0.000001)^2/(4*'D(Ti_Audétat23) Times'!$C253)/(365.35*24*3600)</f>
        <v>864.71040799119044</v>
      </c>
      <c r="K253" s="2">
        <f>([412]L!L253*'D(Ti_Audétat23) Times'!$F253*0.000001)^2/(4*'D(Ti_Audétat23) Times'!$C253)/(365.35*24*3600)</f>
        <v>3.5931983081904741</v>
      </c>
      <c r="L253" s="2">
        <f>([412]L!M253*'D(Ti_Audétat23) Times'!$F253*0.000001)^2/(4*'D(Ti_Audétat23) Times'!$C253)/(365.35*24*3600)</f>
        <v>799.61038972448841</v>
      </c>
      <c r="M253" s="2">
        <f>([412]L!N253*'D(Ti_Audétat23) Times'!$F253*0.000001)^2/(4*'D(Ti_Audétat23) Times'!$C253)/(365.35*24*3600)</f>
        <v>6.377298782130068</v>
      </c>
      <c r="N253" s="2">
        <f>([412]L!O253*'D(Ti_Audétat23) Times'!$F253*0.000001)^2/(4*'D(Ti_Audétat23) Times'!$C253)/(365.35*24*3600)</f>
        <v>25219.117569647307</v>
      </c>
      <c r="O253" s="2">
        <f>([412]L!P253*'D(Ti_Audétat23) Times'!$F253*0.000001)^2/(4*'D(Ti_Audétat23) Times'!$C253)/(365.35*24*3600)</f>
        <v>2347.8907588660231</v>
      </c>
      <c r="P253" s="2">
        <f>([412]L!Q253*'D(Ti_Audétat23) Times'!$F253*0.000001)^2/(4*'D(Ti_Audétat23) Times'!$C253)/(365.35*24*3600)</f>
        <v>4139.4067909273554</v>
      </c>
      <c r="Q253" s="2">
        <f>([412]L!R253*'D(Ti_Audétat23) Times'!$F253*0.000001)^2/(4*'D(Ti_Audétat23) Times'!$C253)/(365.35*24*3600)</f>
        <v>5711.9025876409987</v>
      </c>
      <c r="R253" s="2">
        <f>([412]L!S253*'D(Ti_Audétat23) Times'!$F253*0.000001)^2/(4*'D(Ti_Audétat23) Times'!$C253)/(365.35*24*3600)</f>
        <v>130.67118277579277</v>
      </c>
      <c r="S253" s="2">
        <f>([412]L!T253*'D(Ti_Audétat23) Times'!$F253*0.000001)^2/(4*'D(Ti_Audétat23) Times'!$C253)/(365.35*24*3600)</f>
        <v>9852.6950209113329</v>
      </c>
      <c r="T253" s="2"/>
      <c r="U253" s="2">
        <f>([412]L!V253*'D(Ti_Audétat23) Times'!$F253*0.000001)^2/(4*'D(Ti_Audétat23) Times'!$C253)/(365.35*24*3600)</f>
        <v>1635.5458500723216</v>
      </c>
      <c r="V253" s="2">
        <f>([412]L!W253*'D(Ti_Audétat23) Times'!$F253*0.000001)^2/(4*'D(Ti_Audétat23) Times'!$C253)/(365.35*24*3600)</f>
        <v>3694.7191450891623</v>
      </c>
      <c r="W253" s="2">
        <f>([412]L!X253*'D(Ti_Audétat23) Times'!$F253*0.000001)^2/(4*'D(Ti_Audétat23) Times'!$C253)/(365.35*24*3600)</f>
        <v>2347.8907588660231</v>
      </c>
      <c r="X253" s="2"/>
      <c r="Y253" s="2">
        <f>([412]L!Z253*'D(Ti_Audétat23) Times'!$F253*0.000001)^2/(4*'D(Ti_Audétat23) Times'!$C253)/(365.35*24*3600)</f>
        <v>344.24131142563192</v>
      </c>
      <c r="Z253" s="2">
        <f>([412]L!AB253*'D(Ti_Audétat23) Times'!$F253*0.000001)^2/(4*'D(Ti_Audétat23) Times'!$C253)/(365.35*24*3600)</f>
        <v>2090.6017140021168</v>
      </c>
      <c r="AA253" s="2">
        <f>([412]L!AC253*'D(Ti_Audétat23) Times'!$F253*0.000001)^2/(4*'D(Ti_Audétat23) Times'!$C253)/(365.35*24*3600)</f>
        <v>1.0866118374933006E-11</v>
      </c>
      <c r="AB253" s="2">
        <f>([412]L!AD253*'D(Ti_Audétat23) Times'!$F253*0.000001)^2/(4*'D(Ti_Audétat23) Times'!$C253)/(365.35*24*3600)</f>
        <v>34178.238303598955</v>
      </c>
      <c r="AC253" s="2">
        <f t="shared" si="13"/>
        <v>2090.6017140021058</v>
      </c>
      <c r="AD253" s="2">
        <f t="shared" si="14"/>
        <v>32087.636589596837</v>
      </c>
    </row>
    <row r="254" spans="1:30" x14ac:dyDescent="0.2">
      <c r="A254" t="str">
        <f>[412]L!A254</f>
        <v>CGI014-qtz03-CL-fit-5-offset</v>
      </c>
      <c r="B254">
        <v>750</v>
      </c>
      <c r="C254">
        <f t="shared" si="15"/>
        <v>1.1456341375347871E-23</v>
      </c>
      <c r="D254">
        <v>1800</v>
      </c>
      <c r="E254">
        <v>1024</v>
      </c>
      <c r="F254">
        <f t="shared" si="12"/>
        <v>1.7578125</v>
      </c>
      <c r="I254" s="2">
        <f>([412]L!J254*'D(Ti_Audétat23) Times'!$F254*0.000001)^2/(4*'D(Ti_Audétat23) Times'!$C254)/(365.35*24*3600)</f>
        <v>11937.309080165674</v>
      </c>
      <c r="J254" s="2">
        <f>([412]L!K254*'D(Ti_Audétat23) Times'!$F254*0.000001)^2/(4*'D(Ti_Audétat23) Times'!$C254)/(365.35*24*3600)</f>
        <v>17147.46858041903</v>
      </c>
      <c r="K254" s="2">
        <f>([412]L!L254*'D(Ti_Audétat23) Times'!$F254*0.000001)^2/(4*'D(Ti_Audétat23) Times'!$C254)/(365.35*24*3600)</f>
        <v>260.54390476546166</v>
      </c>
      <c r="L254" s="2">
        <f>([412]L!M254*'D(Ti_Audétat23) Times'!$F254*0.000001)^2/(4*'D(Ti_Audétat23) Times'!$C254)/(365.35*24*3600)</f>
        <v>11082.961916746824</v>
      </c>
      <c r="M254" s="2">
        <f>([412]L!N254*'D(Ti_Audétat23) Times'!$F254*0.000001)^2/(4*'D(Ti_Audétat23) Times'!$C254)/(365.35*24*3600)</f>
        <v>73.733163972759627</v>
      </c>
      <c r="N254" s="2">
        <f>([412]L!O254*'D(Ti_Audétat23) Times'!$F254*0.000001)^2/(4*'D(Ti_Audétat23) Times'!$C254)/(365.35*24*3600)</f>
        <v>119.59133523402885</v>
      </c>
      <c r="O254" s="2">
        <f>([412]L!P254*'D(Ti_Audétat23) Times'!$F254*0.000001)^2/(4*'D(Ti_Audétat23) Times'!$C254)/(365.35*24*3600)</f>
        <v>2481.4829293699322</v>
      </c>
      <c r="P254" s="2">
        <f>([412]L!Q254*'D(Ti_Audétat23) Times'!$F254*0.000001)^2/(4*'D(Ti_Audétat23) Times'!$C254)/(365.35*24*3600)</f>
        <v>89.652531665303201</v>
      </c>
      <c r="Q254" s="2">
        <f>([412]L!R254*'D(Ti_Audétat23) Times'!$F254*0.000001)^2/(4*'D(Ti_Audétat23) Times'!$C254)/(365.35*24*3600)</f>
        <v>306.50766996723763</v>
      </c>
      <c r="R254" s="2">
        <f>([412]L!S254*'D(Ti_Audétat23) Times'!$F254*0.000001)^2/(4*'D(Ti_Audétat23) Times'!$C254)/(365.35*24*3600)</f>
        <v>1254.3694709540732</v>
      </c>
      <c r="S254" s="2">
        <f>([412]L!T254*'D(Ti_Audétat23) Times'!$F254*0.000001)^2/(4*'D(Ti_Audétat23) Times'!$C254)/(365.35*24*3600)</f>
        <v>59.219843723420212</v>
      </c>
      <c r="T254" s="2"/>
      <c r="U254" s="2">
        <f>([412]L!V254*'D(Ti_Audétat23) Times'!$F254*0.000001)^2/(4*'D(Ti_Audétat23) Times'!$C254)/(365.35*24*3600)</f>
        <v>2901.1695949153172</v>
      </c>
      <c r="V254" s="2">
        <f>([412]L!W254*'D(Ti_Audétat23) Times'!$F254*0.000001)^2/(4*'D(Ti_Audétat23) Times'!$C254)/(365.35*24*3600)</f>
        <v>2074.79264247323</v>
      </c>
      <c r="W254" s="2">
        <f>([412]L!X254*'D(Ti_Audétat23) Times'!$F254*0.000001)^2/(4*'D(Ti_Audétat23) Times'!$C254)/(365.35*24*3600)</f>
        <v>306.50766996723763</v>
      </c>
      <c r="X254" s="2"/>
      <c r="Y254" s="2">
        <f>([412]L!Z254*'D(Ti_Audétat23) Times'!$F254*0.000001)^2/(4*'D(Ti_Audétat23) Times'!$C254)/(365.35*24*3600)</f>
        <v>268.52867165239405</v>
      </c>
      <c r="Z254" s="2">
        <f>([412]L!AB254*'D(Ti_Audétat23) Times'!$F254*0.000001)^2/(4*'D(Ti_Audétat23) Times'!$C254)/(365.35*24*3600)</f>
        <v>1783.0624900844768</v>
      </c>
      <c r="AA254" s="2">
        <f>([412]L!AC254*'D(Ti_Audétat23) Times'!$F254*0.000001)^2/(4*'D(Ti_Audétat23) Times'!$C254)/(365.35*24*3600)</f>
        <v>0.65914030107682586</v>
      </c>
      <c r="AB254" s="2">
        <f>([412]L!AD254*'D(Ti_Audétat23) Times'!$F254*0.000001)^2/(4*'D(Ti_Audétat23) Times'!$C254)/(365.35*24*3600)</f>
        <v>46995.399476764687</v>
      </c>
      <c r="AC254" s="2">
        <f t="shared" si="13"/>
        <v>1782.4033497834</v>
      </c>
      <c r="AD254" s="2">
        <f t="shared" si="14"/>
        <v>45212.33698668021</v>
      </c>
    </row>
    <row r="255" spans="1:30" x14ac:dyDescent="0.2">
      <c r="A255" t="str">
        <f>[412]L!A255</f>
        <v>CGI014-qtz04-CL-fit-1-offset</v>
      </c>
      <c r="B255">
        <v>750</v>
      </c>
      <c r="C255">
        <f t="shared" si="15"/>
        <v>1.1456341375347871E-23</v>
      </c>
      <c r="D255">
        <v>1600</v>
      </c>
      <c r="E255">
        <v>1024</v>
      </c>
      <c r="F255">
        <f t="shared" si="12"/>
        <v>1.5625</v>
      </c>
      <c r="I255" s="2">
        <f>([412]L!J255*'D(Ti_Audétat23) Times'!$F255*0.000001)^2/(4*'D(Ti_Audétat23) Times'!$C255)/(365.35*24*3600)</f>
        <v>0</v>
      </c>
      <c r="J255" s="2">
        <f>([412]L!K255*'D(Ti_Audétat23) Times'!$F255*0.000001)^2/(4*'D(Ti_Audétat23) Times'!$C255)/(365.35*24*3600)</f>
        <v>0</v>
      </c>
      <c r="K255" s="2">
        <f>([412]L!L255*'D(Ti_Audétat23) Times'!$F255*0.000001)^2/(4*'D(Ti_Audétat23) Times'!$C255)/(365.35*24*3600)</f>
        <v>147829.3130181157</v>
      </c>
      <c r="L255" s="2">
        <f>([412]L!M255*'D(Ti_Audétat23) Times'!$F255*0.000001)^2/(4*'D(Ti_Audétat23) Times'!$C255)/(365.35*24*3600)</f>
        <v>122089.60776494672</v>
      </c>
      <c r="M255" s="2">
        <f>([412]L!N255*'D(Ti_Audétat23) Times'!$F255*0.000001)^2/(4*'D(Ti_Audétat23) Times'!$C255)/(365.35*24*3600)</f>
        <v>64687.259190795805</v>
      </c>
      <c r="N255" s="2">
        <f>([412]L!O255*'D(Ti_Audétat23) Times'!$F255*0.000001)^2/(4*'D(Ti_Audétat23) Times'!$C255)/(365.35*24*3600)</f>
        <v>52788.581168437777</v>
      </c>
      <c r="O255" s="2">
        <f>([412]L!P255*'D(Ti_Audétat23) Times'!$F255*0.000001)^2/(4*'D(Ti_Audétat23) Times'!$C255)/(365.35*24*3600)</f>
        <v>108579.96405983018</v>
      </c>
      <c r="P255" s="2">
        <f>([412]L!Q255*'D(Ti_Audétat23) Times'!$F255*0.000001)^2/(4*'D(Ti_Audétat23) Times'!$C255)/(365.35*24*3600)</f>
        <v>70089.359326283302</v>
      </c>
      <c r="Q255" s="2">
        <f>([412]L!R255*'D(Ti_Audétat23) Times'!$F255*0.000001)^2/(4*'D(Ti_Audétat23) Times'!$C255)/(365.35*24*3600)</f>
        <v>102630.04048832245</v>
      </c>
      <c r="R255" s="2">
        <f>([412]L!S255*'D(Ti_Audétat23) Times'!$F255*0.000001)^2/(4*'D(Ti_Audétat23) Times'!$C255)/(365.35*24*3600)</f>
        <v>79167.40275558774</v>
      </c>
      <c r="S255" s="2">
        <f>([412]L!T255*'D(Ti_Audétat23) Times'!$F255*0.000001)^2/(4*'D(Ti_Audétat23) Times'!$C255)/(365.35*24*3600)</f>
        <v>87305.704281428087</v>
      </c>
      <c r="T255" s="2"/>
      <c r="U255" s="2">
        <f>([412]L!V255*'D(Ti_Audétat23) Times'!$F255*0.000001)^2/(4*'D(Ti_Audétat23) Times'!$C255)/(365.35*24*3600)</f>
        <v>93812.82264977161</v>
      </c>
      <c r="V255" s="2">
        <f>([412]L!W255*'D(Ti_Audétat23) Times'!$F255*0.000001)^2/(4*'D(Ti_Audétat23) Times'!$C255)/(365.35*24*3600)</f>
        <v>90631.363991139835</v>
      </c>
      <c r="W255" s="2">
        <f>([412]L!X255*'D(Ti_Audétat23) Times'!$F255*0.000001)^2/(4*'D(Ti_Audétat23) Times'!$C255)/(365.35*24*3600)</f>
        <v>87305.704281428087</v>
      </c>
      <c r="X255" s="2"/>
      <c r="Y255" s="2">
        <f>([412]L!Z255*'D(Ti_Audétat23) Times'!$F255*0.000001)^2/(4*'D(Ti_Audétat23) Times'!$C255)/(365.35*24*3600)</f>
        <v>96038.419663656387</v>
      </c>
      <c r="Z255" s="2">
        <f>([412]L!AB255*'D(Ti_Audétat23) Times'!$F255*0.000001)^2/(4*'D(Ti_Audétat23) Times'!$C255)/(365.35*24*3600)</f>
        <v>94464.914390108999</v>
      </c>
      <c r="AA255" s="2">
        <f>([412]L!AC255*'D(Ti_Audétat23) Times'!$F255*0.000001)^2/(4*'D(Ti_Audétat23) Times'!$C255)/(365.35*24*3600)</f>
        <v>38183.76557119358</v>
      </c>
      <c r="AB255" s="2">
        <f>([412]L!AD255*'D(Ti_Audétat23) Times'!$F255*0.000001)^2/(4*'D(Ti_Audétat23) Times'!$C255)/(365.35*24*3600)</f>
        <v>171416.2770037154</v>
      </c>
      <c r="AC255" s="2">
        <f t="shared" si="13"/>
        <v>56281.148818915419</v>
      </c>
      <c r="AD255" s="2">
        <f t="shared" si="14"/>
        <v>76951.362613606398</v>
      </c>
    </row>
    <row r="256" spans="1:30" x14ac:dyDescent="0.2">
      <c r="A256" t="str">
        <f>[412]L!A256</f>
        <v>CGI014-qtz04-CL-fit-2-offset</v>
      </c>
      <c r="B256">
        <v>750</v>
      </c>
      <c r="C256">
        <f t="shared" si="15"/>
        <v>1.1456341375347871E-23</v>
      </c>
      <c r="D256">
        <v>1600</v>
      </c>
      <c r="E256">
        <v>1024</v>
      </c>
      <c r="F256">
        <f t="shared" si="12"/>
        <v>1.5625</v>
      </c>
      <c r="I256" s="2">
        <f>([412]L!J256*'D(Ti_Audétat23) Times'!$F256*0.000001)^2/(4*'D(Ti_Audétat23) Times'!$C256)/(365.35*24*3600)</f>
        <v>26182.88585646958</v>
      </c>
      <c r="J256" s="2">
        <f>([412]L!K256*'D(Ti_Audétat23) Times'!$F256*0.000001)^2/(4*'D(Ti_Audétat23) Times'!$C256)/(365.35*24*3600)</f>
        <v>36688.679974042469</v>
      </c>
      <c r="K256" s="2">
        <f>([412]L!L256*'D(Ti_Audétat23) Times'!$F256*0.000001)^2/(4*'D(Ti_Audétat23) Times'!$C256)/(365.35*24*3600)</f>
        <v>75.081690287000001</v>
      </c>
      <c r="L256" s="2">
        <f>([412]L!M256*'D(Ti_Audétat23) Times'!$F256*0.000001)^2/(4*'D(Ti_Audétat23) Times'!$C256)/(365.35*24*3600)</f>
        <v>39223.874061927425</v>
      </c>
      <c r="M256" s="2">
        <f>([412]L!N256*'D(Ti_Audétat23) Times'!$F256*0.000001)^2/(4*'D(Ti_Audétat23) Times'!$C256)/(365.35*24*3600)</f>
        <v>41000.310609078108</v>
      </c>
      <c r="N256" s="2">
        <f>([412]L!O256*'D(Ti_Audétat23) Times'!$F256*0.000001)^2/(4*'D(Ti_Audétat23) Times'!$C256)/(365.35*24*3600)</f>
        <v>15129.056136884208</v>
      </c>
      <c r="O256" s="2">
        <f>([412]L!P256*'D(Ti_Audétat23) Times'!$F256*0.000001)^2/(4*'D(Ti_Audétat23) Times'!$C256)/(365.35*24*3600)</f>
        <v>2562.729927122924</v>
      </c>
      <c r="P256" s="2">
        <f>([412]L!Q256*'D(Ti_Audétat23) Times'!$F256*0.000001)^2/(4*'D(Ti_Audétat23) Times'!$C256)/(365.35*24*3600)</f>
        <v>7316.4629388301537</v>
      </c>
      <c r="Q256" s="2">
        <f>([412]L!R256*'D(Ti_Audétat23) Times'!$F256*0.000001)^2/(4*'D(Ti_Audétat23) Times'!$C256)/(365.35*24*3600)</f>
        <v>10205.020625489629</v>
      </c>
      <c r="R256" s="2">
        <f>([412]L!S256*'D(Ti_Audétat23) Times'!$F256*0.000001)^2/(4*'D(Ti_Audétat23) Times'!$C256)/(365.35*24*3600)</f>
        <v>21939.256298051143</v>
      </c>
      <c r="S256" s="2">
        <f>([412]L!T256*'D(Ti_Audétat23) Times'!$F256*0.000001)^2/(4*'D(Ti_Audétat23) Times'!$C256)/(365.35*24*3600)</f>
        <v>12804.590598268398</v>
      </c>
      <c r="T256" s="2"/>
      <c r="U256" s="2">
        <f>([412]L!V256*'D(Ti_Audétat23) Times'!$F256*0.000001)^2/(4*'D(Ti_Audétat23) Times'!$C256)/(365.35*24*3600)</f>
        <v>16995.240202392361</v>
      </c>
      <c r="V256" s="2">
        <f>([412]L!W256*'D(Ti_Audétat23) Times'!$F256*0.000001)^2/(4*'D(Ti_Audétat23) Times'!$C256)/(365.35*24*3600)</f>
        <v>15830.465236065411</v>
      </c>
      <c r="W256" s="2">
        <f>([412]L!X256*'D(Ti_Audétat23) Times'!$F256*0.000001)^2/(4*'D(Ti_Audétat23) Times'!$C256)/(365.35*24*3600)</f>
        <v>15129.056136884208</v>
      </c>
      <c r="X256" s="2"/>
      <c r="Y256" s="2">
        <f>([412]L!Z256*'D(Ti_Audétat23) Times'!$F256*0.000001)^2/(4*'D(Ti_Audétat23) Times'!$C256)/(365.35*24*3600)</f>
        <v>12293.791094863749</v>
      </c>
      <c r="Z256" s="2">
        <f>([412]L!AB256*'D(Ti_Audétat23) Times'!$F256*0.000001)^2/(4*'D(Ti_Audétat23) Times'!$C256)/(365.35*24*3600)</f>
        <v>33032.676632816627</v>
      </c>
      <c r="AA256" s="2">
        <f>([412]L!AC256*'D(Ti_Audétat23) Times'!$F256*0.000001)^2/(4*'D(Ti_Audétat23) Times'!$C256)/(365.35*24*3600)</f>
        <v>16.00044940024479</v>
      </c>
      <c r="AB256" s="2">
        <f>([412]L!AD256*'D(Ti_Audétat23) Times'!$F256*0.000001)^2/(4*'D(Ti_Audétat23) Times'!$C256)/(365.35*24*3600)</f>
        <v>2520814.0498972274</v>
      </c>
      <c r="AC256" s="2">
        <f t="shared" si="13"/>
        <v>33016.676183416384</v>
      </c>
      <c r="AD256" s="2">
        <f t="shared" si="14"/>
        <v>2487781.373264411</v>
      </c>
    </row>
    <row r="257" spans="1:30" x14ac:dyDescent="0.2">
      <c r="A257" t="str">
        <f>[412]L!A257</f>
        <v>CGI014-qtz04-CL-fit-3-offset</v>
      </c>
      <c r="B257">
        <v>750</v>
      </c>
      <c r="C257">
        <f t="shared" si="15"/>
        <v>1.1456341375347871E-23</v>
      </c>
      <c r="D257">
        <v>1600</v>
      </c>
      <c r="E257">
        <v>1024</v>
      </c>
      <c r="F257">
        <f t="shared" si="12"/>
        <v>1.5625</v>
      </c>
      <c r="I257" s="2">
        <f>([412]L!J257*'D(Ti_Audétat23) Times'!$F257*0.000001)^2/(4*'D(Ti_Audétat23) Times'!$C257)/(365.35*24*3600)</f>
        <v>1779.6637416459664</v>
      </c>
      <c r="J257" s="2">
        <f>([412]L!K257*'D(Ti_Audétat23) Times'!$F257*0.000001)^2/(4*'D(Ti_Audétat23) Times'!$C257)/(365.35*24*3600)</f>
        <v>255.59023528525373</v>
      </c>
      <c r="K257" s="2">
        <f>([412]L!L257*'D(Ti_Audétat23) Times'!$F257*0.000001)^2/(4*'D(Ti_Audétat23) Times'!$C257)/(365.35*24*3600)</f>
        <v>1.5222051173349666E-14</v>
      </c>
      <c r="L257" s="2">
        <f>([412]L!M257*'D(Ti_Audétat23) Times'!$F257*0.000001)^2/(4*'D(Ti_Audétat23) Times'!$C257)/(365.35*24*3600)</f>
        <v>1780.282264950828</v>
      </c>
      <c r="M257" s="2">
        <f>([412]L!N257*'D(Ti_Audétat23) Times'!$F257*0.000001)^2/(4*'D(Ti_Audétat23) Times'!$C257)/(365.35*24*3600)</f>
        <v>18.990552121467331</v>
      </c>
      <c r="N257" s="2">
        <f>([412]L!O257*'D(Ti_Audétat23) Times'!$F257*0.000001)^2/(4*'D(Ti_Audétat23) Times'!$C257)/(365.35*24*3600)</f>
        <v>3066.5990407625181</v>
      </c>
      <c r="O257" s="2">
        <f>([412]L!P257*'D(Ti_Audétat23) Times'!$F257*0.000001)^2/(4*'D(Ti_Audétat23) Times'!$C257)/(365.35*24*3600)</f>
        <v>18075.969821114006</v>
      </c>
      <c r="P257" s="2">
        <f>([412]L!Q257*'D(Ti_Audétat23) Times'!$F257*0.000001)^2/(4*'D(Ti_Audétat23) Times'!$C257)/(365.35*24*3600)</f>
        <v>1431.169340379809</v>
      </c>
      <c r="Q257" s="2">
        <f>([412]L!R257*'D(Ti_Audétat23) Times'!$F257*0.000001)^2/(4*'D(Ti_Audétat23) Times'!$C257)/(365.35*24*3600)</f>
        <v>723.23867507067257</v>
      </c>
      <c r="R257" s="2">
        <f>([412]L!S257*'D(Ti_Audétat23) Times'!$F257*0.000001)^2/(4*'D(Ti_Audétat23) Times'!$C257)/(365.35*24*3600)</f>
        <v>178.35974793834282</v>
      </c>
      <c r="S257" s="2">
        <f>([412]L!T257*'D(Ti_Audétat23) Times'!$F257*0.000001)^2/(4*'D(Ti_Audétat23) Times'!$C257)/(365.35*24*3600)</f>
        <v>197.90305897698141</v>
      </c>
      <c r="T257" s="2"/>
      <c r="U257" s="2">
        <f>([412]L!V257*'D(Ti_Audétat23) Times'!$F257*0.000001)^2/(4*'D(Ti_Audétat23) Times'!$C257)/(365.35*24*3600)</f>
        <v>1778.8376418691157</v>
      </c>
      <c r="V257" s="2">
        <f>([412]L!W257*'D(Ti_Audétat23) Times'!$F257*0.000001)^2/(4*'D(Ti_Audétat23) Times'!$C257)/(365.35*24*3600)</f>
        <v>1235.8106184206308</v>
      </c>
      <c r="W257" s="2">
        <f>([412]L!X257*'D(Ti_Audétat23) Times'!$F257*0.000001)^2/(4*'D(Ti_Audétat23) Times'!$C257)/(365.35*24*3600)</f>
        <v>723.23867507067257</v>
      </c>
      <c r="X257" s="2"/>
      <c r="Y257" s="2">
        <f>([412]L!Z257*'D(Ti_Audétat23) Times'!$F257*0.000001)^2/(4*'D(Ti_Audétat23) Times'!$C257)/(365.35*24*3600)</f>
        <v>321.99780833606638</v>
      </c>
      <c r="Z257" s="2">
        <f>([412]L!AB257*'D(Ti_Audétat23) Times'!$F257*0.000001)^2/(4*'D(Ti_Audétat23) Times'!$C257)/(365.35*24*3600)</f>
        <v>1062.5550816130715</v>
      </c>
      <c r="AA257" s="2">
        <f>([412]L!AC257*'D(Ti_Audétat23) Times'!$F257*0.000001)^2/(4*'D(Ti_Audétat23) Times'!$C257)/(365.35*24*3600)</f>
        <v>17.858214921645594</v>
      </c>
      <c r="AB257" s="2">
        <f>([412]L!AD257*'D(Ti_Audétat23) Times'!$F257*0.000001)^2/(4*'D(Ti_Audétat23) Times'!$C257)/(365.35*24*3600)</f>
        <v>9345.7112291745561</v>
      </c>
      <c r="AC257" s="2">
        <f t="shared" si="13"/>
        <v>1044.6968666914258</v>
      </c>
      <c r="AD257" s="2">
        <f t="shared" si="14"/>
        <v>8283.1561475614853</v>
      </c>
    </row>
    <row r="258" spans="1:30" x14ac:dyDescent="0.2">
      <c r="A258" t="str">
        <f>[412]L!A258</f>
        <v>CGI014-qtz05-CL-fit-1-offset</v>
      </c>
      <c r="B258">
        <v>750</v>
      </c>
      <c r="C258">
        <f t="shared" si="15"/>
        <v>1.1456341375347871E-23</v>
      </c>
      <c r="D258">
        <v>1900</v>
      </c>
      <c r="E258">
        <v>1024</v>
      </c>
      <c r="F258">
        <f t="shared" si="12"/>
        <v>1.85546875</v>
      </c>
      <c r="I258" s="2">
        <f>([412]L!J258*'D(Ti_Audétat23) Times'!$F258*0.000001)^2/(4*'D(Ti_Audétat23) Times'!$C258)/(365.35*24*3600)</f>
        <v>376189.95630106452</v>
      </c>
      <c r="J258" s="2">
        <f>([412]L!K258*'D(Ti_Audétat23) Times'!$F258*0.000001)^2/(4*'D(Ti_Audétat23) Times'!$C258)/(365.35*24*3600)</f>
        <v>524403.27014811698</v>
      </c>
      <c r="K258" s="2">
        <f>([412]L!L258*'D(Ti_Audétat23) Times'!$F258*0.000001)^2/(4*'D(Ti_Audétat23) Times'!$C258)/(365.35*24*3600)</f>
        <v>307331.45245457219</v>
      </c>
      <c r="L258" s="2">
        <f>([412]L!M258*'D(Ti_Audétat23) Times'!$F258*0.000001)^2/(4*'D(Ti_Audétat23) Times'!$C258)/(365.35*24*3600)</f>
        <v>343407.167684026</v>
      </c>
      <c r="M258" s="2">
        <f>([412]L!N258*'D(Ti_Audétat23) Times'!$F258*0.000001)^2/(4*'D(Ti_Audétat23) Times'!$C258)/(365.35*24*3600)</f>
        <v>248101.85618703769</v>
      </c>
      <c r="N258" s="2">
        <f>([412]L!O258*'D(Ti_Audétat23) Times'!$F258*0.000001)^2/(4*'D(Ti_Audétat23) Times'!$C258)/(365.35*24*3600)</f>
        <v>328900.89939145686</v>
      </c>
      <c r="O258" s="2">
        <f>([412]L!P258*'D(Ti_Audétat23) Times'!$F258*0.000001)^2/(4*'D(Ti_Audétat23) Times'!$C258)/(365.35*24*3600)</f>
        <v>312344.86574693921</v>
      </c>
      <c r="P258" s="2">
        <f>([412]L!Q258*'D(Ti_Audétat23) Times'!$F258*0.000001)^2/(4*'D(Ti_Audétat23) Times'!$C258)/(365.35*24*3600)</f>
        <v>165642.46737543232</v>
      </c>
      <c r="Q258" s="2">
        <f>([412]L!R258*'D(Ti_Audétat23) Times'!$F258*0.000001)^2/(4*'D(Ti_Audétat23) Times'!$C258)/(365.35*24*3600)</f>
        <v>235873.91734948065</v>
      </c>
      <c r="R258" s="2">
        <f>([412]L!S258*'D(Ti_Audétat23) Times'!$F258*0.000001)^2/(4*'D(Ti_Audétat23) Times'!$C258)/(365.35*24*3600)</f>
        <v>343699.42870088184</v>
      </c>
      <c r="S258" s="2">
        <f>([412]L!T258*'D(Ti_Audétat23) Times'!$F258*0.000001)^2/(4*'D(Ti_Audétat23) Times'!$C258)/(365.35*24*3600)</f>
        <v>261746.1069490652</v>
      </c>
      <c r="T258" s="2"/>
      <c r="U258" s="2">
        <f>([412]L!V258*'D(Ti_Audétat23) Times'!$F258*0.000001)^2/(4*'D(Ti_Audétat23) Times'!$C258)/(365.35*24*3600)</f>
        <v>306598.92760328844</v>
      </c>
      <c r="V258" s="2">
        <f>([412]L!W258*'D(Ti_Audétat23) Times'!$F258*0.000001)^2/(4*'D(Ti_Audétat23) Times'!$C258)/(365.35*24*3600)</f>
        <v>307408.80111591285</v>
      </c>
      <c r="W258" s="2">
        <f>([412]L!X258*'D(Ti_Audétat23) Times'!$F258*0.000001)^2/(4*'D(Ti_Audétat23) Times'!$C258)/(365.35*24*3600)</f>
        <v>312344.86574693921</v>
      </c>
      <c r="X258" s="2"/>
      <c r="Y258" s="2">
        <f>([412]L!Z258*'D(Ti_Audétat23) Times'!$F258*0.000001)^2/(4*'D(Ti_Audétat23) Times'!$C258)/(365.35*24*3600)</f>
        <v>301317.27314380149</v>
      </c>
      <c r="Z258" s="2">
        <f>([412]L!AB258*'D(Ti_Audétat23) Times'!$F258*0.000001)^2/(4*'D(Ti_Audétat23) Times'!$C258)/(365.35*24*3600)</f>
        <v>300327.27166050614</v>
      </c>
      <c r="AA258" s="2">
        <f>([412]L!AC258*'D(Ti_Audétat23) Times'!$F258*0.000001)^2/(4*'D(Ti_Audétat23) Times'!$C258)/(365.35*24*3600)</f>
        <v>187793.52484388161</v>
      </c>
      <c r="AB258" s="2">
        <f>([412]L!AD258*'D(Ti_Audétat23) Times'!$F258*0.000001)^2/(4*'D(Ti_Audétat23) Times'!$C258)/(365.35*24*3600)</f>
        <v>431591.53440005175</v>
      </c>
      <c r="AC258" s="2">
        <f t="shared" si="13"/>
        <v>112533.74681662454</v>
      </c>
      <c r="AD258" s="2">
        <f t="shared" si="14"/>
        <v>131264.26273954561</v>
      </c>
    </row>
    <row r="259" spans="1:30" x14ac:dyDescent="0.2">
      <c r="A259" t="str">
        <f>[412]L!A259</f>
        <v>CGI014-qtz05-CL-fit-2-offset</v>
      </c>
      <c r="B259">
        <v>750</v>
      </c>
      <c r="C259">
        <f t="shared" si="15"/>
        <v>1.1456341375347871E-23</v>
      </c>
      <c r="D259">
        <v>1900</v>
      </c>
      <c r="E259">
        <v>1024</v>
      </c>
      <c r="F259">
        <f t="shared" ref="F259:F322" si="16">D259/E259</f>
        <v>1.85546875</v>
      </c>
      <c r="I259" s="2">
        <f>([412]L!J259*'D(Ti_Audétat23) Times'!$F259*0.000001)^2/(4*'D(Ti_Audétat23) Times'!$C259)/(365.35*24*3600)</f>
        <v>95452.720917358543</v>
      </c>
      <c r="J259" s="2">
        <f>([412]L!K259*'D(Ti_Audétat23) Times'!$F259*0.000001)^2/(4*'D(Ti_Audétat23) Times'!$C259)/(365.35*24*3600)</f>
        <v>74192.013395973714</v>
      </c>
      <c r="K259" s="2">
        <f>([412]L!L259*'D(Ti_Audétat23) Times'!$F259*0.000001)^2/(4*'D(Ti_Audétat23) Times'!$C259)/(365.35*24*3600)</f>
        <v>80029.784355361087</v>
      </c>
      <c r="L259" s="2">
        <f>([412]L!M259*'D(Ti_Audétat23) Times'!$F259*0.000001)^2/(4*'D(Ti_Audétat23) Times'!$C259)/(365.35*24*3600)</f>
        <v>59475.094852081653</v>
      </c>
      <c r="M259" s="2">
        <f>([412]L!N259*'D(Ti_Audétat23) Times'!$F259*0.000001)^2/(4*'D(Ti_Audétat23) Times'!$C259)/(365.35*24*3600)</f>
        <v>54455.824143864607</v>
      </c>
      <c r="N259" s="2">
        <f>([412]L!O259*'D(Ti_Audétat23) Times'!$F259*0.000001)^2/(4*'D(Ti_Audétat23) Times'!$C259)/(365.35*24*3600)</f>
        <v>52949.375042037587</v>
      </c>
      <c r="O259" s="2">
        <f>([412]L!P259*'D(Ti_Audétat23) Times'!$F259*0.000001)^2/(4*'D(Ti_Audétat23) Times'!$C259)/(365.35*24*3600)</f>
        <v>45525.679415035789</v>
      </c>
      <c r="P259" s="2">
        <f>([412]L!Q259*'D(Ti_Audétat23) Times'!$F259*0.000001)^2/(4*'D(Ti_Audétat23) Times'!$C259)/(365.35*24*3600)</f>
        <v>35847.795991444196</v>
      </c>
      <c r="Q259" s="2">
        <f>([412]L!R259*'D(Ti_Audétat23) Times'!$F259*0.000001)^2/(4*'D(Ti_Audétat23) Times'!$C259)/(365.35*24*3600)</f>
        <v>35149.4021577569</v>
      </c>
      <c r="R259" s="2">
        <f>([412]L!S259*'D(Ti_Audétat23) Times'!$F259*0.000001)^2/(4*'D(Ti_Audétat23) Times'!$C259)/(365.35*24*3600)</f>
        <v>52865.772617383649</v>
      </c>
      <c r="S259" s="2">
        <f>([412]L!T259*'D(Ti_Audétat23) Times'!$F259*0.000001)^2/(4*'D(Ti_Audétat23) Times'!$C259)/(365.35*24*3600)</f>
        <v>48704.059366593006</v>
      </c>
      <c r="T259" s="2"/>
      <c r="U259" s="2">
        <f>([412]L!V259*'D(Ti_Audétat23) Times'!$F259*0.000001)^2/(4*'D(Ti_Audétat23) Times'!$C259)/(365.35*24*3600)</f>
        <v>56633.413097424753</v>
      </c>
      <c r="V259" s="2">
        <f>([412]L!W259*'D(Ti_Audétat23) Times'!$F259*0.000001)^2/(4*'D(Ti_Audétat23) Times'!$C259)/(365.35*24*3600)</f>
        <v>56400.714038610815</v>
      </c>
      <c r="W259" s="2">
        <f>([412]L!X259*'D(Ti_Audétat23) Times'!$F259*0.000001)^2/(4*'D(Ti_Audétat23) Times'!$C259)/(365.35*24*3600)</f>
        <v>52949.375042037587</v>
      </c>
      <c r="X259" s="2"/>
      <c r="Y259" s="2">
        <f>([412]L!Z259*'D(Ti_Audétat23) Times'!$F259*0.000001)^2/(4*'D(Ti_Audétat23) Times'!$C259)/(365.35*24*3600)</f>
        <v>56046.455324749099</v>
      </c>
      <c r="Z259" s="2">
        <f>([412]L!AB259*'D(Ti_Audétat23) Times'!$F259*0.000001)^2/(4*'D(Ti_Audétat23) Times'!$C259)/(365.35*24*3600)</f>
        <v>56232.343693751129</v>
      </c>
      <c r="AA259" s="2">
        <f>([412]L!AC259*'D(Ti_Audétat23) Times'!$F259*0.000001)^2/(4*'D(Ti_Audétat23) Times'!$C259)/(365.35*24*3600)</f>
        <v>34980.432818154557</v>
      </c>
      <c r="AB259" s="2">
        <f>([412]L!AD259*'D(Ti_Audétat23) Times'!$F259*0.000001)^2/(4*'D(Ti_Audétat23) Times'!$C259)/(365.35*24*3600)</f>
        <v>81750.731883201748</v>
      </c>
      <c r="AC259" s="2">
        <f t="shared" ref="AC259:AC322" si="17">Z259-AA259</f>
        <v>21251.910875596572</v>
      </c>
      <c r="AD259" s="2">
        <f t="shared" ref="AD259:AD322" si="18">AB259-Z259</f>
        <v>25518.388189450619</v>
      </c>
    </row>
    <row r="260" spans="1:30" x14ac:dyDescent="0.2">
      <c r="A260" t="str">
        <f>[412]L!A260</f>
        <v>CGI014-qtz05-CL-fit-3-offset</v>
      </c>
      <c r="B260">
        <v>750</v>
      </c>
      <c r="C260">
        <f t="shared" ref="C260:C323" si="19">10^(-1.2133*(10000/(B260+273)-10.17)-23.42)</f>
        <v>1.1456341375347871E-23</v>
      </c>
      <c r="D260">
        <v>1900</v>
      </c>
      <c r="E260">
        <v>1024</v>
      </c>
      <c r="F260">
        <f t="shared" si="16"/>
        <v>1.85546875</v>
      </c>
      <c r="I260" s="2">
        <f>([412]L!J260*'D(Ti_Audétat23) Times'!$F260*0.000001)^2/(4*'D(Ti_Audétat23) Times'!$C260)/(365.35*24*3600)</f>
        <v>25925.262154664804</v>
      </c>
      <c r="J260" s="2">
        <f>([412]L!K260*'D(Ti_Audétat23) Times'!$F260*0.000001)^2/(4*'D(Ti_Audétat23) Times'!$C260)/(365.35*24*3600)</f>
        <v>20304.316641051606</v>
      </c>
      <c r="K260" s="2">
        <f>([412]L!L260*'D(Ti_Audétat23) Times'!$F260*0.000001)^2/(4*'D(Ti_Audétat23) Times'!$C260)/(365.35*24*3600)</f>
        <v>25504.07532769032</v>
      </c>
      <c r="L260" s="2">
        <f>([412]L!M260*'D(Ti_Audétat23) Times'!$F260*0.000001)^2/(4*'D(Ti_Audétat23) Times'!$C260)/(365.35*24*3600)</f>
        <v>43431.728255545269</v>
      </c>
      <c r="M260" s="2">
        <f>([412]L!N260*'D(Ti_Audétat23) Times'!$F260*0.000001)^2/(4*'D(Ti_Audétat23) Times'!$C260)/(365.35*24*3600)</f>
        <v>38449.679798027857</v>
      </c>
      <c r="N260" s="2">
        <f>([412]L!O260*'D(Ti_Audétat23) Times'!$F260*0.000001)^2/(4*'D(Ti_Audétat23) Times'!$C260)/(365.35*24*3600)</f>
        <v>26649.750046010649</v>
      </c>
      <c r="O260" s="2">
        <f>([412]L!P260*'D(Ti_Audétat23) Times'!$F260*0.000001)^2/(4*'D(Ti_Audétat23) Times'!$C260)/(365.35*24*3600)</f>
        <v>57074.01719882516</v>
      </c>
      <c r="P260" s="2">
        <f>([412]L!Q260*'D(Ti_Audétat23) Times'!$F260*0.000001)^2/(4*'D(Ti_Audétat23) Times'!$C260)/(365.35*24*3600)</f>
        <v>35458.500580332933</v>
      </c>
      <c r="Q260" s="2">
        <f>([412]L!R260*'D(Ti_Audétat23) Times'!$F260*0.000001)^2/(4*'D(Ti_Audétat23) Times'!$C260)/(365.35*24*3600)</f>
        <v>39717.159854201193</v>
      </c>
      <c r="R260" s="2">
        <f>([412]L!S260*'D(Ti_Audétat23) Times'!$F260*0.000001)^2/(4*'D(Ti_Audétat23) Times'!$C260)/(365.35*24*3600)</f>
        <v>56819.071716907798</v>
      </c>
      <c r="S260" s="2">
        <f>([412]L!T260*'D(Ti_Audétat23) Times'!$F260*0.000001)^2/(4*'D(Ti_Audétat23) Times'!$C260)/(365.35*24*3600)</f>
        <v>35747.350794119651</v>
      </c>
      <c r="T260" s="2"/>
      <c r="U260" s="2">
        <f>([412]L!V260*'D(Ti_Audétat23) Times'!$F260*0.000001)^2/(4*'D(Ti_Audétat23) Times'!$C260)/(365.35*24*3600)</f>
        <v>33950.206171551967</v>
      </c>
      <c r="V260" s="2">
        <f>([412]L!W260*'D(Ti_Audétat23) Times'!$F260*0.000001)^2/(4*'D(Ti_Audétat23) Times'!$C260)/(365.35*24*3600)</f>
        <v>35923.255807910093</v>
      </c>
      <c r="W260" s="2">
        <f>([412]L!X260*'D(Ti_Audétat23) Times'!$F260*0.000001)^2/(4*'D(Ti_Audétat23) Times'!$C260)/(365.35*24*3600)</f>
        <v>35747.350794119651</v>
      </c>
      <c r="X260" s="2"/>
      <c r="Y260" s="2">
        <f>([412]L!Z260*'D(Ti_Audétat23) Times'!$F260*0.000001)^2/(4*'D(Ti_Audétat23) Times'!$C260)/(365.35*24*3600)</f>
        <v>32572.464279951535</v>
      </c>
      <c r="Z260" s="2">
        <f>([412]L!AB260*'D(Ti_Audétat23) Times'!$F260*0.000001)^2/(4*'D(Ti_Audétat23) Times'!$C260)/(365.35*24*3600)</f>
        <v>32710.916274302046</v>
      </c>
      <c r="AA260" s="2">
        <f>([412]L!AC260*'D(Ti_Audétat23) Times'!$F260*0.000001)^2/(4*'D(Ti_Audétat23) Times'!$C260)/(365.35*24*3600)</f>
        <v>16274.10538949367</v>
      </c>
      <c r="AB260" s="2">
        <f>([412]L!AD260*'D(Ti_Audétat23) Times'!$F260*0.000001)^2/(4*'D(Ti_Audétat23) Times'!$C260)/(365.35*24*3600)</f>
        <v>59149.436975918456</v>
      </c>
      <c r="AC260" s="2">
        <f t="shared" si="17"/>
        <v>16436.810884808376</v>
      </c>
      <c r="AD260" s="2">
        <f t="shared" si="18"/>
        <v>26438.520701616409</v>
      </c>
    </row>
    <row r="261" spans="1:30" x14ac:dyDescent="0.2">
      <c r="A261" t="str">
        <f>[412]L!A261</f>
        <v>CGI014-qtz05-CL-fit-4-offset</v>
      </c>
      <c r="B261">
        <v>750</v>
      </c>
      <c r="C261">
        <f t="shared" si="19"/>
        <v>1.1456341375347871E-23</v>
      </c>
      <c r="D261">
        <v>1900</v>
      </c>
      <c r="E261">
        <v>1024</v>
      </c>
      <c r="F261">
        <f t="shared" si="16"/>
        <v>1.85546875</v>
      </c>
      <c r="I261" s="2">
        <f>([412]L!J261*'D(Ti_Audétat23) Times'!$F261*0.000001)^2/(4*'D(Ti_Audétat23) Times'!$C261)/(365.35*24*3600)</f>
        <v>568304.84392299398</v>
      </c>
      <c r="J261" s="2">
        <f>([412]L!K261*'D(Ti_Audétat23) Times'!$F261*0.000001)^2/(4*'D(Ti_Audétat23) Times'!$C261)/(365.35*24*3600)</f>
        <v>577428.66943818482</v>
      </c>
      <c r="K261" s="2">
        <f>([412]L!L261*'D(Ti_Audétat23) Times'!$F261*0.000001)^2/(4*'D(Ti_Audétat23) Times'!$C261)/(365.35*24*3600)</f>
        <v>325425.47907423403</v>
      </c>
      <c r="L261" s="2">
        <f>([412]L!M261*'D(Ti_Audétat23) Times'!$F261*0.000001)^2/(4*'D(Ti_Audétat23) Times'!$C261)/(365.35*24*3600)</f>
        <v>432033.3421776942</v>
      </c>
      <c r="M261" s="2">
        <f>([412]L!N261*'D(Ti_Audétat23) Times'!$F261*0.000001)^2/(4*'D(Ti_Audétat23) Times'!$C261)/(365.35*24*3600)</f>
        <v>367102.52355307579</v>
      </c>
      <c r="N261" s="2">
        <f>([412]L!O261*'D(Ti_Audétat23) Times'!$F261*0.000001)^2/(4*'D(Ti_Audétat23) Times'!$C261)/(365.35*24*3600)</f>
        <v>227935.77748699722</v>
      </c>
      <c r="O261" s="2">
        <f>([412]L!P261*'D(Ti_Audétat23) Times'!$F261*0.000001)^2/(4*'D(Ti_Audétat23) Times'!$C261)/(365.35*24*3600)</f>
        <v>403234.90690770448</v>
      </c>
      <c r="P261" s="2">
        <f>([412]L!Q261*'D(Ti_Audétat23) Times'!$F261*0.000001)^2/(4*'D(Ti_Audétat23) Times'!$C261)/(365.35*24*3600)</f>
        <v>335442.1222525069</v>
      </c>
      <c r="Q261" s="2">
        <f>([412]L!R261*'D(Ti_Audétat23) Times'!$F261*0.000001)^2/(4*'D(Ti_Audétat23) Times'!$C261)/(365.35*24*3600)</f>
        <v>377874.89252827602</v>
      </c>
      <c r="R261" s="2">
        <f>([412]L!S261*'D(Ti_Audétat23) Times'!$F261*0.000001)^2/(4*'D(Ti_Audétat23) Times'!$C261)/(365.35*24*3600)</f>
        <v>828200.64702589822</v>
      </c>
      <c r="S261" s="2">
        <f>([412]L!T261*'D(Ti_Audétat23) Times'!$F261*0.000001)^2/(4*'D(Ti_Audétat23) Times'!$C261)/(365.35*24*3600)</f>
        <v>325767.57971633167</v>
      </c>
      <c r="T261" s="2"/>
      <c r="U261" s="2">
        <f>([412]L!V261*'D(Ti_Audétat23) Times'!$F261*0.000001)^2/(4*'D(Ti_Audétat23) Times'!$C261)/(365.35*24*3600)</f>
        <v>418205.06954202079</v>
      </c>
      <c r="V261" s="2">
        <f>([412]L!W261*'D(Ti_Audétat23) Times'!$F261*0.000001)^2/(4*'D(Ti_Audétat23) Times'!$C261)/(365.35*24*3600)</f>
        <v>420673.59521170205</v>
      </c>
      <c r="W261" s="2">
        <f>([412]L!X261*'D(Ti_Audétat23) Times'!$F261*0.000001)^2/(4*'D(Ti_Audétat23) Times'!$C261)/(365.35*24*3600)</f>
        <v>377874.89252827602</v>
      </c>
      <c r="X261" s="2"/>
      <c r="Y261" s="2">
        <f>([412]L!Z261*'D(Ti_Audétat23) Times'!$F261*0.000001)^2/(4*'D(Ti_Audétat23) Times'!$C261)/(365.35*24*3600)</f>
        <v>420305.04595039907</v>
      </c>
      <c r="Z261" s="2">
        <f>([412]L!AB261*'D(Ti_Audétat23) Times'!$F261*0.000001)^2/(4*'D(Ti_Audétat23) Times'!$C261)/(365.35*24*3600)</f>
        <v>415890.11968454206</v>
      </c>
      <c r="AA261" s="2">
        <f>([412]L!AC261*'D(Ti_Audétat23) Times'!$F261*0.000001)^2/(4*'D(Ti_Audétat23) Times'!$C261)/(365.35*24*3600)</f>
        <v>248932.65604199949</v>
      </c>
      <c r="AB261" s="2">
        <f>([412]L!AD261*'D(Ti_Audétat23) Times'!$F261*0.000001)^2/(4*'D(Ti_Audétat23) Times'!$C261)/(365.35*24*3600)</f>
        <v>715168.43152361305</v>
      </c>
      <c r="AC261" s="2">
        <f t="shared" si="17"/>
        <v>166957.46364254257</v>
      </c>
      <c r="AD261" s="2">
        <f t="shared" si="18"/>
        <v>299278.31183907099</v>
      </c>
    </row>
    <row r="262" spans="1:30" x14ac:dyDescent="0.2">
      <c r="A262" t="str">
        <f>[412]L!A262</f>
        <v>CGI014-qtz05-CL-fit-5-offset</v>
      </c>
      <c r="B262">
        <v>750</v>
      </c>
      <c r="C262">
        <f t="shared" si="19"/>
        <v>1.1456341375347871E-23</v>
      </c>
      <c r="D262">
        <v>1900</v>
      </c>
      <c r="E262">
        <v>1024</v>
      </c>
      <c r="F262">
        <f t="shared" si="16"/>
        <v>1.85546875</v>
      </c>
      <c r="I262" s="2">
        <f>([412]L!J262*'D(Ti_Audétat23) Times'!$F262*0.000001)^2/(4*'D(Ti_Audétat23) Times'!$C262)/(365.35*24*3600)</f>
        <v>12219.823053189635</v>
      </c>
      <c r="J262" s="2">
        <f>([412]L!K262*'D(Ti_Audétat23) Times'!$F262*0.000001)^2/(4*'D(Ti_Audétat23) Times'!$C262)/(365.35*24*3600)</f>
        <v>9425.201148021828</v>
      </c>
      <c r="K262" s="2">
        <f>([412]L!L262*'D(Ti_Audétat23) Times'!$F262*0.000001)^2/(4*'D(Ti_Audétat23) Times'!$C262)/(365.35*24*3600)</f>
        <v>9495.3263600753507</v>
      </c>
      <c r="L262" s="2">
        <f>([412]L!M262*'D(Ti_Audétat23) Times'!$F262*0.000001)^2/(4*'D(Ti_Audétat23) Times'!$C262)/(365.35*24*3600)</f>
        <v>24684.48160358828</v>
      </c>
      <c r="M262" s="2">
        <f>([412]L!N262*'D(Ti_Audétat23) Times'!$F262*0.000001)^2/(4*'D(Ti_Audétat23) Times'!$C262)/(365.35*24*3600)</f>
        <v>15997.315910109901</v>
      </c>
      <c r="N262" s="2">
        <f>([412]L!O262*'D(Ti_Audétat23) Times'!$F262*0.000001)^2/(4*'D(Ti_Audétat23) Times'!$C262)/(365.35*24*3600)</f>
        <v>9497.7866823025797</v>
      </c>
      <c r="O262" s="2">
        <f>([412]L!P262*'D(Ti_Audétat23) Times'!$F262*0.000001)^2/(4*'D(Ti_Audétat23) Times'!$C262)/(365.35*24*3600)</f>
        <v>10853.975537362414</v>
      </c>
      <c r="P262" s="2">
        <f>([412]L!Q262*'D(Ti_Audétat23) Times'!$F262*0.000001)^2/(4*'D(Ti_Audétat23) Times'!$C262)/(365.35*24*3600)</f>
        <v>12265.290829230533</v>
      </c>
      <c r="Q262" s="2">
        <f>([412]L!R262*'D(Ti_Audétat23) Times'!$F262*0.000001)^2/(4*'D(Ti_Audétat23) Times'!$C262)/(365.35*24*3600)</f>
        <v>9108.2626457501392</v>
      </c>
      <c r="R262" s="2">
        <f>([412]L!S262*'D(Ti_Audétat23) Times'!$F262*0.000001)^2/(4*'D(Ti_Audétat23) Times'!$C262)/(365.35*24*3600)</f>
        <v>5141.0808888519778</v>
      </c>
      <c r="S262" s="2">
        <f>([412]L!T262*'D(Ti_Audétat23) Times'!$F262*0.000001)^2/(4*'D(Ti_Audétat23) Times'!$C262)/(365.35*24*3600)</f>
        <v>11580.748756062891</v>
      </c>
      <c r="T262" s="2"/>
      <c r="U262" s="2">
        <f>([412]L!V262*'D(Ti_Audétat23) Times'!$F262*0.000001)^2/(4*'D(Ti_Audétat23) Times'!$C262)/(365.35*24*3600)</f>
        <v>11843.326492360577</v>
      </c>
      <c r="V262" s="2">
        <f>([412]L!W262*'D(Ti_Audétat23) Times'!$F262*0.000001)^2/(4*'D(Ti_Audétat23) Times'!$C262)/(365.35*24*3600)</f>
        <v>11425.752288380285</v>
      </c>
      <c r="W262" s="2">
        <f>([412]L!X262*'D(Ti_Audétat23) Times'!$F262*0.000001)^2/(4*'D(Ti_Audétat23) Times'!$C262)/(365.35*24*3600)</f>
        <v>10853.975537362414</v>
      </c>
      <c r="X262" s="2"/>
      <c r="Y262" s="2">
        <f>([412]L!Z262*'D(Ti_Audétat23) Times'!$F262*0.000001)^2/(4*'D(Ti_Audétat23) Times'!$C262)/(365.35*24*3600)</f>
        <v>12016.786107514823</v>
      </c>
      <c r="Z262" s="2">
        <f>([412]L!AB262*'D(Ti_Audétat23) Times'!$F262*0.000001)^2/(4*'D(Ti_Audétat23) Times'!$C262)/(365.35*24*3600)</f>
        <v>11690.891095787147</v>
      </c>
      <c r="AA262" s="2">
        <f>([412]L!AC262*'D(Ti_Audétat23) Times'!$F262*0.000001)^2/(4*'D(Ti_Audétat23) Times'!$C262)/(365.35*24*3600)</f>
        <v>3840.8699104322754</v>
      </c>
      <c r="AB262" s="2">
        <f>([412]L!AD262*'D(Ti_Audétat23) Times'!$F262*0.000001)^2/(4*'D(Ti_Audétat23) Times'!$C262)/(365.35*24*3600)</f>
        <v>23232.087364232368</v>
      </c>
      <c r="AC262" s="2">
        <f t="shared" si="17"/>
        <v>7850.0211853548717</v>
      </c>
      <c r="AD262" s="2">
        <f t="shared" si="18"/>
        <v>11541.196268445221</v>
      </c>
    </row>
    <row r="263" spans="1:30" x14ac:dyDescent="0.2">
      <c r="A263" t="str">
        <f>[412]L!A263</f>
        <v>CGI014-qtz05-CL-fit-6-offset</v>
      </c>
      <c r="B263">
        <v>750</v>
      </c>
      <c r="C263">
        <f t="shared" si="19"/>
        <v>1.1456341375347871E-23</v>
      </c>
      <c r="D263">
        <v>1900</v>
      </c>
      <c r="E263">
        <v>1024</v>
      </c>
      <c r="F263">
        <f t="shared" si="16"/>
        <v>1.85546875</v>
      </c>
      <c r="I263" s="2">
        <f>([412]L!J263*'D(Ti_Audétat23) Times'!$F263*0.000001)^2/(4*'D(Ti_Audétat23) Times'!$C263)/(365.35*24*3600)</f>
        <v>153.36679843535651</v>
      </c>
      <c r="J263" s="2">
        <f>([412]L!K263*'D(Ti_Audétat23) Times'!$F263*0.000001)^2/(4*'D(Ti_Audétat23) Times'!$C263)/(365.35*24*3600)</f>
        <v>2505.3953994485723</v>
      </c>
      <c r="K263" s="2">
        <f>([412]L!L263*'D(Ti_Audétat23) Times'!$F263*0.000001)^2/(4*'D(Ti_Audétat23) Times'!$C263)/(365.35*24*3600)</f>
        <v>704.24070688528002</v>
      </c>
      <c r="L263" s="2">
        <f>([412]L!M263*'D(Ti_Audétat23) Times'!$F263*0.000001)^2/(4*'D(Ti_Audétat23) Times'!$C263)/(365.35*24*3600)</f>
        <v>2716.3933326060414</v>
      </c>
      <c r="M263" s="2">
        <f>([412]L!N263*'D(Ti_Audétat23) Times'!$F263*0.000001)^2/(4*'D(Ti_Audétat23) Times'!$C263)/(365.35*24*3600)</f>
        <v>3854.1780560408315</v>
      </c>
      <c r="N263" s="2">
        <f>([412]L!O263*'D(Ti_Audétat23) Times'!$F263*0.000001)^2/(4*'D(Ti_Audétat23) Times'!$C263)/(365.35*24*3600)</f>
        <v>618.22345129482153</v>
      </c>
      <c r="O263" s="2">
        <f>([412]L!P263*'D(Ti_Audétat23) Times'!$F263*0.000001)^2/(4*'D(Ti_Audétat23) Times'!$C263)/(365.35*24*3600)</f>
        <v>2746.8795200164459</v>
      </c>
      <c r="P263" s="2">
        <f>([412]L!Q263*'D(Ti_Audétat23) Times'!$F263*0.000001)^2/(4*'D(Ti_Audétat23) Times'!$C263)/(365.35*24*3600)</f>
        <v>116.38378402291488</v>
      </c>
      <c r="Q263" s="2">
        <f>([412]L!R263*'D(Ti_Audétat23) Times'!$F263*0.000001)^2/(4*'D(Ti_Audétat23) Times'!$C263)/(365.35*24*3600)</f>
        <v>874.94750441191366</v>
      </c>
      <c r="R263" s="2">
        <f>([412]L!S263*'D(Ti_Audétat23) Times'!$F263*0.000001)^2/(4*'D(Ti_Audétat23) Times'!$C263)/(365.35*24*3600)</f>
        <v>2863.1995355829863</v>
      </c>
      <c r="S263" s="2">
        <f>([412]L!T263*'D(Ti_Audétat23) Times'!$F263*0.000001)^2/(4*'D(Ti_Audétat23) Times'!$C263)/(365.35*24*3600)</f>
        <v>2372.2677459094748</v>
      </c>
      <c r="T263" s="2"/>
      <c r="U263" s="2">
        <f>([412]L!V263*'D(Ti_Audétat23) Times'!$F263*0.000001)^2/(4*'D(Ti_Audétat23) Times'!$C263)/(365.35*24*3600)</f>
        <v>2699.3458085602419</v>
      </c>
      <c r="V263" s="2">
        <f>([412]L!W263*'D(Ti_Audétat23) Times'!$F263*0.000001)^2/(4*'D(Ti_Audétat23) Times'!$C263)/(365.35*24*3600)</f>
        <v>1478.98895558851</v>
      </c>
      <c r="W263" s="2">
        <f>([412]L!X263*'D(Ti_Audétat23) Times'!$F263*0.000001)^2/(4*'D(Ti_Audétat23) Times'!$C263)/(365.35*24*3600)</f>
        <v>2372.2677459094748</v>
      </c>
      <c r="X263" s="2"/>
      <c r="Y263" s="2">
        <f>([412]L!Z263*'D(Ti_Audétat23) Times'!$F263*0.000001)^2/(4*'D(Ti_Audétat23) Times'!$C263)/(365.35*24*3600)</f>
        <v>1561.2190093086947</v>
      </c>
      <c r="Z263" s="2">
        <f>([412]L!AB263*'D(Ti_Audétat23) Times'!$F263*0.000001)^2/(4*'D(Ti_Audétat23) Times'!$C263)/(365.35*24*3600)</f>
        <v>1498.8495249801879</v>
      </c>
      <c r="AA263" s="2">
        <f>([412]L!AC263*'D(Ti_Audétat23) Times'!$F263*0.000001)^2/(4*'D(Ti_Audétat23) Times'!$C263)/(365.35*24*3600)</f>
        <v>105.36370657152534</v>
      </c>
      <c r="AB263" s="2">
        <f>([412]L!AD263*'D(Ti_Audétat23) Times'!$F263*0.000001)^2/(4*'D(Ti_Audétat23) Times'!$C263)/(365.35*24*3600)</f>
        <v>7290.8000607420181</v>
      </c>
      <c r="AC263" s="2">
        <f t="shared" si="17"/>
        <v>1393.4858184086625</v>
      </c>
      <c r="AD263" s="2">
        <f t="shared" si="18"/>
        <v>5791.95053576183</v>
      </c>
    </row>
    <row r="264" spans="1:30" x14ac:dyDescent="0.2">
      <c r="A264" t="str">
        <f>[412]L!A264</f>
        <v>CGI014-qtz07-CL-fit-1-offset</v>
      </c>
      <c r="B264">
        <v>750</v>
      </c>
      <c r="C264">
        <f t="shared" si="19"/>
        <v>1.1456341375347871E-23</v>
      </c>
      <c r="D264">
        <v>1500</v>
      </c>
      <c r="E264">
        <v>1024</v>
      </c>
      <c r="F264">
        <f t="shared" si="16"/>
        <v>1.46484375</v>
      </c>
      <c r="I264" s="2">
        <f>([412]L!J264*'D(Ti_Audétat23) Times'!$F264*0.000001)^2/(4*'D(Ti_Audétat23) Times'!$C264)/(365.35*24*3600)</f>
        <v>13117.559593231328</v>
      </c>
      <c r="J264" s="2">
        <f>([412]L!K264*'D(Ti_Audétat23) Times'!$F264*0.000001)^2/(4*'D(Ti_Audétat23) Times'!$C264)/(365.35*24*3600)</f>
        <v>11343.687177655584</v>
      </c>
      <c r="K264" s="2">
        <f>([412]L!L264*'D(Ti_Audétat23) Times'!$F264*0.000001)^2/(4*'D(Ti_Audétat23) Times'!$C264)/(365.35*24*3600)</f>
        <v>12582.758544526581</v>
      </c>
      <c r="L264" s="2">
        <f>([412]L!M264*'D(Ti_Audétat23) Times'!$F264*0.000001)^2/(4*'D(Ti_Audétat23) Times'!$C264)/(365.35*24*3600)</f>
        <v>10390.297812827681</v>
      </c>
      <c r="M264" s="2">
        <f>([412]L!N264*'D(Ti_Audétat23) Times'!$F264*0.000001)^2/(4*'D(Ti_Audétat23) Times'!$C264)/(365.35*24*3600)</f>
        <v>7697.9590720693641</v>
      </c>
      <c r="N264" s="2">
        <f>([412]L!O264*'D(Ti_Audétat23) Times'!$F264*0.000001)^2/(4*'D(Ti_Audétat23) Times'!$C264)/(365.35*24*3600)</f>
        <v>10434.689322798302</v>
      </c>
      <c r="O264" s="2">
        <f>([412]L!P264*'D(Ti_Audétat23) Times'!$F264*0.000001)^2/(4*'D(Ti_Audétat23) Times'!$C264)/(365.35*24*3600)</f>
        <v>18890.030113848821</v>
      </c>
      <c r="P264" s="2">
        <f>([412]L!Q264*'D(Ti_Audétat23) Times'!$F264*0.000001)^2/(4*'D(Ti_Audétat23) Times'!$C264)/(365.35*24*3600)</f>
        <v>8853.3426388801272</v>
      </c>
      <c r="Q264" s="2">
        <f>([412]L!R264*'D(Ti_Audétat23) Times'!$F264*0.000001)^2/(4*'D(Ti_Audétat23) Times'!$C264)/(365.35*24*3600)</f>
        <v>12912.911294208627</v>
      </c>
      <c r="R264" s="2">
        <f>([412]L!S264*'D(Ti_Audétat23) Times'!$F264*0.000001)^2/(4*'D(Ti_Audétat23) Times'!$C264)/(365.35*24*3600)</f>
        <v>11301.746774932795</v>
      </c>
      <c r="S264" s="2">
        <f>([412]L!T264*'D(Ti_Audétat23) Times'!$F264*0.000001)^2/(4*'D(Ti_Audétat23) Times'!$C264)/(365.35*24*3600)</f>
        <v>16650.199387659868</v>
      </c>
      <c r="T264" s="2"/>
      <c r="U264" s="2">
        <f>([412]L!V264*'D(Ti_Audétat23) Times'!$F264*0.000001)^2/(4*'D(Ti_Audétat23) Times'!$C264)/(365.35*24*3600)</f>
        <v>12366.303396186215</v>
      </c>
      <c r="V264" s="2">
        <f>([412]L!W264*'D(Ti_Audétat23) Times'!$F264*0.000001)^2/(4*'D(Ti_Audétat23) Times'!$C264)/(365.35*24*3600)</f>
        <v>12011.088636249109</v>
      </c>
      <c r="W264" s="2">
        <f>([412]L!X264*'D(Ti_Audétat23) Times'!$F264*0.000001)^2/(4*'D(Ti_Audétat23) Times'!$C264)/(365.35*24*3600)</f>
        <v>11343.687177655584</v>
      </c>
      <c r="X264" s="2"/>
      <c r="Y264" s="2">
        <f>([412]L!Z264*'D(Ti_Audétat23) Times'!$F264*0.000001)^2/(4*'D(Ti_Audétat23) Times'!$C264)/(365.35*24*3600)</f>
        <v>12189.173609895221</v>
      </c>
      <c r="Z264" s="2">
        <f>([412]L!AB264*'D(Ti_Audétat23) Times'!$F264*0.000001)^2/(4*'D(Ti_Audétat23) Times'!$C264)/(365.35*24*3600)</f>
        <v>12314.510914041259</v>
      </c>
      <c r="AA264" s="2">
        <f>([412]L!AC264*'D(Ti_Audétat23) Times'!$F264*0.000001)^2/(4*'D(Ti_Audétat23) Times'!$C264)/(365.35*24*3600)</f>
        <v>5691.6397435017925</v>
      </c>
      <c r="AB264" s="2">
        <f>([412]L!AD264*'D(Ti_Audétat23) Times'!$F264*0.000001)^2/(4*'D(Ti_Audétat23) Times'!$C264)/(365.35*24*3600)</f>
        <v>20690.017598977567</v>
      </c>
      <c r="AC264" s="2">
        <f t="shared" si="17"/>
        <v>6622.8711705394662</v>
      </c>
      <c r="AD264" s="2">
        <f t="shared" si="18"/>
        <v>8375.5066849363084</v>
      </c>
    </row>
    <row r="265" spans="1:30" x14ac:dyDescent="0.2">
      <c r="A265" t="str">
        <f>[412]L!A265</f>
        <v>CGI014-qtz07-CL-fit-2-offset</v>
      </c>
      <c r="B265">
        <v>750</v>
      </c>
      <c r="C265">
        <f t="shared" si="19"/>
        <v>1.1456341375347871E-23</v>
      </c>
      <c r="D265">
        <v>1500</v>
      </c>
      <c r="E265">
        <v>1024</v>
      </c>
      <c r="F265">
        <f t="shared" si="16"/>
        <v>1.46484375</v>
      </c>
      <c r="I265" s="2">
        <f>([412]L!J265*'D(Ti_Audétat23) Times'!$F265*0.000001)^2/(4*'D(Ti_Audétat23) Times'!$C265)/(365.35*24*3600)</f>
        <v>4352.8825268964447</v>
      </c>
      <c r="J265" s="2">
        <f>([412]L!K265*'D(Ti_Audétat23) Times'!$F265*0.000001)^2/(4*'D(Ti_Audétat23) Times'!$C265)/(365.35*24*3600)</f>
        <v>5191.4948609374333</v>
      </c>
      <c r="K265" s="2">
        <f>([412]L!L265*'D(Ti_Audétat23) Times'!$F265*0.000001)^2/(4*'D(Ti_Audétat23) Times'!$C265)/(365.35*24*3600)</f>
        <v>7747.8010687978031</v>
      </c>
      <c r="L265" s="2">
        <f>([412]L!M265*'D(Ti_Audétat23) Times'!$F265*0.000001)^2/(4*'D(Ti_Audétat23) Times'!$C265)/(365.35*24*3600)</f>
        <v>8075.4129789347189</v>
      </c>
      <c r="M265" s="2">
        <f>([412]L!N265*'D(Ti_Audétat23) Times'!$F265*0.000001)^2/(4*'D(Ti_Audétat23) Times'!$C265)/(365.35*24*3600)</f>
        <v>7339.6573623176964</v>
      </c>
      <c r="N265" s="2">
        <f>([412]L!O265*'D(Ti_Audétat23) Times'!$F265*0.000001)^2/(4*'D(Ti_Audétat23) Times'!$C265)/(365.35*24*3600)</f>
        <v>1499.9449064292623</v>
      </c>
      <c r="O265" s="2">
        <f>([412]L!P265*'D(Ti_Audétat23) Times'!$F265*0.000001)^2/(4*'D(Ti_Audétat23) Times'!$C265)/(365.35*24*3600)</f>
        <v>4219.6803932046396</v>
      </c>
      <c r="P265" s="2">
        <f>([412]L!Q265*'D(Ti_Audétat23) Times'!$F265*0.000001)^2/(4*'D(Ti_Audétat23) Times'!$C265)/(365.35*24*3600)</f>
        <v>94.089807853128505</v>
      </c>
      <c r="Q265" s="2">
        <f>([412]L!R265*'D(Ti_Audétat23) Times'!$F265*0.000001)^2/(4*'D(Ti_Audétat23) Times'!$C265)/(365.35*24*3600)</f>
        <v>89.692637879188112</v>
      </c>
      <c r="R265" s="2">
        <f>([412]L!S265*'D(Ti_Audétat23) Times'!$F265*0.000001)^2/(4*'D(Ti_Audétat23) Times'!$C265)/(365.35*24*3600)</f>
        <v>1824.4468631701975</v>
      </c>
      <c r="S265" s="2">
        <f>([412]L!T265*'D(Ti_Audétat23) Times'!$F265*0.000001)^2/(4*'D(Ti_Audétat23) Times'!$C265)/(365.35*24*3600)</f>
        <v>3519.1899989732028</v>
      </c>
      <c r="T265" s="2"/>
      <c r="U265" s="2">
        <f>([412]L!V265*'D(Ti_Audétat23) Times'!$F265*0.000001)^2/(4*'D(Ti_Audétat23) Times'!$C265)/(365.35*24*3600)</f>
        <v>3214.0832962687869</v>
      </c>
      <c r="V265" s="2">
        <f>([412]L!W265*'D(Ti_Audétat23) Times'!$F265*0.000001)^2/(4*'D(Ti_Audétat23) Times'!$C265)/(365.35*24*3600)</f>
        <v>3243.6152995898924</v>
      </c>
      <c r="W265" s="2">
        <f>([412]L!X265*'D(Ti_Audétat23) Times'!$F265*0.000001)^2/(4*'D(Ti_Audétat23) Times'!$C265)/(365.35*24*3600)</f>
        <v>4219.6803932046396</v>
      </c>
      <c r="X265" s="2"/>
      <c r="Y265" s="2">
        <f>([412]L!Z265*'D(Ti_Audétat23) Times'!$F265*0.000001)^2/(4*'D(Ti_Audétat23) Times'!$C265)/(365.35*24*3600)</f>
        <v>3226.4120733535278</v>
      </c>
      <c r="Z265" s="2">
        <f>([412]L!AB265*'D(Ti_Audétat23) Times'!$F265*0.000001)^2/(4*'D(Ti_Audétat23) Times'!$C265)/(365.35*24*3600)</f>
        <v>6498.1689329254204</v>
      </c>
      <c r="AA265" s="2">
        <f>([412]L!AC265*'D(Ti_Audétat23) Times'!$F265*0.000001)^2/(4*'D(Ti_Audétat23) Times'!$C265)/(365.35*24*3600)</f>
        <v>84.378733477269336</v>
      </c>
      <c r="AB265" s="2">
        <f>([412]L!AD265*'D(Ti_Audétat23) Times'!$F265*0.000001)^2/(4*'D(Ti_Audétat23) Times'!$C265)/(365.35*24*3600)</f>
        <v>153558.3317712633</v>
      </c>
      <c r="AC265" s="2">
        <f t="shared" si="17"/>
        <v>6413.7901994481508</v>
      </c>
      <c r="AD265" s="2">
        <f t="shared" si="18"/>
        <v>147060.16283833788</v>
      </c>
    </row>
    <row r="266" spans="1:30" x14ac:dyDescent="0.2">
      <c r="A266" t="str">
        <f>[412]L!A266</f>
        <v>CGI014-qtz07-CL-fit-3-offset</v>
      </c>
      <c r="B266">
        <v>750</v>
      </c>
      <c r="C266">
        <f t="shared" si="19"/>
        <v>1.1456341375347871E-23</v>
      </c>
      <c r="D266">
        <v>1500</v>
      </c>
      <c r="E266">
        <v>1024</v>
      </c>
      <c r="F266">
        <f t="shared" si="16"/>
        <v>1.46484375</v>
      </c>
      <c r="I266" s="2">
        <f>([412]L!J266*'D(Ti_Audétat23) Times'!$F266*0.000001)^2/(4*'D(Ti_Audétat23) Times'!$C266)/(365.35*24*3600)</f>
        <v>9709.5281539065745</v>
      </c>
      <c r="J266" s="2">
        <f>([412]L!K266*'D(Ti_Audétat23) Times'!$F266*0.000001)^2/(4*'D(Ti_Audétat23) Times'!$C266)/(365.35*24*3600)</f>
        <v>12544.647347378563</v>
      </c>
      <c r="K266" s="2">
        <f>([412]L!L266*'D(Ti_Audétat23) Times'!$F266*0.000001)^2/(4*'D(Ti_Audétat23) Times'!$C266)/(365.35*24*3600)</f>
        <v>13087.577584415827</v>
      </c>
      <c r="L266" s="2">
        <f>([412]L!M266*'D(Ti_Audétat23) Times'!$F266*0.000001)^2/(4*'D(Ti_Audétat23) Times'!$C266)/(365.35*24*3600)</f>
        <v>12122.63010210054</v>
      </c>
      <c r="M266" s="2">
        <f>([412]L!N266*'D(Ti_Audétat23) Times'!$F266*0.000001)^2/(4*'D(Ti_Audétat23) Times'!$C266)/(365.35*24*3600)</f>
        <v>14460.126056518115</v>
      </c>
      <c r="N266" s="2">
        <f>([412]L!O266*'D(Ti_Audétat23) Times'!$F266*0.000001)^2/(4*'D(Ti_Audétat23) Times'!$C266)/(365.35*24*3600)</f>
        <v>4797.8700729802222</v>
      </c>
      <c r="O266" s="2">
        <f>([412]L!P266*'D(Ti_Audétat23) Times'!$F266*0.000001)^2/(4*'D(Ti_Audétat23) Times'!$C266)/(365.35*24*3600)</f>
        <v>11453.638256158123</v>
      </c>
      <c r="P266" s="2">
        <f>([412]L!Q266*'D(Ti_Audétat23) Times'!$F266*0.000001)^2/(4*'D(Ti_Audétat23) Times'!$C266)/(365.35*24*3600)</f>
        <v>7309.7967725817225</v>
      </c>
      <c r="Q266" s="2">
        <f>([412]L!R266*'D(Ti_Audétat23) Times'!$F266*0.000001)^2/(4*'D(Ti_Audétat23) Times'!$C266)/(365.35*24*3600)</f>
        <v>15442.715194920655</v>
      </c>
      <c r="R266" s="2">
        <f>([412]L!S266*'D(Ti_Audétat23) Times'!$F266*0.000001)^2/(4*'D(Ti_Audétat23) Times'!$C266)/(365.35*24*3600)</f>
        <v>13148.591883680019</v>
      </c>
      <c r="S266" s="2">
        <f>([412]L!T266*'D(Ti_Audétat23) Times'!$F266*0.000001)^2/(4*'D(Ti_Audétat23) Times'!$C266)/(365.35*24*3600)</f>
        <v>7834.7341927212155</v>
      </c>
      <c r="T266" s="2"/>
      <c r="U266" s="2">
        <f>([412]L!V266*'D(Ti_Audétat23) Times'!$F266*0.000001)^2/(4*'D(Ti_Audétat23) Times'!$C266)/(365.35*24*3600)</f>
        <v>11100.554763137921</v>
      </c>
      <c r="V266" s="2">
        <f>([412]L!W266*'D(Ti_Audétat23) Times'!$F266*0.000001)^2/(4*'D(Ti_Audétat23) Times'!$C266)/(365.35*24*3600)</f>
        <v>10826.016666139529</v>
      </c>
      <c r="W266" s="2">
        <f>([412]L!X266*'D(Ti_Audétat23) Times'!$F266*0.000001)^2/(4*'D(Ti_Audétat23) Times'!$C266)/(365.35*24*3600)</f>
        <v>12122.63010210054</v>
      </c>
      <c r="X266" s="2"/>
      <c r="Y266" s="2">
        <f>([412]L!Z266*'D(Ti_Audétat23) Times'!$F266*0.000001)^2/(4*'D(Ti_Audétat23) Times'!$C266)/(365.35*24*3600)</f>
        <v>11360.436955861063</v>
      </c>
      <c r="Z266" s="2">
        <f>([412]L!AB266*'D(Ti_Audétat23) Times'!$F266*0.000001)^2/(4*'D(Ti_Audétat23) Times'!$C266)/(365.35*24*3600)</f>
        <v>11175.526651631639</v>
      </c>
      <c r="AA266" s="2">
        <f>([412]L!AC266*'D(Ti_Audétat23) Times'!$F266*0.000001)^2/(4*'D(Ti_Audétat23) Times'!$C266)/(365.35*24*3600)</f>
        <v>2325.7463735961369</v>
      </c>
      <c r="AB266" s="2">
        <f>([412]L!AD266*'D(Ti_Audétat23) Times'!$F266*0.000001)^2/(4*'D(Ti_Audétat23) Times'!$C266)/(365.35*24*3600)</f>
        <v>24877.02807626683</v>
      </c>
      <c r="AC266" s="2">
        <f t="shared" si="17"/>
        <v>8849.7802780355014</v>
      </c>
      <c r="AD266" s="2">
        <f t="shared" si="18"/>
        <v>13701.501424635191</v>
      </c>
    </row>
    <row r="267" spans="1:30" x14ac:dyDescent="0.2">
      <c r="A267" t="str">
        <f>[412]L!A267</f>
        <v>CGI014-qtz07-CL-fit-4-offset</v>
      </c>
      <c r="B267">
        <v>750</v>
      </c>
      <c r="C267">
        <f t="shared" si="19"/>
        <v>1.1456341375347871E-23</v>
      </c>
      <c r="D267">
        <v>1500</v>
      </c>
      <c r="E267">
        <v>1024</v>
      </c>
      <c r="F267">
        <f t="shared" si="16"/>
        <v>1.46484375</v>
      </c>
      <c r="I267" s="2">
        <f>([412]L!J267*'D(Ti_Audétat23) Times'!$F267*0.000001)^2/(4*'D(Ti_Audétat23) Times'!$C267)/(365.35*24*3600)</f>
        <v>2566.381949121147</v>
      </c>
      <c r="J267" s="2">
        <f>([412]L!K267*'D(Ti_Audétat23) Times'!$F267*0.000001)^2/(4*'D(Ti_Audétat23) Times'!$C267)/(365.35*24*3600)</f>
        <v>9829.7169608111762</v>
      </c>
      <c r="K267" s="2">
        <f>([412]L!L267*'D(Ti_Audétat23) Times'!$F267*0.000001)^2/(4*'D(Ti_Audétat23) Times'!$C267)/(365.35*24*3600)</f>
        <v>5997.3741476601199</v>
      </c>
      <c r="L267" s="2">
        <f>([412]L!M267*'D(Ti_Audétat23) Times'!$F267*0.000001)^2/(4*'D(Ti_Audétat23) Times'!$C267)/(365.35*24*3600)</f>
        <v>11222.205863599262</v>
      </c>
      <c r="M267" s="2">
        <f>([412]L!N267*'D(Ti_Audétat23) Times'!$F267*0.000001)^2/(4*'D(Ti_Audétat23) Times'!$C267)/(365.35*24*3600)</f>
        <v>3836.8401147321665</v>
      </c>
      <c r="N267" s="2">
        <f>([412]L!O267*'D(Ti_Audétat23) Times'!$F267*0.000001)^2/(4*'D(Ti_Audétat23) Times'!$C267)/(365.35*24*3600)</f>
        <v>1993.0940553487756</v>
      </c>
      <c r="O267" s="2">
        <f>([412]L!P267*'D(Ti_Audétat23) Times'!$F267*0.000001)^2/(4*'D(Ti_Audétat23) Times'!$C267)/(365.35*24*3600)</f>
        <v>790.47778169080573</v>
      </c>
      <c r="P267" s="2">
        <f>([412]L!Q267*'D(Ti_Audétat23) Times'!$F267*0.000001)^2/(4*'D(Ti_Audétat23) Times'!$C267)/(365.35*24*3600)</f>
        <v>10151.497195817674</v>
      </c>
      <c r="Q267" s="2">
        <f>([412]L!R267*'D(Ti_Audétat23) Times'!$F267*0.000001)^2/(4*'D(Ti_Audétat23) Times'!$C267)/(365.35*24*3600)</f>
        <v>7243.5998614081554</v>
      </c>
      <c r="R267" s="2">
        <f>([412]L!S267*'D(Ti_Audétat23) Times'!$F267*0.000001)^2/(4*'D(Ti_Audétat23) Times'!$C267)/(365.35*24*3600)</f>
        <v>4395.5402375852536</v>
      </c>
      <c r="S267" s="2">
        <f>([412]L!T267*'D(Ti_Audétat23) Times'!$F267*0.000001)^2/(4*'D(Ti_Audétat23) Times'!$C267)/(365.35*24*3600)</f>
        <v>7452.2956202185424</v>
      </c>
      <c r="T267" s="2"/>
      <c r="U267" s="2">
        <f>([412]L!V267*'D(Ti_Audétat23) Times'!$F267*0.000001)^2/(4*'D(Ti_Audétat23) Times'!$C267)/(365.35*24*3600)</f>
        <v>4949.3125510149021</v>
      </c>
      <c r="V267" s="2">
        <f>([412]L!W267*'D(Ti_Audétat23) Times'!$F267*0.000001)^2/(4*'D(Ti_Audétat23) Times'!$C267)/(365.35*24*3600)</f>
        <v>5373.8670446640181</v>
      </c>
      <c r="W267" s="2">
        <f>([412]L!X267*'D(Ti_Audétat23) Times'!$F267*0.000001)^2/(4*'D(Ti_Audétat23) Times'!$C267)/(365.35*24*3600)</f>
        <v>5997.3741476601199</v>
      </c>
      <c r="X267" s="2"/>
      <c r="Y267" s="2">
        <f>([412]L!Z267*'D(Ti_Audétat23) Times'!$F267*0.000001)^2/(4*'D(Ti_Audétat23) Times'!$C267)/(365.35*24*3600)</f>
        <v>4905.3671071182152</v>
      </c>
      <c r="Z267" s="2">
        <f>([412]L!AB267*'D(Ti_Audétat23) Times'!$F267*0.000001)^2/(4*'D(Ti_Audétat23) Times'!$C267)/(365.35*24*3600)</f>
        <v>4174.8929758236081</v>
      </c>
      <c r="AA267" s="2">
        <f>([412]L!AC267*'D(Ti_Audétat23) Times'!$F267*0.000001)^2/(4*'D(Ti_Audétat23) Times'!$C267)/(365.35*24*3600)</f>
        <v>64.152500547131936</v>
      </c>
      <c r="AB267" s="2">
        <f>([412]L!AD267*'D(Ti_Audétat23) Times'!$F267*0.000001)^2/(4*'D(Ti_Audétat23) Times'!$C267)/(365.35*24*3600)</f>
        <v>15138.42783865956</v>
      </c>
      <c r="AC267" s="2">
        <f t="shared" si="17"/>
        <v>4110.740475276476</v>
      </c>
      <c r="AD267" s="2">
        <f t="shared" si="18"/>
        <v>10963.534862835952</v>
      </c>
    </row>
    <row r="268" spans="1:30" x14ac:dyDescent="0.2">
      <c r="A268" t="str">
        <f>[412]L!A268</f>
        <v>CGI014-qtz08-CL-fit-1-offset</v>
      </c>
      <c r="B268">
        <v>750</v>
      </c>
      <c r="C268">
        <f t="shared" si="19"/>
        <v>1.1456341375347871E-23</v>
      </c>
      <c r="D268">
        <v>1550</v>
      </c>
      <c r="E268">
        <v>1024</v>
      </c>
      <c r="F268">
        <f t="shared" si="16"/>
        <v>1.513671875</v>
      </c>
      <c r="I268" s="2">
        <f>([412]L!J268*'D(Ti_Audétat23) Times'!$F268*0.000001)^2/(4*'D(Ti_Audétat23) Times'!$C268)/(365.35*24*3600)</f>
        <v>435993.14912336488</v>
      </c>
      <c r="J268" s="2">
        <f>([412]L!K268*'D(Ti_Audétat23) Times'!$F268*0.000001)^2/(4*'D(Ti_Audétat23) Times'!$C268)/(365.35*24*3600)</f>
        <v>384438.17457166681</v>
      </c>
      <c r="K268" s="2">
        <f>([412]L!L268*'D(Ti_Audétat23) Times'!$F268*0.000001)^2/(4*'D(Ti_Audétat23) Times'!$C268)/(365.35*24*3600)</f>
        <v>361559.44742233219</v>
      </c>
      <c r="L268" s="2">
        <f>([412]L!M268*'D(Ti_Audétat23) Times'!$F268*0.000001)^2/(4*'D(Ti_Audétat23) Times'!$C268)/(365.35*24*3600)</f>
        <v>400864.14666532009</v>
      </c>
      <c r="M268" s="2">
        <f>([412]L!N268*'D(Ti_Audétat23) Times'!$F268*0.000001)^2/(4*'D(Ti_Audétat23) Times'!$C268)/(365.35*24*3600)</f>
        <v>313666.92578759318</v>
      </c>
      <c r="N268" s="2">
        <f>([412]L!O268*'D(Ti_Audétat23) Times'!$F268*0.000001)^2/(4*'D(Ti_Audétat23) Times'!$C268)/(365.35*24*3600)</f>
        <v>327454.08997025224</v>
      </c>
      <c r="O268" s="2">
        <f>([412]L!P268*'D(Ti_Audétat23) Times'!$F268*0.000001)^2/(4*'D(Ti_Audétat23) Times'!$C268)/(365.35*24*3600)</f>
        <v>384377.61027539143</v>
      </c>
      <c r="P268" s="2">
        <f>([412]L!Q268*'D(Ti_Audétat23) Times'!$F268*0.000001)^2/(4*'D(Ti_Audétat23) Times'!$C268)/(365.35*24*3600)</f>
        <v>392883.30845955666</v>
      </c>
      <c r="Q268" s="2">
        <f>([412]L!R268*'D(Ti_Audétat23) Times'!$F268*0.000001)^2/(4*'D(Ti_Audétat23) Times'!$C268)/(365.35*24*3600)</f>
        <v>379844.8011474504</v>
      </c>
      <c r="R268" s="2">
        <f>([412]L!S268*'D(Ti_Audétat23) Times'!$F268*0.000001)^2/(4*'D(Ti_Audétat23) Times'!$C268)/(365.35*24*3600)</f>
        <v>305244.58862708462</v>
      </c>
      <c r="S268" s="2">
        <f>([412]L!T268*'D(Ti_Audétat23) Times'!$F268*0.000001)^2/(4*'D(Ti_Audétat23) Times'!$C268)/(365.35*24*3600)</f>
        <v>271043.57210341102</v>
      </c>
      <c r="T268" s="2"/>
      <c r="U268" s="2">
        <f>([412]L!V268*'D(Ti_Audétat23) Times'!$F268*0.000001)^2/(4*'D(Ti_Audétat23) Times'!$C268)/(365.35*24*3600)</f>
        <v>359669.82877501997</v>
      </c>
      <c r="V268" s="2">
        <f>([412]L!W268*'D(Ti_Audétat23) Times'!$F268*0.000001)^2/(4*'D(Ti_Audétat23) Times'!$C268)/(365.35*24*3600)</f>
        <v>358177.24511846021</v>
      </c>
      <c r="W268" s="2">
        <f>([412]L!X268*'D(Ti_Audétat23) Times'!$F268*0.000001)^2/(4*'D(Ti_Audétat23) Times'!$C268)/(365.35*24*3600)</f>
        <v>379844.8011474504</v>
      </c>
      <c r="X268" s="2"/>
      <c r="Y268" s="2">
        <f>([412]L!Z268*'D(Ti_Audétat23) Times'!$F268*0.000001)^2/(4*'D(Ti_Audétat23) Times'!$C268)/(365.35*24*3600)</f>
        <v>350668.16636346991</v>
      </c>
      <c r="Z268" s="2">
        <f>([412]L!AB268*'D(Ti_Audétat23) Times'!$F268*0.000001)^2/(4*'D(Ti_Audétat23) Times'!$C268)/(365.35*24*3600)</f>
        <v>354756.88822715246</v>
      </c>
      <c r="AA268" s="2">
        <f>([412]L!AC268*'D(Ti_Audétat23) Times'!$F268*0.000001)^2/(4*'D(Ti_Audétat23) Times'!$C268)/(365.35*24*3600)</f>
        <v>271903.485969264</v>
      </c>
      <c r="AB268" s="2">
        <f>([412]L!AD268*'D(Ti_Audétat23) Times'!$F268*0.000001)^2/(4*'D(Ti_Audétat23) Times'!$C268)/(365.35*24*3600)</f>
        <v>455681.06598677422</v>
      </c>
      <c r="AC268" s="2">
        <f t="shared" si="17"/>
        <v>82853.402257888461</v>
      </c>
      <c r="AD268" s="2">
        <f t="shared" si="18"/>
        <v>100924.17775962176</v>
      </c>
    </row>
    <row r="269" spans="1:30" x14ac:dyDescent="0.2">
      <c r="A269" t="str">
        <f>[412]L!A269</f>
        <v>CGI014-qtz08-CL-fit-2-offset</v>
      </c>
      <c r="B269">
        <v>750</v>
      </c>
      <c r="C269">
        <f t="shared" si="19"/>
        <v>1.1456341375347871E-23</v>
      </c>
      <c r="D269">
        <v>1550</v>
      </c>
      <c r="E269">
        <v>1024</v>
      </c>
      <c r="F269">
        <f t="shared" si="16"/>
        <v>1.513671875</v>
      </c>
      <c r="I269" s="2">
        <f>([412]L!J269*'D(Ti_Audétat23) Times'!$F269*0.000001)^2/(4*'D(Ti_Audétat23) Times'!$C269)/(365.35*24*3600)</f>
        <v>80677.281521866447</v>
      </c>
      <c r="J269" s="2">
        <f>([412]L!K269*'D(Ti_Audétat23) Times'!$F269*0.000001)^2/(4*'D(Ti_Audétat23) Times'!$C269)/(365.35*24*3600)</f>
        <v>59980.503070544713</v>
      </c>
      <c r="K269" s="2">
        <f>([412]L!L269*'D(Ti_Audétat23) Times'!$F269*0.000001)^2/(4*'D(Ti_Audétat23) Times'!$C269)/(365.35*24*3600)</f>
        <v>59556.761480932197</v>
      </c>
      <c r="L269" s="2">
        <f>([412]L!M269*'D(Ti_Audétat23) Times'!$F269*0.000001)^2/(4*'D(Ti_Audétat23) Times'!$C269)/(365.35*24*3600)</f>
        <v>52696.862549820165</v>
      </c>
      <c r="M269" s="2">
        <f>([412]L!N269*'D(Ti_Audétat23) Times'!$F269*0.000001)^2/(4*'D(Ti_Audétat23) Times'!$C269)/(365.35*24*3600)</f>
        <v>69337.796253338412</v>
      </c>
      <c r="N269" s="2">
        <f>([412]L!O269*'D(Ti_Audétat23) Times'!$F269*0.000001)^2/(4*'D(Ti_Audétat23) Times'!$C269)/(365.35*24*3600)</f>
        <v>41975.587078588193</v>
      </c>
      <c r="O269" s="2">
        <f>([412]L!P269*'D(Ti_Audétat23) Times'!$F269*0.000001)^2/(4*'D(Ti_Audétat23) Times'!$C269)/(365.35*24*3600)</f>
        <v>45945.270274699869</v>
      </c>
      <c r="P269" s="2">
        <f>([412]L!Q269*'D(Ti_Audétat23) Times'!$F269*0.000001)^2/(4*'D(Ti_Audétat23) Times'!$C269)/(365.35*24*3600)</f>
        <v>55553.277718324753</v>
      </c>
      <c r="Q269" s="2">
        <f>([412]L!R269*'D(Ti_Audétat23) Times'!$F269*0.000001)^2/(4*'D(Ti_Audétat23) Times'!$C269)/(365.35*24*3600)</f>
        <v>52370.104189097437</v>
      </c>
      <c r="R269" s="2">
        <f>([412]L!S269*'D(Ti_Audétat23) Times'!$F269*0.000001)^2/(4*'D(Ti_Audétat23) Times'!$C269)/(365.35*24*3600)</f>
        <v>56223.206814515259</v>
      </c>
      <c r="S269" s="2">
        <f>([412]L!T269*'D(Ti_Audétat23) Times'!$F269*0.000001)^2/(4*'D(Ti_Audétat23) Times'!$C269)/(365.35*24*3600)</f>
        <v>93954.381328128104</v>
      </c>
      <c r="T269" s="2"/>
      <c r="U269" s="2">
        <f>([412]L!V269*'D(Ti_Audétat23) Times'!$F269*0.000001)^2/(4*'D(Ti_Audétat23) Times'!$C269)/(365.35*24*3600)</f>
        <v>61278.931062804266</v>
      </c>
      <c r="V269" s="2">
        <f>([412]L!W269*'D(Ti_Audétat23) Times'!$F269*0.000001)^2/(4*'D(Ti_Audétat23) Times'!$C269)/(365.35*24*3600)</f>
        <v>59948.071859799697</v>
      </c>
      <c r="W269" s="2">
        <f>([412]L!X269*'D(Ti_Audétat23) Times'!$F269*0.000001)^2/(4*'D(Ti_Audétat23) Times'!$C269)/(365.35*24*3600)</f>
        <v>56223.206814515259</v>
      </c>
      <c r="X269" s="2"/>
      <c r="Y269" s="2">
        <f>([412]L!Z269*'D(Ti_Audétat23) Times'!$F269*0.000001)^2/(4*'D(Ti_Audétat23) Times'!$C269)/(365.35*24*3600)</f>
        <v>60670.364006752563</v>
      </c>
      <c r="Z269" s="2">
        <f>([412]L!AB269*'D(Ti_Audétat23) Times'!$F269*0.000001)^2/(4*'D(Ti_Audétat23) Times'!$C269)/(365.35*24*3600)</f>
        <v>60311.661405789389</v>
      </c>
      <c r="AA269" s="2">
        <f>([412]L!AC269*'D(Ti_Audétat23) Times'!$F269*0.000001)^2/(4*'D(Ti_Audétat23) Times'!$C269)/(365.35*24*3600)</f>
        <v>39935.575928937978</v>
      </c>
      <c r="AB269" s="2">
        <f>([412]L!AD269*'D(Ti_Audétat23) Times'!$F269*0.000001)^2/(4*'D(Ti_Audétat23) Times'!$C269)/(365.35*24*3600)</f>
        <v>85482.047025039472</v>
      </c>
      <c r="AC269" s="2">
        <f t="shared" si="17"/>
        <v>20376.085476851411</v>
      </c>
      <c r="AD269" s="2">
        <f t="shared" si="18"/>
        <v>25170.385619250083</v>
      </c>
    </row>
    <row r="270" spans="1:30" x14ac:dyDescent="0.2">
      <c r="A270" t="str">
        <f>[412]L!A270</f>
        <v>CGI014-qtz08-CL-fit-3-offset</v>
      </c>
      <c r="B270">
        <v>750</v>
      </c>
      <c r="C270">
        <f t="shared" si="19"/>
        <v>1.1456341375347871E-23</v>
      </c>
      <c r="D270">
        <v>1550</v>
      </c>
      <c r="E270">
        <v>1024</v>
      </c>
      <c r="F270">
        <f t="shared" si="16"/>
        <v>1.513671875</v>
      </c>
      <c r="I270" s="2">
        <f>([412]L!J270*'D(Ti_Audétat23) Times'!$F270*0.000001)^2/(4*'D(Ti_Audétat23) Times'!$C270)/(365.35*24*3600)</f>
        <v>78637.304074151223</v>
      </c>
      <c r="J270" s="2">
        <f>([412]L!K270*'D(Ti_Audétat23) Times'!$F270*0.000001)^2/(4*'D(Ti_Audétat23) Times'!$C270)/(365.35*24*3600)</f>
        <v>71942.084054666469</v>
      </c>
      <c r="K270" s="2">
        <f>([412]L!L270*'D(Ti_Audétat23) Times'!$F270*0.000001)^2/(4*'D(Ti_Audétat23) Times'!$C270)/(365.35*24*3600)</f>
        <v>145255.93736690545</v>
      </c>
      <c r="L270" s="2">
        <f>([412]L!M270*'D(Ti_Audétat23) Times'!$F270*0.000001)^2/(4*'D(Ti_Audétat23) Times'!$C270)/(365.35*24*3600)</f>
        <v>129269.46480874441</v>
      </c>
      <c r="M270" s="2">
        <f>([412]L!N270*'D(Ti_Audétat23) Times'!$F270*0.000001)^2/(4*'D(Ti_Audétat23) Times'!$C270)/(365.35*24*3600)</f>
        <v>80218.564066555686</v>
      </c>
      <c r="N270" s="2">
        <f>([412]L!O270*'D(Ti_Audétat23) Times'!$F270*0.000001)^2/(4*'D(Ti_Audétat23) Times'!$C270)/(365.35*24*3600)</f>
        <v>53806.426880119659</v>
      </c>
      <c r="O270" s="2">
        <f>([412]L!P270*'D(Ti_Audétat23) Times'!$F270*0.000001)^2/(4*'D(Ti_Audétat23) Times'!$C270)/(365.35*24*3600)</f>
        <v>64750.616240503659</v>
      </c>
      <c r="P270" s="2">
        <f>([412]L!Q270*'D(Ti_Audétat23) Times'!$F270*0.000001)^2/(4*'D(Ti_Audétat23) Times'!$C270)/(365.35*24*3600)</f>
        <v>21927.052487026423</v>
      </c>
      <c r="Q270" s="2">
        <f>([412]L!R270*'D(Ti_Audétat23) Times'!$F270*0.000001)^2/(4*'D(Ti_Audétat23) Times'!$C270)/(365.35*24*3600)</f>
        <v>50685.571634188025</v>
      </c>
      <c r="R270" s="2">
        <f>([412]L!S270*'D(Ti_Audétat23) Times'!$F270*0.000001)^2/(4*'D(Ti_Audétat23) Times'!$C270)/(365.35*24*3600)</f>
        <v>55888.119609027068</v>
      </c>
      <c r="S270" s="2">
        <f>([412]L!T270*'D(Ti_Audétat23) Times'!$F270*0.000001)^2/(4*'D(Ti_Audétat23) Times'!$C270)/(365.35*24*3600)</f>
        <v>44681.659629675887</v>
      </c>
      <c r="T270" s="2"/>
      <c r="U270" s="2">
        <f>([412]L!V270*'D(Ti_Audétat23) Times'!$F270*0.000001)^2/(4*'D(Ti_Audétat23) Times'!$C270)/(365.35*24*3600)</f>
        <v>63124.255983830197</v>
      </c>
      <c r="V270" s="2">
        <f>([412]L!W270*'D(Ti_Audétat23) Times'!$F270*0.000001)^2/(4*'D(Ti_Audétat23) Times'!$C270)/(365.35*24*3600)</f>
        <v>68546.889154933291</v>
      </c>
      <c r="W270" s="2">
        <f>([412]L!X270*'D(Ti_Audétat23) Times'!$F270*0.000001)^2/(4*'D(Ti_Audétat23) Times'!$C270)/(365.35*24*3600)</f>
        <v>64750.616240503659</v>
      </c>
      <c r="X270" s="2"/>
      <c r="Y270" s="2">
        <f>([412]L!Z270*'D(Ti_Audétat23) Times'!$F270*0.000001)^2/(4*'D(Ti_Audétat23) Times'!$C270)/(365.35*24*3600)</f>
        <v>62401.798353585385</v>
      </c>
      <c r="Z270" s="2">
        <f>([412]L!AB270*'D(Ti_Audétat23) Times'!$F270*0.000001)^2/(4*'D(Ti_Audétat23) Times'!$C270)/(365.35*24*3600)</f>
        <v>67508.69491259144</v>
      </c>
      <c r="AA270" s="2">
        <f>([412]L!AC270*'D(Ti_Audétat23) Times'!$F270*0.000001)^2/(4*'D(Ti_Audétat23) Times'!$C270)/(365.35*24*3600)</f>
        <v>23056.535849443902</v>
      </c>
      <c r="AB270" s="2">
        <f>([412]L!AD270*'D(Ti_Audétat23) Times'!$F270*0.000001)^2/(4*'D(Ti_Audétat23) Times'!$C270)/(365.35*24*3600)</f>
        <v>186946.38701981379</v>
      </c>
      <c r="AC270" s="2">
        <f t="shared" si="17"/>
        <v>44452.159063147541</v>
      </c>
      <c r="AD270" s="2">
        <f t="shared" si="18"/>
        <v>119437.69210722235</v>
      </c>
    </row>
    <row r="271" spans="1:30" x14ac:dyDescent="0.2">
      <c r="A271" t="str">
        <f>[412]L!A271</f>
        <v>CGI014-qtz08-CL-fit-4-offset</v>
      </c>
      <c r="B271">
        <v>750</v>
      </c>
      <c r="C271">
        <f t="shared" si="19"/>
        <v>1.1456341375347871E-23</v>
      </c>
      <c r="D271">
        <v>1550</v>
      </c>
      <c r="E271">
        <v>1024</v>
      </c>
      <c r="F271">
        <f t="shared" si="16"/>
        <v>1.513671875</v>
      </c>
      <c r="I271" s="2">
        <f>([412]L!J271*'D(Ti_Audétat23) Times'!$F271*0.000001)^2/(4*'D(Ti_Audétat23) Times'!$C271)/(365.35*24*3600)</f>
        <v>52225.095300974666</v>
      </c>
      <c r="J271" s="2">
        <f>([412]L!K271*'D(Ti_Audétat23) Times'!$F271*0.000001)^2/(4*'D(Ti_Audétat23) Times'!$C271)/(365.35*24*3600)</f>
        <v>49612.558872565831</v>
      </c>
      <c r="K271" s="2">
        <f>([412]L!L271*'D(Ti_Audétat23) Times'!$F271*0.000001)^2/(4*'D(Ti_Audétat23) Times'!$C271)/(365.35*24*3600)</f>
        <v>40285.71253713029</v>
      </c>
      <c r="L271" s="2">
        <f>([412]L!M271*'D(Ti_Audétat23) Times'!$F271*0.000001)^2/(4*'D(Ti_Audétat23) Times'!$C271)/(365.35*24*3600)</f>
        <v>36541.095591878962</v>
      </c>
      <c r="M271" s="2">
        <f>([412]L!N271*'D(Ti_Audétat23) Times'!$F271*0.000001)^2/(4*'D(Ti_Audétat23) Times'!$C271)/(365.35*24*3600)</f>
        <v>60958.301225817886</v>
      </c>
      <c r="N271" s="2">
        <f>([412]L!O271*'D(Ti_Audétat23) Times'!$F271*0.000001)^2/(4*'D(Ti_Audétat23) Times'!$C271)/(365.35*24*3600)</f>
        <v>36968.410008893123</v>
      </c>
      <c r="O271" s="2">
        <f>([412]L!P271*'D(Ti_Audétat23) Times'!$F271*0.000001)^2/(4*'D(Ti_Audétat23) Times'!$C271)/(365.35*24*3600)</f>
        <v>28409.174136066471</v>
      </c>
      <c r="P271" s="2">
        <f>([412]L!Q271*'D(Ti_Audétat23) Times'!$F271*0.000001)^2/(4*'D(Ti_Audétat23) Times'!$C271)/(365.35*24*3600)</f>
        <v>37748.060448287797</v>
      </c>
      <c r="Q271" s="2">
        <f>([412]L!R271*'D(Ti_Audétat23) Times'!$F271*0.000001)^2/(4*'D(Ti_Audétat23) Times'!$C271)/(365.35*24*3600)</f>
        <v>61118.077981863957</v>
      </c>
      <c r="R271" s="2">
        <f>([412]L!S271*'D(Ti_Audétat23) Times'!$F271*0.000001)^2/(4*'D(Ti_Audétat23) Times'!$C271)/(365.35*24*3600)</f>
        <v>55089.034826048963</v>
      </c>
      <c r="S271" s="2">
        <f>([412]L!T271*'D(Ti_Audétat23) Times'!$F271*0.000001)^2/(4*'D(Ti_Audétat23) Times'!$C271)/(365.35*24*3600)</f>
        <v>40280.024818718062</v>
      </c>
      <c r="T271" s="2"/>
      <c r="U271" s="2">
        <f>([412]L!V271*'D(Ti_Audétat23) Times'!$F271*0.000001)^2/(4*'D(Ti_Audétat23) Times'!$C271)/(365.35*24*3600)</f>
        <v>45535.052951182726</v>
      </c>
      <c r="V271" s="2">
        <f>([412]L!W271*'D(Ti_Audétat23) Times'!$F271*0.000001)^2/(4*'D(Ti_Audétat23) Times'!$C271)/(365.35*24*3600)</f>
        <v>44781.296535021014</v>
      </c>
      <c r="W271" s="2">
        <f>([412]L!X271*'D(Ti_Audétat23) Times'!$F271*0.000001)^2/(4*'D(Ti_Audétat23) Times'!$C271)/(365.35*24*3600)</f>
        <v>40285.71253713029</v>
      </c>
      <c r="X271" s="2"/>
      <c r="Y271" s="2">
        <f>([412]L!Z271*'D(Ti_Audétat23) Times'!$F271*0.000001)^2/(4*'D(Ti_Audétat23) Times'!$C271)/(365.35*24*3600)</f>
        <v>46177.906205381558</v>
      </c>
      <c r="Z271" s="2">
        <f>([412]L!AB271*'D(Ti_Audétat23) Times'!$F271*0.000001)^2/(4*'D(Ti_Audétat23) Times'!$C271)/(365.35*24*3600)</f>
        <v>46615.044559265749</v>
      </c>
      <c r="AA271" s="2">
        <f>([412]L!AC271*'D(Ti_Audétat23) Times'!$F271*0.000001)^2/(4*'D(Ti_Audétat23) Times'!$C271)/(365.35*24*3600)</f>
        <v>29069.784744622</v>
      </c>
      <c r="AB271" s="2">
        <f>([412]L!AD271*'D(Ti_Audétat23) Times'!$F271*0.000001)^2/(4*'D(Ti_Audétat23) Times'!$C271)/(365.35*24*3600)</f>
        <v>73206.858526263313</v>
      </c>
      <c r="AC271" s="2">
        <f t="shared" si="17"/>
        <v>17545.259814643749</v>
      </c>
      <c r="AD271" s="2">
        <f t="shared" si="18"/>
        <v>26591.813966997564</v>
      </c>
    </row>
    <row r="272" spans="1:30" x14ac:dyDescent="0.2">
      <c r="A272" t="str">
        <f>[412]L!A272</f>
        <v>CGI014-qtz09-CL-fit-1-offset</v>
      </c>
      <c r="B272">
        <v>750</v>
      </c>
      <c r="C272">
        <f t="shared" si="19"/>
        <v>1.1456341375347871E-23</v>
      </c>
      <c r="D272">
        <v>1550</v>
      </c>
      <c r="E272">
        <v>1024</v>
      </c>
      <c r="F272">
        <f t="shared" si="16"/>
        <v>1.513671875</v>
      </c>
      <c r="I272" s="2">
        <f>([412]L!J272*'D(Ti_Audétat23) Times'!$F272*0.000001)^2/(4*'D(Ti_Audétat23) Times'!$C272)/(365.35*24*3600)</f>
        <v>95.714818531790058</v>
      </c>
      <c r="J272" s="2">
        <f>([412]L!K272*'D(Ti_Audétat23) Times'!$F272*0.000001)^2/(4*'D(Ti_Audétat23) Times'!$C272)/(365.35*24*3600)</f>
        <v>1115.0422865601574</v>
      </c>
      <c r="K272" s="2">
        <f>([412]L!L272*'D(Ti_Audétat23) Times'!$F272*0.000001)^2/(4*'D(Ti_Audétat23) Times'!$C272)/(365.35*24*3600)</f>
        <v>14060.703469913733</v>
      </c>
      <c r="L272" s="2">
        <f>([412]L!M272*'D(Ti_Audétat23) Times'!$F272*0.000001)^2/(4*'D(Ti_Audétat23) Times'!$C272)/(365.35*24*3600)</f>
        <v>0</v>
      </c>
      <c r="M272" s="2">
        <f>([412]L!N272*'D(Ti_Audétat23) Times'!$F272*0.000001)^2/(4*'D(Ti_Audétat23) Times'!$C272)/(365.35*24*3600)</f>
        <v>78.721699330442618</v>
      </c>
      <c r="N272" s="2">
        <f>([412]L!O272*'D(Ti_Audétat23) Times'!$F272*0.000001)^2/(4*'D(Ti_Audétat23) Times'!$C272)/(365.35*24*3600)</f>
        <v>11660.370911771821</v>
      </c>
      <c r="O272" s="2">
        <f>([412]L!P272*'D(Ti_Audétat23) Times'!$F272*0.000001)^2/(4*'D(Ti_Audétat23) Times'!$C272)/(365.35*24*3600)</f>
        <v>5.0849344291708469</v>
      </c>
      <c r="P272" s="2">
        <f>([412]L!Q272*'D(Ti_Audétat23) Times'!$F272*0.000001)^2/(4*'D(Ti_Audétat23) Times'!$C272)/(365.35*24*3600)</f>
        <v>5.4471213453508208E-2</v>
      </c>
      <c r="Q272" s="2">
        <f>([412]L!R272*'D(Ti_Audétat23) Times'!$F272*0.000001)^2/(4*'D(Ti_Audétat23) Times'!$C272)/(365.35*24*3600)</f>
        <v>33300.160468559901</v>
      </c>
      <c r="R272" s="2">
        <f>([412]L!S272*'D(Ti_Audétat23) Times'!$F272*0.000001)^2/(4*'D(Ti_Audétat23) Times'!$C272)/(365.35*24*3600)</f>
        <v>6188.0664509273174</v>
      </c>
      <c r="S272" s="2">
        <f>([412]L!T272*'D(Ti_Audétat23) Times'!$F272*0.000001)^2/(4*'D(Ti_Audétat23) Times'!$C272)/(365.35*24*3600)</f>
        <v>18.830555079057827</v>
      </c>
      <c r="T272" s="2"/>
      <c r="U272" s="2">
        <f>([412]L!V272*'D(Ti_Audétat23) Times'!$F272*0.000001)^2/(4*'D(Ti_Audétat23) Times'!$C272)/(365.35*24*3600)</f>
        <v>9496.8839629302001</v>
      </c>
      <c r="V272" s="2">
        <f>([412]L!W272*'D(Ti_Audétat23) Times'!$F272*0.000001)^2/(4*'D(Ti_Audétat23) Times'!$C272)/(365.35*24*3600)</f>
        <v>2987.5469491722233</v>
      </c>
      <c r="W272" s="2">
        <f>([412]L!X272*'D(Ti_Audétat23) Times'!$F272*0.000001)^2/(4*'D(Ti_Audétat23) Times'!$C272)/(365.35*24*3600)</f>
        <v>466.03405742115979</v>
      </c>
      <c r="X272" s="2"/>
      <c r="Y272" s="2">
        <f>([412]L!Z272*'D(Ti_Audétat23) Times'!$F272*0.000001)^2/(4*'D(Ti_Audétat23) Times'!$C272)/(365.35*24*3600)</f>
        <v>4443.7940440307229</v>
      </c>
      <c r="Z272" s="2">
        <f>([412]L!AB272*'D(Ti_Audétat23) Times'!$F272*0.000001)^2/(4*'D(Ti_Audétat23) Times'!$C272)/(365.35*24*3600)</f>
        <v>9237.1261068258336</v>
      </c>
      <c r="AA272" s="2">
        <f>([412]L!AC272*'D(Ti_Audétat23) Times'!$F272*0.000001)^2/(4*'D(Ti_Audétat23) Times'!$C272)/(365.35*24*3600)</f>
        <v>2.4647578737851444E-8</v>
      </c>
      <c r="AB272" s="2">
        <f>([412]L!AD272*'D(Ti_Audétat23) Times'!$F272*0.000001)^2/(4*'D(Ti_Audétat23) Times'!$C272)/(365.35*24*3600)</f>
        <v>87267.549682724115</v>
      </c>
      <c r="AC272" s="2">
        <f t="shared" si="17"/>
        <v>9237.1261068011863</v>
      </c>
      <c r="AD272" s="2">
        <f t="shared" si="18"/>
        <v>78030.423575898283</v>
      </c>
    </row>
    <row r="273" spans="1:30" x14ac:dyDescent="0.2">
      <c r="A273" t="str">
        <f>[412]L!A273</f>
        <v>CGI014-qtz09-CL-fit-2-offset</v>
      </c>
      <c r="B273">
        <v>750</v>
      </c>
      <c r="C273">
        <f t="shared" si="19"/>
        <v>1.1456341375347871E-23</v>
      </c>
      <c r="D273">
        <v>1550</v>
      </c>
      <c r="E273">
        <v>1024</v>
      </c>
      <c r="F273">
        <f t="shared" si="16"/>
        <v>1.513671875</v>
      </c>
      <c r="I273" s="2">
        <f>([412]L!J273*'D(Ti_Audétat23) Times'!$F273*0.000001)^2/(4*'D(Ti_Audétat23) Times'!$C273)/(365.35*24*3600)</f>
        <v>2553.4736631758692</v>
      </c>
      <c r="J273" s="2">
        <f>([412]L!K273*'D(Ti_Audétat23) Times'!$F273*0.000001)^2/(4*'D(Ti_Audétat23) Times'!$C273)/(365.35*24*3600)</f>
        <v>14496.780792189851</v>
      </c>
      <c r="K273" s="2">
        <f>([412]L!L273*'D(Ti_Audétat23) Times'!$F273*0.000001)^2/(4*'D(Ti_Audétat23) Times'!$C273)/(365.35*24*3600)</f>
        <v>121.27607616324418</v>
      </c>
      <c r="L273" s="2">
        <f>([412]L!M273*'D(Ti_Audétat23) Times'!$F273*0.000001)^2/(4*'D(Ti_Audétat23) Times'!$C273)/(365.35*24*3600)</f>
        <v>7748.8241983452026</v>
      </c>
      <c r="M273" s="2">
        <f>([412]L!N273*'D(Ti_Audétat23) Times'!$F273*0.000001)^2/(4*'D(Ti_Audétat23) Times'!$C273)/(365.35*24*3600)</f>
        <v>4.0686643812393521</v>
      </c>
      <c r="N273" s="2">
        <f>([412]L!O273*'D(Ti_Audétat23) Times'!$F273*0.000001)^2/(4*'D(Ti_Audétat23) Times'!$C273)/(365.35*24*3600)</f>
        <v>84.931998641051095</v>
      </c>
      <c r="O273" s="2">
        <f>([412]L!P273*'D(Ti_Audétat23) Times'!$F273*0.000001)^2/(4*'D(Ti_Audétat23) Times'!$C273)/(365.35*24*3600)</f>
        <v>81.007794591772011</v>
      </c>
      <c r="P273" s="2">
        <f>([412]L!Q273*'D(Ti_Audétat23) Times'!$F273*0.000001)^2/(4*'D(Ti_Audétat23) Times'!$C273)/(365.35*24*3600)</f>
        <v>15.006351771991731</v>
      </c>
      <c r="Q273" s="2">
        <f>([412]L!R273*'D(Ti_Audétat23) Times'!$F273*0.000001)^2/(4*'D(Ti_Audétat23) Times'!$C273)/(365.35*24*3600)</f>
        <v>966.34793383018496</v>
      </c>
      <c r="R273" s="2">
        <f>([412]L!S273*'D(Ti_Audétat23) Times'!$F273*0.000001)^2/(4*'D(Ti_Audétat23) Times'!$C273)/(365.35*24*3600)</f>
        <v>0</v>
      </c>
      <c r="S273" s="2">
        <f>([412]L!T273*'D(Ti_Audétat23) Times'!$F273*0.000001)^2/(4*'D(Ti_Audétat23) Times'!$C273)/(365.35*24*3600)</f>
        <v>1105.605731282483</v>
      </c>
      <c r="T273" s="2"/>
      <c r="U273" s="2">
        <f>([412]L!V273*'D(Ti_Audétat23) Times'!$F273*0.000001)^2/(4*'D(Ti_Audétat23) Times'!$C273)/(365.35*24*3600)</f>
        <v>4320.7388437077407</v>
      </c>
      <c r="V273" s="2">
        <f>([412]L!W273*'D(Ti_Audétat23) Times'!$F273*0.000001)^2/(4*'D(Ti_Audétat23) Times'!$C273)/(365.35*24*3600)</f>
        <v>1284.6375353972014</v>
      </c>
      <c r="W273" s="2">
        <f>([412]L!X273*'D(Ti_Audétat23) Times'!$F273*0.000001)^2/(4*'D(Ti_Audétat23) Times'!$C273)/(365.35*24*3600)</f>
        <v>443.07469533044571</v>
      </c>
      <c r="X273" s="2"/>
      <c r="Y273" s="2">
        <f>([412]L!Z273*'D(Ti_Audétat23) Times'!$F273*0.000001)^2/(4*'D(Ti_Audétat23) Times'!$C273)/(365.35*24*3600)</f>
        <v>4218.44066455552</v>
      </c>
      <c r="Z273" s="2">
        <f>([412]L!AB273*'D(Ti_Audétat23) Times'!$F273*0.000001)^2/(4*'D(Ti_Audétat23) Times'!$C273)/(365.35*24*3600)</f>
        <v>8034.1545604759822</v>
      </c>
      <c r="AA273" s="2">
        <f>([412]L!AC273*'D(Ti_Audétat23) Times'!$F273*0.000001)^2/(4*'D(Ti_Audétat23) Times'!$C273)/(365.35*24*3600)</f>
        <v>5.4776455486299778</v>
      </c>
      <c r="AB273" s="2">
        <f>([412]L!AD273*'D(Ti_Audétat23) Times'!$F273*0.000001)^2/(4*'D(Ti_Audétat23) Times'!$C273)/(365.35*24*3600)</f>
        <v>138566.60717421587</v>
      </c>
      <c r="AC273" s="2">
        <f t="shared" si="17"/>
        <v>8028.6769149273523</v>
      </c>
      <c r="AD273" s="2">
        <f t="shared" si="18"/>
        <v>130532.45261373988</v>
      </c>
    </row>
    <row r="274" spans="1:30" x14ac:dyDescent="0.2">
      <c r="A274" t="str">
        <f>[412]L!A274</f>
        <v>CGI014-qtz09-CL-fit-3-offset</v>
      </c>
      <c r="B274">
        <v>750</v>
      </c>
      <c r="C274">
        <f t="shared" si="19"/>
        <v>1.1456341375347871E-23</v>
      </c>
      <c r="D274">
        <v>1550</v>
      </c>
      <c r="E274">
        <v>1024</v>
      </c>
      <c r="F274">
        <f t="shared" si="16"/>
        <v>1.513671875</v>
      </c>
      <c r="I274" s="2">
        <f>([412]L!J274*'D(Ti_Audétat23) Times'!$F274*0.000001)^2/(4*'D(Ti_Audétat23) Times'!$C274)/(365.35*24*3600)</f>
        <v>0.39310653560899056</v>
      </c>
      <c r="J274" s="2">
        <f>([412]L!K274*'D(Ti_Audétat23) Times'!$F274*0.000001)^2/(4*'D(Ti_Audétat23) Times'!$C274)/(365.35*24*3600)</f>
        <v>48.914485750606197</v>
      </c>
      <c r="K274" s="2">
        <f>([412]L!L274*'D(Ti_Audétat23) Times'!$F274*0.000001)^2/(4*'D(Ti_Audétat23) Times'!$C274)/(365.35*24*3600)</f>
        <v>3.727393813467347</v>
      </c>
      <c r="L274" s="2">
        <f>([412]L!M274*'D(Ti_Audétat23) Times'!$F274*0.000001)^2/(4*'D(Ti_Audétat23) Times'!$C274)/(365.35*24*3600)</f>
        <v>75.107743124490966</v>
      </c>
      <c r="M274" s="2">
        <f>([412]L!N274*'D(Ti_Audétat23) Times'!$F274*0.000001)^2/(4*'D(Ti_Audétat23) Times'!$C274)/(365.35*24*3600)</f>
        <v>133.00564135021645</v>
      </c>
      <c r="N274" s="2">
        <f>([412]L!O274*'D(Ti_Audétat23) Times'!$F274*0.000001)^2/(4*'D(Ti_Audétat23) Times'!$C274)/(365.35*24*3600)</f>
        <v>26.517253713417595</v>
      </c>
      <c r="O274" s="2">
        <f>([412]L!P274*'D(Ti_Audétat23) Times'!$F274*0.000001)^2/(4*'D(Ti_Audétat23) Times'!$C274)/(365.35*24*3600)</f>
        <v>2.2310956726896101</v>
      </c>
      <c r="P274" s="2">
        <f>([412]L!Q274*'D(Ti_Audétat23) Times'!$F274*0.000001)^2/(4*'D(Ti_Audétat23) Times'!$C274)/(365.35*24*3600)</f>
        <v>82.119658022488593</v>
      </c>
      <c r="Q274" s="2">
        <f>([412]L!R274*'D(Ti_Audétat23) Times'!$F274*0.000001)^2/(4*'D(Ti_Audétat23) Times'!$C274)/(365.35*24*3600)</f>
        <v>1655.5202328797429</v>
      </c>
      <c r="R274" s="2">
        <f>([412]L!S274*'D(Ti_Audétat23) Times'!$F274*0.000001)^2/(4*'D(Ti_Audétat23) Times'!$C274)/(365.35*24*3600)</f>
        <v>53.386217721726688</v>
      </c>
      <c r="S274" s="2">
        <f>([412]L!T274*'D(Ti_Audétat23) Times'!$F274*0.000001)^2/(4*'D(Ti_Audétat23) Times'!$C274)/(365.35*24*3600)</f>
        <v>6.3483031123858344</v>
      </c>
      <c r="T274" s="2"/>
      <c r="U274" s="2">
        <f>([412]L!V274*'D(Ti_Audétat23) Times'!$F274*0.000001)^2/(4*'D(Ti_Audétat23) Times'!$C274)/(365.35*24*3600)</f>
        <v>80.143673021130937</v>
      </c>
      <c r="V274" s="2">
        <f>([412]L!W274*'D(Ti_Audétat23) Times'!$F274*0.000001)^2/(4*'D(Ti_Audétat23) Times'!$C274)/(365.35*24*3600)</f>
        <v>76.118039568241826</v>
      </c>
      <c r="W274" s="2">
        <f>([412]L!X274*'D(Ti_Audétat23) Times'!$F274*0.000001)^2/(4*'D(Ti_Audétat23) Times'!$C274)/(365.35*24*3600)</f>
        <v>48.914485750606197</v>
      </c>
      <c r="X274" s="2"/>
      <c r="Y274" s="2">
        <f>([412]L!Z274*'D(Ti_Audétat23) Times'!$F274*0.000001)^2/(4*'D(Ti_Audétat23) Times'!$C274)/(365.35*24*3600)</f>
        <v>72.784270579889153</v>
      </c>
      <c r="Z274" s="2">
        <f>([412]L!AB274*'D(Ti_Audétat23) Times'!$F274*0.000001)^2/(4*'D(Ti_Audétat23) Times'!$C274)/(365.35*24*3600)</f>
        <v>1024.4059604830256</v>
      </c>
      <c r="AA274" s="2">
        <f>([412]L!AC274*'D(Ti_Audétat23) Times'!$F274*0.000001)^2/(4*'D(Ti_Audétat23) Times'!$C274)/(365.35*24*3600)</f>
        <v>3.2441783012659798E-9</v>
      </c>
      <c r="AB274" s="2">
        <f>([412]L!AD274*'D(Ti_Audétat23) Times'!$F274*0.000001)^2/(4*'D(Ti_Audétat23) Times'!$C274)/(365.35*24*3600)</f>
        <v>46561.088671421501</v>
      </c>
      <c r="AC274" s="2">
        <f t="shared" si="17"/>
        <v>1024.4059604797815</v>
      </c>
      <c r="AD274" s="2">
        <f t="shared" si="18"/>
        <v>45536.682710938476</v>
      </c>
    </row>
    <row r="275" spans="1:30" x14ac:dyDescent="0.2">
      <c r="A275" t="str">
        <f>[412]L!A275</f>
        <v>CGI014-qtz09-CL-fit-4-offset</v>
      </c>
      <c r="B275">
        <v>750</v>
      </c>
      <c r="C275">
        <f t="shared" si="19"/>
        <v>1.1456341375347871E-23</v>
      </c>
      <c r="D275">
        <v>1550</v>
      </c>
      <c r="E275">
        <v>1024</v>
      </c>
      <c r="F275">
        <f t="shared" si="16"/>
        <v>1.513671875</v>
      </c>
      <c r="I275" s="2">
        <f>([412]L!J275*'D(Ti_Audétat23) Times'!$F275*0.000001)^2/(4*'D(Ti_Audétat23) Times'!$C275)/(365.35*24*3600)</f>
        <v>2901.7312982708099</v>
      </c>
      <c r="J275" s="2">
        <f>([412]L!K275*'D(Ti_Audétat23) Times'!$F275*0.000001)^2/(4*'D(Ti_Audétat23) Times'!$C275)/(365.35*24*3600)</f>
        <v>3.5365186636494639</v>
      </c>
      <c r="K275" s="2">
        <f>([412]L!L275*'D(Ti_Audétat23) Times'!$F275*0.000001)^2/(4*'D(Ti_Audétat23) Times'!$C275)/(365.35*24*3600)</f>
        <v>12756.556560258927</v>
      </c>
      <c r="L275" s="2">
        <f>([412]L!M275*'D(Ti_Audétat23) Times'!$F275*0.000001)^2/(4*'D(Ti_Audétat23) Times'!$C275)/(365.35*24*3600)</f>
        <v>62.000512412872723</v>
      </c>
      <c r="M275" s="2">
        <f>([412]L!N275*'D(Ti_Audétat23) Times'!$F275*0.000001)^2/(4*'D(Ti_Audétat23) Times'!$C275)/(365.35*24*3600)</f>
        <v>598.81712872712126</v>
      </c>
      <c r="N275" s="2">
        <f>([412]L!O275*'D(Ti_Audétat23) Times'!$F275*0.000001)^2/(4*'D(Ti_Audétat23) Times'!$C275)/(365.35*24*3600)</f>
        <v>678.54873577000262</v>
      </c>
      <c r="O275" s="2">
        <f>([412]L!P275*'D(Ti_Audétat23) Times'!$F275*0.000001)^2/(4*'D(Ti_Audétat23) Times'!$C275)/(365.35*24*3600)</f>
        <v>774.32450349831402</v>
      </c>
      <c r="P275" s="2">
        <f>([412]L!Q275*'D(Ti_Audétat23) Times'!$F275*0.000001)^2/(4*'D(Ti_Audétat23) Times'!$C275)/(365.35*24*3600)</f>
        <v>0.16270486445425578</v>
      </c>
      <c r="Q275" s="2">
        <f>([412]L!R275*'D(Ti_Audétat23) Times'!$F275*0.000001)^2/(4*'D(Ti_Audétat23) Times'!$C275)/(365.35*24*3600)</f>
        <v>22.498623773675636</v>
      </c>
      <c r="R275" s="2">
        <f>([412]L!S275*'D(Ti_Audétat23) Times'!$F275*0.000001)^2/(4*'D(Ti_Audétat23) Times'!$C275)/(365.35*24*3600)</f>
        <v>8.689971898165993</v>
      </c>
      <c r="S275" s="2">
        <f>([412]L!T275*'D(Ti_Audétat23) Times'!$F275*0.000001)^2/(4*'D(Ti_Audétat23) Times'!$C275)/(365.35*24*3600)</f>
        <v>103.1459003084726</v>
      </c>
      <c r="T275" s="2"/>
      <c r="U275" s="2">
        <f>([412]L!V275*'D(Ti_Audétat23) Times'!$F275*0.000001)^2/(4*'D(Ti_Audétat23) Times'!$C275)/(365.35*24*3600)</f>
        <v>17881.223651779557</v>
      </c>
      <c r="V275" s="2">
        <f>([412]L!W275*'D(Ti_Audétat23) Times'!$F275*0.000001)^2/(4*'D(Ti_Audétat23) Times'!$C275)/(365.35*24*3600)</f>
        <v>616.68347710865316</v>
      </c>
      <c r="W275" s="2">
        <f>([412]L!X275*'D(Ti_Audétat23) Times'!$F275*0.000001)^2/(4*'D(Ti_Audétat23) Times'!$C275)/(365.35*24*3600)</f>
        <v>103.1459003084726</v>
      </c>
      <c r="X275" s="2"/>
      <c r="Y275" s="2">
        <f>([412]L!Z275*'D(Ti_Audétat23) Times'!$F275*0.000001)^2/(4*'D(Ti_Audétat23) Times'!$C275)/(365.35*24*3600)</f>
        <v>249.8520729787727</v>
      </c>
      <c r="Z275" s="2">
        <f>([412]L!AB275*'D(Ti_Audétat23) Times'!$F275*0.000001)^2/(4*'D(Ti_Audétat23) Times'!$C275)/(365.35*24*3600)</f>
        <v>5620.9808870181587</v>
      </c>
      <c r="AA275" s="2">
        <f>([412]L!AC275*'D(Ti_Audétat23) Times'!$F275*0.000001)^2/(4*'D(Ti_Audétat23) Times'!$C275)/(365.35*24*3600)</f>
        <v>2.0098817463526344E-12</v>
      </c>
      <c r="AB275" s="2">
        <f>([412]L!AD275*'D(Ti_Audétat23) Times'!$F275*0.000001)^2/(4*'D(Ti_Audétat23) Times'!$C275)/(365.35*24*3600)</f>
        <v>107409.85288019049</v>
      </c>
      <c r="AC275" s="2">
        <f t="shared" si="17"/>
        <v>5620.9808870181569</v>
      </c>
      <c r="AD275" s="2">
        <f t="shared" si="18"/>
        <v>101788.87199317233</v>
      </c>
    </row>
    <row r="276" spans="1:30" x14ac:dyDescent="0.2">
      <c r="A276" t="str">
        <f>[412]L!A276</f>
        <v>CGI014-qtz09-CL-fit-5-offset</v>
      </c>
      <c r="B276">
        <v>750</v>
      </c>
      <c r="C276">
        <f t="shared" si="19"/>
        <v>1.1456341375347871E-23</v>
      </c>
      <c r="D276">
        <v>1550</v>
      </c>
      <c r="E276">
        <v>1024</v>
      </c>
      <c r="F276">
        <f t="shared" si="16"/>
        <v>1.513671875</v>
      </c>
      <c r="I276" s="2">
        <f>([412]L!J276*'D(Ti_Audétat23) Times'!$F276*0.000001)^2/(4*'D(Ti_Audétat23) Times'!$C276)/(365.35*24*3600)</f>
        <v>10909.401635017359</v>
      </c>
      <c r="J276" s="2">
        <f>([412]L!K276*'D(Ti_Audétat23) Times'!$F276*0.000001)^2/(4*'D(Ti_Audétat23) Times'!$C276)/(365.35*24*3600)</f>
        <v>1649.7881601554909</v>
      </c>
      <c r="K276" s="2">
        <f>([412]L!L276*'D(Ti_Audétat23) Times'!$F276*0.000001)^2/(4*'D(Ti_Audétat23) Times'!$C276)/(365.35*24*3600)</f>
        <v>2592.6392235880035</v>
      </c>
      <c r="L276" s="2">
        <f>([412]L!M276*'D(Ti_Audétat23) Times'!$F276*0.000001)^2/(4*'D(Ti_Audétat23) Times'!$C276)/(365.35*24*3600)</f>
        <v>1237.2483313981274</v>
      </c>
      <c r="M276" s="2">
        <f>([412]L!N276*'D(Ti_Audétat23) Times'!$F276*0.000001)^2/(4*'D(Ti_Audétat23) Times'!$C276)/(365.35*24*3600)</f>
        <v>8504.8103510391211</v>
      </c>
      <c r="N276" s="2">
        <f>([412]L!O276*'D(Ti_Audétat23) Times'!$F276*0.000001)^2/(4*'D(Ti_Audétat23) Times'!$C276)/(365.35*24*3600)</f>
        <v>4076.5654437359126</v>
      </c>
      <c r="O276" s="2">
        <f>([412]L!P276*'D(Ti_Audétat23) Times'!$F276*0.000001)^2/(4*'D(Ti_Audétat23) Times'!$C276)/(365.35*24*3600)</f>
        <v>3548.2750893153452</v>
      </c>
      <c r="P276" s="2">
        <f>([412]L!Q276*'D(Ti_Audétat23) Times'!$F276*0.000001)^2/(4*'D(Ti_Audétat23) Times'!$C276)/(365.35*24*3600)</f>
        <v>5902.470993284247</v>
      </c>
      <c r="Q276" s="2">
        <f>([412]L!R276*'D(Ti_Audétat23) Times'!$F276*0.000001)^2/(4*'D(Ti_Audétat23) Times'!$C276)/(365.35*24*3600)</f>
        <v>5288.9676247507405</v>
      </c>
      <c r="R276" s="2">
        <f>([412]L!S276*'D(Ti_Audétat23) Times'!$F276*0.000001)^2/(4*'D(Ti_Audétat23) Times'!$C276)/(365.35*24*3600)</f>
        <v>3829.5751098641672</v>
      </c>
      <c r="S276" s="2">
        <f>([412]L!T276*'D(Ti_Audétat23) Times'!$F276*0.000001)^2/(4*'D(Ti_Audétat23) Times'!$C276)/(365.35*24*3600)</f>
        <v>6327.9537699995462</v>
      </c>
      <c r="T276" s="2"/>
      <c r="U276" s="2">
        <f>([412]L!V276*'D(Ti_Audétat23) Times'!$F276*0.000001)^2/(4*'D(Ti_Audétat23) Times'!$C276)/(365.35*24*3600)</f>
        <v>4950.9476803686903</v>
      </c>
      <c r="V276" s="2">
        <f>([412]L!W276*'D(Ti_Audétat23) Times'!$F276*0.000001)^2/(4*'D(Ti_Audétat23) Times'!$C276)/(365.35*24*3600)</f>
        <v>4498.5057988168146</v>
      </c>
      <c r="W276" s="2">
        <f>([412]L!X276*'D(Ti_Audétat23) Times'!$F276*0.000001)^2/(4*'D(Ti_Audétat23) Times'!$C276)/(365.35*24*3600)</f>
        <v>4076.5654437359126</v>
      </c>
      <c r="X276" s="2"/>
      <c r="Y276" s="2">
        <f>([412]L!Z276*'D(Ti_Audétat23) Times'!$F276*0.000001)^2/(4*'D(Ti_Audétat23) Times'!$C276)/(365.35*24*3600)</f>
        <v>4555.2978625148207</v>
      </c>
      <c r="Z276" s="2">
        <f>([412]L!AB276*'D(Ti_Audétat23) Times'!$F276*0.000001)^2/(4*'D(Ti_Audétat23) Times'!$C276)/(365.35*24*3600)</f>
        <v>5189.6919428926867</v>
      </c>
      <c r="AA276" s="2">
        <f>([412]L!AC276*'D(Ti_Audétat23) Times'!$F276*0.000001)^2/(4*'D(Ti_Audétat23) Times'!$C276)/(365.35*24*3600)</f>
        <v>1274.7535272041216</v>
      </c>
      <c r="AB276" s="2">
        <f>([412]L!AD276*'D(Ti_Audétat23) Times'!$F276*0.000001)^2/(4*'D(Ti_Audétat23) Times'!$C276)/(365.35*24*3600)</f>
        <v>17055.551165945511</v>
      </c>
      <c r="AC276" s="2">
        <f t="shared" si="17"/>
        <v>3914.9384156885653</v>
      </c>
      <c r="AD276" s="2">
        <f t="shared" si="18"/>
        <v>11865.859223052825</v>
      </c>
    </row>
    <row r="277" spans="1:30" x14ac:dyDescent="0.2">
      <c r="A277" t="str">
        <f>[412]L!A277</f>
        <v>CGI014-qtz10-CL-fit-1-offset</v>
      </c>
      <c r="B277">
        <v>750</v>
      </c>
      <c r="C277">
        <f t="shared" si="19"/>
        <v>1.1456341375347871E-23</v>
      </c>
      <c r="D277">
        <v>1550</v>
      </c>
      <c r="E277">
        <v>1024</v>
      </c>
      <c r="F277">
        <f t="shared" si="16"/>
        <v>1.513671875</v>
      </c>
      <c r="I277" s="2">
        <f>([412]L!J277*'D(Ti_Audétat23) Times'!$F277*0.000001)^2/(4*'D(Ti_Audétat23) Times'!$C277)/(365.35*24*3600)</f>
        <v>22785.698461548505</v>
      </c>
      <c r="J277" s="2">
        <f>([412]L!K277*'D(Ti_Audétat23) Times'!$F277*0.000001)^2/(4*'D(Ti_Audétat23) Times'!$C277)/(365.35*24*3600)</f>
        <v>19402.116875353528</v>
      </c>
      <c r="K277" s="2">
        <f>([412]L!L277*'D(Ti_Audétat23) Times'!$F277*0.000001)^2/(4*'D(Ti_Audétat23) Times'!$C277)/(365.35*24*3600)</f>
        <v>20841.870782182799</v>
      </c>
      <c r="L277" s="2">
        <f>([412]L!M277*'D(Ti_Audétat23) Times'!$F277*0.000001)^2/(4*'D(Ti_Audétat23) Times'!$C277)/(365.35*24*3600)</f>
        <v>20842.846284501804</v>
      </c>
      <c r="M277" s="2">
        <f>([412]L!N277*'D(Ti_Audétat23) Times'!$F277*0.000001)^2/(4*'D(Ti_Audétat23) Times'!$C277)/(365.35*24*3600)</f>
        <v>37481.358693295871</v>
      </c>
      <c r="N277" s="2">
        <f>([412]L!O277*'D(Ti_Audétat23) Times'!$F277*0.000001)^2/(4*'D(Ti_Audétat23) Times'!$C277)/(365.35*24*3600)</f>
        <v>17120.258084524423</v>
      </c>
      <c r="O277" s="2">
        <f>([412]L!P277*'D(Ti_Audétat23) Times'!$F277*0.000001)^2/(4*'D(Ti_Audétat23) Times'!$C277)/(365.35*24*3600)</f>
        <v>16673.47481157905</v>
      </c>
      <c r="P277" s="2">
        <f>([412]L!Q277*'D(Ti_Audétat23) Times'!$F277*0.000001)^2/(4*'D(Ti_Audétat23) Times'!$C277)/(365.35*24*3600)</f>
        <v>14747.660637801668</v>
      </c>
      <c r="Q277" s="2">
        <f>([412]L!R277*'D(Ti_Audétat23) Times'!$F277*0.000001)^2/(4*'D(Ti_Audétat23) Times'!$C277)/(365.35*24*3600)</f>
        <v>25208.073268345259</v>
      </c>
      <c r="R277" s="2">
        <f>([412]L!S277*'D(Ti_Audétat23) Times'!$F277*0.000001)^2/(4*'D(Ti_Audétat23) Times'!$C277)/(365.35*24*3600)</f>
        <v>9249.1939049416342</v>
      </c>
      <c r="S277" s="2">
        <f>([412]L!T277*'D(Ti_Audétat23) Times'!$F277*0.000001)^2/(4*'D(Ti_Audétat23) Times'!$C277)/(365.35*24*3600)</f>
        <v>9548.5655697085349</v>
      </c>
      <c r="T277" s="2"/>
      <c r="U277" s="2">
        <f>([412]L!V277*'D(Ti_Audétat23) Times'!$F277*0.000001)^2/(4*'D(Ti_Audétat23) Times'!$C277)/(365.35*24*3600)</f>
        <v>18805.807857024396</v>
      </c>
      <c r="V277" s="2">
        <f>([412]L!W277*'D(Ti_Audétat23) Times'!$F277*0.000001)^2/(4*'D(Ti_Audétat23) Times'!$C277)/(365.35*24*3600)</f>
        <v>18760.27409039572</v>
      </c>
      <c r="W277" s="2">
        <f>([412]L!X277*'D(Ti_Audétat23) Times'!$F277*0.000001)^2/(4*'D(Ti_Audétat23) Times'!$C277)/(365.35*24*3600)</f>
        <v>19402.116875353528</v>
      </c>
      <c r="X277" s="2"/>
      <c r="Y277" s="2">
        <f>([412]L!Z277*'D(Ti_Audétat23) Times'!$F277*0.000001)^2/(4*'D(Ti_Audétat23) Times'!$C277)/(365.35*24*3600)</f>
        <v>18874.562931545894</v>
      </c>
      <c r="Z277" s="2">
        <f>([412]L!AB277*'D(Ti_Audétat23) Times'!$F277*0.000001)^2/(4*'D(Ti_Audétat23) Times'!$C277)/(365.35*24*3600)</f>
        <v>18967.693091384623</v>
      </c>
      <c r="AA277" s="2">
        <f>([412]L!AC277*'D(Ti_Audétat23) Times'!$F277*0.000001)^2/(4*'D(Ti_Audétat23) Times'!$C277)/(365.35*24*3600)</f>
        <v>7298.1414766424687</v>
      </c>
      <c r="AB277" s="2">
        <f>([412]L!AD277*'D(Ti_Audétat23) Times'!$F277*0.000001)^2/(4*'D(Ti_Audétat23) Times'!$C277)/(365.35*24*3600)</f>
        <v>38776.813561747047</v>
      </c>
      <c r="AC277" s="2">
        <f t="shared" si="17"/>
        <v>11669.551614742155</v>
      </c>
      <c r="AD277" s="2">
        <f t="shared" si="18"/>
        <v>19809.120470362424</v>
      </c>
    </row>
    <row r="278" spans="1:30" x14ac:dyDescent="0.2">
      <c r="A278" t="str">
        <f>[412]L!A278</f>
        <v>CGI014-qtz10-CL-fit-2-offset</v>
      </c>
      <c r="B278">
        <v>750</v>
      </c>
      <c r="C278">
        <f t="shared" si="19"/>
        <v>1.1456341375347871E-23</v>
      </c>
      <c r="D278">
        <v>1550</v>
      </c>
      <c r="E278">
        <v>1024</v>
      </c>
      <c r="F278">
        <f t="shared" si="16"/>
        <v>1.513671875</v>
      </c>
      <c r="I278" s="2">
        <f>([412]L!J278*'D(Ti_Audétat23) Times'!$F278*0.000001)^2/(4*'D(Ti_Audétat23) Times'!$C278)/(365.35*24*3600)</f>
        <v>50337.845103981061</v>
      </c>
      <c r="J278" s="2">
        <f>([412]L!K278*'D(Ti_Audétat23) Times'!$F278*0.000001)^2/(4*'D(Ti_Audétat23) Times'!$C278)/(365.35*24*3600)</f>
        <v>75557.19708624437</v>
      </c>
      <c r="K278" s="2">
        <f>([412]L!L278*'D(Ti_Audétat23) Times'!$F278*0.000001)^2/(4*'D(Ti_Audétat23) Times'!$C278)/(365.35*24*3600)</f>
        <v>66269.322189271348</v>
      </c>
      <c r="L278" s="2">
        <f>([412]L!M278*'D(Ti_Audétat23) Times'!$F278*0.000001)^2/(4*'D(Ti_Audétat23) Times'!$C278)/(365.35*24*3600)</f>
        <v>60993.99960817903</v>
      </c>
      <c r="M278" s="2">
        <f>([412]L!N278*'D(Ti_Audétat23) Times'!$F278*0.000001)^2/(4*'D(Ti_Audétat23) Times'!$C278)/(365.35*24*3600)</f>
        <v>100158.05959658933</v>
      </c>
      <c r="N278" s="2">
        <f>([412]L!O278*'D(Ti_Audétat23) Times'!$F278*0.000001)^2/(4*'D(Ti_Audétat23) Times'!$C278)/(365.35*24*3600)</f>
        <v>76570.983534607003</v>
      </c>
      <c r="O278" s="2">
        <f>([412]L!P278*'D(Ti_Audétat23) Times'!$F278*0.000001)^2/(4*'D(Ti_Audétat23) Times'!$C278)/(365.35*24*3600)</f>
        <v>157508.99053748458</v>
      </c>
      <c r="P278" s="2">
        <f>([412]L!Q278*'D(Ti_Audétat23) Times'!$F278*0.000001)^2/(4*'D(Ti_Audétat23) Times'!$C278)/(365.35*24*3600)</f>
        <v>88324.210306790876</v>
      </c>
      <c r="Q278" s="2">
        <f>([412]L!R278*'D(Ti_Audétat23) Times'!$F278*0.000001)^2/(4*'D(Ti_Audétat23) Times'!$C278)/(365.35*24*3600)</f>
        <v>58883.531512425165</v>
      </c>
      <c r="R278" s="2">
        <f>([412]L!S278*'D(Ti_Audétat23) Times'!$F278*0.000001)^2/(4*'D(Ti_Audétat23) Times'!$C278)/(365.35*24*3600)</f>
        <v>19235.366516176098</v>
      </c>
      <c r="S278" s="2">
        <f>([412]L!T278*'D(Ti_Audétat23) Times'!$F278*0.000001)^2/(4*'D(Ti_Audétat23) Times'!$C278)/(365.35*24*3600)</f>
        <v>70958.724183309008</v>
      </c>
      <c r="T278" s="2"/>
      <c r="U278" s="2">
        <f>([412]L!V278*'D(Ti_Audétat23) Times'!$F278*0.000001)^2/(4*'D(Ti_Audétat23) Times'!$C278)/(365.35*24*3600)</f>
        <v>74825.684821270421</v>
      </c>
      <c r="V278" s="2">
        <f>([412]L!W278*'D(Ti_Audétat23) Times'!$F278*0.000001)^2/(4*'D(Ti_Audétat23) Times'!$C278)/(365.35*24*3600)</f>
        <v>71368.025213551577</v>
      </c>
      <c r="W278" s="2">
        <f>([412]L!X278*'D(Ti_Audétat23) Times'!$F278*0.000001)^2/(4*'D(Ti_Audétat23) Times'!$C278)/(365.35*24*3600)</f>
        <v>70958.724183309008</v>
      </c>
      <c r="X278" s="2"/>
      <c r="Y278" s="2">
        <f>([412]L!Z278*'D(Ti_Audétat23) Times'!$F278*0.000001)^2/(4*'D(Ti_Audétat23) Times'!$C278)/(365.35*24*3600)</f>
        <v>78151.635642064997</v>
      </c>
      <c r="Z278" s="2">
        <f>([412]L!AB278*'D(Ti_Audétat23) Times'!$F278*0.000001)^2/(4*'D(Ti_Audétat23) Times'!$C278)/(365.35*24*3600)</f>
        <v>79525.826787904734</v>
      </c>
      <c r="AA278" s="2">
        <f>([412]L!AC278*'D(Ti_Audétat23) Times'!$F278*0.000001)^2/(4*'D(Ti_Audétat23) Times'!$C278)/(365.35*24*3600)</f>
        <v>19197.722329366079</v>
      </c>
      <c r="AB278" s="2">
        <f>([412]L!AD278*'D(Ti_Audétat23) Times'!$F278*0.000001)^2/(4*'D(Ti_Audétat23) Times'!$C278)/(365.35*24*3600)</f>
        <v>199935.31939973729</v>
      </c>
      <c r="AC278" s="2">
        <f t="shared" si="17"/>
        <v>60328.104458538655</v>
      </c>
      <c r="AD278" s="2">
        <f t="shared" si="18"/>
        <v>120409.49261183255</v>
      </c>
    </row>
    <row r="279" spans="1:30" x14ac:dyDescent="0.2">
      <c r="A279" t="str">
        <f>[412]L!A279</f>
        <v>CGI014-qtz10-CL-fit-3-offset</v>
      </c>
      <c r="B279">
        <v>750</v>
      </c>
      <c r="C279">
        <f t="shared" si="19"/>
        <v>1.1456341375347871E-23</v>
      </c>
      <c r="D279">
        <v>1550</v>
      </c>
      <c r="E279">
        <v>1024</v>
      </c>
      <c r="F279">
        <f t="shared" si="16"/>
        <v>1.513671875</v>
      </c>
      <c r="I279" s="2">
        <f>([412]L!J279*'D(Ti_Audétat23) Times'!$F279*0.000001)^2/(4*'D(Ti_Audétat23) Times'!$C279)/(365.35*24*3600)</f>
        <v>4583.3231712143688</v>
      </c>
      <c r="J279" s="2">
        <f>([412]L!K279*'D(Ti_Audétat23) Times'!$F279*0.000001)^2/(4*'D(Ti_Audétat23) Times'!$C279)/(365.35*24*3600)</f>
        <v>5408.7591251548747</v>
      </c>
      <c r="K279" s="2">
        <f>([412]L!L279*'D(Ti_Audétat23) Times'!$F279*0.000001)^2/(4*'D(Ti_Audétat23) Times'!$C279)/(365.35*24*3600)</f>
        <v>955.6827340612956</v>
      </c>
      <c r="L279" s="2">
        <f>([412]L!M279*'D(Ti_Audétat23) Times'!$F279*0.000001)^2/(4*'D(Ti_Audétat23) Times'!$C279)/(365.35*24*3600)</f>
        <v>6686.1192470567185</v>
      </c>
      <c r="M279" s="2">
        <f>([412]L!N279*'D(Ti_Audétat23) Times'!$F279*0.000001)^2/(4*'D(Ti_Audétat23) Times'!$C279)/(365.35*24*3600)</f>
        <v>9349.9493226949253</v>
      </c>
      <c r="N279" s="2">
        <f>([412]L!O279*'D(Ti_Audétat23) Times'!$F279*0.000001)^2/(4*'D(Ti_Audétat23) Times'!$C279)/(365.35*24*3600)</f>
        <v>7724.7062952550114</v>
      </c>
      <c r="O279" s="2">
        <f>([412]L!P279*'D(Ti_Audétat23) Times'!$F279*0.000001)^2/(4*'D(Ti_Audétat23) Times'!$C279)/(365.35*24*3600)</f>
        <v>4091.4167090391429</v>
      </c>
      <c r="P279" s="2">
        <f>([412]L!Q279*'D(Ti_Audétat23) Times'!$F279*0.000001)^2/(4*'D(Ti_Audétat23) Times'!$C279)/(365.35*24*3600)</f>
        <v>11563.546956077884</v>
      </c>
      <c r="Q279" s="2">
        <f>([412]L!R279*'D(Ti_Audétat23) Times'!$F279*0.000001)^2/(4*'D(Ti_Audétat23) Times'!$C279)/(365.35*24*3600)</f>
        <v>1455.8582019480377</v>
      </c>
      <c r="R279" s="2">
        <f>([412]L!S279*'D(Ti_Audétat23) Times'!$F279*0.000001)^2/(4*'D(Ti_Audétat23) Times'!$C279)/(365.35*24*3600)</f>
        <v>2162.6397394780306</v>
      </c>
      <c r="S279" s="2">
        <f>([412]L!T279*'D(Ti_Audétat23) Times'!$F279*0.000001)^2/(4*'D(Ti_Audétat23) Times'!$C279)/(365.35*24*3600)</f>
        <v>8845.8670855982182</v>
      </c>
      <c r="T279" s="2"/>
      <c r="U279" s="2">
        <f>([412]L!V279*'D(Ti_Audétat23) Times'!$F279*0.000001)^2/(4*'D(Ti_Audétat23) Times'!$C279)/(365.35*24*3600)</f>
        <v>4287.5851047333608</v>
      </c>
      <c r="V279" s="2">
        <f>([412]L!W279*'D(Ti_Audétat23) Times'!$F279*0.000001)^2/(4*'D(Ti_Audétat23) Times'!$C279)/(365.35*24*3600)</f>
        <v>5141.1931692569387</v>
      </c>
      <c r="W279" s="2">
        <f>([412]L!X279*'D(Ti_Audétat23) Times'!$F279*0.000001)^2/(4*'D(Ti_Audétat23) Times'!$C279)/(365.35*24*3600)</f>
        <v>5408.7591251548747</v>
      </c>
      <c r="X279" s="2"/>
      <c r="Y279" s="2">
        <f>([412]L!Z279*'D(Ti_Audétat23) Times'!$F279*0.000001)^2/(4*'D(Ti_Audétat23) Times'!$C279)/(365.35*24*3600)</f>
        <v>3633.0680791500981</v>
      </c>
      <c r="Z279" s="2">
        <f>([412]L!AB279*'D(Ti_Audétat23) Times'!$F279*0.000001)^2/(4*'D(Ti_Audétat23) Times'!$C279)/(365.35*24*3600)</f>
        <v>3787.3950964120204</v>
      </c>
      <c r="AA279" s="2">
        <f>([412]L!AC279*'D(Ti_Audétat23) Times'!$F279*0.000001)^2/(4*'D(Ti_Audétat23) Times'!$C279)/(365.35*24*3600)</f>
        <v>3.4294677611555255</v>
      </c>
      <c r="AB279" s="2">
        <f>([412]L!AD279*'D(Ti_Audétat23) Times'!$F279*0.000001)^2/(4*'D(Ti_Audétat23) Times'!$C279)/(365.35*24*3600)</f>
        <v>18866.39139596526</v>
      </c>
      <c r="AC279" s="2">
        <f t="shared" si="17"/>
        <v>3783.9656286508648</v>
      </c>
      <c r="AD279" s="2">
        <f t="shared" si="18"/>
        <v>15078.996299553241</v>
      </c>
    </row>
    <row r="280" spans="1:30" x14ac:dyDescent="0.2">
      <c r="A280" t="str">
        <f>[412]L!A280</f>
        <v>CGI014-qtz10-CL-fit-4-offset</v>
      </c>
      <c r="B280">
        <v>750</v>
      </c>
      <c r="C280">
        <f t="shared" si="19"/>
        <v>1.1456341375347871E-23</v>
      </c>
      <c r="D280">
        <v>1550</v>
      </c>
      <c r="E280">
        <v>1024</v>
      </c>
      <c r="F280">
        <f t="shared" si="16"/>
        <v>1.513671875</v>
      </c>
      <c r="I280" s="2">
        <f>([412]L!J280*'D(Ti_Audétat23) Times'!$F280*0.000001)^2/(4*'D(Ti_Audétat23) Times'!$C280)/(365.35*24*3600)</f>
        <v>912.1100787244734</v>
      </c>
      <c r="J280" s="2">
        <f>([412]L!K280*'D(Ti_Audétat23) Times'!$F280*0.000001)^2/(4*'D(Ti_Audétat23) Times'!$C280)/(365.35*24*3600)</f>
        <v>6155.4650222001874</v>
      </c>
      <c r="K280" s="2">
        <f>([412]L!L280*'D(Ti_Audétat23) Times'!$F280*0.000001)^2/(4*'D(Ti_Audétat23) Times'!$C280)/(365.35*24*3600)</f>
        <v>4994.9183522556168</v>
      </c>
      <c r="L280" s="2">
        <f>([412]L!M280*'D(Ti_Audétat23) Times'!$F280*0.000001)^2/(4*'D(Ti_Audétat23) Times'!$C280)/(365.35*24*3600)</f>
        <v>10350.466876454493</v>
      </c>
      <c r="M280" s="2">
        <f>([412]L!N280*'D(Ti_Audétat23) Times'!$F280*0.000001)^2/(4*'D(Ti_Audétat23) Times'!$C280)/(365.35*24*3600)</f>
        <v>5648.4662316897948</v>
      </c>
      <c r="N280" s="2">
        <f>([412]L!O280*'D(Ti_Audétat23) Times'!$F280*0.000001)^2/(4*'D(Ti_Audétat23) Times'!$C280)/(365.35*24*3600)</f>
        <v>1305.0862275465186</v>
      </c>
      <c r="O280" s="2">
        <f>([412]L!P280*'D(Ti_Audétat23) Times'!$F280*0.000001)^2/(4*'D(Ti_Audétat23) Times'!$C280)/(365.35*24*3600)</f>
        <v>4433.4860910103516</v>
      </c>
      <c r="P280" s="2">
        <f>([412]L!Q280*'D(Ti_Audétat23) Times'!$F280*0.000001)^2/(4*'D(Ti_Audétat23) Times'!$C280)/(365.35*24*3600)</f>
        <v>3674.4264320607599</v>
      </c>
      <c r="Q280" s="2">
        <f>([412]L!R280*'D(Ti_Audétat23) Times'!$F280*0.000001)^2/(4*'D(Ti_Audétat23) Times'!$C280)/(365.35*24*3600)</f>
        <v>6885.0153801046608</v>
      </c>
      <c r="R280" s="2">
        <f>([412]L!S280*'D(Ti_Audétat23) Times'!$F280*0.000001)^2/(4*'D(Ti_Audétat23) Times'!$C280)/(365.35*24*3600)</f>
        <v>7070.4857287356817</v>
      </c>
      <c r="S280" s="2">
        <f>([412]L!T280*'D(Ti_Audétat23) Times'!$F280*0.000001)^2/(4*'D(Ti_Audétat23) Times'!$C280)/(365.35*24*3600)</f>
        <v>11959.068947911568</v>
      </c>
      <c r="T280" s="2"/>
      <c r="U280" s="2">
        <f>([412]L!V280*'D(Ti_Audétat23) Times'!$F280*0.000001)^2/(4*'D(Ti_Audétat23) Times'!$C280)/(365.35*24*3600)</f>
        <v>5729.6437632475572</v>
      </c>
      <c r="V280" s="2">
        <f>([412]L!W280*'D(Ti_Audétat23) Times'!$F280*0.000001)^2/(4*'D(Ti_Audétat23) Times'!$C280)/(365.35*24*3600)</f>
        <v>5236.1451773066901</v>
      </c>
      <c r="W280" s="2">
        <f>([412]L!X280*'D(Ti_Audétat23) Times'!$F280*0.000001)^2/(4*'D(Ti_Audétat23) Times'!$C280)/(365.35*24*3600)</f>
        <v>5648.4662316897948</v>
      </c>
      <c r="X280" s="2"/>
      <c r="Y280" s="2">
        <f>([412]L!Z280*'D(Ti_Audétat23) Times'!$F280*0.000001)^2/(4*'D(Ti_Audétat23) Times'!$C280)/(365.35*24*3600)</f>
        <v>5102.0138822583085</v>
      </c>
      <c r="Z280" s="2">
        <f>([412]L!AB280*'D(Ti_Audétat23) Times'!$F280*0.000001)^2/(4*'D(Ti_Audétat23) Times'!$C280)/(365.35*24*3600)</f>
        <v>5517.6096274585916</v>
      </c>
      <c r="AA280" s="2">
        <f>([412]L!AC280*'D(Ti_Audétat23) Times'!$F280*0.000001)^2/(4*'D(Ti_Audétat23) Times'!$C280)/(365.35*24*3600)</f>
        <v>921.32627951784332</v>
      </c>
      <c r="AB280" s="2">
        <f>([412]L!AD280*'D(Ti_Audétat23) Times'!$F280*0.000001)^2/(4*'D(Ti_Audétat23) Times'!$C280)/(365.35*24*3600)</f>
        <v>16678.608311011227</v>
      </c>
      <c r="AC280" s="2">
        <f t="shared" si="17"/>
        <v>4596.2833479407482</v>
      </c>
      <c r="AD280" s="2">
        <f t="shared" si="18"/>
        <v>11160.998683552636</v>
      </c>
    </row>
    <row r="281" spans="1:30" x14ac:dyDescent="0.2">
      <c r="A281" t="str">
        <f>[412]L!A281</f>
        <v>CGI014-qtz11-CL-fit-1-offset</v>
      </c>
      <c r="B281">
        <v>750</v>
      </c>
      <c r="C281">
        <f t="shared" si="19"/>
        <v>1.1456341375347871E-23</v>
      </c>
      <c r="D281">
        <v>1500</v>
      </c>
      <c r="E281">
        <v>1024</v>
      </c>
      <c r="F281">
        <f t="shared" si="16"/>
        <v>1.46484375</v>
      </c>
      <c r="I281" s="2">
        <f>([412]L!J281*'D(Ti_Audétat23) Times'!$F281*0.000001)^2/(4*'D(Ti_Audétat23) Times'!$C281)/(365.35*24*3600)</f>
        <v>68359.161742650555</v>
      </c>
      <c r="J281" s="2">
        <f>([412]L!K281*'D(Ti_Audétat23) Times'!$F281*0.000001)^2/(4*'D(Ti_Audétat23) Times'!$C281)/(365.35*24*3600)</f>
        <v>61754.654110875083</v>
      </c>
      <c r="K281" s="2">
        <f>([412]L!L281*'D(Ti_Audétat23) Times'!$F281*0.000001)^2/(4*'D(Ti_Audétat23) Times'!$C281)/(365.35*24*3600)</f>
        <v>51417.728104008631</v>
      </c>
      <c r="L281" s="2">
        <f>([412]L!M281*'D(Ti_Audétat23) Times'!$F281*0.000001)^2/(4*'D(Ti_Audétat23) Times'!$C281)/(365.35*24*3600)</f>
        <v>96266.54982946458</v>
      </c>
      <c r="M281" s="2">
        <f>([412]L!N281*'D(Ti_Audétat23) Times'!$F281*0.000001)^2/(4*'D(Ti_Audétat23) Times'!$C281)/(365.35*24*3600)</f>
        <v>54316.825297280477</v>
      </c>
      <c r="N281" s="2">
        <f>([412]L!O281*'D(Ti_Audétat23) Times'!$F281*0.000001)^2/(4*'D(Ti_Audétat23) Times'!$C281)/(365.35*24*3600)</f>
        <v>39487.3087370508</v>
      </c>
      <c r="O281" s="2">
        <f>([412]L!P281*'D(Ti_Audétat23) Times'!$F281*0.000001)^2/(4*'D(Ti_Audétat23) Times'!$C281)/(365.35*24*3600)</f>
        <v>27591.177954113857</v>
      </c>
      <c r="P281" s="2">
        <f>([412]L!Q281*'D(Ti_Audétat23) Times'!$F281*0.000001)^2/(4*'D(Ti_Audétat23) Times'!$C281)/(365.35*24*3600)</f>
        <v>38741.799137472306</v>
      </c>
      <c r="Q281" s="2">
        <f>([412]L!R281*'D(Ti_Audétat23) Times'!$F281*0.000001)^2/(4*'D(Ti_Audétat23) Times'!$C281)/(365.35*24*3600)</f>
        <v>44404.250844361697</v>
      </c>
      <c r="R281" s="2">
        <f>([412]L!S281*'D(Ti_Audétat23) Times'!$F281*0.000001)^2/(4*'D(Ti_Audétat23) Times'!$C281)/(365.35*24*3600)</f>
        <v>41283.526825646884</v>
      </c>
      <c r="S281" s="2">
        <f>([412]L!T281*'D(Ti_Audétat23) Times'!$F281*0.000001)^2/(4*'D(Ti_Audétat23) Times'!$C281)/(365.35*24*3600)</f>
        <v>57657.015128496751</v>
      </c>
      <c r="T281" s="2"/>
      <c r="U281" s="2">
        <f>([412]L!V281*'D(Ti_Audétat23) Times'!$F281*0.000001)^2/(4*'D(Ti_Audétat23) Times'!$C281)/(365.35*24*3600)</f>
        <v>49823.061165688006</v>
      </c>
      <c r="V281" s="2">
        <f>([412]L!W281*'D(Ti_Audétat23) Times'!$F281*0.000001)^2/(4*'D(Ti_Audétat23) Times'!$C281)/(365.35*24*3600)</f>
        <v>51476.122605731391</v>
      </c>
      <c r="W281" s="2">
        <f>([412]L!X281*'D(Ti_Audétat23) Times'!$F281*0.000001)^2/(4*'D(Ti_Audétat23) Times'!$C281)/(365.35*24*3600)</f>
        <v>51417.728104008631</v>
      </c>
      <c r="X281" s="2"/>
      <c r="Y281" s="2">
        <f>([412]L!Z281*'D(Ti_Audétat23) Times'!$F281*0.000001)^2/(4*'D(Ti_Audétat23) Times'!$C281)/(365.35*24*3600)</f>
        <v>48799.734944040407</v>
      </c>
      <c r="Z281" s="2">
        <f>([412]L!AB281*'D(Ti_Audétat23) Times'!$F281*0.000001)^2/(4*'D(Ti_Audétat23) Times'!$C281)/(365.35*24*3600)</f>
        <v>50379.657334557662</v>
      </c>
      <c r="AA281" s="2">
        <f>([412]L!AC281*'D(Ti_Audétat23) Times'!$F281*0.000001)^2/(4*'D(Ti_Audétat23) Times'!$C281)/(365.35*24*3600)</f>
        <v>24260.267103666654</v>
      </c>
      <c r="AB281" s="2">
        <f>([412]L!AD281*'D(Ti_Audétat23) Times'!$F281*0.000001)^2/(4*'D(Ti_Audétat23) Times'!$C281)/(365.35*24*3600)</f>
        <v>106950.49957350062</v>
      </c>
      <c r="AC281" s="2">
        <f t="shared" si="17"/>
        <v>26119.390230891007</v>
      </c>
      <c r="AD281" s="2">
        <f t="shared" si="18"/>
        <v>56570.842238942962</v>
      </c>
    </row>
    <row r="282" spans="1:30" x14ac:dyDescent="0.2">
      <c r="A282" t="str">
        <f>[412]L!A282</f>
        <v>CGI014-qtz11-CL-fit-2-offset</v>
      </c>
      <c r="B282">
        <v>750</v>
      </c>
      <c r="C282">
        <f t="shared" si="19"/>
        <v>1.1456341375347871E-23</v>
      </c>
      <c r="D282">
        <v>1500</v>
      </c>
      <c r="E282">
        <v>1024</v>
      </c>
      <c r="F282">
        <f t="shared" si="16"/>
        <v>1.46484375</v>
      </c>
      <c r="I282" s="2">
        <f>([412]L!J282*'D(Ti_Audétat23) Times'!$F282*0.000001)^2/(4*'D(Ti_Audétat23) Times'!$C282)/(365.35*24*3600)</f>
        <v>178567.92076013563</v>
      </c>
      <c r="J282" s="2">
        <f>([412]L!K282*'D(Ti_Audétat23) Times'!$F282*0.000001)^2/(4*'D(Ti_Audétat23) Times'!$C282)/(365.35*24*3600)</f>
        <v>227311.45585053193</v>
      </c>
      <c r="K282" s="2">
        <f>([412]L!L282*'D(Ti_Audétat23) Times'!$F282*0.000001)^2/(4*'D(Ti_Audétat23) Times'!$C282)/(365.35*24*3600)</f>
        <v>133464.38955403442</v>
      </c>
      <c r="L282" s="2">
        <f>([412]L!M282*'D(Ti_Audétat23) Times'!$F282*0.000001)^2/(4*'D(Ti_Audétat23) Times'!$C282)/(365.35*24*3600)</f>
        <v>159546.00582819278</v>
      </c>
      <c r="M282" s="2">
        <f>([412]L!N282*'D(Ti_Audétat23) Times'!$F282*0.000001)^2/(4*'D(Ti_Audétat23) Times'!$C282)/(365.35*24*3600)</f>
        <v>176753.61516568321</v>
      </c>
      <c r="N282" s="2">
        <f>([412]L!O282*'D(Ti_Audétat23) Times'!$F282*0.000001)^2/(4*'D(Ti_Audétat23) Times'!$C282)/(365.35*24*3600)</f>
        <v>181748.38783455297</v>
      </c>
      <c r="O282" s="2">
        <f>([412]L!P282*'D(Ti_Audétat23) Times'!$F282*0.000001)^2/(4*'D(Ti_Audétat23) Times'!$C282)/(365.35*24*3600)</f>
        <v>168523.74149465602</v>
      </c>
      <c r="P282" s="2">
        <f>([412]L!Q282*'D(Ti_Audétat23) Times'!$F282*0.000001)^2/(4*'D(Ti_Audétat23) Times'!$C282)/(365.35*24*3600)</f>
        <v>188395.05236514751</v>
      </c>
      <c r="Q282" s="2">
        <f>([412]L!R282*'D(Ti_Audétat23) Times'!$F282*0.000001)^2/(4*'D(Ti_Audétat23) Times'!$C282)/(365.35*24*3600)</f>
        <v>116476.07909987672</v>
      </c>
      <c r="R282" s="2">
        <f>([412]L!S282*'D(Ti_Audétat23) Times'!$F282*0.000001)^2/(4*'D(Ti_Audétat23) Times'!$C282)/(365.35*24*3600)</f>
        <v>158360.98254680293</v>
      </c>
      <c r="S282" s="2">
        <f>([412]L!T282*'D(Ti_Audétat23) Times'!$F282*0.000001)^2/(4*'D(Ti_Audétat23) Times'!$C282)/(365.35*24*3600)</f>
        <v>200895.75463490756</v>
      </c>
      <c r="T282" s="2"/>
      <c r="U282" s="2">
        <f>([412]L!V282*'D(Ti_Audétat23) Times'!$F282*0.000001)^2/(4*'D(Ti_Audétat23) Times'!$C282)/(365.35*24*3600)</f>
        <v>172255.01941685085</v>
      </c>
      <c r="V282" s="2">
        <f>([412]L!W282*'D(Ti_Audétat23) Times'!$F282*0.000001)^2/(4*'D(Ti_Audétat23) Times'!$C282)/(365.35*24*3600)</f>
        <v>170557.91502018971</v>
      </c>
      <c r="W282" s="2">
        <f>([412]L!X282*'D(Ti_Audétat23) Times'!$F282*0.000001)^2/(4*'D(Ti_Audétat23) Times'!$C282)/(365.35*24*3600)</f>
        <v>176753.61516568321</v>
      </c>
      <c r="X282" s="2"/>
      <c r="Y282" s="2">
        <f>([412]L!Z282*'D(Ti_Audétat23) Times'!$F282*0.000001)^2/(4*'D(Ti_Audétat23) Times'!$C282)/(365.35*24*3600)</f>
        <v>169620.98371528654</v>
      </c>
      <c r="Z282" s="2">
        <f>([412]L!AB282*'D(Ti_Audétat23) Times'!$F282*0.000001)^2/(4*'D(Ti_Audétat23) Times'!$C282)/(365.35*24*3600)</f>
        <v>170115.48686452064</v>
      </c>
      <c r="AA282" s="2">
        <f>([412]L!AC282*'D(Ti_Audétat23) Times'!$F282*0.000001)^2/(4*'D(Ti_Audétat23) Times'!$C282)/(365.35*24*3600)</f>
        <v>120368.52185346956</v>
      </c>
      <c r="AB282" s="2">
        <f>([412]L!AD282*'D(Ti_Audétat23) Times'!$F282*0.000001)^2/(4*'D(Ti_Audétat23) Times'!$C282)/(365.35*24*3600)</f>
        <v>240899.76312490992</v>
      </c>
      <c r="AC282" s="2">
        <f t="shared" si="17"/>
        <v>49746.965011051085</v>
      </c>
      <c r="AD282" s="2">
        <f t="shared" si="18"/>
        <v>70784.276260389277</v>
      </c>
    </row>
    <row r="283" spans="1:30" x14ac:dyDescent="0.2">
      <c r="A283" t="str">
        <f>[412]L!A283</f>
        <v>CGI014-qtz11-CL-fit-3-offset</v>
      </c>
      <c r="B283">
        <v>750</v>
      </c>
      <c r="C283">
        <f t="shared" si="19"/>
        <v>1.1456341375347871E-23</v>
      </c>
      <c r="D283">
        <v>1500</v>
      </c>
      <c r="E283">
        <v>1024</v>
      </c>
      <c r="F283">
        <f t="shared" si="16"/>
        <v>1.46484375</v>
      </c>
      <c r="I283" s="2">
        <f>([412]L!J283*'D(Ti_Audétat23) Times'!$F283*0.000001)^2/(4*'D(Ti_Audétat23) Times'!$C283)/(365.35*24*3600)</f>
        <v>13204.356795752579</v>
      </c>
      <c r="J283" s="2">
        <f>([412]L!K283*'D(Ti_Audétat23) Times'!$F283*0.000001)^2/(4*'D(Ti_Audétat23) Times'!$C283)/(365.35*24*3600)</f>
        <v>33713.575118912107</v>
      </c>
      <c r="K283" s="2">
        <f>([412]L!L283*'D(Ti_Audétat23) Times'!$F283*0.000001)^2/(4*'D(Ti_Audétat23) Times'!$C283)/(365.35*24*3600)</f>
        <v>34963.510918429223</v>
      </c>
      <c r="L283" s="2">
        <f>([412]L!M283*'D(Ti_Audétat23) Times'!$F283*0.000001)^2/(4*'D(Ti_Audétat23) Times'!$C283)/(365.35*24*3600)</f>
        <v>16689.978540626522</v>
      </c>
      <c r="M283" s="2">
        <f>([412]L!N283*'D(Ti_Audétat23) Times'!$F283*0.000001)^2/(4*'D(Ti_Audétat23) Times'!$C283)/(365.35*24*3600)</f>
        <v>34242.032166036872</v>
      </c>
      <c r="N283" s="2">
        <f>([412]L!O283*'D(Ti_Audétat23) Times'!$F283*0.000001)^2/(4*'D(Ti_Audétat23) Times'!$C283)/(365.35*24*3600)</f>
        <v>22113.707902036916</v>
      </c>
      <c r="O283" s="2">
        <f>([412]L!P283*'D(Ti_Audétat23) Times'!$F283*0.000001)^2/(4*'D(Ti_Audétat23) Times'!$C283)/(365.35*24*3600)</f>
        <v>29131.61556623385</v>
      </c>
      <c r="P283" s="2">
        <f>([412]L!Q283*'D(Ti_Audétat23) Times'!$F283*0.000001)^2/(4*'D(Ti_Audétat23) Times'!$C283)/(365.35*24*3600)</f>
        <v>22120.178562278074</v>
      </c>
      <c r="Q283" s="2">
        <f>([412]L!R283*'D(Ti_Audétat23) Times'!$F283*0.000001)^2/(4*'D(Ti_Audétat23) Times'!$C283)/(365.35*24*3600)</f>
        <v>29472.313878387315</v>
      </c>
      <c r="R283" s="2">
        <f>([412]L!S283*'D(Ti_Audétat23) Times'!$F283*0.000001)^2/(4*'D(Ti_Audétat23) Times'!$C283)/(365.35*24*3600)</f>
        <v>32298.627954785072</v>
      </c>
      <c r="S283" s="2">
        <f>([412]L!T283*'D(Ti_Audétat23) Times'!$F283*0.000001)^2/(4*'D(Ti_Audétat23) Times'!$C283)/(365.35*24*3600)</f>
        <v>31062.790609203686</v>
      </c>
      <c r="T283" s="2"/>
      <c r="U283" s="2">
        <f>([412]L!V283*'D(Ti_Audétat23) Times'!$F283*0.000001)^2/(4*'D(Ti_Audétat23) Times'!$C283)/(365.35*24*3600)</f>
        <v>27179.590008934119</v>
      </c>
      <c r="V283" s="2">
        <f>([412]L!W283*'D(Ti_Audétat23) Times'!$F283*0.000001)^2/(4*'D(Ti_Audétat23) Times'!$C283)/(365.35*24*3600)</f>
        <v>26643.10170744175</v>
      </c>
      <c r="W283" s="2">
        <f>([412]L!X283*'D(Ti_Audétat23) Times'!$F283*0.000001)^2/(4*'D(Ti_Audétat23) Times'!$C283)/(365.35*24*3600)</f>
        <v>29472.313878387315</v>
      </c>
      <c r="X283" s="2"/>
      <c r="Y283" s="2">
        <f>([412]L!Z283*'D(Ti_Audétat23) Times'!$F283*0.000001)^2/(4*'D(Ti_Audétat23) Times'!$C283)/(365.35*24*3600)</f>
        <v>27716.508763449358</v>
      </c>
      <c r="Z283" s="2">
        <f>([412]L!AB283*'D(Ti_Audétat23) Times'!$F283*0.000001)^2/(4*'D(Ti_Audétat23) Times'!$C283)/(365.35*24*3600)</f>
        <v>27395.937722469047</v>
      </c>
      <c r="AA283" s="2">
        <f>([412]L!AC283*'D(Ti_Audétat23) Times'!$F283*0.000001)^2/(4*'D(Ti_Audétat23) Times'!$C283)/(365.35*24*3600)</f>
        <v>15667.974898260842</v>
      </c>
      <c r="AB283" s="2">
        <f>([412]L!AD283*'D(Ti_Audétat23) Times'!$F283*0.000001)^2/(4*'D(Ti_Audétat23) Times'!$C283)/(365.35*24*3600)</f>
        <v>43891.515272725184</v>
      </c>
      <c r="AC283" s="2">
        <f t="shared" si="17"/>
        <v>11727.962824208205</v>
      </c>
      <c r="AD283" s="2">
        <f t="shared" si="18"/>
        <v>16495.577550256137</v>
      </c>
    </row>
    <row r="284" spans="1:30" x14ac:dyDescent="0.2">
      <c r="A284" t="str">
        <f>[412]L!A284</f>
        <v>CGI014-qtz11-CL-fit-4-offset</v>
      </c>
      <c r="B284">
        <v>750</v>
      </c>
      <c r="C284">
        <f t="shared" si="19"/>
        <v>1.1456341375347871E-23</v>
      </c>
      <c r="D284">
        <v>1500</v>
      </c>
      <c r="E284">
        <v>1024</v>
      </c>
      <c r="F284">
        <f t="shared" si="16"/>
        <v>1.46484375</v>
      </c>
      <c r="I284" s="2">
        <f>([412]L!J284*'D(Ti_Audétat23) Times'!$F284*0.000001)^2/(4*'D(Ti_Audétat23) Times'!$C284)/(365.35*24*3600)</f>
        <v>7347.3034582202017</v>
      </c>
      <c r="J284" s="2">
        <f>([412]L!K284*'D(Ti_Audétat23) Times'!$F284*0.000001)^2/(4*'D(Ti_Audétat23) Times'!$C284)/(365.35*24*3600)</f>
        <v>11627.61952733283</v>
      </c>
      <c r="K284" s="2">
        <f>([412]L!L284*'D(Ti_Audétat23) Times'!$F284*0.000001)^2/(4*'D(Ti_Audétat23) Times'!$C284)/(365.35*24*3600)</f>
        <v>8908.7506706014647</v>
      </c>
      <c r="L284" s="2">
        <f>([412]L!M284*'D(Ti_Audétat23) Times'!$F284*0.000001)^2/(4*'D(Ti_Audétat23) Times'!$C284)/(365.35*24*3600)</f>
        <v>6617.2480023950102</v>
      </c>
      <c r="M284" s="2">
        <f>([412]L!N284*'D(Ti_Audétat23) Times'!$F284*0.000001)^2/(4*'D(Ti_Audétat23) Times'!$C284)/(365.35*24*3600)</f>
        <v>6766.0849309978557</v>
      </c>
      <c r="N284" s="2">
        <f>([412]L!O284*'D(Ti_Audétat23) Times'!$F284*0.000001)^2/(4*'D(Ti_Audétat23) Times'!$C284)/(365.35*24*3600)</f>
        <v>6176.2629926968602</v>
      </c>
      <c r="O284" s="2">
        <f>([412]L!P284*'D(Ti_Audétat23) Times'!$F284*0.000001)^2/(4*'D(Ti_Audétat23) Times'!$C284)/(365.35*24*3600)</f>
        <v>6009.2425730071964</v>
      </c>
      <c r="P284" s="2">
        <f>([412]L!Q284*'D(Ti_Audétat23) Times'!$F284*0.000001)^2/(4*'D(Ti_Audétat23) Times'!$C284)/(365.35*24*3600)</f>
        <v>4299.9181733596579</v>
      </c>
      <c r="Q284" s="2">
        <f>([412]L!R284*'D(Ti_Audétat23) Times'!$F284*0.000001)^2/(4*'D(Ti_Audétat23) Times'!$C284)/(365.35*24*3600)</f>
        <v>6748.2232847264795</v>
      </c>
      <c r="R284" s="2">
        <f>([412]L!S284*'D(Ti_Audétat23) Times'!$F284*0.000001)^2/(4*'D(Ti_Audétat23) Times'!$C284)/(365.35*24*3600)</f>
        <v>5781.0068725652282</v>
      </c>
      <c r="S284" s="2">
        <f>([412]L!T284*'D(Ti_Audétat23) Times'!$F284*0.000001)^2/(4*'D(Ti_Audétat23) Times'!$C284)/(365.35*24*3600)</f>
        <v>1167.7754280831316</v>
      </c>
      <c r="T284" s="2"/>
      <c r="U284" s="2">
        <f>([412]L!V284*'D(Ti_Audétat23) Times'!$F284*0.000001)^2/(4*'D(Ti_Audétat23) Times'!$C284)/(365.35*24*3600)</f>
        <v>6149.4819766035134</v>
      </c>
      <c r="V284" s="2">
        <f>([412]L!W284*'D(Ti_Audétat23) Times'!$F284*0.000001)^2/(4*'D(Ti_Audétat23) Times'!$C284)/(365.35*24*3600)</f>
        <v>6191.861690128495</v>
      </c>
      <c r="W284" s="2">
        <f>([412]L!X284*'D(Ti_Audétat23) Times'!$F284*0.000001)^2/(4*'D(Ti_Audétat23) Times'!$C284)/(365.35*24*3600)</f>
        <v>6617.2480023950102</v>
      </c>
      <c r="X284" s="2"/>
      <c r="Y284" s="2">
        <f>([412]L!Z284*'D(Ti_Audétat23) Times'!$F284*0.000001)^2/(4*'D(Ti_Audétat23) Times'!$C284)/(365.35*24*3600)</f>
        <v>5881.9222970387054</v>
      </c>
      <c r="Z284" s="2">
        <f>([412]L!AB284*'D(Ti_Audétat23) Times'!$F284*0.000001)^2/(4*'D(Ti_Audétat23) Times'!$C284)/(365.35*24*3600)</f>
        <v>5191.7635668793082</v>
      </c>
      <c r="AA284" s="2">
        <f>([412]L!AC284*'D(Ti_Audétat23) Times'!$F284*0.000001)^2/(4*'D(Ti_Audétat23) Times'!$C284)/(365.35*24*3600)</f>
        <v>168.31367478293276</v>
      </c>
      <c r="AB284" s="2">
        <f>([412]L!AD284*'D(Ti_Audétat23) Times'!$F284*0.000001)^2/(4*'D(Ti_Audétat23) Times'!$C284)/(365.35*24*3600)</f>
        <v>15672.529801998044</v>
      </c>
      <c r="AC284" s="2">
        <f t="shared" si="17"/>
        <v>5023.4498920963752</v>
      </c>
      <c r="AD284" s="2">
        <f t="shared" si="18"/>
        <v>10480.766235118735</v>
      </c>
    </row>
    <row r="285" spans="1:30" x14ac:dyDescent="0.2">
      <c r="A285" t="str">
        <f>[412]L!A285</f>
        <v>CGI014-qtz11-CL-fit-5-offset</v>
      </c>
      <c r="B285">
        <v>750</v>
      </c>
      <c r="C285">
        <f t="shared" si="19"/>
        <v>1.1456341375347871E-23</v>
      </c>
      <c r="D285">
        <v>1500</v>
      </c>
      <c r="E285">
        <v>1024</v>
      </c>
      <c r="F285">
        <f t="shared" si="16"/>
        <v>1.46484375</v>
      </c>
      <c r="I285" s="2">
        <f>([412]L!J285*'D(Ti_Audétat23) Times'!$F285*0.000001)^2/(4*'D(Ti_Audétat23) Times'!$C285)/(365.35*24*3600)</f>
        <v>1886.519761404538</v>
      </c>
      <c r="J285" s="2">
        <f>([412]L!K285*'D(Ti_Audétat23) Times'!$F285*0.000001)^2/(4*'D(Ti_Audétat23) Times'!$C285)/(365.35*24*3600)</f>
        <v>5463.6004924896788</v>
      </c>
      <c r="K285" s="2">
        <f>([412]L!L285*'D(Ti_Audétat23) Times'!$F285*0.000001)^2/(4*'D(Ti_Audétat23) Times'!$C285)/(365.35*24*3600)</f>
        <v>4449.6112280526095</v>
      </c>
      <c r="L285" s="2">
        <f>([412]L!M285*'D(Ti_Audétat23) Times'!$F285*0.000001)^2/(4*'D(Ti_Audétat23) Times'!$C285)/(365.35*24*3600)</f>
        <v>2168.9253729146067</v>
      </c>
      <c r="M285" s="2">
        <f>([412]L!N285*'D(Ti_Audétat23) Times'!$F285*0.000001)^2/(4*'D(Ti_Audétat23) Times'!$C285)/(365.35*24*3600)</f>
        <v>2527.4536932333881</v>
      </c>
      <c r="N285" s="2">
        <f>([412]L!O285*'D(Ti_Audétat23) Times'!$F285*0.000001)^2/(4*'D(Ti_Audétat23) Times'!$C285)/(365.35*24*3600)</f>
        <v>3334.7093970158685</v>
      </c>
      <c r="O285" s="2">
        <f>([412]L!P285*'D(Ti_Audétat23) Times'!$F285*0.000001)^2/(4*'D(Ti_Audétat23) Times'!$C285)/(365.35*24*3600)</f>
        <v>73.65057151634052</v>
      </c>
      <c r="P285" s="2">
        <f>([412]L!Q285*'D(Ti_Audétat23) Times'!$F285*0.000001)^2/(4*'D(Ti_Audétat23) Times'!$C285)/(365.35*24*3600)</f>
        <v>1086.9285498401198</v>
      </c>
      <c r="Q285" s="2">
        <f>([412]L!R285*'D(Ti_Audétat23) Times'!$F285*0.000001)^2/(4*'D(Ti_Audétat23) Times'!$C285)/(365.35*24*3600)</f>
        <v>2235.1567068204963</v>
      </c>
      <c r="R285" s="2">
        <f>([412]L!S285*'D(Ti_Audétat23) Times'!$F285*0.000001)^2/(4*'D(Ti_Audétat23) Times'!$C285)/(365.35*24*3600)</f>
        <v>1927.4318432722819</v>
      </c>
      <c r="S285" s="2">
        <f>([412]L!T285*'D(Ti_Audétat23) Times'!$F285*0.000001)^2/(4*'D(Ti_Audétat23) Times'!$C285)/(365.35*24*3600)</f>
        <v>1015.1615240095022</v>
      </c>
      <c r="T285" s="2"/>
      <c r="U285" s="2">
        <f>([412]L!V285*'D(Ti_Audétat23) Times'!$F285*0.000001)^2/(4*'D(Ti_Audétat23) Times'!$C285)/(365.35*24*3600)</f>
        <v>2708.212610385267</v>
      </c>
      <c r="V285" s="2">
        <f>([412]L!W285*'D(Ti_Audétat23) Times'!$F285*0.000001)^2/(4*'D(Ti_Audétat23) Times'!$C285)/(365.35*24*3600)</f>
        <v>2092.9816250658255</v>
      </c>
      <c r="W285" s="2">
        <f>([412]L!X285*'D(Ti_Audétat23) Times'!$F285*0.000001)^2/(4*'D(Ti_Audétat23) Times'!$C285)/(365.35*24*3600)</f>
        <v>2168.9253729146067</v>
      </c>
      <c r="X285" s="2"/>
      <c r="Y285" s="2">
        <f>([412]L!Z285*'D(Ti_Audétat23) Times'!$F285*0.000001)^2/(4*'D(Ti_Audétat23) Times'!$C285)/(365.35*24*3600)</f>
        <v>2206.8321250035606</v>
      </c>
      <c r="Z285" s="2">
        <f>([412]L!AB285*'D(Ti_Audétat23) Times'!$F285*0.000001)^2/(4*'D(Ti_Audétat23) Times'!$C285)/(365.35*24*3600)</f>
        <v>2003.1812662675732</v>
      </c>
      <c r="AA285" s="2">
        <f>([412]L!AC285*'D(Ti_Audétat23) Times'!$F285*0.000001)^2/(4*'D(Ti_Audétat23) Times'!$C285)/(365.35*24*3600)</f>
        <v>77.549336562175768</v>
      </c>
      <c r="AB285" s="2">
        <f>([412]L!AD285*'D(Ti_Audétat23) Times'!$F285*0.000001)^2/(4*'D(Ti_Audétat23) Times'!$C285)/(365.35*24*3600)</f>
        <v>6942.9401653595869</v>
      </c>
      <c r="AC285" s="2">
        <f t="shared" si="17"/>
        <v>1925.6319297053974</v>
      </c>
      <c r="AD285" s="2">
        <f t="shared" si="18"/>
        <v>4939.758899092014</v>
      </c>
    </row>
    <row r="286" spans="1:30" x14ac:dyDescent="0.2">
      <c r="A286" t="str">
        <f>[412]L!A286</f>
        <v>CGI014-qtz12-CL-fit-1-offset</v>
      </c>
      <c r="B286">
        <v>750</v>
      </c>
      <c r="C286">
        <f t="shared" si="19"/>
        <v>1.1456341375347871E-23</v>
      </c>
      <c r="D286">
        <v>1650</v>
      </c>
      <c r="E286">
        <v>1024</v>
      </c>
      <c r="F286">
        <f t="shared" si="16"/>
        <v>1.611328125</v>
      </c>
      <c r="I286" s="2">
        <f>([412]L!J286*'D(Ti_Audétat23) Times'!$F286*0.000001)^2/(4*'D(Ti_Audétat23) Times'!$C286)/(365.35*24*3600)</f>
        <v>304904.86866254627</v>
      </c>
      <c r="J286" s="2">
        <f>([412]L!K286*'D(Ti_Audétat23) Times'!$F286*0.000001)^2/(4*'D(Ti_Audétat23) Times'!$C286)/(365.35*24*3600)</f>
        <v>374562.9448615872</v>
      </c>
      <c r="K286" s="2">
        <f>([412]L!L286*'D(Ti_Audétat23) Times'!$F286*0.000001)^2/(4*'D(Ti_Audétat23) Times'!$C286)/(365.35*24*3600)</f>
        <v>299347.86478293216</v>
      </c>
      <c r="L286" s="2">
        <f>([412]L!M286*'D(Ti_Audétat23) Times'!$F286*0.000001)^2/(4*'D(Ti_Audétat23) Times'!$C286)/(365.35*24*3600)</f>
        <v>561909.74998746382</v>
      </c>
      <c r="M286" s="2">
        <f>([412]L!N286*'D(Ti_Audétat23) Times'!$F286*0.000001)^2/(4*'D(Ti_Audétat23) Times'!$C286)/(365.35*24*3600)</f>
        <v>515413.20940693654</v>
      </c>
      <c r="N286" s="2">
        <f>([412]L!O286*'D(Ti_Audétat23) Times'!$F286*0.000001)^2/(4*'D(Ti_Audétat23) Times'!$C286)/(365.35*24*3600)</f>
        <v>369464.59052115667</v>
      </c>
      <c r="O286" s="2">
        <f>([412]L!P286*'D(Ti_Audétat23) Times'!$F286*0.000001)^2/(4*'D(Ti_Audétat23) Times'!$C286)/(365.35*24*3600)</f>
        <v>346497.89735401858</v>
      </c>
      <c r="P286" s="2">
        <f>([412]L!Q286*'D(Ti_Audétat23) Times'!$F286*0.000001)^2/(4*'D(Ti_Audétat23) Times'!$C286)/(365.35*24*3600)</f>
        <v>379772.18905604491</v>
      </c>
      <c r="Q286" s="2">
        <f>([412]L!R286*'D(Ti_Audétat23) Times'!$F286*0.000001)^2/(4*'D(Ti_Audétat23) Times'!$C286)/(365.35*24*3600)</f>
        <v>283220.34318276012</v>
      </c>
      <c r="R286" s="2">
        <f>([412]L!S286*'D(Ti_Audétat23) Times'!$F286*0.000001)^2/(4*'D(Ti_Audétat23) Times'!$C286)/(365.35*24*3600)</f>
        <v>385339.08149687579</v>
      </c>
      <c r="S286" s="2">
        <f>([412]L!T286*'D(Ti_Audétat23) Times'!$F286*0.000001)^2/(4*'D(Ti_Audétat23) Times'!$C286)/(365.35*24*3600)</f>
        <v>460460.61974393571</v>
      </c>
      <c r="T286" s="2"/>
      <c r="U286" s="2">
        <f>([412]L!V286*'D(Ti_Audétat23) Times'!$F286*0.000001)^2/(4*'D(Ti_Audétat23) Times'!$C286)/(365.35*24*3600)</f>
        <v>382053.37973279972</v>
      </c>
      <c r="V286" s="2">
        <f>([412]L!W286*'D(Ti_Audétat23) Times'!$F286*0.000001)^2/(4*'D(Ti_Audétat23) Times'!$C286)/(365.35*24*3600)</f>
        <v>384749.6135496546</v>
      </c>
      <c r="W286" s="2">
        <f>([412]L!X286*'D(Ti_Audétat23) Times'!$F286*0.000001)^2/(4*'D(Ti_Audétat23) Times'!$C286)/(365.35*24*3600)</f>
        <v>374562.9448615872</v>
      </c>
      <c r="X286" s="2"/>
      <c r="Y286" s="2">
        <f>([412]L!Z286*'D(Ti_Audétat23) Times'!$F286*0.000001)^2/(4*'D(Ti_Audétat23) Times'!$C286)/(365.35*24*3600)</f>
        <v>381796.53624982369</v>
      </c>
      <c r="Z286" s="2">
        <f>([412]L!AB286*'D(Ti_Audétat23) Times'!$F286*0.000001)^2/(4*'D(Ti_Audétat23) Times'!$C286)/(365.35*24*3600)</f>
        <v>384229.69064258708</v>
      </c>
      <c r="AA286" s="2">
        <f>([412]L!AC286*'D(Ti_Audétat23) Times'!$F286*0.000001)^2/(4*'D(Ti_Audétat23) Times'!$C286)/(365.35*24*3600)</f>
        <v>254174.04864957914</v>
      </c>
      <c r="AB286" s="2">
        <f>([412]L!AD286*'D(Ti_Audétat23) Times'!$F286*0.000001)^2/(4*'D(Ti_Audétat23) Times'!$C286)/(365.35*24*3600)</f>
        <v>591202.72739065648</v>
      </c>
      <c r="AC286" s="2">
        <f t="shared" si="17"/>
        <v>130055.64199300794</v>
      </c>
      <c r="AD286" s="2">
        <f t="shared" si="18"/>
        <v>206973.0367480694</v>
      </c>
    </row>
    <row r="287" spans="1:30" x14ac:dyDescent="0.2">
      <c r="A287" t="str">
        <f>[412]L!A287</f>
        <v>CGI014-qtz12-CL-fit-2-offset</v>
      </c>
      <c r="B287">
        <v>750</v>
      </c>
      <c r="C287">
        <f t="shared" si="19"/>
        <v>1.1456341375347871E-23</v>
      </c>
      <c r="D287">
        <v>1650</v>
      </c>
      <c r="E287">
        <v>1024</v>
      </c>
      <c r="F287">
        <f t="shared" si="16"/>
        <v>1.611328125</v>
      </c>
      <c r="I287" s="2">
        <f>([412]L!J287*'D(Ti_Audétat23) Times'!$F287*0.000001)^2/(4*'D(Ti_Audétat23) Times'!$C287)/(365.35*24*3600)</f>
        <v>80552.892362143306</v>
      </c>
      <c r="J287" s="2">
        <f>([412]L!K287*'D(Ti_Audétat23) Times'!$F287*0.000001)^2/(4*'D(Ti_Audétat23) Times'!$C287)/(365.35*24*3600)</f>
        <v>124587.48834721409</v>
      </c>
      <c r="K287" s="2">
        <f>([412]L!L287*'D(Ti_Audétat23) Times'!$F287*0.000001)^2/(4*'D(Ti_Audétat23) Times'!$C287)/(365.35*24*3600)</f>
        <v>86611.690432657721</v>
      </c>
      <c r="L287" s="2">
        <f>([412]L!M287*'D(Ti_Audétat23) Times'!$F287*0.000001)^2/(4*'D(Ti_Audétat23) Times'!$C287)/(365.35*24*3600)</f>
        <v>0</v>
      </c>
      <c r="M287" s="2">
        <f>([412]L!N287*'D(Ti_Audétat23) Times'!$F287*0.000001)^2/(4*'D(Ti_Audétat23) Times'!$C287)/(365.35*24*3600)</f>
        <v>104263.01989800921</v>
      </c>
      <c r="N287" s="2">
        <f>([412]L!O287*'D(Ti_Audétat23) Times'!$F287*0.000001)^2/(4*'D(Ti_Audétat23) Times'!$C287)/(365.35*24*3600)</f>
        <v>70666.838299623851</v>
      </c>
      <c r="O287" s="2">
        <f>([412]L!P287*'D(Ti_Audétat23) Times'!$F287*0.000001)^2/(4*'D(Ti_Audétat23) Times'!$C287)/(365.35*24*3600)</f>
        <v>128120.24108294291</v>
      </c>
      <c r="P287" s="2">
        <f>([412]L!Q287*'D(Ti_Audétat23) Times'!$F287*0.000001)^2/(4*'D(Ti_Audétat23) Times'!$C287)/(365.35*24*3600)</f>
        <v>0</v>
      </c>
      <c r="Q287" s="2">
        <f>([412]L!R287*'D(Ti_Audétat23) Times'!$F287*0.000001)^2/(4*'D(Ti_Audétat23) Times'!$C287)/(365.35*24*3600)</f>
        <v>32497.386382661072</v>
      </c>
      <c r="R287" s="2">
        <f>([412]L!S287*'D(Ti_Audétat23) Times'!$F287*0.000001)^2/(4*'D(Ti_Audétat23) Times'!$C287)/(365.35*24*3600)</f>
        <v>0</v>
      </c>
      <c r="S287" s="2">
        <f>([412]L!T287*'D(Ti_Audétat23) Times'!$F287*0.000001)^2/(4*'D(Ti_Audétat23) Times'!$C287)/(365.35*24*3600)</f>
        <v>47085.251750273368</v>
      </c>
      <c r="T287" s="2"/>
      <c r="U287" s="2">
        <f>([412]L!V287*'D(Ti_Audétat23) Times'!$F287*0.000001)^2/(4*'D(Ti_Audétat23) Times'!$C287)/(365.35*24*3600)</f>
        <v>83745.777821304408</v>
      </c>
      <c r="V287" s="2">
        <f>([412]L!W287*'D(Ti_Audétat23) Times'!$F287*0.000001)^2/(4*'D(Ti_Audétat23) Times'!$C287)/(365.35*24*3600)</f>
        <v>80870.373353215691</v>
      </c>
      <c r="W287" s="2">
        <f>([412]L!X287*'D(Ti_Audétat23) Times'!$F287*0.000001)^2/(4*'D(Ti_Audétat23) Times'!$C287)/(365.35*24*3600)</f>
        <v>83554.832607081436</v>
      </c>
      <c r="X287" s="2"/>
      <c r="Y287" s="2">
        <f>([412]L!Z287*'D(Ti_Audétat23) Times'!$F287*0.000001)^2/(4*'D(Ti_Audétat23) Times'!$C287)/(365.35*24*3600)</f>
        <v>78841.173667126001</v>
      </c>
      <c r="Z287" s="2">
        <f>([412]L!AB287*'D(Ti_Audétat23) Times'!$F287*0.000001)^2/(4*'D(Ti_Audétat23) Times'!$C287)/(365.35*24*3600)</f>
        <v>81379.318004445828</v>
      </c>
      <c r="AA287" s="2">
        <f>([412]L!AC287*'D(Ti_Audétat23) Times'!$F287*0.000001)^2/(4*'D(Ti_Audétat23) Times'!$C287)/(365.35*24*3600)</f>
        <v>25137.426139668958</v>
      </c>
      <c r="AB287" s="2">
        <f>([412]L!AD287*'D(Ti_Audétat23) Times'!$F287*0.000001)^2/(4*'D(Ti_Audétat23) Times'!$C287)/(365.35*24*3600)</f>
        <v>185867.70561835621</v>
      </c>
      <c r="AC287" s="2">
        <f t="shared" si="17"/>
        <v>56241.891864776873</v>
      </c>
      <c r="AD287" s="2">
        <f t="shared" si="18"/>
        <v>104488.38761391038</v>
      </c>
    </row>
    <row r="288" spans="1:30" x14ac:dyDescent="0.2">
      <c r="A288" t="str">
        <f>[412]L!A288</f>
        <v>CGI014-qtz12-CL-fit-3-offset</v>
      </c>
      <c r="B288">
        <v>750</v>
      </c>
      <c r="C288">
        <f t="shared" si="19"/>
        <v>1.1456341375347871E-23</v>
      </c>
      <c r="D288">
        <v>1650</v>
      </c>
      <c r="E288">
        <v>1024</v>
      </c>
      <c r="F288">
        <f t="shared" si="16"/>
        <v>1.611328125</v>
      </c>
      <c r="I288" s="2">
        <f>([412]L!J288*'D(Ti_Audétat23) Times'!$F288*0.000001)^2/(4*'D(Ti_Audétat23) Times'!$C288)/(365.35*24*3600)</f>
        <v>9670.8395815085441</v>
      </c>
      <c r="J288" s="2">
        <f>([412]L!K288*'D(Ti_Audétat23) Times'!$F288*0.000001)^2/(4*'D(Ti_Audétat23) Times'!$C288)/(365.35*24*3600)</f>
        <v>21836.101238714913</v>
      </c>
      <c r="K288" s="2">
        <f>([412]L!L288*'D(Ti_Audétat23) Times'!$F288*0.000001)^2/(4*'D(Ti_Audétat23) Times'!$C288)/(365.35*24*3600)</f>
        <v>23525.400304428451</v>
      </c>
      <c r="L288" s="2">
        <f>([412]L!M288*'D(Ti_Audétat23) Times'!$F288*0.000001)^2/(4*'D(Ti_Audétat23) Times'!$C288)/(365.35*24*3600)</f>
        <v>23765.385989352773</v>
      </c>
      <c r="M288" s="2">
        <f>([412]L!N288*'D(Ti_Audétat23) Times'!$F288*0.000001)^2/(4*'D(Ti_Audétat23) Times'!$C288)/(365.35*24*3600)</f>
        <v>29635.555768504102</v>
      </c>
      <c r="N288" s="2">
        <f>([412]L!O288*'D(Ti_Audétat23) Times'!$F288*0.000001)^2/(4*'D(Ti_Audétat23) Times'!$C288)/(365.35*24*3600)</f>
        <v>26185.391075219093</v>
      </c>
      <c r="O288" s="2">
        <f>([412]L!P288*'D(Ti_Audétat23) Times'!$F288*0.000001)^2/(4*'D(Ti_Audétat23) Times'!$C288)/(365.35*24*3600)</f>
        <v>15791.150672373975</v>
      </c>
      <c r="P288" s="2">
        <f>([412]L!Q288*'D(Ti_Audétat23) Times'!$F288*0.000001)^2/(4*'D(Ti_Audétat23) Times'!$C288)/(365.35*24*3600)</f>
        <v>45329.533923033945</v>
      </c>
      <c r="Q288" s="2">
        <f>([412]L!R288*'D(Ti_Audétat23) Times'!$F288*0.000001)^2/(4*'D(Ti_Audétat23) Times'!$C288)/(365.35*24*3600)</f>
        <v>52303.140817820837</v>
      </c>
      <c r="R288" s="2">
        <f>([412]L!S288*'D(Ti_Audétat23) Times'!$F288*0.000001)^2/(4*'D(Ti_Audétat23) Times'!$C288)/(365.35*24*3600)</f>
        <v>55796.053745593155</v>
      </c>
      <c r="S288" s="2">
        <f>([412]L!T288*'D(Ti_Audétat23) Times'!$F288*0.000001)^2/(4*'D(Ti_Audétat23) Times'!$C288)/(365.35*24*3600)</f>
        <v>49331.951851243648</v>
      </c>
      <c r="T288" s="2"/>
      <c r="U288" s="2">
        <f>([412]L!V288*'D(Ti_Audétat23) Times'!$F288*0.000001)^2/(4*'D(Ti_Audétat23) Times'!$C288)/(365.35*24*3600)</f>
        <v>29552.701182570596</v>
      </c>
      <c r="V288" s="2">
        <f>([412]L!W288*'D(Ti_Audétat23) Times'!$F288*0.000001)^2/(4*'D(Ti_Audétat23) Times'!$C288)/(365.35*24*3600)</f>
        <v>30250.971142285154</v>
      </c>
      <c r="W288" s="2">
        <f>([412]L!X288*'D(Ti_Audétat23) Times'!$F288*0.000001)^2/(4*'D(Ti_Audétat23) Times'!$C288)/(365.35*24*3600)</f>
        <v>26185.391075219093</v>
      </c>
      <c r="X288" s="2"/>
      <c r="Y288" s="2">
        <f>([412]L!Z288*'D(Ti_Audétat23) Times'!$F288*0.000001)^2/(4*'D(Ti_Audétat23) Times'!$C288)/(365.35*24*3600)</f>
        <v>30584.62379273626</v>
      </c>
      <c r="Z288" s="2">
        <f>([412]L!AB288*'D(Ti_Audétat23) Times'!$F288*0.000001)^2/(4*'D(Ti_Audétat23) Times'!$C288)/(365.35*24*3600)</f>
        <v>30944.699282796311</v>
      </c>
      <c r="AA288" s="2">
        <f>([412]L!AC288*'D(Ti_Audétat23) Times'!$F288*0.000001)^2/(4*'D(Ti_Audétat23) Times'!$C288)/(365.35*24*3600)</f>
        <v>14347.884786609215</v>
      </c>
      <c r="AB288" s="2">
        <f>([412]L!AD288*'D(Ti_Audétat23) Times'!$F288*0.000001)^2/(4*'D(Ti_Audétat23) Times'!$C288)/(365.35*24*3600)</f>
        <v>56529.232895566078</v>
      </c>
      <c r="AC288" s="2">
        <f t="shared" si="17"/>
        <v>16596.814496187097</v>
      </c>
      <c r="AD288" s="2">
        <f t="shared" si="18"/>
        <v>25584.533612769766</v>
      </c>
    </row>
    <row r="289" spans="1:30" x14ac:dyDescent="0.2">
      <c r="A289" t="str">
        <f>[412]L!A289</f>
        <v>CGI015-qtz01-CL-fit-1-offset</v>
      </c>
      <c r="B289">
        <v>750</v>
      </c>
      <c r="C289">
        <f t="shared" si="19"/>
        <v>1.1456341375347871E-23</v>
      </c>
      <c r="D289">
        <v>1800</v>
      </c>
      <c r="E289">
        <v>1024</v>
      </c>
      <c r="F289">
        <f t="shared" si="16"/>
        <v>1.7578125</v>
      </c>
      <c r="I289" s="2">
        <f>([412]L!J289*'D(Ti_Audétat23) Times'!$F289*0.000001)^2/(4*'D(Ti_Audétat23) Times'!$C289)/(365.35*24*3600)</f>
        <v>13084.709629541148</v>
      </c>
      <c r="J289" s="2">
        <f>([412]L!K289*'D(Ti_Audétat23) Times'!$F289*0.000001)^2/(4*'D(Ti_Audétat23) Times'!$C289)/(365.35*24*3600)</f>
        <v>79411.450529362352</v>
      </c>
      <c r="K289" s="2">
        <f>([412]L!L289*'D(Ti_Audétat23) Times'!$F289*0.000001)^2/(4*'D(Ti_Audétat23) Times'!$C289)/(365.35*24*3600)</f>
        <v>22323.119351656296</v>
      </c>
      <c r="L289" s="2">
        <f>([412]L!M289*'D(Ti_Audétat23) Times'!$F289*0.000001)^2/(4*'D(Ti_Audétat23) Times'!$C289)/(365.35*24*3600)</f>
        <v>64301.458343815226</v>
      </c>
      <c r="M289" s="2">
        <f>([412]L!N289*'D(Ti_Audétat23) Times'!$F289*0.000001)^2/(4*'D(Ti_Audétat23) Times'!$C289)/(365.35*24*3600)</f>
        <v>121397.81063490477</v>
      </c>
      <c r="N289" s="2">
        <f>([412]L!O289*'D(Ti_Audétat23) Times'!$F289*0.000001)^2/(4*'D(Ti_Audétat23) Times'!$C289)/(365.35*24*3600)</f>
        <v>7516.1522489488789</v>
      </c>
      <c r="O289" s="2">
        <f>([412]L!P289*'D(Ti_Audétat23) Times'!$F289*0.000001)^2/(4*'D(Ti_Audétat23) Times'!$C289)/(365.35*24*3600)</f>
        <v>28025.449729566342</v>
      </c>
      <c r="P289" s="2">
        <f>([412]L!Q289*'D(Ti_Audétat23) Times'!$F289*0.000001)^2/(4*'D(Ti_Audétat23) Times'!$C289)/(365.35*24*3600)</f>
        <v>22416.522124796309</v>
      </c>
      <c r="Q289" s="2">
        <f>([412]L!R289*'D(Ti_Audétat23) Times'!$F289*0.000001)^2/(4*'D(Ti_Audétat23) Times'!$C289)/(365.35*24*3600)</f>
        <v>15787.217516486653</v>
      </c>
      <c r="R289" s="2">
        <f>([412]L!S289*'D(Ti_Audétat23) Times'!$F289*0.000001)^2/(4*'D(Ti_Audétat23) Times'!$C289)/(365.35*24*3600)</f>
        <v>26657.266141527671</v>
      </c>
      <c r="S289" s="2">
        <f>([412]L!T289*'D(Ti_Audétat23) Times'!$F289*0.000001)^2/(4*'D(Ti_Audétat23) Times'!$C289)/(365.35*24*3600)</f>
        <v>1131.179405574436</v>
      </c>
      <c r="T289" s="2"/>
      <c r="U289" s="2">
        <f>([412]L!V289*'D(Ti_Audétat23) Times'!$F289*0.000001)^2/(4*'D(Ti_Audétat23) Times'!$C289)/(365.35*24*3600)</f>
        <v>29591.45751841231</v>
      </c>
      <c r="V289" s="2">
        <f>([412]L!W289*'D(Ti_Audétat23) Times'!$F289*0.000001)^2/(4*'D(Ti_Audétat23) Times'!$C289)/(365.35*24*3600)</f>
        <v>29022.939346512601</v>
      </c>
      <c r="W289" s="2">
        <f>([412]L!X289*'D(Ti_Audétat23) Times'!$F289*0.000001)^2/(4*'D(Ti_Audétat23) Times'!$C289)/(365.35*24*3600)</f>
        <v>22416.522124796309</v>
      </c>
      <c r="X289" s="2"/>
      <c r="Y289" s="2">
        <f>([412]L!Z289*'D(Ti_Audétat23) Times'!$F289*0.000001)^2/(4*'D(Ti_Audétat23) Times'!$C289)/(365.35*24*3600)</f>
        <v>28223.735563348917</v>
      </c>
      <c r="Z289" s="2">
        <f>([412]L!AB289*'D(Ti_Audétat23) Times'!$F289*0.000001)^2/(4*'D(Ti_Audétat23) Times'!$C289)/(365.35*24*3600)</f>
        <v>29230.897915453796</v>
      </c>
      <c r="AA289" s="2">
        <f>([412]L!AC289*'D(Ti_Audétat23) Times'!$F289*0.000001)^2/(4*'D(Ti_Audétat23) Times'!$C289)/(365.35*24*3600)</f>
        <v>1513.6958336547418</v>
      </c>
      <c r="AB289" s="2">
        <f>([412]L!AD289*'D(Ti_Audétat23) Times'!$F289*0.000001)^2/(4*'D(Ti_Audétat23) Times'!$C289)/(365.35*24*3600)</f>
        <v>111448.78229770875</v>
      </c>
      <c r="AC289" s="2">
        <f t="shared" si="17"/>
        <v>27717.202081799052</v>
      </c>
      <c r="AD289" s="2">
        <f t="shared" si="18"/>
        <v>82217.884382254953</v>
      </c>
    </row>
    <row r="290" spans="1:30" x14ac:dyDescent="0.2">
      <c r="A290" t="str">
        <f>[412]L!A290</f>
        <v>CGI015-qtz01-CL-fit-2-offset</v>
      </c>
      <c r="B290">
        <v>750</v>
      </c>
      <c r="C290">
        <f t="shared" si="19"/>
        <v>1.1456341375347871E-23</v>
      </c>
      <c r="D290">
        <v>1800</v>
      </c>
      <c r="E290">
        <v>1024</v>
      </c>
      <c r="F290">
        <f t="shared" si="16"/>
        <v>1.7578125</v>
      </c>
      <c r="I290" s="2">
        <f>([412]L!J290*'D(Ti_Audétat23) Times'!$F290*0.000001)^2/(4*'D(Ti_Audétat23) Times'!$C290)/(365.35*24*3600)</f>
        <v>26581.347086545869</v>
      </c>
      <c r="J290" s="2">
        <f>([412]L!K290*'D(Ti_Audétat23) Times'!$F290*0.000001)^2/(4*'D(Ti_Audétat23) Times'!$C290)/(365.35*24*3600)</f>
        <v>19276.876943888903</v>
      </c>
      <c r="K290" s="2">
        <f>([412]L!L290*'D(Ti_Audétat23) Times'!$F290*0.000001)^2/(4*'D(Ti_Audétat23) Times'!$C290)/(365.35*24*3600)</f>
        <v>22027.215566045637</v>
      </c>
      <c r="L290" s="2">
        <f>([412]L!M290*'D(Ti_Audétat23) Times'!$F290*0.000001)^2/(4*'D(Ti_Audétat23) Times'!$C290)/(365.35*24*3600)</f>
        <v>19935.49537802277</v>
      </c>
      <c r="M290" s="2">
        <f>([412]L!N290*'D(Ti_Audétat23) Times'!$F290*0.000001)^2/(4*'D(Ti_Audétat23) Times'!$C290)/(365.35*24*3600)</f>
        <v>19346.240248449991</v>
      </c>
      <c r="N290" s="2">
        <f>([412]L!O290*'D(Ti_Audétat23) Times'!$F290*0.000001)^2/(4*'D(Ti_Audétat23) Times'!$C290)/(365.35*24*3600)</f>
        <v>23951.358259611985</v>
      </c>
      <c r="O290" s="2">
        <f>([412]L!P290*'D(Ti_Audétat23) Times'!$F290*0.000001)^2/(4*'D(Ti_Audétat23) Times'!$C290)/(365.35*24*3600)</f>
        <v>24083.181291259683</v>
      </c>
      <c r="P290" s="2">
        <f>([412]L!Q290*'D(Ti_Audétat23) Times'!$F290*0.000001)^2/(4*'D(Ti_Audétat23) Times'!$C290)/(365.35*24*3600)</f>
        <v>19180.090553168327</v>
      </c>
      <c r="Q290" s="2">
        <f>([412]L!R290*'D(Ti_Audétat23) Times'!$F290*0.000001)^2/(4*'D(Ti_Audétat23) Times'!$C290)/(365.35*24*3600)</f>
        <v>21508.358394421946</v>
      </c>
      <c r="R290" s="2">
        <f>([412]L!S290*'D(Ti_Audétat23) Times'!$F290*0.000001)^2/(4*'D(Ti_Audétat23) Times'!$C290)/(365.35*24*3600)</f>
        <v>35649.143529121924</v>
      </c>
      <c r="S290" s="2">
        <f>([412]L!T290*'D(Ti_Audétat23) Times'!$F290*0.000001)^2/(4*'D(Ti_Audétat23) Times'!$C290)/(365.35*24*3600)</f>
        <v>34617.862300609588</v>
      </c>
      <c r="T290" s="2"/>
      <c r="U290" s="2">
        <f>([412]L!V290*'D(Ti_Audétat23) Times'!$F290*0.000001)^2/(4*'D(Ti_Audétat23) Times'!$C290)/(365.35*24*3600)</f>
        <v>23817.749620081784</v>
      </c>
      <c r="V290" s="2">
        <f>([412]L!W290*'D(Ti_Audétat23) Times'!$F290*0.000001)^2/(4*'D(Ti_Audétat23) Times'!$C290)/(365.35*24*3600)</f>
        <v>23899.656490471356</v>
      </c>
      <c r="W290" s="2">
        <f>([412]L!X290*'D(Ti_Audétat23) Times'!$F290*0.000001)^2/(4*'D(Ti_Audétat23) Times'!$C290)/(365.35*24*3600)</f>
        <v>22027.215566045637</v>
      </c>
      <c r="X290" s="2"/>
      <c r="Y290" s="2">
        <f>([412]L!Z290*'D(Ti_Audétat23) Times'!$F290*0.000001)^2/(4*'D(Ti_Audétat23) Times'!$C290)/(365.35*24*3600)</f>
        <v>23519.707817858092</v>
      </c>
      <c r="Z290" s="2">
        <f>([412]L!AB290*'D(Ti_Audétat23) Times'!$F290*0.000001)^2/(4*'D(Ti_Audétat23) Times'!$C290)/(365.35*24*3600)</f>
        <v>23445.915429489705</v>
      </c>
      <c r="AA290" s="2">
        <f>([412]L!AC290*'D(Ti_Audétat23) Times'!$F290*0.000001)^2/(4*'D(Ti_Audétat23) Times'!$C290)/(365.35*24*3600)</f>
        <v>7081.5913445805882</v>
      </c>
      <c r="AB290" s="2">
        <f>([412]L!AD290*'D(Ti_Audétat23) Times'!$F290*0.000001)^2/(4*'D(Ti_Audétat23) Times'!$C290)/(365.35*24*3600)</f>
        <v>47071.057714005983</v>
      </c>
      <c r="AC290" s="2">
        <f t="shared" si="17"/>
        <v>16364.324084909116</v>
      </c>
      <c r="AD290" s="2">
        <f t="shared" si="18"/>
        <v>23625.142284516278</v>
      </c>
    </row>
    <row r="291" spans="1:30" x14ac:dyDescent="0.2">
      <c r="A291" t="str">
        <f>[412]L!A291</f>
        <v>CGI015-qtz01-CL-fit-3-offset</v>
      </c>
      <c r="B291">
        <v>750</v>
      </c>
      <c r="C291">
        <f t="shared" si="19"/>
        <v>1.1456341375347871E-23</v>
      </c>
      <c r="D291">
        <v>1800</v>
      </c>
      <c r="E291">
        <v>1024</v>
      </c>
      <c r="F291">
        <f t="shared" si="16"/>
        <v>1.7578125</v>
      </c>
      <c r="I291" s="2">
        <f>([412]L!J291*'D(Ti_Audétat23) Times'!$F291*0.000001)^2/(4*'D(Ti_Audétat23) Times'!$C291)/(365.35*24*3600)</f>
        <v>31367.352807601706</v>
      </c>
      <c r="J291" s="2">
        <f>([412]L!K291*'D(Ti_Audétat23) Times'!$F291*0.000001)^2/(4*'D(Ti_Audétat23) Times'!$C291)/(365.35*24*3600)</f>
        <v>29071.224613970509</v>
      </c>
      <c r="K291" s="2">
        <f>([412]L!L291*'D(Ti_Audétat23) Times'!$F291*0.000001)^2/(4*'D(Ti_Audétat23) Times'!$C291)/(365.35*24*3600)</f>
        <v>33364.00334286462</v>
      </c>
      <c r="L291" s="2">
        <f>([412]L!M291*'D(Ti_Audétat23) Times'!$F291*0.000001)^2/(4*'D(Ti_Audétat23) Times'!$C291)/(365.35*24*3600)</f>
        <v>17215.469227120768</v>
      </c>
      <c r="M291" s="2">
        <f>([412]L!N291*'D(Ti_Audétat23) Times'!$F291*0.000001)^2/(4*'D(Ti_Audétat23) Times'!$C291)/(365.35*24*3600)</f>
        <v>32765.210816011553</v>
      </c>
      <c r="N291" s="2">
        <f>([412]L!O291*'D(Ti_Audétat23) Times'!$F291*0.000001)^2/(4*'D(Ti_Audétat23) Times'!$C291)/(365.35*24*3600)</f>
        <v>42801.873487108969</v>
      </c>
      <c r="O291" s="2">
        <f>([412]L!P291*'D(Ti_Audétat23) Times'!$F291*0.000001)^2/(4*'D(Ti_Audétat23) Times'!$C291)/(365.35*24*3600)</f>
        <v>45686.951094231365</v>
      </c>
      <c r="P291" s="2">
        <f>([412]L!Q291*'D(Ti_Audétat23) Times'!$F291*0.000001)^2/(4*'D(Ti_Audétat23) Times'!$C291)/(365.35*24*3600)</f>
        <v>52913.91625929677</v>
      </c>
      <c r="Q291" s="2">
        <f>([412]L!R291*'D(Ti_Audétat23) Times'!$F291*0.000001)^2/(4*'D(Ti_Audétat23) Times'!$C291)/(365.35*24*3600)</f>
        <v>34358.988185061324</v>
      </c>
      <c r="R291" s="2">
        <f>([412]L!S291*'D(Ti_Audétat23) Times'!$F291*0.000001)^2/(4*'D(Ti_Audétat23) Times'!$C291)/(365.35*24*3600)</f>
        <v>27870.719026743391</v>
      </c>
      <c r="S291" s="2">
        <f>([412]L!T291*'D(Ti_Audétat23) Times'!$F291*0.000001)^2/(4*'D(Ti_Audétat23) Times'!$C291)/(365.35*24*3600)</f>
        <v>38655.306094686304</v>
      </c>
      <c r="T291" s="2"/>
      <c r="U291" s="2">
        <f>([412]L!V291*'D(Ti_Audétat23) Times'!$F291*0.000001)^2/(4*'D(Ti_Audétat23) Times'!$C291)/(365.35*24*3600)</f>
        <v>33887.964610314702</v>
      </c>
      <c r="V291" s="2">
        <f>([412]L!W291*'D(Ti_Audétat23) Times'!$F291*0.000001)^2/(4*'D(Ti_Audétat23) Times'!$C291)/(365.35*24*3600)</f>
        <v>34463.110808054735</v>
      </c>
      <c r="W291" s="2">
        <f>([412]L!X291*'D(Ti_Audétat23) Times'!$F291*0.000001)^2/(4*'D(Ti_Audétat23) Times'!$C291)/(365.35*24*3600)</f>
        <v>33364.00334286462</v>
      </c>
      <c r="X291" s="2"/>
      <c r="Y291" s="2">
        <f>([412]L!Z291*'D(Ti_Audétat23) Times'!$F291*0.000001)^2/(4*'D(Ti_Audétat23) Times'!$C291)/(365.35*24*3600)</f>
        <v>33700.172891939852</v>
      </c>
      <c r="Z291" s="2">
        <f>([412]L!AB291*'D(Ti_Audétat23) Times'!$F291*0.000001)^2/(4*'D(Ti_Audétat23) Times'!$C291)/(365.35*24*3600)</f>
        <v>33904.633887802316</v>
      </c>
      <c r="AA291" s="2">
        <f>([412]L!AC291*'D(Ti_Audétat23) Times'!$F291*0.000001)^2/(4*'D(Ti_Audétat23) Times'!$C291)/(365.35*24*3600)</f>
        <v>17830.696577291677</v>
      </c>
      <c r="AB291" s="2">
        <f>([412]L!AD291*'D(Ti_Audétat23) Times'!$F291*0.000001)^2/(4*'D(Ti_Audétat23) Times'!$C291)/(365.35*24*3600)</f>
        <v>57046.36183241674</v>
      </c>
      <c r="AC291" s="2">
        <f t="shared" si="17"/>
        <v>16073.937310510639</v>
      </c>
      <c r="AD291" s="2">
        <f t="shared" si="18"/>
        <v>23141.727944614424</v>
      </c>
    </row>
    <row r="292" spans="1:30" x14ac:dyDescent="0.2">
      <c r="A292" t="str">
        <f>[412]L!A292</f>
        <v>CGI015-qtz01-CL-fit-4-offset</v>
      </c>
      <c r="B292">
        <v>750</v>
      </c>
      <c r="C292">
        <f t="shared" si="19"/>
        <v>1.1456341375347871E-23</v>
      </c>
      <c r="D292">
        <v>1800</v>
      </c>
      <c r="E292">
        <v>1024</v>
      </c>
      <c r="F292">
        <f t="shared" si="16"/>
        <v>1.7578125</v>
      </c>
      <c r="I292" s="2">
        <f>([412]L!J292*'D(Ti_Audétat23) Times'!$F292*0.000001)^2/(4*'D(Ti_Audétat23) Times'!$C292)/(365.35*24*3600)</f>
        <v>19131.756441278223</v>
      </c>
      <c r="J292" s="2">
        <f>([412]L!K292*'D(Ti_Audétat23) Times'!$F292*0.000001)^2/(4*'D(Ti_Audétat23) Times'!$C292)/(365.35*24*3600)</f>
        <v>15928.316678190407</v>
      </c>
      <c r="K292" s="2">
        <f>([412]L!L292*'D(Ti_Audétat23) Times'!$F292*0.000001)^2/(4*'D(Ti_Audétat23) Times'!$C292)/(365.35*24*3600)</f>
        <v>20348.578446449126</v>
      </c>
      <c r="L292" s="2">
        <f>([412]L!M292*'D(Ti_Audétat23) Times'!$F292*0.000001)^2/(4*'D(Ti_Audétat23) Times'!$C292)/(365.35*24*3600)</f>
        <v>8979.7115209436251</v>
      </c>
      <c r="M292" s="2">
        <f>([412]L!N292*'D(Ti_Audétat23) Times'!$F292*0.000001)^2/(4*'D(Ti_Audétat23) Times'!$C292)/(365.35*24*3600)</f>
        <v>11402.360122785387</v>
      </c>
      <c r="N292" s="2">
        <f>([412]L!O292*'D(Ti_Audétat23) Times'!$F292*0.000001)^2/(4*'D(Ti_Audétat23) Times'!$C292)/(365.35*24*3600)</f>
        <v>17126.148165892755</v>
      </c>
      <c r="O292" s="2">
        <f>([412]L!P292*'D(Ti_Audétat23) Times'!$F292*0.000001)^2/(4*'D(Ti_Audétat23) Times'!$C292)/(365.35*24*3600)</f>
        <v>12914.206634890092</v>
      </c>
      <c r="P292" s="2">
        <f>([412]L!Q292*'D(Ti_Audétat23) Times'!$F292*0.000001)^2/(4*'D(Ti_Audétat23) Times'!$C292)/(365.35*24*3600)</f>
        <v>18661.558513420052</v>
      </c>
      <c r="Q292" s="2">
        <f>([412]L!R292*'D(Ti_Audétat23) Times'!$F292*0.000001)^2/(4*'D(Ti_Audétat23) Times'!$C292)/(365.35*24*3600)</f>
        <v>15270.599471631718</v>
      </c>
      <c r="R292" s="2">
        <f>([412]L!S292*'D(Ti_Audétat23) Times'!$F292*0.000001)^2/(4*'D(Ti_Audétat23) Times'!$C292)/(365.35*24*3600)</f>
        <v>10795.111335200505</v>
      </c>
      <c r="S292" s="2">
        <f>([412]L!T292*'D(Ti_Audétat23) Times'!$F292*0.000001)^2/(4*'D(Ti_Audétat23) Times'!$C292)/(365.35*24*3600)</f>
        <v>6735.7004984653349</v>
      </c>
      <c r="T292" s="2"/>
      <c r="U292" s="2">
        <f>([412]L!V292*'D(Ti_Audétat23) Times'!$F292*0.000001)^2/(4*'D(Ti_Audétat23) Times'!$C292)/(365.35*24*3600)</f>
        <v>13859.243813766934</v>
      </c>
      <c r="V292" s="2">
        <f>([412]L!W292*'D(Ti_Audétat23) Times'!$F292*0.000001)^2/(4*'D(Ti_Audétat23) Times'!$C292)/(365.35*24*3600)</f>
        <v>13953.55143069417</v>
      </c>
      <c r="W292" s="2">
        <f>([412]L!X292*'D(Ti_Audétat23) Times'!$F292*0.000001)^2/(4*'D(Ti_Audétat23) Times'!$C292)/(365.35*24*3600)</f>
        <v>15270.599471631718</v>
      </c>
      <c r="X292" s="2"/>
      <c r="Y292" s="2">
        <f>([412]L!Z292*'D(Ti_Audétat23) Times'!$F292*0.000001)^2/(4*'D(Ti_Audétat23) Times'!$C292)/(365.35*24*3600)</f>
        <v>14274.042808325745</v>
      </c>
      <c r="Z292" s="2">
        <f>([412]L!AB292*'D(Ti_Audétat23) Times'!$F292*0.000001)^2/(4*'D(Ti_Audétat23) Times'!$C292)/(365.35*24*3600)</f>
        <v>14202.805897128155</v>
      </c>
      <c r="AA292" s="2">
        <f>([412]L!AC292*'D(Ti_Audétat23) Times'!$F292*0.000001)^2/(4*'D(Ti_Audétat23) Times'!$C292)/(365.35*24*3600)</f>
        <v>7029.232441276622</v>
      </c>
      <c r="AB292" s="2">
        <f>([412]L!AD292*'D(Ti_Audétat23) Times'!$F292*0.000001)^2/(4*'D(Ti_Audétat23) Times'!$C292)/(365.35*24*3600)</f>
        <v>24803.909862569584</v>
      </c>
      <c r="AC292" s="2">
        <f t="shared" si="17"/>
        <v>7173.5734558515333</v>
      </c>
      <c r="AD292" s="2">
        <f t="shared" si="18"/>
        <v>10601.103965441429</v>
      </c>
    </row>
    <row r="293" spans="1:30" x14ac:dyDescent="0.2">
      <c r="A293" t="str">
        <f>[412]L!A293</f>
        <v>CGI015-qtz01-CL-fit-5-offset</v>
      </c>
      <c r="B293">
        <v>750</v>
      </c>
      <c r="C293">
        <f t="shared" si="19"/>
        <v>1.1456341375347871E-23</v>
      </c>
      <c r="D293">
        <v>1800</v>
      </c>
      <c r="E293">
        <v>1024</v>
      </c>
      <c r="F293">
        <f t="shared" si="16"/>
        <v>1.7578125</v>
      </c>
      <c r="I293" s="2">
        <f>([412]L!J293*'D(Ti_Audétat23) Times'!$F293*0.000001)^2/(4*'D(Ti_Audétat23) Times'!$C293)/(365.35*24*3600)</f>
        <v>6633.4368475969313</v>
      </c>
      <c r="J293" s="2">
        <f>([412]L!K293*'D(Ti_Audétat23) Times'!$F293*0.000001)^2/(4*'D(Ti_Audétat23) Times'!$C293)/(365.35*24*3600)</f>
        <v>5456.0971529465378</v>
      </c>
      <c r="K293" s="2">
        <f>([412]L!L293*'D(Ti_Audétat23) Times'!$F293*0.000001)^2/(4*'D(Ti_Audétat23) Times'!$C293)/(365.35*24*3600)</f>
        <v>14882.629520172915</v>
      </c>
      <c r="L293" s="2">
        <f>([412]L!M293*'D(Ti_Audétat23) Times'!$F293*0.000001)^2/(4*'D(Ti_Audétat23) Times'!$C293)/(365.35*24*3600)</f>
        <v>15821.125783972038</v>
      </c>
      <c r="M293" s="2">
        <f>([412]L!N293*'D(Ti_Audétat23) Times'!$F293*0.000001)^2/(4*'D(Ti_Audétat23) Times'!$C293)/(365.35*24*3600)</f>
        <v>15982.149611720666</v>
      </c>
      <c r="N293" s="2">
        <f>([412]L!O293*'D(Ti_Audétat23) Times'!$F293*0.000001)^2/(4*'D(Ti_Audétat23) Times'!$C293)/(365.35*24*3600)</f>
        <v>6380.1652278398305</v>
      </c>
      <c r="O293" s="2">
        <f>([412]L!P293*'D(Ti_Audétat23) Times'!$F293*0.000001)^2/(4*'D(Ti_Audétat23) Times'!$C293)/(365.35*24*3600)</f>
        <v>9182.3111747011153</v>
      </c>
      <c r="P293" s="2">
        <f>([412]L!Q293*'D(Ti_Audétat23) Times'!$F293*0.000001)^2/(4*'D(Ti_Audétat23) Times'!$C293)/(365.35*24*3600)</f>
        <v>9943.0085040520353</v>
      </c>
      <c r="Q293" s="2">
        <f>([412]L!R293*'D(Ti_Audétat23) Times'!$F293*0.000001)^2/(4*'D(Ti_Audétat23) Times'!$C293)/(365.35*24*3600)</f>
        <v>33937.350150578997</v>
      </c>
      <c r="R293" s="2">
        <f>([412]L!S293*'D(Ti_Audétat23) Times'!$F293*0.000001)^2/(4*'D(Ti_Audétat23) Times'!$C293)/(365.35*24*3600)</f>
        <v>7247.6953549762784</v>
      </c>
      <c r="S293" s="2">
        <f>([412]L!T293*'D(Ti_Audétat23) Times'!$F293*0.000001)^2/(4*'D(Ti_Audétat23) Times'!$C293)/(365.35*24*3600)</f>
        <v>19695.69301341656</v>
      </c>
      <c r="T293" s="2"/>
      <c r="U293" s="2">
        <f>([412]L!V293*'D(Ti_Audétat23) Times'!$F293*0.000001)^2/(4*'D(Ti_Audétat23) Times'!$C293)/(365.35*24*3600)</f>
        <v>10843.274007225218</v>
      </c>
      <c r="V293" s="2">
        <f>([412]L!W293*'D(Ti_Audétat23) Times'!$F293*0.000001)^2/(4*'D(Ti_Audétat23) Times'!$C293)/(365.35*24*3600)</f>
        <v>12192.554263364766</v>
      </c>
      <c r="W293" s="2">
        <f>([412]L!X293*'D(Ti_Audétat23) Times'!$F293*0.000001)^2/(4*'D(Ti_Audétat23) Times'!$C293)/(365.35*24*3600)</f>
        <v>9943.0085040520353</v>
      </c>
      <c r="X293" s="2"/>
      <c r="Y293" s="2">
        <f>([412]L!Z293*'D(Ti_Audétat23) Times'!$F293*0.000001)^2/(4*'D(Ti_Audétat23) Times'!$C293)/(365.35*24*3600)</f>
        <v>9806.0072719686286</v>
      </c>
      <c r="Z293" s="2">
        <f>([412]L!AB293*'D(Ti_Audétat23) Times'!$F293*0.000001)^2/(4*'D(Ti_Audétat23) Times'!$C293)/(365.35*24*3600)</f>
        <v>10730.370870087207</v>
      </c>
      <c r="AA293" s="2">
        <f>([412]L!AC293*'D(Ti_Audétat23) Times'!$F293*0.000001)^2/(4*'D(Ti_Audétat23) Times'!$C293)/(365.35*24*3600)</f>
        <v>3717.4623685212791</v>
      </c>
      <c r="AB293" s="2">
        <f>([412]L!AD293*'D(Ti_Audétat23) Times'!$F293*0.000001)^2/(4*'D(Ti_Audétat23) Times'!$C293)/(365.35*24*3600)</f>
        <v>23186.920986040233</v>
      </c>
      <c r="AC293" s="2">
        <f t="shared" si="17"/>
        <v>7012.9085015659275</v>
      </c>
      <c r="AD293" s="2">
        <f t="shared" si="18"/>
        <v>12456.550115953027</v>
      </c>
    </row>
    <row r="294" spans="1:30" x14ac:dyDescent="0.2">
      <c r="A294" t="str">
        <f>[412]L!A294</f>
        <v>CGI015-qtz01-CL-fit-6-offset</v>
      </c>
      <c r="B294">
        <v>750</v>
      </c>
      <c r="C294">
        <f t="shared" si="19"/>
        <v>1.1456341375347871E-23</v>
      </c>
      <c r="D294">
        <v>1800</v>
      </c>
      <c r="E294">
        <v>1024</v>
      </c>
      <c r="F294">
        <f t="shared" si="16"/>
        <v>1.7578125</v>
      </c>
      <c r="I294" s="2">
        <f>([412]L!J294*'D(Ti_Audétat23) Times'!$F294*0.000001)^2/(4*'D(Ti_Audétat23) Times'!$C294)/(365.35*24*3600)</f>
        <v>1676.93647124109</v>
      </c>
      <c r="J294" s="2">
        <f>([412]L!K294*'D(Ti_Audétat23) Times'!$F294*0.000001)^2/(4*'D(Ti_Audétat23) Times'!$C294)/(365.35*24*3600)</f>
        <v>1350.6151632524836</v>
      </c>
      <c r="K294" s="2">
        <f>([412]L!L294*'D(Ti_Audétat23) Times'!$F294*0.000001)^2/(4*'D(Ti_Audétat23) Times'!$C294)/(365.35*24*3600)</f>
        <v>1180.1832562331199</v>
      </c>
      <c r="L294" s="2">
        <f>([412]L!M294*'D(Ti_Audétat23) Times'!$F294*0.000001)^2/(4*'D(Ti_Audétat23) Times'!$C294)/(365.35*24*3600)</f>
        <v>1646.0603039936186</v>
      </c>
      <c r="M294" s="2">
        <f>([412]L!N294*'D(Ti_Audétat23) Times'!$F294*0.000001)^2/(4*'D(Ti_Audétat23) Times'!$C294)/(365.35*24*3600)</f>
        <v>714.0641814814619</v>
      </c>
      <c r="N294" s="2">
        <f>([412]L!O294*'D(Ti_Audétat23) Times'!$F294*0.000001)^2/(4*'D(Ti_Audétat23) Times'!$C294)/(365.35*24*3600)</f>
        <v>161.43944835240248</v>
      </c>
      <c r="O294" s="2">
        <f>([412]L!P294*'D(Ti_Audétat23) Times'!$F294*0.000001)^2/(4*'D(Ti_Audétat23) Times'!$C294)/(365.35*24*3600)</f>
        <v>1915.9442300420758</v>
      </c>
      <c r="P294" s="2">
        <f>([412]L!Q294*'D(Ti_Audétat23) Times'!$F294*0.000001)^2/(4*'D(Ti_Audétat23) Times'!$C294)/(365.35*24*3600)</f>
        <v>172.54508349979673</v>
      </c>
      <c r="Q294" s="2">
        <f>([412]L!R294*'D(Ti_Audétat23) Times'!$F294*0.000001)^2/(4*'D(Ti_Audétat23) Times'!$C294)/(365.35*24*3600)</f>
        <v>2530.4260909850163</v>
      </c>
      <c r="R294" s="2">
        <f>([412]L!S294*'D(Ti_Audétat23) Times'!$F294*0.000001)^2/(4*'D(Ti_Audétat23) Times'!$C294)/(365.35*24*3600)</f>
        <v>180.8666688285316</v>
      </c>
      <c r="S294" s="2">
        <f>([412]L!T294*'D(Ti_Audétat23) Times'!$F294*0.000001)^2/(4*'D(Ti_Audétat23) Times'!$C294)/(365.35*24*3600)</f>
        <v>3689.1436235520478</v>
      </c>
      <c r="T294" s="2"/>
      <c r="U294" s="2">
        <f>([412]L!V294*'D(Ti_Audétat23) Times'!$F294*0.000001)^2/(4*'D(Ti_Audétat23) Times'!$C294)/(365.35*24*3600)</f>
        <v>1668.0280020742393</v>
      </c>
      <c r="V294" s="2">
        <f>([412]L!W294*'D(Ti_Audétat23) Times'!$F294*0.000001)^2/(4*'D(Ti_Audétat23) Times'!$C294)/(365.35*24*3600)</f>
        <v>1152.614405221733</v>
      </c>
      <c r="W294" s="2">
        <f>([412]L!X294*'D(Ti_Audétat23) Times'!$F294*0.000001)^2/(4*'D(Ti_Audétat23) Times'!$C294)/(365.35*24*3600)</f>
        <v>1350.6151632524836</v>
      </c>
      <c r="X294" s="2"/>
      <c r="Y294" s="2">
        <f>([412]L!Z294*'D(Ti_Audétat23) Times'!$F294*0.000001)^2/(4*'D(Ti_Audétat23) Times'!$C294)/(365.35*24*3600)</f>
        <v>1312.772055215677</v>
      </c>
      <c r="Z294" s="2">
        <f>([412]L!AB294*'D(Ti_Audétat23) Times'!$F294*0.000001)^2/(4*'D(Ti_Audétat23) Times'!$C294)/(365.35*24*3600)</f>
        <v>1466.2425974045252</v>
      </c>
      <c r="AA294" s="2">
        <f>([412]L!AC294*'D(Ti_Audétat23) Times'!$F294*0.000001)^2/(4*'D(Ti_Audétat23) Times'!$C294)/(365.35*24*3600)</f>
        <v>17.643065083745892</v>
      </c>
      <c r="AB294" s="2">
        <f>([412]L!AD294*'D(Ti_Audétat23) Times'!$F294*0.000001)^2/(4*'D(Ti_Audétat23) Times'!$C294)/(365.35*24*3600)</f>
        <v>7893.9795346910923</v>
      </c>
      <c r="AC294" s="2">
        <f t="shared" si="17"/>
        <v>1448.5995323207794</v>
      </c>
      <c r="AD294" s="2">
        <f t="shared" si="18"/>
        <v>6427.7369372865669</v>
      </c>
    </row>
    <row r="295" spans="1:30" x14ac:dyDescent="0.2">
      <c r="A295" t="str">
        <f>[412]L!A295</f>
        <v>CGI015-qtz02-CL-fit-1-offset</v>
      </c>
      <c r="B295">
        <v>750</v>
      </c>
      <c r="C295">
        <f t="shared" si="19"/>
        <v>1.1456341375347871E-23</v>
      </c>
      <c r="D295">
        <v>1550</v>
      </c>
      <c r="E295">
        <v>1024</v>
      </c>
      <c r="F295">
        <f t="shared" si="16"/>
        <v>1.513671875</v>
      </c>
      <c r="I295" s="2">
        <f>([412]L!J295*'D(Ti_Audétat23) Times'!$F295*0.000001)^2/(4*'D(Ti_Audétat23) Times'!$C295)/(365.35*24*3600)</f>
        <v>335012.66185930948</v>
      </c>
      <c r="J295" s="2">
        <f>([412]L!K295*'D(Ti_Audétat23) Times'!$F295*0.000001)^2/(4*'D(Ti_Audétat23) Times'!$C295)/(365.35*24*3600)</f>
        <v>340424.97775997419</v>
      </c>
      <c r="K295" s="2">
        <f>([412]L!L295*'D(Ti_Audétat23) Times'!$F295*0.000001)^2/(4*'D(Ti_Audétat23) Times'!$C295)/(365.35*24*3600)</f>
        <v>355837.22874674585</v>
      </c>
      <c r="L295" s="2">
        <f>([412]L!M295*'D(Ti_Audétat23) Times'!$F295*0.000001)^2/(4*'D(Ti_Audétat23) Times'!$C295)/(365.35*24*3600)</f>
        <v>321482.98892965302</v>
      </c>
      <c r="M295" s="2">
        <f>([412]L!N295*'D(Ti_Audétat23) Times'!$F295*0.000001)^2/(4*'D(Ti_Audétat23) Times'!$C295)/(365.35*24*3600)</f>
        <v>345293.18887171557</v>
      </c>
      <c r="N295" s="2">
        <f>([412]L!O295*'D(Ti_Audétat23) Times'!$F295*0.000001)^2/(4*'D(Ti_Audétat23) Times'!$C295)/(365.35*24*3600)</f>
        <v>300241.10355654475</v>
      </c>
      <c r="O295" s="2">
        <f>([412]L!P295*'D(Ti_Audétat23) Times'!$F295*0.000001)^2/(4*'D(Ti_Audétat23) Times'!$C295)/(365.35*24*3600)</f>
        <v>251562.77511445497</v>
      </c>
      <c r="P295" s="2">
        <f>([412]L!Q295*'D(Ti_Audétat23) Times'!$F295*0.000001)^2/(4*'D(Ti_Audétat23) Times'!$C295)/(365.35*24*3600)</f>
        <v>358790.39608127292</v>
      </c>
      <c r="Q295" s="2">
        <f>([412]L!R295*'D(Ti_Audétat23) Times'!$F295*0.000001)^2/(4*'D(Ti_Audétat23) Times'!$C295)/(365.35*24*3600)</f>
        <v>435361.10952516046</v>
      </c>
      <c r="R295" s="2">
        <f>([412]L!S295*'D(Ti_Audétat23) Times'!$F295*0.000001)^2/(4*'D(Ti_Audétat23) Times'!$C295)/(365.35*24*3600)</f>
        <v>444729.84910313826</v>
      </c>
      <c r="S295" s="2">
        <f>([412]L!T295*'D(Ti_Audétat23) Times'!$F295*0.000001)^2/(4*'D(Ti_Audétat23) Times'!$C295)/(365.35*24*3600)</f>
        <v>315753.8554261325</v>
      </c>
      <c r="T295" s="2"/>
      <c r="U295" s="2">
        <f>([412]L!V295*'D(Ti_Audétat23) Times'!$F295*0.000001)^2/(4*'D(Ti_Audétat23) Times'!$C295)/(365.35*24*3600)</f>
        <v>341683.13494879712</v>
      </c>
      <c r="V295" s="2">
        <f>([412]L!W295*'D(Ti_Audétat23) Times'!$F295*0.000001)^2/(4*'D(Ti_Audétat23) Times'!$C295)/(365.35*24*3600)</f>
        <v>343876.47695851757</v>
      </c>
      <c r="W295" s="2">
        <f>([412]L!X295*'D(Ti_Audétat23) Times'!$F295*0.000001)^2/(4*'D(Ti_Audétat23) Times'!$C295)/(365.35*24*3600)</f>
        <v>340424.97775997419</v>
      </c>
      <c r="X295" s="2"/>
      <c r="Y295" s="2">
        <f>([412]L!Z295*'D(Ti_Audétat23) Times'!$F295*0.000001)^2/(4*'D(Ti_Audétat23) Times'!$C295)/(365.35*24*3600)</f>
        <v>344703.77091683802</v>
      </c>
      <c r="Z295" s="2">
        <f>([412]L!AB295*'D(Ti_Audétat23) Times'!$F295*0.000001)^2/(4*'D(Ti_Audétat23) Times'!$C295)/(365.35*24*3600)</f>
        <v>343279.45143238129</v>
      </c>
      <c r="AA295" s="2">
        <f>([412]L!AC295*'D(Ti_Audétat23) Times'!$F295*0.000001)^2/(4*'D(Ti_Audétat23) Times'!$C295)/(365.35*24*3600)</f>
        <v>235563.16969700839</v>
      </c>
      <c r="AB295" s="2">
        <f>([412]L!AD295*'D(Ti_Audétat23) Times'!$F295*0.000001)^2/(4*'D(Ti_Audétat23) Times'!$C295)/(365.35*24*3600)</f>
        <v>477808.57530443842</v>
      </c>
      <c r="AC295" s="2">
        <f t="shared" si="17"/>
        <v>107716.2817353729</v>
      </c>
      <c r="AD295" s="2">
        <f t="shared" si="18"/>
        <v>134529.12387205713</v>
      </c>
    </row>
    <row r="296" spans="1:30" x14ac:dyDescent="0.2">
      <c r="A296" t="str">
        <f>[412]L!A296</f>
        <v>CGI015-qtz02-CL-fit-2-offset</v>
      </c>
      <c r="B296">
        <v>750</v>
      </c>
      <c r="C296">
        <f t="shared" si="19"/>
        <v>1.1456341375347871E-23</v>
      </c>
      <c r="D296">
        <v>1550</v>
      </c>
      <c r="E296">
        <v>1024</v>
      </c>
      <c r="F296">
        <f t="shared" si="16"/>
        <v>1.513671875</v>
      </c>
      <c r="I296" s="2">
        <f>([412]L!J296*'D(Ti_Audétat23) Times'!$F296*0.000001)^2/(4*'D(Ti_Audétat23) Times'!$C296)/(365.35*24*3600)</f>
        <v>9777.3915780040516</v>
      </c>
      <c r="J296" s="2">
        <f>([412]L!K296*'D(Ti_Audétat23) Times'!$F296*0.000001)^2/(4*'D(Ti_Audétat23) Times'!$C296)/(365.35*24*3600)</f>
        <v>13506.926253323252</v>
      </c>
      <c r="K296" s="2">
        <f>([412]L!L296*'D(Ti_Audétat23) Times'!$F296*0.000001)^2/(4*'D(Ti_Audétat23) Times'!$C296)/(365.35*24*3600)</f>
        <v>11923.589328780563</v>
      </c>
      <c r="L296" s="2">
        <f>([412]L!M296*'D(Ti_Audétat23) Times'!$F296*0.000001)^2/(4*'D(Ti_Audétat23) Times'!$C296)/(365.35*24*3600)</f>
        <v>5466.6904800107741</v>
      </c>
      <c r="M296" s="2">
        <f>([412]L!N296*'D(Ti_Audétat23) Times'!$F296*0.000001)^2/(4*'D(Ti_Audétat23) Times'!$C296)/(365.35*24*3600)</f>
        <v>13584.326584373761</v>
      </c>
      <c r="N296" s="2">
        <f>([412]L!O296*'D(Ti_Audétat23) Times'!$F296*0.000001)^2/(4*'D(Ti_Audétat23) Times'!$C296)/(365.35*24*3600)</f>
        <v>19090.179454797373</v>
      </c>
      <c r="O296" s="2">
        <f>([412]L!P296*'D(Ti_Audétat23) Times'!$F296*0.000001)^2/(4*'D(Ti_Audétat23) Times'!$C296)/(365.35*24*3600)</f>
        <v>15554.776860953054</v>
      </c>
      <c r="P296" s="2">
        <f>([412]L!Q296*'D(Ti_Audétat23) Times'!$F296*0.000001)^2/(4*'D(Ti_Audétat23) Times'!$C296)/(365.35*24*3600)</f>
        <v>23711.542038821961</v>
      </c>
      <c r="Q296" s="2">
        <f>([412]L!R296*'D(Ti_Audétat23) Times'!$F296*0.000001)^2/(4*'D(Ti_Audétat23) Times'!$C296)/(365.35*24*3600)</f>
        <v>21003.44641165245</v>
      </c>
      <c r="R296" s="2">
        <f>([412]L!S296*'D(Ti_Audétat23) Times'!$F296*0.000001)^2/(4*'D(Ti_Audétat23) Times'!$C296)/(365.35*24*3600)</f>
        <v>18988.544424278021</v>
      </c>
      <c r="S296" s="2">
        <f>([412]L!T296*'D(Ti_Audétat23) Times'!$F296*0.000001)^2/(4*'D(Ti_Audétat23) Times'!$C296)/(365.35*24*3600)</f>
        <v>11254.705536132633</v>
      </c>
      <c r="T296" s="2"/>
      <c r="U296" s="2">
        <f>([412]L!V296*'D(Ti_Audétat23) Times'!$F296*0.000001)^2/(4*'D(Ti_Audétat23) Times'!$C296)/(365.35*24*3600)</f>
        <v>15289.49624984183</v>
      </c>
      <c r="V296" s="2">
        <f>([412]L!W296*'D(Ti_Audétat23) Times'!$F296*0.000001)^2/(4*'D(Ti_Audétat23) Times'!$C296)/(365.35*24*3600)</f>
        <v>14410.221240114353</v>
      </c>
      <c r="W296" s="2">
        <f>([412]L!X296*'D(Ti_Audétat23) Times'!$F296*0.000001)^2/(4*'D(Ti_Audétat23) Times'!$C296)/(365.35*24*3600)</f>
        <v>13584.326584373761</v>
      </c>
      <c r="X296" s="2"/>
      <c r="Y296" s="2">
        <f>([412]L!Z296*'D(Ti_Audétat23) Times'!$F296*0.000001)^2/(4*'D(Ti_Audétat23) Times'!$C296)/(365.35*24*3600)</f>
        <v>14291.739755203236</v>
      </c>
      <c r="Z296" s="2">
        <f>([412]L!AB296*'D(Ti_Audétat23) Times'!$F296*0.000001)^2/(4*'D(Ti_Audétat23) Times'!$C296)/(365.35*24*3600)</f>
        <v>14184.778285123792</v>
      </c>
      <c r="AA296" s="2">
        <f>([412]L!AC296*'D(Ti_Audétat23) Times'!$F296*0.000001)^2/(4*'D(Ti_Audétat23) Times'!$C296)/(365.35*24*3600)</f>
        <v>5948.9314148833782</v>
      </c>
      <c r="AB296" s="2">
        <f>([412]L!AD296*'D(Ti_Audétat23) Times'!$F296*0.000001)^2/(4*'D(Ti_Audétat23) Times'!$C296)/(365.35*24*3600)</f>
        <v>23001.905480754278</v>
      </c>
      <c r="AC296" s="2">
        <f t="shared" si="17"/>
        <v>8235.8468702404134</v>
      </c>
      <c r="AD296" s="2">
        <f t="shared" si="18"/>
        <v>8817.1271956304863</v>
      </c>
    </row>
    <row r="297" spans="1:30" x14ac:dyDescent="0.2">
      <c r="A297" t="str">
        <f>[412]L!A297</f>
        <v>CGI015-qtz02-CL-fit-3-offset</v>
      </c>
      <c r="B297">
        <v>750</v>
      </c>
      <c r="C297">
        <f t="shared" si="19"/>
        <v>1.1456341375347871E-23</v>
      </c>
      <c r="D297">
        <v>1550</v>
      </c>
      <c r="E297">
        <v>1024</v>
      </c>
      <c r="F297">
        <f t="shared" si="16"/>
        <v>1.513671875</v>
      </c>
      <c r="I297" s="2">
        <f>([412]L!J297*'D(Ti_Audétat23) Times'!$F297*0.000001)^2/(4*'D(Ti_Audétat23) Times'!$C297)/(365.35*24*3600)</f>
        <v>11363.333229554586</v>
      </c>
      <c r="J297" s="2">
        <f>([412]L!K297*'D(Ti_Audétat23) Times'!$F297*0.000001)^2/(4*'D(Ti_Audétat23) Times'!$C297)/(365.35*24*3600)</f>
        <v>8540.450895165266</v>
      </c>
      <c r="K297" s="2">
        <f>([412]L!L297*'D(Ti_Audétat23) Times'!$F297*0.000001)^2/(4*'D(Ti_Audétat23) Times'!$C297)/(365.35*24*3600)</f>
        <v>6680.84059691731</v>
      </c>
      <c r="L297" s="2">
        <f>([412]L!M297*'D(Ti_Audétat23) Times'!$F297*0.000001)^2/(4*'D(Ti_Audétat23) Times'!$C297)/(365.35*24*3600)</f>
        <v>12387.468958156156</v>
      </c>
      <c r="M297" s="2">
        <f>([412]L!N297*'D(Ti_Audétat23) Times'!$F297*0.000001)^2/(4*'D(Ti_Audétat23) Times'!$C297)/(365.35*24*3600)</f>
        <v>11287.647322971528</v>
      </c>
      <c r="N297" s="2">
        <f>([412]L!O297*'D(Ti_Audétat23) Times'!$F297*0.000001)^2/(4*'D(Ti_Audétat23) Times'!$C297)/(365.35*24*3600)</f>
        <v>8840.2159650011254</v>
      </c>
      <c r="O297" s="2">
        <f>([412]L!P297*'D(Ti_Audétat23) Times'!$F297*0.000001)^2/(4*'D(Ti_Audétat23) Times'!$C297)/(365.35*24*3600)</f>
        <v>7701.2390333507856</v>
      </c>
      <c r="P297" s="2">
        <f>([412]L!Q297*'D(Ti_Audétat23) Times'!$F297*0.000001)^2/(4*'D(Ti_Audétat23) Times'!$C297)/(365.35*24*3600)</f>
        <v>6647.9596292867836</v>
      </c>
      <c r="Q297" s="2">
        <f>([412]L!R297*'D(Ti_Audétat23) Times'!$F297*0.000001)^2/(4*'D(Ti_Audétat23) Times'!$C297)/(365.35*24*3600)</f>
        <v>7510.9301433373284</v>
      </c>
      <c r="R297" s="2">
        <f>([412]L!S297*'D(Ti_Audétat23) Times'!$F297*0.000001)^2/(4*'D(Ti_Audétat23) Times'!$C297)/(365.35*24*3600)</f>
        <v>15841.485569696453</v>
      </c>
      <c r="S297" s="2">
        <f>([412]L!T297*'D(Ti_Audétat23) Times'!$F297*0.000001)^2/(4*'D(Ti_Audétat23) Times'!$C297)/(365.35*24*3600)</f>
        <v>4959.3358215689104</v>
      </c>
      <c r="T297" s="2"/>
      <c r="U297" s="2">
        <f>([412]L!V297*'D(Ti_Audétat23) Times'!$F297*0.000001)^2/(4*'D(Ti_Audétat23) Times'!$C297)/(365.35*24*3600)</f>
        <v>8946.2465562629259</v>
      </c>
      <c r="V297" s="2">
        <f>([412]L!W297*'D(Ti_Audétat23) Times'!$F297*0.000001)^2/(4*'D(Ti_Audétat23) Times'!$C297)/(365.35*24*3600)</f>
        <v>9017.3590906199734</v>
      </c>
      <c r="W297" s="2">
        <f>([412]L!X297*'D(Ti_Audétat23) Times'!$F297*0.000001)^2/(4*'D(Ti_Audétat23) Times'!$C297)/(365.35*24*3600)</f>
        <v>8540.450895165266</v>
      </c>
      <c r="X297" s="2"/>
      <c r="Y297" s="2">
        <f>([412]L!Z297*'D(Ti_Audétat23) Times'!$F297*0.000001)^2/(4*'D(Ti_Audétat23) Times'!$C297)/(365.35*24*3600)</f>
        <v>9134.4208430450944</v>
      </c>
      <c r="Z297" s="2">
        <f>([412]L!AB297*'D(Ti_Audétat23) Times'!$F297*0.000001)^2/(4*'D(Ti_Audétat23) Times'!$C297)/(365.35*24*3600)</f>
        <v>9125.271906059068</v>
      </c>
      <c r="AA297" s="2">
        <f>([412]L!AC297*'D(Ti_Audétat23) Times'!$F297*0.000001)^2/(4*'D(Ti_Audétat23) Times'!$C297)/(365.35*24*3600)</f>
        <v>3042.1100218663869</v>
      </c>
      <c r="AB297" s="2">
        <f>([412]L!AD297*'D(Ti_Audétat23) Times'!$F297*0.000001)^2/(4*'D(Ti_Audétat23) Times'!$C297)/(365.35*24*3600)</f>
        <v>17879.538325340851</v>
      </c>
      <c r="AC297" s="2">
        <f t="shared" si="17"/>
        <v>6083.1618841926811</v>
      </c>
      <c r="AD297" s="2">
        <f t="shared" si="18"/>
        <v>8754.2664192817829</v>
      </c>
    </row>
    <row r="298" spans="1:30" x14ac:dyDescent="0.2">
      <c r="A298" t="str">
        <f>[412]L!A298</f>
        <v>CGI015-qtz02-CL-fit-4-offset</v>
      </c>
      <c r="B298">
        <v>750</v>
      </c>
      <c r="C298">
        <f t="shared" si="19"/>
        <v>1.1456341375347871E-23</v>
      </c>
      <c r="D298">
        <v>1550</v>
      </c>
      <c r="E298">
        <v>1024</v>
      </c>
      <c r="F298">
        <f t="shared" si="16"/>
        <v>1.513671875</v>
      </c>
      <c r="I298" s="2">
        <f>([412]L!J298*'D(Ti_Audétat23) Times'!$F298*0.000001)^2/(4*'D(Ti_Audétat23) Times'!$C298)/(365.35*24*3600)</f>
        <v>1250.8911261667856</v>
      </c>
      <c r="J298" s="2">
        <f>([412]L!K298*'D(Ti_Audétat23) Times'!$F298*0.000001)^2/(4*'D(Ti_Audétat23) Times'!$C298)/(365.35*24*3600)</f>
        <v>930.37864140595013</v>
      </c>
      <c r="K298" s="2">
        <f>([412]L!L298*'D(Ti_Audétat23) Times'!$F298*0.000001)^2/(4*'D(Ti_Audétat23) Times'!$C298)/(365.35*24*3600)</f>
        <v>677.70845218178852</v>
      </c>
      <c r="L298" s="2">
        <f>([412]L!M298*'D(Ti_Audétat23) Times'!$F298*0.000001)^2/(4*'D(Ti_Audétat23) Times'!$C298)/(365.35*24*3600)</f>
        <v>895.48145890948933</v>
      </c>
      <c r="M298" s="2">
        <f>([412]L!N298*'D(Ti_Audétat23) Times'!$F298*0.000001)^2/(4*'D(Ti_Audétat23) Times'!$C298)/(365.35*24*3600)</f>
        <v>1110.8448797848891</v>
      </c>
      <c r="N298" s="2">
        <f>([412]L!O298*'D(Ti_Audétat23) Times'!$F298*0.000001)^2/(4*'D(Ti_Audétat23) Times'!$C298)/(365.35*24*3600)</f>
        <v>1305.7965898417435</v>
      </c>
      <c r="O298" s="2">
        <f>([412]L!P298*'D(Ti_Audétat23) Times'!$F298*0.000001)^2/(4*'D(Ti_Audétat23) Times'!$C298)/(365.35*24*3600)</f>
        <v>1148.4333608605202</v>
      </c>
      <c r="P298" s="2">
        <f>([412]L!Q298*'D(Ti_Audétat23) Times'!$F298*0.000001)^2/(4*'D(Ti_Audétat23) Times'!$C298)/(365.35*24*3600)</f>
        <v>1802.6038086132028</v>
      </c>
      <c r="Q298" s="2">
        <f>([412]L!R298*'D(Ti_Audétat23) Times'!$F298*0.000001)^2/(4*'D(Ti_Audétat23) Times'!$C298)/(365.35*24*3600)</f>
        <v>1439.536363735557</v>
      </c>
      <c r="R298" s="2">
        <f>([412]L!S298*'D(Ti_Audétat23) Times'!$F298*0.000001)^2/(4*'D(Ti_Audétat23) Times'!$C298)/(365.35*24*3600)</f>
        <v>1655.9636213865347</v>
      </c>
      <c r="S298" s="2">
        <f>([412]L!T298*'D(Ti_Audétat23) Times'!$F298*0.000001)^2/(4*'D(Ti_Audétat23) Times'!$C298)/(365.35*24*3600)</f>
        <v>1063.5559921085121</v>
      </c>
      <c r="T298" s="2"/>
      <c r="U298" s="2">
        <f>([412]L!V298*'D(Ti_Audétat23) Times'!$F298*0.000001)^2/(4*'D(Ti_Audétat23) Times'!$C298)/(365.35*24*3600)</f>
        <v>1299.1317744512048</v>
      </c>
      <c r="V298" s="2">
        <f>([412]L!W298*'D(Ti_Audétat23) Times'!$F298*0.000001)^2/(4*'D(Ti_Audétat23) Times'!$C298)/(365.35*24*3600)</f>
        <v>1186.3967283947284</v>
      </c>
      <c r="W298" s="2">
        <f>([412]L!X298*'D(Ti_Audétat23) Times'!$F298*0.000001)^2/(4*'D(Ti_Audétat23) Times'!$C298)/(365.35*24*3600)</f>
        <v>1148.4333608605202</v>
      </c>
      <c r="X298" s="2"/>
      <c r="Y298" s="2">
        <f>([412]L!Z298*'D(Ti_Audétat23) Times'!$F298*0.000001)^2/(4*'D(Ti_Audétat23) Times'!$C298)/(365.35*24*3600)</f>
        <v>1224.5424279764791</v>
      </c>
      <c r="Z298" s="2">
        <f>([412]L!AB298*'D(Ti_Audétat23) Times'!$F298*0.000001)^2/(4*'D(Ti_Audétat23) Times'!$C298)/(365.35*24*3600)</f>
        <v>1054.4747405855383</v>
      </c>
      <c r="AA298" s="2">
        <f>([412]L!AC298*'D(Ti_Audétat23) Times'!$F298*0.000001)^2/(4*'D(Ti_Audétat23) Times'!$C298)/(365.35*24*3600)</f>
        <v>7.8162203516530173</v>
      </c>
      <c r="AB298" s="2">
        <f>([412]L!AD298*'D(Ti_Audétat23) Times'!$F298*0.000001)^2/(4*'D(Ti_Audétat23) Times'!$C298)/(365.35*24*3600)</f>
        <v>3312.1452646783068</v>
      </c>
      <c r="AC298" s="2">
        <f t="shared" si="17"/>
        <v>1046.6585202338852</v>
      </c>
      <c r="AD298" s="2">
        <f t="shared" si="18"/>
        <v>2257.6705240927686</v>
      </c>
    </row>
    <row r="299" spans="1:30" x14ac:dyDescent="0.2">
      <c r="A299" t="str">
        <f>[412]L!A299</f>
        <v>CGI015-qtz03-CL-fit-1-offset</v>
      </c>
      <c r="B299">
        <v>750</v>
      </c>
      <c r="C299">
        <f t="shared" si="19"/>
        <v>1.1456341375347871E-23</v>
      </c>
      <c r="D299">
        <v>1750</v>
      </c>
      <c r="E299">
        <v>1024</v>
      </c>
      <c r="F299">
        <f t="shared" si="16"/>
        <v>1.708984375</v>
      </c>
      <c r="I299" s="2">
        <f>([412]L!J299*'D(Ti_Audétat23) Times'!$F299*0.000001)^2/(4*'D(Ti_Audétat23) Times'!$C299)/(365.35*24*3600)</f>
        <v>98071.684898140215</v>
      </c>
      <c r="J299" s="2">
        <f>([412]L!K299*'D(Ti_Audétat23) Times'!$F299*0.000001)^2/(4*'D(Ti_Audétat23) Times'!$C299)/(365.35*24*3600)</f>
        <v>108956.40501222244</v>
      </c>
      <c r="K299" s="2">
        <f>([412]L!L299*'D(Ti_Audétat23) Times'!$F299*0.000001)^2/(4*'D(Ti_Audétat23) Times'!$C299)/(365.35*24*3600)</f>
        <v>105182.53606335746</v>
      </c>
      <c r="L299" s="2">
        <f>([412]L!M299*'D(Ti_Audétat23) Times'!$F299*0.000001)^2/(4*'D(Ti_Audétat23) Times'!$C299)/(365.35*24*3600)</f>
        <v>91350.447084287749</v>
      </c>
      <c r="M299" s="2">
        <f>([412]L!N299*'D(Ti_Audétat23) Times'!$F299*0.000001)^2/(4*'D(Ti_Audétat23) Times'!$C299)/(365.35*24*3600)</f>
        <v>90181.838233393748</v>
      </c>
      <c r="N299" s="2">
        <f>([412]L!O299*'D(Ti_Audétat23) Times'!$F299*0.000001)^2/(4*'D(Ti_Audétat23) Times'!$C299)/(365.35*24*3600)</f>
        <v>125337.65314241698</v>
      </c>
      <c r="O299" s="2">
        <f>([412]L!P299*'D(Ti_Audétat23) Times'!$F299*0.000001)^2/(4*'D(Ti_Audétat23) Times'!$C299)/(365.35*24*3600)</f>
        <v>52503.120421291766</v>
      </c>
      <c r="P299" s="2">
        <f>([412]L!Q299*'D(Ti_Audétat23) Times'!$F299*0.000001)^2/(4*'D(Ti_Audétat23) Times'!$C299)/(365.35*24*3600)</f>
        <v>59858.331166446609</v>
      </c>
      <c r="Q299" s="2">
        <f>([412]L!R299*'D(Ti_Audétat23) Times'!$F299*0.000001)^2/(4*'D(Ti_Audétat23) Times'!$C299)/(365.35*24*3600)</f>
        <v>50212.944124550188</v>
      </c>
      <c r="R299" s="2">
        <f>([412]L!S299*'D(Ti_Audétat23) Times'!$F299*0.000001)^2/(4*'D(Ti_Audétat23) Times'!$C299)/(365.35*24*3600)</f>
        <v>52386.825261081744</v>
      </c>
      <c r="S299" s="2">
        <f>([412]L!T299*'D(Ti_Audétat23) Times'!$F299*0.000001)^2/(4*'D(Ti_Audétat23) Times'!$C299)/(365.35*24*3600)</f>
        <v>81582.30580462543</v>
      </c>
      <c r="T299" s="2"/>
      <c r="U299" s="2">
        <f>([412]L!V299*'D(Ti_Audétat23) Times'!$F299*0.000001)^2/(4*'D(Ti_Audétat23) Times'!$C299)/(365.35*24*3600)</f>
        <v>83593.044731333663</v>
      </c>
      <c r="V299" s="2">
        <f>([412]L!W299*'D(Ti_Audétat23) Times'!$F299*0.000001)^2/(4*'D(Ti_Audétat23) Times'!$C299)/(365.35*24*3600)</f>
        <v>81304.269334346318</v>
      </c>
      <c r="W299" s="2">
        <f>([412]L!X299*'D(Ti_Audétat23) Times'!$F299*0.000001)^2/(4*'D(Ti_Audétat23) Times'!$C299)/(365.35*24*3600)</f>
        <v>90181.838233393748</v>
      </c>
      <c r="X299" s="2"/>
      <c r="Y299" s="2">
        <f>([412]L!Z299*'D(Ti_Audétat23) Times'!$F299*0.000001)^2/(4*'D(Ti_Audétat23) Times'!$C299)/(365.35*24*3600)</f>
        <v>79320.171540339521</v>
      </c>
      <c r="Z299" s="2">
        <f>([412]L!AB299*'D(Ti_Audétat23) Times'!$F299*0.000001)^2/(4*'D(Ti_Audétat23) Times'!$C299)/(365.35*24*3600)</f>
        <v>81587.76959254629</v>
      </c>
      <c r="AA299" s="2">
        <f>([412]L!AC299*'D(Ti_Audétat23) Times'!$F299*0.000001)^2/(4*'D(Ti_Audétat23) Times'!$C299)/(365.35*24*3600)</f>
        <v>32498.267916325949</v>
      </c>
      <c r="AB299" s="2">
        <f>([412]L!AD299*'D(Ti_Audétat23) Times'!$F299*0.000001)^2/(4*'D(Ti_Audétat23) Times'!$C299)/(365.35*24*3600)</f>
        <v>166000.67860311831</v>
      </c>
      <c r="AC299" s="2">
        <f t="shared" si="17"/>
        <v>49089.501676220345</v>
      </c>
      <c r="AD299" s="2">
        <f t="shared" si="18"/>
        <v>84412.909010572024</v>
      </c>
    </row>
    <row r="300" spans="1:30" x14ac:dyDescent="0.2">
      <c r="A300" t="str">
        <f>[412]L!A300</f>
        <v>CGI015-qtz03-CL-fit-2-offset</v>
      </c>
      <c r="B300">
        <v>750</v>
      </c>
      <c r="C300">
        <f t="shared" si="19"/>
        <v>1.1456341375347871E-23</v>
      </c>
      <c r="D300">
        <v>1750</v>
      </c>
      <c r="E300">
        <v>1024</v>
      </c>
      <c r="F300">
        <f t="shared" si="16"/>
        <v>1.708984375</v>
      </c>
      <c r="I300" s="2">
        <f>([412]L!J300*'D(Ti_Audétat23) Times'!$F300*0.000001)^2/(4*'D(Ti_Audétat23) Times'!$C300)/(365.35*24*3600)</f>
        <v>48950.590555730952</v>
      </c>
      <c r="J300" s="2">
        <f>([412]L!K300*'D(Ti_Audétat23) Times'!$F300*0.000001)^2/(4*'D(Ti_Audétat23) Times'!$C300)/(365.35*24*3600)</f>
        <v>94117.196455107769</v>
      </c>
      <c r="K300" s="2">
        <f>([412]L!L300*'D(Ti_Audétat23) Times'!$F300*0.000001)^2/(4*'D(Ti_Audétat23) Times'!$C300)/(365.35*24*3600)</f>
        <v>105832.14165841187</v>
      </c>
      <c r="L300" s="2">
        <f>([412]L!M300*'D(Ti_Audétat23) Times'!$F300*0.000001)^2/(4*'D(Ti_Audétat23) Times'!$C300)/(365.35*24*3600)</f>
        <v>71835.799841772212</v>
      </c>
      <c r="M300" s="2">
        <f>([412]L!N300*'D(Ti_Audétat23) Times'!$F300*0.000001)^2/(4*'D(Ti_Audétat23) Times'!$C300)/(365.35*24*3600)</f>
        <v>79427.621658237666</v>
      </c>
      <c r="N300" s="2">
        <f>([412]L!O300*'D(Ti_Audétat23) Times'!$F300*0.000001)^2/(4*'D(Ti_Audétat23) Times'!$C300)/(365.35*24*3600)</f>
        <v>109060.57605513716</v>
      </c>
      <c r="O300" s="2">
        <f>([412]L!P300*'D(Ti_Audétat23) Times'!$F300*0.000001)^2/(4*'D(Ti_Audétat23) Times'!$C300)/(365.35*24*3600)</f>
        <v>96136.069038188842</v>
      </c>
      <c r="P300" s="2">
        <f>([412]L!Q300*'D(Ti_Audétat23) Times'!$F300*0.000001)^2/(4*'D(Ti_Audétat23) Times'!$C300)/(365.35*24*3600)</f>
        <v>100127.87668410559</v>
      </c>
      <c r="Q300" s="2">
        <f>([412]L!R300*'D(Ti_Audétat23) Times'!$F300*0.000001)^2/(4*'D(Ti_Audétat23) Times'!$C300)/(365.35*24*3600)</f>
        <v>118213.64042657304</v>
      </c>
      <c r="R300" s="2">
        <f>([412]L!S300*'D(Ti_Audétat23) Times'!$F300*0.000001)^2/(4*'D(Ti_Audétat23) Times'!$C300)/(365.35*24*3600)</f>
        <v>116393.28547459056</v>
      </c>
      <c r="S300" s="2">
        <f>([412]L!T300*'D(Ti_Audétat23) Times'!$F300*0.000001)^2/(4*'D(Ti_Audétat23) Times'!$C300)/(365.35*24*3600)</f>
        <v>85209.240637432187</v>
      </c>
      <c r="T300" s="2"/>
      <c r="U300" s="2">
        <f>([412]L!V300*'D(Ti_Audétat23) Times'!$F300*0.000001)^2/(4*'D(Ti_Audétat23) Times'!$C300)/(365.35*24*3600)</f>
        <v>93689.982395591534</v>
      </c>
      <c r="V300" s="2">
        <f>([412]L!W300*'D(Ti_Audétat23) Times'!$F300*0.000001)^2/(4*'D(Ti_Audétat23) Times'!$C300)/(365.35*24*3600)</f>
        <v>92019.946385316885</v>
      </c>
      <c r="W300" s="2">
        <f>([412]L!X300*'D(Ti_Audétat23) Times'!$F300*0.000001)^2/(4*'D(Ti_Audétat23) Times'!$C300)/(365.35*24*3600)</f>
        <v>96136.069038188842</v>
      </c>
      <c r="X300" s="2"/>
      <c r="Y300" s="2">
        <f>([412]L!Z300*'D(Ti_Audétat23) Times'!$F300*0.000001)^2/(4*'D(Ti_Audétat23) Times'!$C300)/(365.35*24*3600)</f>
        <v>89968.190673275021</v>
      </c>
      <c r="Z300" s="2">
        <f>([412]L!AB300*'D(Ti_Audétat23) Times'!$F300*0.000001)^2/(4*'D(Ti_Audétat23) Times'!$C300)/(365.35*24*3600)</f>
        <v>90673.803360410093</v>
      </c>
      <c r="AA300" s="2">
        <f>([412]L!AC300*'D(Ti_Audétat23) Times'!$F300*0.000001)^2/(4*'D(Ti_Audétat23) Times'!$C300)/(365.35*24*3600)</f>
        <v>49177.807947036243</v>
      </c>
      <c r="AB300" s="2">
        <f>([412]L!AD300*'D(Ti_Audétat23) Times'!$F300*0.000001)^2/(4*'D(Ti_Audétat23) Times'!$C300)/(365.35*24*3600)</f>
        <v>152278.43245827025</v>
      </c>
      <c r="AC300" s="2">
        <f t="shared" si="17"/>
        <v>41495.99541337385</v>
      </c>
      <c r="AD300" s="2">
        <f t="shared" si="18"/>
        <v>61604.629097860161</v>
      </c>
    </row>
    <row r="301" spans="1:30" x14ac:dyDescent="0.2">
      <c r="A301" t="str">
        <f>[412]L!A301</f>
        <v>CGI015-qtz03-CL-fit-3-offset</v>
      </c>
      <c r="B301">
        <v>750</v>
      </c>
      <c r="C301">
        <f t="shared" si="19"/>
        <v>1.1456341375347871E-23</v>
      </c>
      <c r="D301">
        <v>1750</v>
      </c>
      <c r="E301">
        <v>1024</v>
      </c>
      <c r="F301">
        <f t="shared" si="16"/>
        <v>1.708984375</v>
      </c>
      <c r="I301" s="2">
        <f>([412]L!J301*'D(Ti_Audétat23) Times'!$F301*0.000001)^2/(4*'D(Ti_Audétat23) Times'!$C301)/(365.35*24*3600)</f>
        <v>26475.094726330262</v>
      </c>
      <c r="J301" s="2">
        <f>([412]L!K301*'D(Ti_Audétat23) Times'!$F301*0.000001)^2/(4*'D(Ti_Audétat23) Times'!$C301)/(365.35*24*3600)</f>
        <v>28592.728967171606</v>
      </c>
      <c r="K301" s="2">
        <f>([412]L!L301*'D(Ti_Audétat23) Times'!$F301*0.000001)^2/(4*'D(Ti_Audétat23) Times'!$C301)/(365.35*24*3600)</f>
        <v>34923.127345204623</v>
      </c>
      <c r="L301" s="2">
        <f>([412]L!M301*'D(Ti_Audétat23) Times'!$F301*0.000001)^2/(4*'D(Ti_Audétat23) Times'!$C301)/(365.35*24*3600)</f>
        <v>18950.322066395496</v>
      </c>
      <c r="M301" s="2">
        <f>([412]L!N301*'D(Ti_Audétat23) Times'!$F301*0.000001)^2/(4*'D(Ti_Audétat23) Times'!$C301)/(365.35*24*3600)</f>
        <v>14199.961000649064</v>
      </c>
      <c r="N301" s="2">
        <f>([412]L!O301*'D(Ti_Audétat23) Times'!$F301*0.000001)^2/(4*'D(Ti_Audétat23) Times'!$C301)/(365.35*24*3600)</f>
        <v>19803.218761062606</v>
      </c>
      <c r="O301" s="2">
        <f>([412]L!P301*'D(Ti_Audétat23) Times'!$F301*0.000001)^2/(4*'D(Ti_Audétat23) Times'!$C301)/(365.35*24*3600)</f>
        <v>19374.831258468254</v>
      </c>
      <c r="P301" s="2">
        <f>([412]L!Q301*'D(Ti_Audétat23) Times'!$F301*0.000001)^2/(4*'D(Ti_Audétat23) Times'!$C301)/(365.35*24*3600)</f>
        <v>27348.68868760025</v>
      </c>
      <c r="Q301" s="2">
        <f>([412]L!R301*'D(Ti_Audétat23) Times'!$F301*0.000001)^2/(4*'D(Ti_Audétat23) Times'!$C301)/(365.35*24*3600)</f>
        <v>31510.155625486565</v>
      </c>
      <c r="R301" s="2">
        <f>([412]L!S301*'D(Ti_Audétat23) Times'!$F301*0.000001)^2/(4*'D(Ti_Audétat23) Times'!$C301)/(365.35*24*3600)</f>
        <v>20776.285653502073</v>
      </c>
      <c r="S301" s="2">
        <f>([412]L!T301*'D(Ti_Audétat23) Times'!$F301*0.000001)^2/(4*'D(Ti_Audétat23) Times'!$C301)/(365.35*24*3600)</f>
        <v>19210.762941832363</v>
      </c>
      <c r="T301" s="2"/>
      <c r="U301" s="2">
        <f>([412]L!V301*'D(Ti_Audétat23) Times'!$F301*0.000001)^2/(4*'D(Ti_Audétat23) Times'!$C301)/(365.35*24*3600)</f>
        <v>23042.758697752339</v>
      </c>
      <c r="V301" s="2">
        <f>([412]L!W301*'D(Ti_Audétat23) Times'!$F301*0.000001)^2/(4*'D(Ti_Audétat23) Times'!$C301)/(365.35*24*3600)</f>
        <v>23354.844744813978</v>
      </c>
      <c r="W301" s="2">
        <f>([412]L!X301*'D(Ti_Audétat23) Times'!$F301*0.000001)^2/(4*'D(Ti_Audétat23) Times'!$C301)/(365.35*24*3600)</f>
        <v>20776.285653502073</v>
      </c>
      <c r="X301" s="2"/>
      <c r="Y301" s="2">
        <f>([412]L!Z301*'D(Ti_Audétat23) Times'!$F301*0.000001)^2/(4*'D(Ti_Audétat23) Times'!$C301)/(365.35*24*3600)</f>
        <v>22444.154919116874</v>
      </c>
      <c r="Z301" s="2">
        <f>([412]L!AB301*'D(Ti_Audétat23) Times'!$F301*0.000001)^2/(4*'D(Ti_Audétat23) Times'!$C301)/(365.35*24*3600)</f>
        <v>22537.779768860244</v>
      </c>
      <c r="AA301" s="2">
        <f>([412]L!AC301*'D(Ti_Audétat23) Times'!$F301*0.000001)^2/(4*'D(Ti_Audétat23) Times'!$C301)/(365.35*24*3600)</f>
        <v>10961.147610401014</v>
      </c>
      <c r="AB301" s="2">
        <f>([412]L!AD301*'D(Ti_Audétat23) Times'!$F301*0.000001)^2/(4*'D(Ti_Audétat23) Times'!$C301)/(365.35*24*3600)</f>
        <v>35746.301187516859</v>
      </c>
      <c r="AC301" s="2">
        <f t="shared" si="17"/>
        <v>11576.63215845923</v>
      </c>
      <c r="AD301" s="2">
        <f t="shared" si="18"/>
        <v>13208.521418656615</v>
      </c>
    </row>
    <row r="302" spans="1:30" x14ac:dyDescent="0.2">
      <c r="A302" t="str">
        <f>[412]L!A302</f>
        <v>CGI015-qtz03-CL-fit-4-offset</v>
      </c>
      <c r="B302">
        <v>750</v>
      </c>
      <c r="C302">
        <f t="shared" si="19"/>
        <v>1.1456341375347871E-23</v>
      </c>
      <c r="D302">
        <v>1750</v>
      </c>
      <c r="E302">
        <v>1024</v>
      </c>
      <c r="F302">
        <f t="shared" si="16"/>
        <v>1.708984375</v>
      </c>
      <c r="I302" s="2">
        <f>([412]L!J302*'D(Ti_Audétat23) Times'!$F302*0.000001)^2/(4*'D(Ti_Audétat23) Times'!$C302)/(365.35*24*3600)</f>
        <v>42379.606033834978</v>
      </c>
      <c r="J302" s="2">
        <f>([412]L!K302*'D(Ti_Audétat23) Times'!$F302*0.000001)^2/(4*'D(Ti_Audétat23) Times'!$C302)/(365.35*24*3600)</f>
        <v>51202.51216913126</v>
      </c>
      <c r="K302" s="2">
        <f>([412]L!L302*'D(Ti_Audétat23) Times'!$F302*0.000001)^2/(4*'D(Ti_Audétat23) Times'!$C302)/(365.35*24*3600)</f>
        <v>45512.948240846374</v>
      </c>
      <c r="L302" s="2">
        <f>([412]L!M302*'D(Ti_Audétat23) Times'!$F302*0.000001)^2/(4*'D(Ti_Audétat23) Times'!$C302)/(365.35*24*3600)</f>
        <v>38215.197396837852</v>
      </c>
      <c r="M302" s="2">
        <f>([412]L!N302*'D(Ti_Audétat23) Times'!$F302*0.000001)^2/(4*'D(Ti_Audétat23) Times'!$C302)/(365.35*24*3600)</f>
        <v>24843.516449727169</v>
      </c>
      <c r="N302" s="2">
        <f>([412]L!O302*'D(Ti_Audétat23) Times'!$F302*0.000001)^2/(4*'D(Ti_Audétat23) Times'!$C302)/(365.35*24*3600)</f>
        <v>31184.73296137658</v>
      </c>
      <c r="O302" s="2">
        <f>([412]L!P302*'D(Ti_Audétat23) Times'!$F302*0.000001)^2/(4*'D(Ti_Audétat23) Times'!$C302)/(365.35*24*3600)</f>
        <v>28470.573103097933</v>
      </c>
      <c r="P302" s="2">
        <f>([412]L!Q302*'D(Ti_Audétat23) Times'!$F302*0.000001)^2/(4*'D(Ti_Audétat23) Times'!$C302)/(365.35*24*3600)</f>
        <v>51957.686970288902</v>
      </c>
      <c r="Q302" s="2">
        <f>([412]L!R302*'D(Ti_Audétat23) Times'!$F302*0.000001)^2/(4*'D(Ti_Audétat23) Times'!$C302)/(365.35*24*3600)</f>
        <v>10672.410936577075</v>
      </c>
      <c r="R302" s="2">
        <f>([412]L!S302*'D(Ti_Audétat23) Times'!$F302*0.000001)^2/(4*'D(Ti_Audétat23) Times'!$C302)/(365.35*24*3600)</f>
        <v>11705.885114741308</v>
      </c>
      <c r="S302" s="2">
        <f>([412]L!T302*'D(Ti_Audétat23) Times'!$F302*0.000001)^2/(4*'D(Ti_Audétat23) Times'!$C302)/(365.35*24*3600)</f>
        <v>26754.547764759198</v>
      </c>
      <c r="T302" s="2"/>
      <c r="U302" s="2">
        <f>([412]L!V302*'D(Ti_Audétat23) Times'!$F302*0.000001)^2/(4*'D(Ti_Audétat23) Times'!$C302)/(365.35*24*3600)</f>
        <v>29604.782489050209</v>
      </c>
      <c r="V302" s="2">
        <f>([412]L!W302*'D(Ti_Audétat23) Times'!$F302*0.000001)^2/(4*'D(Ti_Audétat23) Times'!$C302)/(365.35*24*3600)</f>
        <v>31326.47658627787</v>
      </c>
      <c r="W302" s="2">
        <f>([412]L!X302*'D(Ti_Audétat23) Times'!$F302*0.000001)^2/(4*'D(Ti_Audétat23) Times'!$C302)/(365.35*24*3600)</f>
        <v>31184.73296137658</v>
      </c>
      <c r="X302" s="2"/>
      <c r="Y302" s="2">
        <f>([412]L!Z302*'D(Ti_Audétat23) Times'!$F302*0.000001)^2/(4*'D(Ti_Audétat23) Times'!$C302)/(365.35*24*3600)</f>
        <v>26298.251262309801</v>
      </c>
      <c r="Z302" s="2">
        <f>([412]L!AB302*'D(Ti_Audétat23) Times'!$F302*0.000001)^2/(4*'D(Ti_Audétat23) Times'!$C302)/(365.35*24*3600)</f>
        <v>27884.575240346996</v>
      </c>
      <c r="AA302" s="2">
        <f>([412]L!AC302*'D(Ti_Audétat23) Times'!$F302*0.000001)^2/(4*'D(Ti_Audétat23) Times'!$C302)/(365.35*24*3600)</f>
        <v>13301.872385297385</v>
      </c>
      <c r="AB302" s="2">
        <f>([412]L!AD302*'D(Ti_Audétat23) Times'!$F302*0.000001)^2/(4*'D(Ti_Audétat23) Times'!$C302)/(365.35*24*3600)</f>
        <v>56400.296325557378</v>
      </c>
      <c r="AC302" s="2">
        <f t="shared" si="17"/>
        <v>14582.702855049611</v>
      </c>
      <c r="AD302" s="2">
        <f t="shared" si="18"/>
        <v>28515.721085210382</v>
      </c>
    </row>
    <row r="303" spans="1:30" x14ac:dyDescent="0.2">
      <c r="A303" t="str">
        <f>[412]L!A303</f>
        <v>CGI015-qtz03-CL-fit-5-offset</v>
      </c>
      <c r="B303">
        <v>750</v>
      </c>
      <c r="C303">
        <f t="shared" si="19"/>
        <v>1.1456341375347871E-23</v>
      </c>
      <c r="D303">
        <v>1750</v>
      </c>
      <c r="E303">
        <v>1024</v>
      </c>
      <c r="F303">
        <f t="shared" si="16"/>
        <v>1.708984375</v>
      </c>
      <c r="I303" s="2">
        <f>([412]L!J303*'D(Ti_Audétat23) Times'!$F303*0.000001)^2/(4*'D(Ti_Audétat23) Times'!$C303)/(365.35*24*3600)</f>
        <v>18744.416523033113</v>
      </c>
      <c r="J303" s="2">
        <f>([412]L!K303*'D(Ti_Audétat23) Times'!$F303*0.000001)^2/(4*'D(Ti_Audétat23) Times'!$C303)/(365.35*24*3600)</f>
        <v>6265.794587119778</v>
      </c>
      <c r="K303" s="2">
        <f>([412]L!L303*'D(Ti_Audétat23) Times'!$F303*0.000001)^2/(4*'D(Ti_Audétat23) Times'!$C303)/(365.35*24*3600)</f>
        <v>12637.783685579581</v>
      </c>
      <c r="L303" s="2">
        <f>([412]L!M303*'D(Ti_Audétat23) Times'!$F303*0.000001)^2/(4*'D(Ti_Audétat23) Times'!$C303)/(365.35*24*3600)</f>
        <v>5917.3449804186048</v>
      </c>
      <c r="M303" s="2">
        <f>([412]L!N303*'D(Ti_Audétat23) Times'!$F303*0.000001)^2/(4*'D(Ti_Audétat23) Times'!$C303)/(365.35*24*3600)</f>
        <v>8907.5760552122265</v>
      </c>
      <c r="N303" s="2">
        <f>([412]L!O303*'D(Ti_Audétat23) Times'!$F303*0.000001)^2/(4*'D(Ti_Audétat23) Times'!$C303)/(365.35*24*3600)</f>
        <v>9564.558895346905</v>
      </c>
      <c r="O303" s="2">
        <f>([412]L!P303*'D(Ti_Audétat23) Times'!$F303*0.000001)^2/(4*'D(Ti_Audétat23) Times'!$C303)/(365.35*24*3600)</f>
        <v>10389.006744978622</v>
      </c>
      <c r="P303" s="2">
        <f>([412]L!Q303*'D(Ti_Audétat23) Times'!$F303*0.000001)^2/(4*'D(Ti_Audétat23) Times'!$C303)/(365.35*24*3600)</f>
        <v>9428.9500014885016</v>
      </c>
      <c r="Q303" s="2">
        <f>([412]L!R303*'D(Ti_Audétat23) Times'!$F303*0.000001)^2/(4*'D(Ti_Audétat23) Times'!$C303)/(365.35*24*3600)</f>
        <v>11380.15116341793</v>
      </c>
      <c r="R303" s="2">
        <f>([412]L!S303*'D(Ti_Audétat23) Times'!$F303*0.000001)^2/(4*'D(Ti_Audétat23) Times'!$C303)/(365.35*24*3600)</f>
        <v>14853.716882473775</v>
      </c>
      <c r="S303" s="2">
        <f>([412]L!T303*'D(Ti_Audétat23) Times'!$F303*0.000001)^2/(4*'D(Ti_Audétat23) Times'!$C303)/(365.35*24*3600)</f>
        <v>19542.304067662502</v>
      </c>
      <c r="T303" s="2"/>
      <c r="U303" s="2">
        <f>([412]L!V303*'D(Ti_Audétat23) Times'!$F303*0.000001)^2/(4*'D(Ti_Audétat23) Times'!$C303)/(365.35*24*3600)</f>
        <v>11543.032515327268</v>
      </c>
      <c r="V303" s="2">
        <f>([412]L!W303*'D(Ti_Audétat23) Times'!$F303*0.000001)^2/(4*'D(Ti_Audétat23) Times'!$C303)/(365.35*24*3600)</f>
        <v>11216.049739872429</v>
      </c>
      <c r="W303" s="2">
        <f>([412]L!X303*'D(Ti_Audétat23) Times'!$F303*0.000001)^2/(4*'D(Ti_Audétat23) Times'!$C303)/(365.35*24*3600)</f>
        <v>10389.006744978622</v>
      </c>
      <c r="X303" s="2"/>
      <c r="Y303" s="2">
        <f>([412]L!Z303*'D(Ti_Audétat23) Times'!$F303*0.000001)^2/(4*'D(Ti_Audétat23) Times'!$C303)/(365.35*24*3600)</f>
        <v>11038.791508037666</v>
      </c>
      <c r="Z303" s="2">
        <f>([412]L!AB303*'D(Ti_Audétat23) Times'!$F303*0.000001)^2/(4*'D(Ti_Audétat23) Times'!$C303)/(365.35*24*3600)</f>
        <v>11122.556156629787</v>
      </c>
      <c r="AA303" s="2">
        <f>([412]L!AC303*'D(Ti_Audétat23) Times'!$F303*0.000001)^2/(4*'D(Ti_Audétat23) Times'!$C303)/(365.35*24*3600)</f>
        <v>2965.6547492623044</v>
      </c>
      <c r="AB303" s="2">
        <f>([412]L!AD303*'D(Ti_Audétat23) Times'!$F303*0.000001)^2/(4*'D(Ti_Audétat23) Times'!$C303)/(365.35*24*3600)</f>
        <v>24702.937031049769</v>
      </c>
      <c r="AC303" s="2">
        <f t="shared" si="17"/>
        <v>8156.9014073674825</v>
      </c>
      <c r="AD303" s="2">
        <f t="shared" si="18"/>
        <v>13580.380874419981</v>
      </c>
    </row>
    <row r="304" spans="1:30" x14ac:dyDescent="0.2">
      <c r="A304" t="str">
        <f>[412]L!A304</f>
        <v>CGI015-qtz04-CL-fit-1-offset</v>
      </c>
      <c r="B304">
        <v>750</v>
      </c>
      <c r="C304">
        <f t="shared" si="19"/>
        <v>1.1456341375347871E-23</v>
      </c>
      <c r="D304">
        <v>2000</v>
      </c>
      <c r="E304">
        <v>1024</v>
      </c>
      <c r="F304">
        <f t="shared" si="16"/>
        <v>1.953125</v>
      </c>
      <c r="I304" s="2">
        <f>([412]L!J304*'D(Ti_Audétat23) Times'!$F304*0.000001)^2/(4*'D(Ti_Audétat23) Times'!$C304)/(365.35*24*3600)</f>
        <v>48198.183977791035</v>
      </c>
      <c r="J304" s="2">
        <f>([412]L!K304*'D(Ti_Audétat23) Times'!$F304*0.000001)^2/(4*'D(Ti_Audétat23) Times'!$C304)/(365.35*24*3600)</f>
        <v>56407.984635403183</v>
      </c>
      <c r="K304" s="2">
        <f>([412]L!L304*'D(Ti_Audétat23) Times'!$F304*0.000001)^2/(4*'D(Ti_Audétat23) Times'!$C304)/(365.35*24*3600)</f>
        <v>65605.898284490104</v>
      </c>
      <c r="L304" s="2">
        <f>([412]L!M304*'D(Ti_Audétat23) Times'!$F304*0.000001)^2/(4*'D(Ti_Audétat23) Times'!$C304)/(365.35*24*3600)</f>
        <v>56683.937451239421</v>
      </c>
      <c r="M304" s="2">
        <f>([412]L!N304*'D(Ti_Audétat23) Times'!$F304*0.000001)^2/(4*'D(Ti_Audétat23) Times'!$C304)/(365.35*24*3600)</f>
        <v>52091.20789913187</v>
      </c>
      <c r="N304" s="2">
        <f>([412]L!O304*'D(Ti_Audétat23) Times'!$F304*0.000001)^2/(4*'D(Ti_Audétat23) Times'!$C304)/(365.35*24*3600)</f>
        <v>56799.700045285244</v>
      </c>
      <c r="O304" s="2">
        <f>([412]L!P304*'D(Ti_Audétat23) Times'!$F304*0.000001)^2/(4*'D(Ti_Audétat23) Times'!$C304)/(365.35*24*3600)</f>
        <v>56472.401333741698</v>
      </c>
      <c r="P304" s="2">
        <f>([412]L!Q304*'D(Ti_Audétat23) Times'!$F304*0.000001)^2/(4*'D(Ti_Audétat23) Times'!$C304)/(365.35*24*3600)</f>
        <v>51224.724125177054</v>
      </c>
      <c r="Q304" s="2">
        <f>([412]L!R304*'D(Ti_Audétat23) Times'!$F304*0.000001)^2/(4*'D(Ti_Audétat23) Times'!$C304)/(365.35*24*3600)</f>
        <v>54847.236748704418</v>
      </c>
      <c r="R304" s="2">
        <f>([412]L!S304*'D(Ti_Audétat23) Times'!$F304*0.000001)^2/(4*'D(Ti_Audétat23) Times'!$C304)/(365.35*24*3600)</f>
        <v>55966.705393854572</v>
      </c>
      <c r="S304" s="2">
        <f>([412]L!T304*'D(Ti_Audétat23) Times'!$F304*0.000001)^2/(4*'D(Ti_Audétat23) Times'!$C304)/(365.35*24*3600)</f>
        <v>73404.901038890544</v>
      </c>
      <c r="T304" s="2"/>
      <c r="U304" s="2">
        <f>([412]L!V304*'D(Ti_Audétat23) Times'!$F304*0.000001)^2/(4*'D(Ti_Audétat23) Times'!$C304)/(365.35*24*3600)</f>
        <v>57723.386756795677</v>
      </c>
      <c r="V304" s="2">
        <f>([412]L!W304*'D(Ti_Audétat23) Times'!$F304*0.000001)^2/(4*'D(Ti_Audétat23) Times'!$C304)/(365.35*24*3600)</f>
        <v>56882.069782343053</v>
      </c>
      <c r="W304" s="2">
        <f>([412]L!X304*'D(Ti_Audétat23) Times'!$F304*0.000001)^2/(4*'D(Ti_Audétat23) Times'!$C304)/(365.35*24*3600)</f>
        <v>56407.984635403183</v>
      </c>
      <c r="X304" s="2"/>
      <c r="Y304" s="2">
        <f>([412]L!Z304*'D(Ti_Audétat23) Times'!$F304*0.000001)^2/(4*'D(Ti_Audétat23) Times'!$C304)/(365.35*24*3600)</f>
        <v>56291.784847412549</v>
      </c>
      <c r="Z304" s="2">
        <f>([412]L!AB304*'D(Ti_Audétat23) Times'!$F304*0.000001)^2/(4*'D(Ti_Audétat23) Times'!$C304)/(365.35*24*3600)</f>
        <v>57083.240006704138</v>
      </c>
      <c r="AA304" s="2">
        <f>([412]L!AC304*'D(Ti_Audétat23) Times'!$F304*0.000001)^2/(4*'D(Ti_Audétat23) Times'!$C304)/(365.35*24*3600)</f>
        <v>37629.782437271882</v>
      </c>
      <c r="AB304" s="2">
        <f>([412]L!AD304*'D(Ti_Audétat23) Times'!$F304*0.000001)^2/(4*'D(Ti_Audétat23) Times'!$C304)/(365.35*24*3600)</f>
        <v>77990.170646605897</v>
      </c>
      <c r="AC304" s="2">
        <f t="shared" si="17"/>
        <v>19453.457569432256</v>
      </c>
      <c r="AD304" s="2">
        <f t="shared" si="18"/>
        <v>20906.930639901759</v>
      </c>
    </row>
    <row r="305" spans="1:30" x14ac:dyDescent="0.2">
      <c r="A305" t="str">
        <f>[412]L!A305</f>
        <v>CGI015-qtz04-CL-fit-2-offset</v>
      </c>
      <c r="B305">
        <v>750</v>
      </c>
      <c r="C305">
        <f t="shared" si="19"/>
        <v>1.1456341375347871E-23</v>
      </c>
      <c r="D305">
        <v>2000</v>
      </c>
      <c r="E305">
        <v>1024</v>
      </c>
      <c r="F305">
        <f t="shared" si="16"/>
        <v>1.953125</v>
      </c>
      <c r="I305" s="2">
        <f>([412]L!J305*'D(Ti_Audétat23) Times'!$F305*0.000001)^2/(4*'D(Ti_Audétat23) Times'!$C305)/(365.35*24*3600)</f>
        <v>34253.120696696271</v>
      </c>
      <c r="J305" s="2">
        <f>([412]L!K305*'D(Ti_Audétat23) Times'!$F305*0.000001)^2/(4*'D(Ti_Audétat23) Times'!$C305)/(365.35*24*3600)</f>
        <v>39391.933391463608</v>
      </c>
      <c r="K305" s="2">
        <f>([412]L!L305*'D(Ti_Audétat23) Times'!$F305*0.000001)^2/(4*'D(Ti_Audétat23) Times'!$C305)/(365.35*24*3600)</f>
        <v>33899.139373135549</v>
      </c>
      <c r="L305" s="2">
        <f>([412]L!M305*'D(Ti_Audétat23) Times'!$F305*0.000001)^2/(4*'D(Ti_Audétat23) Times'!$C305)/(365.35*24*3600)</f>
        <v>39245.649466621391</v>
      </c>
      <c r="M305" s="2">
        <f>([412]L!N305*'D(Ti_Audétat23) Times'!$F305*0.000001)^2/(4*'D(Ti_Audétat23) Times'!$C305)/(365.35*24*3600)</f>
        <v>24521.168324128947</v>
      </c>
      <c r="N305" s="2">
        <f>([412]L!O305*'D(Ti_Audétat23) Times'!$F305*0.000001)^2/(4*'D(Ti_Audétat23) Times'!$C305)/(365.35*24*3600)</f>
        <v>36247.726881126611</v>
      </c>
      <c r="O305" s="2">
        <f>([412]L!P305*'D(Ti_Audétat23) Times'!$F305*0.000001)^2/(4*'D(Ti_Audétat23) Times'!$C305)/(365.35*24*3600)</f>
        <v>28516.42852467694</v>
      </c>
      <c r="P305" s="2">
        <f>([412]L!Q305*'D(Ti_Audétat23) Times'!$F305*0.000001)^2/(4*'D(Ti_Audétat23) Times'!$C305)/(365.35*24*3600)</f>
        <v>46926.781578140268</v>
      </c>
      <c r="Q305" s="2">
        <f>([412]L!R305*'D(Ti_Audétat23) Times'!$F305*0.000001)^2/(4*'D(Ti_Audétat23) Times'!$C305)/(365.35*24*3600)</f>
        <v>35336.447117587202</v>
      </c>
      <c r="R305" s="2">
        <f>([412]L!S305*'D(Ti_Audétat23) Times'!$F305*0.000001)^2/(4*'D(Ti_Audétat23) Times'!$C305)/(365.35*24*3600)</f>
        <v>36806.385851039682</v>
      </c>
      <c r="S305" s="2">
        <f>([412]L!T305*'D(Ti_Audétat23) Times'!$F305*0.000001)^2/(4*'D(Ti_Audétat23) Times'!$C305)/(365.35*24*3600)</f>
        <v>18948.134333263355</v>
      </c>
      <c r="T305" s="2"/>
      <c r="U305" s="2">
        <f>([412]L!V305*'D(Ti_Audétat23) Times'!$F305*0.000001)^2/(4*'D(Ti_Audétat23) Times'!$C305)/(365.35*24*3600)</f>
        <v>35266.001201563791</v>
      </c>
      <c r="V305" s="2">
        <f>([412]L!W305*'D(Ti_Audétat23) Times'!$F305*0.000001)^2/(4*'D(Ti_Audétat23) Times'!$C305)/(365.35*24*3600)</f>
        <v>33579.865403359101</v>
      </c>
      <c r="W305" s="2">
        <f>([412]L!X305*'D(Ti_Audétat23) Times'!$F305*0.000001)^2/(4*'D(Ti_Audétat23) Times'!$C305)/(365.35*24*3600)</f>
        <v>35336.447117587202</v>
      </c>
      <c r="X305" s="2"/>
      <c r="Y305" s="2">
        <f>([412]L!Z305*'D(Ti_Audétat23) Times'!$F305*0.000001)^2/(4*'D(Ti_Audétat23) Times'!$C305)/(365.35*24*3600)</f>
        <v>34770.61901143202</v>
      </c>
      <c r="Z305" s="2">
        <f>([412]L!AB305*'D(Ti_Audétat23) Times'!$F305*0.000001)^2/(4*'D(Ti_Audétat23) Times'!$C305)/(365.35*24*3600)</f>
        <v>35377.627850598547</v>
      </c>
      <c r="AA305" s="2">
        <f>([412]L!AC305*'D(Ti_Audétat23) Times'!$F305*0.000001)^2/(4*'D(Ti_Audétat23) Times'!$C305)/(365.35*24*3600)</f>
        <v>16184.232031393733</v>
      </c>
      <c r="AB305" s="2">
        <f>([412]L!AD305*'D(Ti_Audétat23) Times'!$F305*0.000001)^2/(4*'D(Ti_Audétat23) Times'!$C305)/(365.35*24*3600)</f>
        <v>62336.09663902859</v>
      </c>
      <c r="AC305" s="2">
        <f t="shared" si="17"/>
        <v>19193.395819204816</v>
      </c>
      <c r="AD305" s="2">
        <f t="shared" si="18"/>
        <v>26958.468788430044</v>
      </c>
    </row>
    <row r="306" spans="1:30" x14ac:dyDescent="0.2">
      <c r="A306" t="str">
        <f>[412]L!A306</f>
        <v>CGI015-qtz04-CL-fit-3-offset</v>
      </c>
      <c r="B306">
        <v>750</v>
      </c>
      <c r="C306">
        <f t="shared" si="19"/>
        <v>1.1456341375347871E-23</v>
      </c>
      <c r="D306">
        <v>2000</v>
      </c>
      <c r="E306">
        <v>1024</v>
      </c>
      <c r="F306">
        <f t="shared" si="16"/>
        <v>1.953125</v>
      </c>
      <c r="I306" s="2">
        <f>([412]L!J306*'D(Ti_Audétat23) Times'!$F306*0.000001)^2/(4*'D(Ti_Audétat23) Times'!$C306)/(365.35*24*3600)</f>
        <v>10457.736852405635</v>
      </c>
      <c r="J306" s="2">
        <f>([412]L!K306*'D(Ti_Audétat23) Times'!$F306*0.000001)^2/(4*'D(Ti_Audétat23) Times'!$C306)/(365.35*24*3600)</f>
        <v>5235.5006673080979</v>
      </c>
      <c r="K306" s="2">
        <f>([412]L!L306*'D(Ti_Audétat23) Times'!$F306*0.000001)^2/(4*'D(Ti_Audétat23) Times'!$C306)/(365.35*24*3600)</f>
        <v>5920.6758963193433</v>
      </c>
      <c r="L306" s="2">
        <f>([412]L!M306*'D(Ti_Audétat23) Times'!$F306*0.000001)^2/(4*'D(Ti_Audétat23) Times'!$C306)/(365.35*24*3600)</f>
        <v>4755.281191332564</v>
      </c>
      <c r="M306" s="2">
        <f>([412]L!N306*'D(Ti_Audétat23) Times'!$F306*0.000001)^2/(4*'D(Ti_Audétat23) Times'!$C306)/(365.35*24*3600)</f>
        <v>3586.184410416849</v>
      </c>
      <c r="N306" s="2">
        <f>([412]L!O306*'D(Ti_Audétat23) Times'!$F306*0.000001)^2/(4*'D(Ti_Audétat23) Times'!$C306)/(365.35*24*3600)</f>
        <v>10177.725820660846</v>
      </c>
      <c r="O306" s="2">
        <f>([412]L!P306*'D(Ti_Audétat23) Times'!$F306*0.000001)^2/(4*'D(Ti_Audétat23) Times'!$C306)/(365.35*24*3600)</f>
        <v>17081.952060129763</v>
      </c>
      <c r="P306" s="2">
        <f>([412]L!Q306*'D(Ti_Audétat23) Times'!$F306*0.000001)^2/(4*'D(Ti_Audétat23) Times'!$C306)/(365.35*24*3600)</f>
        <v>8112.3154301258728</v>
      </c>
      <c r="Q306" s="2">
        <f>([412]L!R306*'D(Ti_Audétat23) Times'!$F306*0.000001)^2/(4*'D(Ti_Audétat23) Times'!$C306)/(365.35*24*3600)</f>
        <v>14587.4309130902</v>
      </c>
      <c r="R306" s="2">
        <f>([412]L!S306*'D(Ti_Audétat23) Times'!$F306*0.000001)^2/(4*'D(Ti_Audétat23) Times'!$C306)/(365.35*24*3600)</f>
        <v>2953.7953205794261</v>
      </c>
      <c r="S306" s="2">
        <f>([412]L!T306*'D(Ti_Audétat23) Times'!$F306*0.000001)^2/(4*'D(Ti_Audétat23) Times'!$C306)/(365.35*24*3600)</f>
        <v>5636.6386646817482</v>
      </c>
      <c r="T306" s="2"/>
      <c r="U306" s="2">
        <f>([412]L!V306*'D(Ti_Audétat23) Times'!$F306*0.000001)^2/(4*'D(Ti_Audétat23) Times'!$C306)/(365.35*24*3600)</f>
        <v>7880.7347521490556</v>
      </c>
      <c r="V306" s="2">
        <f>([412]L!W306*'D(Ti_Audétat23) Times'!$F306*0.000001)^2/(4*'D(Ti_Audétat23) Times'!$C306)/(365.35*24*3600)</f>
        <v>7494.2852550624484</v>
      </c>
      <c r="W306" s="2">
        <f>([412]L!X306*'D(Ti_Audétat23) Times'!$F306*0.000001)^2/(4*'D(Ti_Audétat23) Times'!$C306)/(365.35*24*3600)</f>
        <v>5920.6758963193433</v>
      </c>
      <c r="X306" s="2"/>
      <c r="Y306" s="2">
        <f>([412]L!Z306*'D(Ti_Audétat23) Times'!$F306*0.000001)^2/(4*'D(Ti_Audétat23) Times'!$C306)/(365.35*24*3600)</f>
        <v>7327.5291527192594</v>
      </c>
      <c r="Z306" s="2">
        <f>([412]L!AB306*'D(Ti_Audétat23) Times'!$F306*0.000001)^2/(4*'D(Ti_Audétat23) Times'!$C306)/(365.35*24*3600)</f>
        <v>7042.1072020268757</v>
      </c>
      <c r="AA306" s="2">
        <f>([412]L!AC306*'D(Ti_Audétat23) Times'!$F306*0.000001)^2/(4*'D(Ti_Audétat23) Times'!$C306)/(365.35*24*3600)</f>
        <v>181.77514855406287</v>
      </c>
      <c r="AB306" s="2">
        <f>([412]L!AD306*'D(Ti_Audétat23) Times'!$F306*0.000001)^2/(4*'D(Ti_Audétat23) Times'!$C306)/(365.35*24*3600)</f>
        <v>18250.742252917455</v>
      </c>
      <c r="AC306" s="2">
        <f t="shared" si="17"/>
        <v>6860.3320534728127</v>
      </c>
      <c r="AD306" s="2">
        <f t="shared" si="18"/>
        <v>11208.635050890578</v>
      </c>
    </row>
    <row r="307" spans="1:30" x14ac:dyDescent="0.2">
      <c r="A307" t="str">
        <f>[412]L!A307</f>
        <v>CGI015-qtz04-CL-fit-4-offset</v>
      </c>
      <c r="B307">
        <v>750</v>
      </c>
      <c r="C307">
        <f t="shared" si="19"/>
        <v>1.1456341375347871E-23</v>
      </c>
      <c r="D307">
        <v>2000</v>
      </c>
      <c r="E307">
        <v>1024</v>
      </c>
      <c r="F307">
        <f t="shared" si="16"/>
        <v>1.953125</v>
      </c>
      <c r="I307" s="2">
        <f>([412]L!J307*'D(Ti_Audétat23) Times'!$F307*0.000001)^2/(4*'D(Ti_Audétat23) Times'!$C307)/(365.35*24*3600)</f>
        <v>7146.0358900149222</v>
      </c>
      <c r="J307" s="2">
        <f>([412]L!K307*'D(Ti_Audétat23) Times'!$F307*0.000001)^2/(4*'D(Ti_Audétat23) Times'!$C307)/(365.35*24*3600)</f>
        <v>175.35249653527865</v>
      </c>
      <c r="K307" s="2">
        <f>([412]L!L307*'D(Ti_Audétat23) Times'!$F307*0.000001)^2/(4*'D(Ti_Audétat23) Times'!$C307)/(365.35*24*3600)</f>
        <v>4703.702191575484</v>
      </c>
      <c r="L307" s="2">
        <f>([412]L!M307*'D(Ti_Audétat23) Times'!$F307*0.000001)^2/(4*'D(Ti_Audétat23) Times'!$C307)/(365.35*24*3600)</f>
        <v>3709.1076588417945</v>
      </c>
      <c r="M307" s="2">
        <f>([412]L!N307*'D(Ti_Audétat23) Times'!$F307*0.000001)^2/(4*'D(Ti_Audétat23) Times'!$C307)/(365.35*24*3600)</f>
        <v>3786.0541921464987</v>
      </c>
      <c r="N307" s="2">
        <f>([412]L!O307*'D(Ti_Audétat23) Times'!$F307*0.000001)^2/(4*'D(Ti_Audétat23) Times'!$C307)/(365.35*24*3600)</f>
        <v>6302.8979979536998</v>
      </c>
      <c r="O307" s="2">
        <f>([412]L!P307*'D(Ti_Audétat23) Times'!$F307*0.000001)^2/(4*'D(Ti_Audétat23) Times'!$C307)/(365.35*24*3600)</f>
        <v>4457.6247130772654</v>
      </c>
      <c r="P307" s="2">
        <f>([412]L!Q307*'D(Ti_Audétat23) Times'!$F307*0.000001)^2/(4*'D(Ti_Audétat23) Times'!$C307)/(365.35*24*3600)</f>
        <v>59.697086279702958</v>
      </c>
      <c r="Q307" s="2">
        <f>([412]L!R307*'D(Ti_Audétat23) Times'!$F307*0.000001)^2/(4*'D(Ti_Audétat23) Times'!$C307)/(365.35*24*3600)</f>
        <v>2367.2188426372845</v>
      </c>
      <c r="R307" s="2">
        <f>([412]L!S307*'D(Ti_Audétat23) Times'!$F307*0.000001)^2/(4*'D(Ti_Audétat23) Times'!$C307)/(365.35*24*3600)</f>
        <v>4230.7069621726605</v>
      </c>
      <c r="S307" s="2">
        <f>([412]L!T307*'D(Ti_Audétat23) Times'!$F307*0.000001)^2/(4*'D(Ti_Audétat23) Times'!$C307)/(365.35*24*3600)</f>
        <v>2717.4761946235499</v>
      </c>
      <c r="T307" s="2"/>
      <c r="U307" s="2">
        <f>([412]L!V307*'D(Ti_Audétat23) Times'!$F307*0.000001)^2/(4*'D(Ti_Audétat23) Times'!$C307)/(365.35*24*3600)</f>
        <v>4345.0062610387104</v>
      </c>
      <c r="V307" s="2">
        <f>([412]L!W307*'D(Ti_Audétat23) Times'!$F307*0.000001)^2/(4*'D(Ti_Audétat23) Times'!$C307)/(365.35*24*3600)</f>
        <v>3060.1335396484551</v>
      </c>
      <c r="W307" s="2">
        <f>([412]L!X307*'D(Ti_Audétat23) Times'!$F307*0.000001)^2/(4*'D(Ti_Audétat23) Times'!$C307)/(365.35*24*3600)</f>
        <v>3786.0541921464987</v>
      </c>
      <c r="X307" s="2"/>
      <c r="Y307" s="2">
        <f>([412]L!Z307*'D(Ti_Audétat23) Times'!$F307*0.000001)^2/(4*'D(Ti_Audétat23) Times'!$C307)/(365.35*24*3600)</f>
        <v>4066.3739071671371</v>
      </c>
      <c r="Z307" s="2">
        <f>([412]L!AB307*'D(Ti_Audétat23) Times'!$F307*0.000001)^2/(4*'D(Ti_Audétat23) Times'!$C307)/(365.35*24*3600)</f>
        <v>4275.7309486335489</v>
      </c>
      <c r="AA307" s="2">
        <f>([412]L!AC307*'D(Ti_Audétat23) Times'!$F307*0.000001)^2/(4*'D(Ti_Audétat23) Times'!$C307)/(365.35*24*3600)</f>
        <v>90.844564521623397</v>
      </c>
      <c r="AB307" s="2">
        <f>([412]L!AD307*'D(Ti_Audétat23) Times'!$F307*0.000001)^2/(4*'D(Ti_Audétat23) Times'!$C307)/(365.35*24*3600)</f>
        <v>36438.014858938055</v>
      </c>
      <c r="AC307" s="2">
        <f t="shared" si="17"/>
        <v>4184.8863841119255</v>
      </c>
      <c r="AD307" s="2">
        <f t="shared" si="18"/>
        <v>32162.283910304504</v>
      </c>
    </row>
    <row r="308" spans="1:30" x14ac:dyDescent="0.2">
      <c r="A308" t="str">
        <f>[412]L!A308</f>
        <v>CGI015-qtz05-CL-fit-1-offset</v>
      </c>
      <c r="B308">
        <v>750</v>
      </c>
      <c r="C308">
        <f t="shared" si="19"/>
        <v>1.1456341375347871E-23</v>
      </c>
      <c r="D308">
        <v>1900</v>
      </c>
      <c r="E308">
        <v>1024</v>
      </c>
      <c r="F308">
        <f t="shared" si="16"/>
        <v>1.85546875</v>
      </c>
      <c r="I308" s="2">
        <f>([412]L!J308*'D(Ti_Audétat23) Times'!$F308*0.000001)^2/(4*'D(Ti_Audétat23) Times'!$C308)/(365.35*24*3600)</f>
        <v>160156.75540674786</v>
      </c>
      <c r="J308" s="2">
        <f>([412]L!K308*'D(Ti_Audétat23) Times'!$F308*0.000001)^2/(4*'D(Ti_Audétat23) Times'!$C308)/(365.35*24*3600)</f>
        <v>133123.19552401631</v>
      </c>
      <c r="K308" s="2">
        <f>([412]L!L308*'D(Ti_Audétat23) Times'!$F308*0.000001)^2/(4*'D(Ti_Audétat23) Times'!$C308)/(365.35*24*3600)</f>
        <v>211189.91744348715</v>
      </c>
      <c r="L308" s="2">
        <f>([412]L!M308*'D(Ti_Audétat23) Times'!$F308*0.000001)^2/(4*'D(Ti_Audétat23) Times'!$C308)/(365.35*24*3600)</f>
        <v>152389.34609074684</v>
      </c>
      <c r="M308" s="2">
        <f>([412]L!N308*'D(Ti_Audétat23) Times'!$F308*0.000001)^2/(4*'D(Ti_Audétat23) Times'!$C308)/(365.35*24*3600)</f>
        <v>163942.94000548971</v>
      </c>
      <c r="N308" s="2">
        <f>([412]L!O308*'D(Ti_Audétat23) Times'!$F308*0.000001)^2/(4*'D(Ti_Audétat23) Times'!$C308)/(365.35*24*3600)</f>
        <v>125071.66973763991</v>
      </c>
      <c r="O308" s="2">
        <f>([412]L!P308*'D(Ti_Audétat23) Times'!$F308*0.000001)^2/(4*'D(Ti_Audétat23) Times'!$C308)/(365.35*24*3600)</f>
        <v>244914.70071882947</v>
      </c>
      <c r="P308" s="2">
        <f>([412]L!Q308*'D(Ti_Audétat23) Times'!$F308*0.000001)^2/(4*'D(Ti_Audétat23) Times'!$C308)/(365.35*24*3600)</f>
        <v>148863.89509040787</v>
      </c>
      <c r="Q308" s="2">
        <f>([412]L!R308*'D(Ti_Audétat23) Times'!$F308*0.000001)^2/(4*'D(Ti_Audétat23) Times'!$C308)/(365.35*24*3600)</f>
        <v>80816.330684107466</v>
      </c>
      <c r="R308" s="2">
        <f>([412]L!S308*'D(Ti_Audétat23) Times'!$F308*0.000001)^2/(4*'D(Ti_Audétat23) Times'!$C308)/(365.35*24*3600)</f>
        <v>60937.363160221852</v>
      </c>
      <c r="S308" s="2">
        <f>([412]L!T308*'D(Ti_Audétat23) Times'!$F308*0.000001)^2/(4*'D(Ti_Audétat23) Times'!$C308)/(365.35*24*3600)</f>
        <v>123688.83428792458</v>
      </c>
      <c r="T308" s="2"/>
      <c r="U308" s="2">
        <f>([412]L!V308*'D(Ti_Audétat23) Times'!$F308*0.000001)^2/(4*'D(Ti_Audétat23) Times'!$C308)/(365.35*24*3600)</f>
        <v>134989.09269347115</v>
      </c>
      <c r="V308" s="2">
        <f>([412]L!W308*'D(Ti_Audétat23) Times'!$F308*0.000001)^2/(4*'D(Ti_Audétat23) Times'!$C308)/(365.35*24*3600)</f>
        <v>141450.07283324591</v>
      </c>
      <c r="W308" s="2">
        <f>([412]L!X308*'D(Ti_Audétat23) Times'!$F308*0.000001)^2/(4*'D(Ti_Audétat23) Times'!$C308)/(365.35*24*3600)</f>
        <v>148863.89509040787</v>
      </c>
      <c r="X308" s="2"/>
      <c r="Y308" s="2">
        <f>([412]L!Z308*'D(Ti_Audétat23) Times'!$F308*0.000001)^2/(4*'D(Ti_Audétat23) Times'!$C308)/(365.35*24*3600)</f>
        <v>133060.86855501583</v>
      </c>
      <c r="Z308" s="2">
        <f>([412]L!AB308*'D(Ti_Audétat23) Times'!$F308*0.000001)^2/(4*'D(Ti_Audétat23) Times'!$C308)/(365.35*24*3600)</f>
        <v>133791.04142655758</v>
      </c>
      <c r="AA308" s="2">
        <f>([412]L!AC308*'D(Ti_Audétat23) Times'!$F308*0.000001)^2/(4*'D(Ti_Audétat23) Times'!$C308)/(365.35*24*3600)</f>
        <v>85640.215387241828</v>
      </c>
      <c r="AB308" s="2">
        <f>([412]L!AD308*'D(Ti_Audétat23) Times'!$F308*0.000001)^2/(4*'D(Ti_Audétat23) Times'!$C308)/(365.35*24*3600)</f>
        <v>201348.06453536454</v>
      </c>
      <c r="AC308" s="2">
        <f t="shared" si="17"/>
        <v>48150.826039315754</v>
      </c>
      <c r="AD308" s="2">
        <f t="shared" si="18"/>
        <v>67557.023108806956</v>
      </c>
    </row>
    <row r="309" spans="1:30" x14ac:dyDescent="0.2">
      <c r="A309" t="str">
        <f>[412]L!A309</f>
        <v>CGI015-qtz05-CL-fit-2-offset</v>
      </c>
      <c r="B309">
        <v>750</v>
      </c>
      <c r="C309">
        <f t="shared" si="19"/>
        <v>1.1456341375347871E-23</v>
      </c>
      <c r="D309">
        <v>1900</v>
      </c>
      <c r="E309">
        <v>1024</v>
      </c>
      <c r="F309">
        <f t="shared" si="16"/>
        <v>1.85546875</v>
      </c>
      <c r="I309" s="2">
        <f>([412]L!J309*'D(Ti_Audétat23) Times'!$F309*0.000001)^2/(4*'D(Ti_Audétat23) Times'!$C309)/(365.35*24*3600)</f>
        <v>21162.585789222918</v>
      </c>
      <c r="J309" s="2">
        <f>([412]L!K309*'D(Ti_Audétat23) Times'!$F309*0.000001)^2/(4*'D(Ti_Audétat23) Times'!$C309)/(365.35*24*3600)</f>
        <v>19734.530756116892</v>
      </c>
      <c r="K309" s="2">
        <f>([412]L!L309*'D(Ti_Audétat23) Times'!$F309*0.000001)^2/(4*'D(Ti_Audétat23) Times'!$C309)/(365.35*24*3600)</f>
        <v>19760.551351369952</v>
      </c>
      <c r="L309" s="2">
        <f>([412]L!M309*'D(Ti_Audétat23) Times'!$F309*0.000001)^2/(4*'D(Ti_Audétat23) Times'!$C309)/(365.35*24*3600)</f>
        <v>20746.894427803218</v>
      </c>
      <c r="M309" s="2">
        <f>([412]L!N309*'D(Ti_Audétat23) Times'!$F309*0.000001)^2/(4*'D(Ti_Audétat23) Times'!$C309)/(365.35*24*3600)</f>
        <v>21577.764680512901</v>
      </c>
      <c r="N309" s="2">
        <f>([412]L!O309*'D(Ti_Audétat23) Times'!$F309*0.000001)^2/(4*'D(Ti_Audétat23) Times'!$C309)/(365.35*24*3600)</f>
        <v>25621.923426953639</v>
      </c>
      <c r="O309" s="2">
        <f>([412]L!P309*'D(Ti_Audétat23) Times'!$F309*0.000001)^2/(4*'D(Ti_Audétat23) Times'!$C309)/(365.35*24*3600)</f>
        <v>32835.615009688452</v>
      </c>
      <c r="P309" s="2">
        <f>([412]L!Q309*'D(Ti_Audétat23) Times'!$F309*0.000001)^2/(4*'D(Ti_Audétat23) Times'!$C309)/(365.35*24*3600)</f>
        <v>25394.773271168986</v>
      </c>
      <c r="Q309" s="2">
        <f>([412]L!R309*'D(Ti_Audétat23) Times'!$F309*0.000001)^2/(4*'D(Ti_Audétat23) Times'!$C309)/(365.35*24*3600)</f>
        <v>30458.524926795097</v>
      </c>
      <c r="R309" s="2">
        <f>([412]L!S309*'D(Ti_Audétat23) Times'!$F309*0.000001)^2/(4*'D(Ti_Audétat23) Times'!$C309)/(365.35*24*3600)</f>
        <v>14685.079594430181</v>
      </c>
      <c r="S309" s="2">
        <f>([412]L!T309*'D(Ti_Audétat23) Times'!$F309*0.000001)^2/(4*'D(Ti_Audétat23) Times'!$C309)/(365.35*24*3600)</f>
        <v>20321.98581537087</v>
      </c>
      <c r="T309" s="2"/>
      <c r="U309" s="2">
        <f>([412]L!V309*'D(Ti_Audétat23) Times'!$F309*0.000001)^2/(4*'D(Ti_Audétat23) Times'!$C309)/(365.35*24*3600)</f>
        <v>22501.542823060881</v>
      </c>
      <c r="V309" s="2">
        <f>([412]L!W309*'D(Ti_Audétat23) Times'!$F309*0.000001)^2/(4*'D(Ti_Audétat23) Times'!$C309)/(365.35*24*3600)</f>
        <v>22673.511526442959</v>
      </c>
      <c r="W309" s="2">
        <f>([412]L!X309*'D(Ti_Audétat23) Times'!$F309*0.000001)^2/(4*'D(Ti_Audétat23) Times'!$C309)/(365.35*24*3600)</f>
        <v>21162.585789222918</v>
      </c>
      <c r="X309" s="2"/>
      <c r="Y309" s="2">
        <f>([412]L!Z309*'D(Ti_Audétat23) Times'!$F309*0.000001)^2/(4*'D(Ti_Audétat23) Times'!$C309)/(365.35*24*3600)</f>
        <v>21671.400460087618</v>
      </c>
      <c r="Z309" s="2">
        <f>([412]L!AB309*'D(Ti_Audétat23) Times'!$F309*0.000001)^2/(4*'D(Ti_Audétat23) Times'!$C309)/(365.35*24*3600)</f>
        <v>21639.571333357988</v>
      </c>
      <c r="AA309" s="2">
        <f>([412]L!AC309*'D(Ti_Audétat23) Times'!$F309*0.000001)^2/(4*'D(Ti_Audétat23) Times'!$C309)/(365.35*24*3600)</f>
        <v>13240.705672823724</v>
      </c>
      <c r="AB309" s="2">
        <f>([412]L!AD309*'D(Ti_Audétat23) Times'!$F309*0.000001)^2/(4*'D(Ti_Audétat23) Times'!$C309)/(365.35*24*3600)</f>
        <v>33939.050191910283</v>
      </c>
      <c r="AC309" s="2">
        <f t="shared" si="17"/>
        <v>8398.865660534264</v>
      </c>
      <c r="AD309" s="2">
        <f t="shared" si="18"/>
        <v>12299.478858552295</v>
      </c>
    </row>
    <row r="310" spans="1:30" x14ac:dyDescent="0.2">
      <c r="A310" t="str">
        <f>[412]L!A310</f>
        <v>CGI015-qtz05-CL-fit-3-offset</v>
      </c>
      <c r="B310">
        <v>750</v>
      </c>
      <c r="C310">
        <f t="shared" si="19"/>
        <v>1.1456341375347871E-23</v>
      </c>
      <c r="D310">
        <v>1900</v>
      </c>
      <c r="E310">
        <v>1024</v>
      </c>
      <c r="F310">
        <f t="shared" si="16"/>
        <v>1.85546875</v>
      </c>
      <c r="I310" s="2">
        <f>([412]L!J310*'D(Ti_Audétat23) Times'!$F310*0.000001)^2/(4*'D(Ti_Audétat23) Times'!$C310)/(365.35*24*3600)</f>
        <v>17299.536321649808</v>
      </c>
      <c r="J310" s="2">
        <f>([412]L!K310*'D(Ti_Audétat23) Times'!$F310*0.000001)^2/(4*'D(Ti_Audétat23) Times'!$C310)/(365.35*24*3600)</f>
        <v>15235.227864007029</v>
      </c>
      <c r="K310" s="2">
        <f>([412]L!L310*'D(Ti_Audétat23) Times'!$F310*0.000001)^2/(4*'D(Ti_Audétat23) Times'!$C310)/(365.35*24*3600)</f>
        <v>11758.932806933519</v>
      </c>
      <c r="L310" s="2">
        <f>([412]L!M310*'D(Ti_Audétat23) Times'!$F310*0.000001)^2/(4*'D(Ti_Audétat23) Times'!$C310)/(365.35*24*3600)</f>
        <v>5923.8157115310214</v>
      </c>
      <c r="M310" s="2">
        <f>([412]L!N310*'D(Ti_Audétat23) Times'!$F310*0.000001)^2/(4*'D(Ti_Audétat23) Times'!$C310)/(365.35*24*3600)</f>
        <v>2857.2050277424878</v>
      </c>
      <c r="N310" s="2">
        <f>([412]L!O310*'D(Ti_Audétat23) Times'!$F310*0.000001)^2/(4*'D(Ti_Audétat23) Times'!$C310)/(365.35*24*3600)</f>
        <v>3393.8995549627343</v>
      </c>
      <c r="O310" s="2">
        <f>([412]L!P310*'D(Ti_Audétat23) Times'!$F310*0.000001)^2/(4*'D(Ti_Audétat23) Times'!$C310)/(365.35*24*3600)</f>
        <v>11462.046106529346</v>
      </c>
      <c r="P310" s="2">
        <f>([412]L!Q310*'D(Ti_Audétat23) Times'!$F310*0.000001)^2/(4*'D(Ti_Audétat23) Times'!$C310)/(365.35*24*3600)</f>
        <v>9982.6954591832655</v>
      </c>
      <c r="Q310" s="2">
        <f>([412]L!R310*'D(Ti_Audétat23) Times'!$F310*0.000001)^2/(4*'D(Ti_Audétat23) Times'!$C310)/(365.35*24*3600)</f>
        <v>3118.1763009578631</v>
      </c>
      <c r="R310" s="2">
        <f>([412]L!S310*'D(Ti_Audétat23) Times'!$F310*0.000001)^2/(4*'D(Ti_Audétat23) Times'!$C310)/(365.35*24*3600)</f>
        <v>5352.6902108484874</v>
      </c>
      <c r="S310" s="2">
        <f>([412]L!T310*'D(Ti_Audétat23) Times'!$F310*0.000001)^2/(4*'D(Ti_Audétat23) Times'!$C310)/(365.35*24*3600)</f>
        <v>2709.924045404357</v>
      </c>
      <c r="T310" s="2"/>
      <c r="U310" s="2">
        <f>([412]L!V310*'D(Ti_Audétat23) Times'!$F310*0.000001)^2/(4*'D(Ti_Audétat23) Times'!$C310)/(365.35*24*3600)</f>
        <v>7706.7983682264658</v>
      </c>
      <c r="V310" s="2">
        <f>([412]L!W310*'D(Ti_Audétat23) Times'!$F310*0.000001)^2/(4*'D(Ti_Audétat23) Times'!$C310)/(365.35*24*3600)</f>
        <v>7304.1536326583246</v>
      </c>
      <c r="W310" s="2">
        <f>([412]L!X310*'D(Ti_Audétat23) Times'!$F310*0.000001)^2/(4*'D(Ti_Audétat23) Times'!$C310)/(365.35*24*3600)</f>
        <v>5923.8157115310214</v>
      </c>
      <c r="X310" s="2"/>
      <c r="Y310" s="2">
        <f>([412]L!Z310*'D(Ti_Audétat23) Times'!$F310*0.000001)^2/(4*'D(Ti_Audétat23) Times'!$C310)/(365.35*24*3600)</f>
        <v>7439.5725117592383</v>
      </c>
      <c r="Z310" s="2">
        <f>([412]L!AB310*'D(Ti_Audétat23) Times'!$F310*0.000001)^2/(4*'D(Ti_Audétat23) Times'!$C310)/(365.35*24*3600)</f>
        <v>7098.9833152951251</v>
      </c>
      <c r="AA310" s="2">
        <f>([412]L!AC310*'D(Ti_Audétat23) Times'!$F310*0.000001)^2/(4*'D(Ti_Audétat23) Times'!$C310)/(365.35*24*3600)</f>
        <v>184.4904094063331</v>
      </c>
      <c r="AB310" s="2">
        <f>([412]L!AD310*'D(Ti_Audétat23) Times'!$F310*0.000001)^2/(4*'D(Ti_Audétat23) Times'!$C310)/(365.35*24*3600)</f>
        <v>16285.93056725785</v>
      </c>
      <c r="AC310" s="2">
        <f t="shared" si="17"/>
        <v>6914.4929058887919</v>
      </c>
      <c r="AD310" s="2">
        <f t="shared" si="18"/>
        <v>9186.9472519627252</v>
      </c>
    </row>
    <row r="311" spans="1:30" x14ac:dyDescent="0.2">
      <c r="A311" t="str">
        <f>[412]L!A311</f>
        <v>CGI015-qtz05-CL-fit-4-offset</v>
      </c>
      <c r="B311">
        <v>750</v>
      </c>
      <c r="C311">
        <f t="shared" si="19"/>
        <v>1.1456341375347871E-23</v>
      </c>
      <c r="D311">
        <v>1900</v>
      </c>
      <c r="E311">
        <v>1024</v>
      </c>
      <c r="F311">
        <f t="shared" si="16"/>
        <v>1.85546875</v>
      </c>
      <c r="I311" s="2">
        <f>([412]L!J311*'D(Ti_Audétat23) Times'!$F311*0.000001)^2/(4*'D(Ti_Audétat23) Times'!$C311)/(365.35*24*3600)</f>
        <v>11744.511000948551</v>
      </c>
      <c r="J311" s="2">
        <f>([412]L!K311*'D(Ti_Audétat23) Times'!$F311*0.000001)^2/(4*'D(Ti_Audétat23) Times'!$C311)/(365.35*24*3600)</f>
        <v>14577.255882345738</v>
      </c>
      <c r="K311" s="2">
        <f>([412]L!L311*'D(Ti_Audétat23) Times'!$F311*0.000001)^2/(4*'D(Ti_Audétat23) Times'!$C311)/(365.35*24*3600)</f>
        <v>16405.127782291602</v>
      </c>
      <c r="L311" s="2">
        <f>([412]L!M311*'D(Ti_Audétat23) Times'!$F311*0.000001)^2/(4*'D(Ti_Audétat23) Times'!$C311)/(365.35*24*3600)</f>
        <v>14970.258731451066</v>
      </c>
      <c r="M311" s="2">
        <f>([412]L!N311*'D(Ti_Audétat23) Times'!$F311*0.000001)^2/(4*'D(Ti_Audétat23) Times'!$C311)/(365.35*24*3600)</f>
        <v>7344.371969323478</v>
      </c>
      <c r="N311" s="2">
        <f>([412]L!O311*'D(Ti_Audétat23) Times'!$F311*0.000001)^2/(4*'D(Ti_Audétat23) Times'!$C311)/(365.35*24*3600)</f>
        <v>11180.484257978034</v>
      </c>
      <c r="O311" s="2">
        <f>([412]L!P311*'D(Ti_Audétat23) Times'!$F311*0.000001)^2/(4*'D(Ti_Audétat23) Times'!$C311)/(365.35*24*3600)</f>
        <v>4684.6265741096167</v>
      </c>
      <c r="P311" s="2">
        <f>([412]L!Q311*'D(Ti_Audétat23) Times'!$F311*0.000001)^2/(4*'D(Ti_Audétat23) Times'!$C311)/(365.35*24*3600)</f>
        <v>1678.4090382876</v>
      </c>
      <c r="Q311" s="2">
        <f>([412]L!R311*'D(Ti_Audétat23) Times'!$F311*0.000001)^2/(4*'D(Ti_Audétat23) Times'!$C311)/(365.35*24*3600)</f>
        <v>14371.106995192296</v>
      </c>
      <c r="R311" s="2">
        <f>([412]L!S311*'D(Ti_Audétat23) Times'!$F311*0.000001)^2/(4*'D(Ti_Audétat23) Times'!$C311)/(365.35*24*3600)</f>
        <v>8612.4301470879418</v>
      </c>
      <c r="S311" s="2">
        <f>([412]L!T311*'D(Ti_Audétat23) Times'!$F311*0.000001)^2/(4*'D(Ti_Audétat23) Times'!$C311)/(365.35*24*3600)</f>
        <v>2560.7769753625339</v>
      </c>
      <c r="T311" s="2"/>
      <c r="U311" s="2">
        <f>([412]L!V311*'D(Ti_Audétat23) Times'!$F311*0.000001)^2/(4*'D(Ti_Audétat23) Times'!$C311)/(365.35*24*3600)</f>
        <v>8912.3521532223913</v>
      </c>
      <c r="V311" s="2">
        <f>([412]L!W311*'D(Ti_Audétat23) Times'!$F311*0.000001)^2/(4*'D(Ti_Audétat23) Times'!$C311)/(365.35*24*3600)</f>
        <v>9002.2249174557801</v>
      </c>
      <c r="W311" s="2">
        <f>([412]L!X311*'D(Ti_Audétat23) Times'!$F311*0.000001)^2/(4*'D(Ti_Audétat23) Times'!$C311)/(365.35*24*3600)</f>
        <v>11180.484257978034</v>
      </c>
      <c r="X311" s="2"/>
      <c r="Y311" s="2">
        <f>([412]L!Z311*'D(Ti_Audétat23) Times'!$F311*0.000001)^2/(4*'D(Ti_Audétat23) Times'!$C311)/(365.35*24*3600)</f>
        <v>8434.1808747887153</v>
      </c>
      <c r="Z311" s="2">
        <f>([412]L!AB311*'D(Ti_Audétat23) Times'!$F311*0.000001)^2/(4*'D(Ti_Audétat23) Times'!$C311)/(365.35*24*3600)</f>
        <v>7964.3331508293149</v>
      </c>
      <c r="AA311" s="2">
        <f>([412]L!AC311*'D(Ti_Audétat23) Times'!$F311*0.000001)^2/(4*'D(Ti_Audétat23) Times'!$C311)/(365.35*24*3600)</f>
        <v>128.21984915384593</v>
      </c>
      <c r="AB311" s="2">
        <f>([412]L!AD311*'D(Ti_Audétat23) Times'!$F311*0.000001)^2/(4*'D(Ti_Audétat23) Times'!$C311)/(365.35*24*3600)</f>
        <v>23637.416681546154</v>
      </c>
      <c r="AC311" s="2">
        <f t="shared" si="17"/>
        <v>7836.1133016754693</v>
      </c>
      <c r="AD311" s="2">
        <f t="shared" si="18"/>
        <v>15673.083530716838</v>
      </c>
    </row>
    <row r="312" spans="1:30" x14ac:dyDescent="0.2">
      <c r="A312" t="str">
        <f>[412]L!A312</f>
        <v>CGI015-qtz06-CL-fit-1-offset</v>
      </c>
      <c r="B312">
        <v>750</v>
      </c>
      <c r="C312">
        <f t="shared" si="19"/>
        <v>1.1456341375347871E-23</v>
      </c>
      <c r="D312">
        <v>1700</v>
      </c>
      <c r="E312">
        <v>1024</v>
      </c>
      <c r="F312">
        <f t="shared" si="16"/>
        <v>1.66015625</v>
      </c>
      <c r="I312" s="2">
        <f>([412]L!J312*'D(Ti_Audétat23) Times'!$F312*0.000001)^2/(4*'D(Ti_Audétat23) Times'!$C312)/(365.35*24*3600)</f>
        <v>55952.916824826381</v>
      </c>
      <c r="J312" s="2">
        <f>([412]L!K312*'D(Ti_Audétat23) Times'!$F312*0.000001)^2/(4*'D(Ti_Audétat23) Times'!$C312)/(365.35*24*3600)</f>
        <v>60958.729310469775</v>
      </c>
      <c r="K312" s="2">
        <f>([412]L!L312*'D(Ti_Audétat23) Times'!$F312*0.000001)^2/(4*'D(Ti_Audétat23) Times'!$C312)/(365.35*24*3600)</f>
        <v>47371.535768826776</v>
      </c>
      <c r="L312" s="2">
        <f>([412]L!M312*'D(Ti_Audétat23) Times'!$F312*0.000001)^2/(4*'D(Ti_Audétat23) Times'!$C312)/(365.35*24*3600)</f>
        <v>75335.601754144373</v>
      </c>
      <c r="M312" s="2">
        <f>([412]L!N312*'D(Ti_Audétat23) Times'!$F312*0.000001)^2/(4*'D(Ti_Audétat23) Times'!$C312)/(365.35*24*3600)</f>
        <v>88823.254507584134</v>
      </c>
      <c r="N312" s="2">
        <f>([412]L!O312*'D(Ti_Audétat23) Times'!$F312*0.000001)^2/(4*'D(Ti_Audétat23) Times'!$C312)/(365.35*24*3600)</f>
        <v>68193.870435829231</v>
      </c>
      <c r="O312" s="2">
        <f>([412]L!P312*'D(Ti_Audétat23) Times'!$F312*0.000001)^2/(4*'D(Ti_Audétat23) Times'!$C312)/(365.35*24*3600)</f>
        <v>66299.650116045377</v>
      </c>
      <c r="P312" s="2">
        <f>([412]L!Q312*'D(Ti_Audétat23) Times'!$F312*0.000001)^2/(4*'D(Ti_Audétat23) Times'!$C312)/(365.35*24*3600)</f>
        <v>52689.746358663979</v>
      </c>
      <c r="Q312" s="2">
        <f>([412]L!R312*'D(Ti_Audétat23) Times'!$F312*0.000001)^2/(4*'D(Ti_Audétat23) Times'!$C312)/(365.35*24*3600)</f>
        <v>44556.060551107737</v>
      </c>
      <c r="R312" s="2">
        <f>([412]L!S312*'D(Ti_Audétat23) Times'!$F312*0.000001)^2/(4*'D(Ti_Audétat23) Times'!$C312)/(365.35*24*3600)</f>
        <v>89771.169164158215</v>
      </c>
      <c r="S312" s="2">
        <f>([412]L!T312*'D(Ti_Audétat23) Times'!$F312*0.000001)^2/(4*'D(Ti_Audétat23) Times'!$C312)/(365.35*24*3600)</f>
        <v>98033.998748989019</v>
      </c>
      <c r="T312" s="2"/>
      <c r="U312" s="2">
        <f>([412]L!V312*'D(Ti_Audétat23) Times'!$F312*0.000001)^2/(4*'D(Ti_Audétat23) Times'!$C312)/(365.35*24*3600)</f>
        <v>65292.185284434694</v>
      </c>
      <c r="V312" s="2">
        <f>([412]L!W312*'D(Ti_Audétat23) Times'!$F312*0.000001)^2/(4*'D(Ti_Audétat23) Times'!$C312)/(365.35*24*3600)</f>
        <v>66919.670779800086</v>
      </c>
      <c r="W312" s="2">
        <f>([412]L!X312*'D(Ti_Audétat23) Times'!$F312*0.000001)^2/(4*'D(Ti_Audétat23) Times'!$C312)/(365.35*24*3600)</f>
        <v>66299.650116045377</v>
      </c>
      <c r="X312" s="2"/>
      <c r="Y312" s="2">
        <f>([412]L!Z312*'D(Ti_Audétat23) Times'!$F312*0.000001)^2/(4*'D(Ti_Audétat23) Times'!$C312)/(365.35*24*3600)</f>
        <v>64451.381302509319</v>
      </c>
      <c r="Z312" s="2">
        <f>([412]L!AB312*'D(Ti_Audétat23) Times'!$F312*0.000001)^2/(4*'D(Ti_Audétat23) Times'!$C312)/(365.35*24*3600)</f>
        <v>65827.42531510962</v>
      </c>
      <c r="AA312" s="2">
        <f>([412]L!AC312*'D(Ti_Audétat23) Times'!$F312*0.000001)^2/(4*'D(Ti_Audétat23) Times'!$C312)/(365.35*24*3600)</f>
        <v>36773.652116972422</v>
      </c>
      <c r="AB312" s="2">
        <f>([412]L!AD312*'D(Ti_Audétat23) Times'!$F312*0.000001)^2/(4*'D(Ti_Audétat23) Times'!$C312)/(365.35*24*3600)</f>
        <v>108440.24289441573</v>
      </c>
      <c r="AC312" s="2">
        <f t="shared" si="17"/>
        <v>29053.773198137198</v>
      </c>
      <c r="AD312" s="2">
        <f t="shared" si="18"/>
        <v>42612.817579306109</v>
      </c>
    </row>
    <row r="313" spans="1:30" x14ac:dyDescent="0.2">
      <c r="A313" t="str">
        <f>[412]L!A313</f>
        <v>CGI015-qtz06-CL-fit-2-offset</v>
      </c>
      <c r="B313">
        <v>750</v>
      </c>
      <c r="C313">
        <f t="shared" si="19"/>
        <v>1.1456341375347871E-23</v>
      </c>
      <c r="D313">
        <v>1700</v>
      </c>
      <c r="E313">
        <v>1024</v>
      </c>
      <c r="F313">
        <f t="shared" si="16"/>
        <v>1.66015625</v>
      </c>
      <c r="I313" s="2">
        <f>([412]L!J313*'D(Ti_Audétat23) Times'!$F313*0.000001)^2/(4*'D(Ti_Audétat23) Times'!$C313)/(365.35*24*3600)</f>
        <v>54071.498502057198</v>
      </c>
      <c r="J313" s="2">
        <f>([412]L!K313*'D(Ti_Audétat23) Times'!$F313*0.000001)^2/(4*'D(Ti_Audétat23) Times'!$C313)/(365.35*24*3600)</f>
        <v>27866.77998288786</v>
      </c>
      <c r="K313" s="2">
        <f>([412]L!L313*'D(Ti_Audétat23) Times'!$F313*0.000001)^2/(4*'D(Ti_Audétat23) Times'!$C313)/(365.35*24*3600)</f>
        <v>38931.078131452676</v>
      </c>
      <c r="L313" s="2">
        <f>([412]L!M313*'D(Ti_Audétat23) Times'!$F313*0.000001)^2/(4*'D(Ti_Audétat23) Times'!$C313)/(365.35*24*3600)</f>
        <v>36417.71405112699</v>
      </c>
      <c r="M313" s="2">
        <f>([412]L!N313*'D(Ti_Audétat23) Times'!$F313*0.000001)^2/(4*'D(Ti_Audétat23) Times'!$C313)/(365.35*24*3600)</f>
        <v>39035.113116553854</v>
      </c>
      <c r="N313" s="2">
        <f>([412]L!O313*'D(Ti_Audétat23) Times'!$F313*0.000001)^2/(4*'D(Ti_Audétat23) Times'!$C313)/(365.35*24*3600)</f>
        <v>48098.182135239054</v>
      </c>
      <c r="O313" s="2">
        <f>([412]L!P313*'D(Ti_Audétat23) Times'!$F313*0.000001)^2/(4*'D(Ti_Audétat23) Times'!$C313)/(365.35*24*3600)</f>
        <v>22902.446541041278</v>
      </c>
      <c r="P313" s="2">
        <f>([412]L!Q313*'D(Ti_Audétat23) Times'!$F313*0.000001)^2/(4*'D(Ti_Audétat23) Times'!$C313)/(365.35*24*3600)</f>
        <v>26515.770548204389</v>
      </c>
      <c r="Q313" s="2">
        <f>([412]L!R313*'D(Ti_Audétat23) Times'!$F313*0.000001)^2/(4*'D(Ti_Audétat23) Times'!$C313)/(365.35*24*3600)</f>
        <v>18038.638492461632</v>
      </c>
      <c r="R313" s="2">
        <f>([412]L!S313*'D(Ti_Audétat23) Times'!$F313*0.000001)^2/(4*'D(Ti_Audétat23) Times'!$C313)/(365.35*24*3600)</f>
        <v>35177.687815432211</v>
      </c>
      <c r="S313" s="2">
        <f>([412]L!T313*'D(Ti_Audétat23) Times'!$F313*0.000001)^2/(4*'D(Ti_Audétat23) Times'!$C313)/(365.35*24*3600)</f>
        <v>27365.849744034174</v>
      </c>
      <c r="T313" s="2"/>
      <c r="U313" s="2">
        <f>([412]L!V313*'D(Ti_Audétat23) Times'!$F313*0.000001)^2/(4*'D(Ti_Audétat23) Times'!$C313)/(365.35*24*3600)</f>
        <v>33243.338768970432</v>
      </c>
      <c r="V313" s="2">
        <f>([412]L!W313*'D(Ti_Audétat23) Times'!$F313*0.000001)^2/(4*'D(Ti_Audétat23) Times'!$C313)/(365.35*24*3600)</f>
        <v>33255.161231984886</v>
      </c>
      <c r="W313" s="2">
        <f>([412]L!X313*'D(Ti_Audétat23) Times'!$F313*0.000001)^2/(4*'D(Ti_Audétat23) Times'!$C313)/(365.35*24*3600)</f>
        <v>35177.687815432211</v>
      </c>
      <c r="X313" s="2"/>
      <c r="Y313" s="2">
        <f>([412]L!Z313*'D(Ti_Audétat23) Times'!$F313*0.000001)^2/(4*'D(Ti_Audétat23) Times'!$C313)/(365.35*24*3600)</f>
        <v>32651.216343335345</v>
      </c>
      <c r="Z313" s="2">
        <f>([412]L!AB313*'D(Ti_Audétat23) Times'!$F313*0.000001)^2/(4*'D(Ti_Audétat23) Times'!$C313)/(365.35*24*3600)</f>
        <v>32334.625531910297</v>
      </c>
      <c r="AA313" s="2">
        <f>([412]L!AC313*'D(Ti_Audétat23) Times'!$F313*0.000001)^2/(4*'D(Ti_Audétat23) Times'!$C313)/(365.35*24*3600)</f>
        <v>16009.325224535829</v>
      </c>
      <c r="AB313" s="2">
        <f>([412]L!AD313*'D(Ti_Audétat23) Times'!$F313*0.000001)^2/(4*'D(Ti_Audétat23) Times'!$C313)/(365.35*24*3600)</f>
        <v>50549.914922481497</v>
      </c>
      <c r="AC313" s="2">
        <f t="shared" si="17"/>
        <v>16325.300307374468</v>
      </c>
      <c r="AD313" s="2">
        <f t="shared" si="18"/>
        <v>18215.289390571201</v>
      </c>
    </row>
    <row r="314" spans="1:30" x14ac:dyDescent="0.2">
      <c r="A314" t="str">
        <f>[412]L!A314</f>
        <v>CGI015-qtz06-CL-fit-3-offset</v>
      </c>
      <c r="B314">
        <v>750</v>
      </c>
      <c r="C314">
        <f t="shared" si="19"/>
        <v>1.1456341375347871E-23</v>
      </c>
      <c r="D314">
        <v>1700</v>
      </c>
      <c r="E314">
        <v>1024</v>
      </c>
      <c r="F314">
        <f t="shared" si="16"/>
        <v>1.66015625</v>
      </c>
      <c r="I314" s="2">
        <f>([412]L!J314*'D(Ti_Audétat23) Times'!$F314*0.000001)^2/(4*'D(Ti_Audétat23) Times'!$C314)/(365.35*24*3600)</f>
        <v>65.140212184868759</v>
      </c>
      <c r="J314" s="2">
        <f>([412]L!K314*'D(Ti_Audétat23) Times'!$F314*0.000001)^2/(4*'D(Ti_Audétat23) Times'!$C314)/(365.35*24*3600)</f>
        <v>8191.9618738149293</v>
      </c>
      <c r="K314" s="2">
        <f>([412]L!L314*'D(Ti_Audétat23) Times'!$F314*0.000001)^2/(4*'D(Ti_Audétat23) Times'!$C314)/(365.35*24*3600)</f>
        <v>28315.100632914702</v>
      </c>
      <c r="L314" s="2">
        <f>([412]L!M314*'D(Ti_Audétat23) Times'!$F314*0.000001)^2/(4*'D(Ti_Audétat23) Times'!$C314)/(365.35*24*3600)</f>
        <v>4977.9272877654603</v>
      </c>
      <c r="M314" s="2">
        <f>([412]L!N314*'D(Ti_Audétat23) Times'!$F314*0.000001)^2/(4*'D(Ti_Audétat23) Times'!$C314)/(365.35*24*3600)</f>
        <v>0</v>
      </c>
      <c r="N314" s="2">
        <f>([412]L!O314*'D(Ti_Audétat23) Times'!$F314*0.000001)^2/(4*'D(Ti_Audétat23) Times'!$C314)/(365.35*24*3600)</f>
        <v>105.8508490195082</v>
      </c>
      <c r="O314" s="2">
        <f>([412]L!P314*'D(Ti_Audétat23) Times'!$F314*0.000001)^2/(4*'D(Ti_Audétat23) Times'!$C314)/(365.35*24*3600)</f>
        <v>58605.322885077716</v>
      </c>
      <c r="P314" s="2">
        <f>([412]L!Q314*'D(Ti_Audétat23) Times'!$F314*0.000001)^2/(4*'D(Ti_Audétat23) Times'!$C314)/(365.35*24*3600)</f>
        <v>90001.680111772832</v>
      </c>
      <c r="Q314" s="2">
        <f>([412]L!R314*'D(Ti_Audétat23) Times'!$F314*0.000001)^2/(4*'D(Ti_Audétat23) Times'!$C314)/(365.35*24*3600)</f>
        <v>5223.4851151501944</v>
      </c>
      <c r="R314" s="2">
        <f>([412]L!S314*'D(Ti_Audétat23) Times'!$F314*0.000001)^2/(4*'D(Ti_Audétat23) Times'!$C314)/(365.35*24*3600)</f>
        <v>25377.244412863598</v>
      </c>
      <c r="S314" s="2">
        <f>([412]L!T314*'D(Ti_Audétat23) Times'!$F314*0.000001)^2/(4*'D(Ti_Audétat23) Times'!$C314)/(365.35*24*3600)</f>
        <v>8010.7743595054026</v>
      </c>
      <c r="T314" s="2"/>
      <c r="U314" s="2">
        <f>([412]L!V314*'D(Ti_Audétat23) Times'!$F314*0.000001)^2/(4*'D(Ti_Audétat23) Times'!$C314)/(365.35*24*3600)</f>
        <v>26439.309345739894</v>
      </c>
      <c r="V314" s="2">
        <f>([412]L!W314*'D(Ti_Audétat23) Times'!$F314*0.000001)^2/(4*'D(Ti_Audétat23) Times'!$C314)/(365.35*24*3600)</f>
        <v>14661.850265161578</v>
      </c>
      <c r="W314" s="2">
        <f>([412]L!X314*'D(Ti_Audétat23) Times'!$F314*0.000001)^2/(4*'D(Ti_Audétat23) Times'!$C314)/(365.35*24*3600)</f>
        <v>8101.1148419876217</v>
      </c>
      <c r="X314" s="2"/>
      <c r="Y314" s="2">
        <f>([412]L!Z314*'D(Ti_Audétat23) Times'!$F314*0.000001)^2/(4*'D(Ti_Audétat23) Times'!$C314)/(365.35*24*3600)</f>
        <v>26084.792253433548</v>
      </c>
      <c r="Z314" s="2">
        <f>([412]L!AB314*'D(Ti_Audétat23) Times'!$F314*0.000001)^2/(4*'D(Ti_Audétat23) Times'!$C314)/(365.35*24*3600)</f>
        <v>31915.771068319013</v>
      </c>
      <c r="AA314" s="2">
        <f>([412]L!AC314*'D(Ti_Audétat23) Times'!$F314*0.000001)^2/(4*'D(Ti_Audétat23) Times'!$C314)/(365.35*24*3600)</f>
        <v>195.1570004768833</v>
      </c>
      <c r="AB314" s="2">
        <f>([412]L!AD314*'D(Ti_Audétat23) Times'!$F314*0.000001)^2/(4*'D(Ti_Audétat23) Times'!$C314)/(365.35*24*3600)</f>
        <v>213433.64966286233</v>
      </c>
      <c r="AC314" s="2">
        <f t="shared" si="17"/>
        <v>31720.614067842129</v>
      </c>
      <c r="AD314" s="2">
        <f t="shared" si="18"/>
        <v>181517.87859454332</v>
      </c>
    </row>
    <row r="315" spans="1:30" x14ac:dyDescent="0.2">
      <c r="A315" t="str">
        <f>[412]L!A315</f>
        <v>CGI015-qtz06-CL-fit-4-offset</v>
      </c>
      <c r="B315">
        <v>750</v>
      </c>
      <c r="C315">
        <f t="shared" si="19"/>
        <v>1.1456341375347871E-23</v>
      </c>
      <c r="D315">
        <v>1700</v>
      </c>
      <c r="E315">
        <v>1024</v>
      </c>
      <c r="F315">
        <f t="shared" si="16"/>
        <v>1.66015625</v>
      </c>
      <c r="I315" s="2">
        <f>([412]L!J315*'D(Ti_Audétat23) Times'!$F315*0.000001)^2/(4*'D(Ti_Audétat23) Times'!$C315)/(365.35*24*3600)</f>
        <v>14684.822002820987</v>
      </c>
      <c r="J315" s="2">
        <f>([412]L!K315*'D(Ti_Audétat23) Times'!$F315*0.000001)^2/(4*'D(Ti_Audétat23) Times'!$C315)/(365.35*24*3600)</f>
        <v>25699.419212073783</v>
      </c>
      <c r="K315" s="2">
        <f>([412]L!L315*'D(Ti_Audétat23) Times'!$F315*0.000001)^2/(4*'D(Ti_Audétat23) Times'!$C315)/(365.35*24*3600)</f>
        <v>26755.038177779541</v>
      </c>
      <c r="L315" s="2">
        <f>([412]L!M315*'D(Ti_Audétat23) Times'!$F315*0.000001)^2/(4*'D(Ti_Audétat23) Times'!$C315)/(365.35*24*3600)</f>
        <v>12059.291557983197</v>
      </c>
      <c r="M315" s="2">
        <f>([412]L!N315*'D(Ti_Audétat23) Times'!$F315*0.000001)^2/(4*'D(Ti_Audétat23) Times'!$C315)/(365.35*24*3600)</f>
        <v>22182.713843460122</v>
      </c>
      <c r="N315" s="2">
        <f>([412]L!O315*'D(Ti_Audétat23) Times'!$F315*0.000001)^2/(4*'D(Ti_Audétat23) Times'!$C315)/(365.35*24*3600)</f>
        <v>26287.534259018994</v>
      </c>
      <c r="O315" s="2">
        <f>([412]L!P315*'D(Ti_Audétat23) Times'!$F315*0.000001)^2/(4*'D(Ti_Audétat23) Times'!$C315)/(365.35*24*3600)</f>
        <v>22550.609910136485</v>
      </c>
      <c r="P315" s="2">
        <f>([412]L!Q315*'D(Ti_Audétat23) Times'!$F315*0.000001)^2/(4*'D(Ti_Audétat23) Times'!$C315)/(365.35*24*3600)</f>
        <v>23302.049964899776</v>
      </c>
      <c r="Q315" s="2">
        <f>([412]L!R315*'D(Ti_Audétat23) Times'!$F315*0.000001)^2/(4*'D(Ti_Audétat23) Times'!$C315)/(365.35*24*3600)</f>
        <v>45467.391751649287</v>
      </c>
      <c r="R315" s="2">
        <f>([412]L!S315*'D(Ti_Audétat23) Times'!$F315*0.000001)^2/(4*'D(Ti_Audétat23) Times'!$C315)/(365.35*24*3600)</f>
        <v>30647.837381936224</v>
      </c>
      <c r="S315" s="2">
        <f>([412]L!T315*'D(Ti_Audétat23) Times'!$F315*0.000001)^2/(4*'D(Ti_Audétat23) Times'!$C315)/(365.35*24*3600)</f>
        <v>17859.557613419765</v>
      </c>
      <c r="T315" s="2"/>
      <c r="U315" s="2">
        <f>([412]L!V315*'D(Ti_Audétat23) Times'!$F315*0.000001)^2/(4*'D(Ti_Audétat23) Times'!$C315)/(365.35*24*3600)</f>
        <v>25182.415128704379</v>
      </c>
      <c r="V315" s="2">
        <f>([412]L!W315*'D(Ti_Audétat23) Times'!$F315*0.000001)^2/(4*'D(Ti_Audétat23) Times'!$C315)/(365.35*24*3600)</f>
        <v>23623.778707152003</v>
      </c>
      <c r="W315" s="2">
        <f>([412]L!X315*'D(Ti_Audétat23) Times'!$F315*0.000001)^2/(4*'D(Ti_Audétat23) Times'!$C315)/(365.35*24*3600)</f>
        <v>23302.049964899776</v>
      </c>
      <c r="X315" s="2"/>
      <c r="Y315" s="2">
        <f>([412]L!Z315*'D(Ti_Audétat23) Times'!$F315*0.000001)^2/(4*'D(Ti_Audétat23) Times'!$C315)/(365.35*24*3600)</f>
        <v>24443.381023268856</v>
      </c>
      <c r="Z315" s="2">
        <f>([412]L!AB315*'D(Ti_Audétat23) Times'!$F315*0.000001)^2/(4*'D(Ti_Audétat23) Times'!$C315)/(365.35*24*3600)</f>
        <v>24828.643982188263</v>
      </c>
      <c r="AA315" s="2">
        <f>([412]L!AC315*'D(Ti_Audétat23) Times'!$F315*0.000001)^2/(4*'D(Ti_Audétat23) Times'!$C315)/(365.35*24*3600)</f>
        <v>13588.558827588489</v>
      </c>
      <c r="AB315" s="2">
        <f>([412]L!AD315*'D(Ti_Audétat23) Times'!$F315*0.000001)^2/(4*'D(Ti_Audétat23) Times'!$C315)/(365.35*24*3600)</f>
        <v>41041.414296471405</v>
      </c>
      <c r="AC315" s="2">
        <f t="shared" si="17"/>
        <v>11240.085154599774</v>
      </c>
      <c r="AD315" s="2">
        <f t="shared" si="18"/>
        <v>16212.770314283141</v>
      </c>
    </row>
    <row r="316" spans="1:30" x14ac:dyDescent="0.2">
      <c r="A316" t="str">
        <f>[412]L!A316</f>
        <v>CGI015-qtz07-CL-fit-1-offset</v>
      </c>
      <c r="B316">
        <v>750</v>
      </c>
      <c r="C316">
        <f t="shared" si="19"/>
        <v>1.1456341375347871E-23</v>
      </c>
      <c r="D316">
        <v>2250</v>
      </c>
      <c r="E316">
        <v>1024</v>
      </c>
      <c r="F316">
        <f t="shared" si="16"/>
        <v>2.197265625</v>
      </c>
      <c r="I316" s="2">
        <f>([412]L!J316*'D(Ti_Audétat23) Times'!$F316*0.000001)^2/(4*'D(Ti_Audétat23) Times'!$C316)/(365.35*24*3600)</f>
        <v>73032.274395157307</v>
      </c>
      <c r="J316" s="2">
        <f>([412]L!K316*'D(Ti_Audétat23) Times'!$F316*0.000001)^2/(4*'D(Ti_Audétat23) Times'!$C316)/(365.35*24*3600)</f>
        <v>71607.349707797228</v>
      </c>
      <c r="K316" s="2">
        <f>([412]L!L316*'D(Ti_Audétat23) Times'!$F316*0.000001)^2/(4*'D(Ti_Audétat23) Times'!$C316)/(365.35*24*3600)</f>
        <v>89949.004966938155</v>
      </c>
      <c r="L316" s="2">
        <f>([412]L!M316*'D(Ti_Audétat23) Times'!$F316*0.000001)^2/(4*'D(Ti_Audétat23) Times'!$C316)/(365.35*24*3600)</f>
        <v>66133.647544671418</v>
      </c>
      <c r="M316" s="2">
        <f>([412]L!N316*'D(Ti_Audétat23) Times'!$F316*0.000001)^2/(4*'D(Ti_Audétat23) Times'!$C316)/(365.35*24*3600)</f>
        <v>76760.149957322938</v>
      </c>
      <c r="N316" s="2">
        <f>([412]L!O316*'D(Ti_Audétat23) Times'!$F316*0.000001)^2/(4*'D(Ti_Audétat23) Times'!$C316)/(365.35*24*3600)</f>
        <v>59353.997487415101</v>
      </c>
      <c r="O316" s="2">
        <f>([412]L!P316*'D(Ti_Audétat23) Times'!$F316*0.000001)^2/(4*'D(Ti_Audétat23) Times'!$C316)/(365.35*24*3600)</f>
        <v>72884.409973764821</v>
      </c>
      <c r="P316" s="2">
        <f>([412]L!Q316*'D(Ti_Audétat23) Times'!$F316*0.000001)^2/(4*'D(Ti_Audétat23) Times'!$C316)/(365.35*24*3600)</f>
        <v>48508.901855216827</v>
      </c>
      <c r="Q316" s="2">
        <f>([412]L!R316*'D(Ti_Audétat23) Times'!$F316*0.000001)^2/(4*'D(Ti_Audétat23) Times'!$C316)/(365.35*24*3600)</f>
        <v>46460.055580777305</v>
      </c>
      <c r="R316" s="2">
        <f>([412]L!S316*'D(Ti_Audétat23) Times'!$F316*0.000001)^2/(4*'D(Ti_Audétat23) Times'!$C316)/(365.35*24*3600)</f>
        <v>49310.523303466078</v>
      </c>
      <c r="S316" s="2">
        <f>([412]L!T316*'D(Ti_Audétat23) Times'!$F316*0.000001)^2/(4*'D(Ti_Audétat23) Times'!$C316)/(365.35*24*3600)</f>
        <v>79111.68168688906</v>
      </c>
      <c r="T316" s="2"/>
      <c r="U316" s="2">
        <f>([412]L!V316*'D(Ti_Audétat23) Times'!$F316*0.000001)^2/(4*'D(Ti_Audétat23) Times'!$C316)/(365.35*24*3600)</f>
        <v>66511.776352924659</v>
      </c>
      <c r="V316" s="2">
        <f>([412]L!W316*'D(Ti_Audétat23) Times'!$F316*0.000001)^2/(4*'D(Ti_Audétat23) Times'!$C316)/(365.35*24*3600)</f>
        <v>65941.342438405743</v>
      </c>
      <c r="W316" s="2">
        <f>([412]L!X316*'D(Ti_Audétat23) Times'!$F316*0.000001)^2/(4*'D(Ti_Audétat23) Times'!$C316)/(365.35*24*3600)</f>
        <v>71607.349707797228</v>
      </c>
      <c r="X316" s="2"/>
      <c r="Y316" s="2">
        <f>([412]L!Z316*'D(Ti_Audétat23) Times'!$F316*0.000001)^2/(4*'D(Ti_Audétat23) Times'!$C316)/(365.35*24*3600)</f>
        <v>66392.247423813635</v>
      </c>
      <c r="Z316" s="2">
        <f>([412]L!AB316*'D(Ti_Audétat23) Times'!$F316*0.000001)^2/(4*'D(Ti_Audétat23) Times'!$C316)/(365.35*24*3600)</f>
        <v>66996.541849693283</v>
      </c>
      <c r="AA316" s="2">
        <f>([412]L!AC316*'D(Ti_Audétat23) Times'!$F316*0.000001)^2/(4*'D(Ti_Audétat23) Times'!$C316)/(365.35*24*3600)</f>
        <v>41942.870227929699</v>
      </c>
      <c r="AB316" s="2">
        <f>([412]L!AD316*'D(Ti_Audétat23) Times'!$F316*0.000001)^2/(4*'D(Ti_Audétat23) Times'!$C316)/(365.35*24*3600)</f>
        <v>100442.39466643259</v>
      </c>
      <c r="AC316" s="2">
        <f t="shared" si="17"/>
        <v>25053.671621763584</v>
      </c>
      <c r="AD316" s="2">
        <f t="shared" si="18"/>
        <v>33445.852816739309</v>
      </c>
    </row>
    <row r="317" spans="1:30" x14ac:dyDescent="0.2">
      <c r="A317" t="str">
        <f>[412]L!A317</f>
        <v>CGI015-qtz07-CL-fit-2-offset</v>
      </c>
      <c r="B317">
        <v>750</v>
      </c>
      <c r="C317">
        <f t="shared" si="19"/>
        <v>1.1456341375347871E-23</v>
      </c>
      <c r="D317">
        <v>2250</v>
      </c>
      <c r="E317">
        <v>1024</v>
      </c>
      <c r="F317">
        <f t="shared" si="16"/>
        <v>2.197265625</v>
      </c>
      <c r="I317" s="2">
        <f>([412]L!J317*'D(Ti_Audétat23) Times'!$F317*0.000001)^2/(4*'D(Ti_Audétat23) Times'!$C317)/(365.35*24*3600)</f>
        <v>364776.04632957565</v>
      </c>
      <c r="J317" s="2">
        <f>([412]L!K317*'D(Ti_Audétat23) Times'!$F317*0.000001)^2/(4*'D(Ti_Audétat23) Times'!$C317)/(365.35*24*3600)</f>
        <v>364629.36017219111</v>
      </c>
      <c r="K317" s="2">
        <f>([412]L!L317*'D(Ti_Audétat23) Times'!$F317*0.000001)^2/(4*'D(Ti_Audétat23) Times'!$C317)/(365.35*24*3600)</f>
        <v>372147.70900242694</v>
      </c>
      <c r="L317" s="2">
        <f>([412]L!M317*'D(Ti_Audétat23) Times'!$F317*0.000001)^2/(4*'D(Ti_Audétat23) Times'!$C317)/(365.35*24*3600)</f>
        <v>198450.48165010006</v>
      </c>
      <c r="M317" s="2">
        <f>([412]L!N317*'D(Ti_Audétat23) Times'!$F317*0.000001)^2/(4*'D(Ti_Audétat23) Times'!$C317)/(365.35*24*3600)</f>
        <v>227132.08779012715</v>
      </c>
      <c r="N317" s="2">
        <f>([412]L!O317*'D(Ti_Audétat23) Times'!$F317*0.000001)^2/(4*'D(Ti_Audétat23) Times'!$C317)/(365.35*24*3600)</f>
        <v>181217.49418473121</v>
      </c>
      <c r="O317" s="2">
        <f>([412]L!P317*'D(Ti_Audétat23) Times'!$F317*0.000001)^2/(4*'D(Ti_Audétat23) Times'!$C317)/(365.35*24*3600)</f>
        <v>185413.94831199636</v>
      </c>
      <c r="P317" s="2">
        <f>([412]L!Q317*'D(Ti_Audétat23) Times'!$F317*0.000001)^2/(4*'D(Ti_Audétat23) Times'!$C317)/(365.35*24*3600)</f>
        <v>255088.67717782661</v>
      </c>
      <c r="Q317" s="2">
        <f>([412]L!R317*'D(Ti_Audétat23) Times'!$F317*0.000001)^2/(4*'D(Ti_Audétat23) Times'!$C317)/(365.35*24*3600)</f>
        <v>120872.10411721223</v>
      </c>
      <c r="R317" s="2">
        <f>([412]L!S317*'D(Ti_Audétat23) Times'!$F317*0.000001)^2/(4*'D(Ti_Audétat23) Times'!$C317)/(365.35*24*3600)</f>
        <v>378255.37128270039</v>
      </c>
      <c r="S317" s="2">
        <f>([412]L!T317*'D(Ti_Audétat23) Times'!$F317*0.000001)^2/(4*'D(Ti_Audétat23) Times'!$C317)/(365.35*24*3600)</f>
        <v>270961.78880413598</v>
      </c>
      <c r="T317" s="2"/>
      <c r="U317" s="2">
        <f>([412]L!V317*'D(Ti_Audétat23) Times'!$F317*0.000001)^2/(4*'D(Ti_Audétat23) Times'!$C317)/(365.35*24*3600)</f>
        <v>262402.39441650914</v>
      </c>
      <c r="V317" s="2">
        <f>([412]L!W317*'D(Ti_Audétat23) Times'!$F317*0.000001)^2/(4*'D(Ti_Audétat23) Times'!$C317)/(365.35*24*3600)</f>
        <v>257740.92637280608</v>
      </c>
      <c r="W317" s="2">
        <f>([412]L!X317*'D(Ti_Audétat23) Times'!$F317*0.000001)^2/(4*'D(Ti_Audétat23) Times'!$C317)/(365.35*24*3600)</f>
        <v>255088.67717782661</v>
      </c>
      <c r="X317" s="2"/>
      <c r="Y317" s="2">
        <f>([412]L!Z317*'D(Ti_Audétat23) Times'!$F317*0.000001)^2/(4*'D(Ti_Audétat23) Times'!$C317)/(365.35*24*3600)</f>
        <v>251270.2812589262</v>
      </c>
      <c r="Z317" s="2">
        <f>([412]L!AB317*'D(Ti_Audétat23) Times'!$F317*0.000001)^2/(4*'D(Ti_Audétat23) Times'!$C317)/(365.35*24*3600)</f>
        <v>261896.60348175798</v>
      </c>
      <c r="AA317" s="2">
        <f>([412]L!AC317*'D(Ti_Audétat23) Times'!$F317*0.000001)^2/(4*'D(Ti_Audétat23) Times'!$C317)/(365.35*24*3600)</f>
        <v>142007.43542653846</v>
      </c>
      <c r="AB317" s="2">
        <f>([412]L!AD317*'D(Ti_Audétat23) Times'!$F317*0.000001)^2/(4*'D(Ti_Audétat23) Times'!$C317)/(365.35*24*3600)</f>
        <v>494619.24826843891</v>
      </c>
      <c r="AC317" s="2">
        <f t="shared" si="17"/>
        <v>119889.16805521952</v>
      </c>
      <c r="AD317" s="2">
        <f t="shared" si="18"/>
        <v>232722.64478668093</v>
      </c>
    </row>
    <row r="318" spans="1:30" x14ac:dyDescent="0.2">
      <c r="A318" t="str">
        <f>[412]L!A318</f>
        <v>CGI015-qtz07-CL-fit-3-offset</v>
      </c>
      <c r="B318">
        <v>750</v>
      </c>
      <c r="C318">
        <f t="shared" si="19"/>
        <v>1.1456341375347871E-23</v>
      </c>
      <c r="D318">
        <v>2250</v>
      </c>
      <c r="E318">
        <v>1024</v>
      </c>
      <c r="F318">
        <f t="shared" si="16"/>
        <v>2.197265625</v>
      </c>
      <c r="I318" s="2">
        <f>([412]L!J318*'D(Ti_Audétat23) Times'!$F318*0.000001)^2/(4*'D(Ti_Audétat23) Times'!$C318)/(365.35*24*3600)</f>
        <v>11909.027172313972</v>
      </c>
      <c r="J318" s="2">
        <f>([412]L!K318*'D(Ti_Audétat23) Times'!$F318*0.000001)^2/(4*'D(Ti_Audétat23) Times'!$C318)/(365.35*24*3600)</f>
        <v>16313.214084000183</v>
      </c>
      <c r="K318" s="2">
        <f>([412]L!L318*'D(Ti_Audétat23) Times'!$F318*0.000001)^2/(4*'D(Ti_Audétat23) Times'!$C318)/(365.35*24*3600)</f>
        <v>16235.468922411721</v>
      </c>
      <c r="L318" s="2">
        <f>([412]L!M318*'D(Ti_Audétat23) Times'!$F318*0.000001)^2/(4*'D(Ti_Audétat23) Times'!$C318)/(365.35*24*3600)</f>
        <v>20687.877610468495</v>
      </c>
      <c r="M318" s="2">
        <f>([412]L!N318*'D(Ti_Audétat23) Times'!$F318*0.000001)^2/(4*'D(Ti_Audétat23) Times'!$C318)/(365.35*24*3600)</f>
        <v>16773.333632604932</v>
      </c>
      <c r="N318" s="2">
        <f>([412]L!O318*'D(Ti_Audétat23) Times'!$F318*0.000001)^2/(4*'D(Ti_Audétat23) Times'!$C318)/(365.35*24*3600)</f>
        <v>16392.092729219687</v>
      </c>
      <c r="O318" s="2">
        <f>([412]L!P318*'D(Ti_Audétat23) Times'!$F318*0.000001)^2/(4*'D(Ti_Audétat23) Times'!$C318)/(365.35*24*3600)</f>
        <v>17090.768514331889</v>
      </c>
      <c r="P318" s="2">
        <f>([412]L!Q318*'D(Ti_Audétat23) Times'!$F318*0.000001)^2/(4*'D(Ti_Audétat23) Times'!$C318)/(365.35*24*3600)</f>
        <v>20225.12018977958</v>
      </c>
      <c r="Q318" s="2">
        <f>([412]L!R318*'D(Ti_Audétat23) Times'!$F318*0.000001)^2/(4*'D(Ti_Audétat23) Times'!$C318)/(365.35*24*3600)</f>
        <v>13719.296283698772</v>
      </c>
      <c r="R318" s="2">
        <f>([412]L!S318*'D(Ti_Audétat23) Times'!$F318*0.000001)^2/(4*'D(Ti_Audétat23) Times'!$C318)/(365.35*24*3600)</f>
        <v>12541.414334105961</v>
      </c>
      <c r="S318" s="2">
        <f>([412]L!T318*'D(Ti_Audétat23) Times'!$F318*0.000001)^2/(4*'D(Ti_Audétat23) Times'!$C318)/(365.35*24*3600)</f>
        <v>32380.441102882014</v>
      </c>
      <c r="T318" s="2"/>
      <c r="U318" s="2">
        <f>([412]L!V318*'D(Ti_Audétat23) Times'!$F318*0.000001)^2/(4*'D(Ti_Audétat23) Times'!$C318)/(365.35*24*3600)</f>
        <v>17121.749773246564</v>
      </c>
      <c r="V318" s="2">
        <f>([412]L!W318*'D(Ti_Audétat23) Times'!$F318*0.000001)^2/(4*'D(Ti_Audétat23) Times'!$C318)/(365.35*24*3600)</f>
        <v>17319.917174458111</v>
      </c>
      <c r="W318" s="2">
        <f>([412]L!X318*'D(Ti_Audétat23) Times'!$F318*0.000001)^2/(4*'D(Ti_Audétat23) Times'!$C318)/(365.35*24*3600)</f>
        <v>16392.092729219687</v>
      </c>
      <c r="X318" s="2"/>
      <c r="Y318" s="2">
        <f>([412]L!Z318*'D(Ti_Audétat23) Times'!$F318*0.000001)^2/(4*'D(Ti_Audétat23) Times'!$C318)/(365.35*24*3600)</f>
        <v>15898.528355720462</v>
      </c>
      <c r="Z318" s="2">
        <f>([412]L!AB318*'D(Ti_Audétat23) Times'!$F318*0.000001)^2/(4*'D(Ti_Audétat23) Times'!$C318)/(365.35*24*3600)</f>
        <v>16450.659981286375</v>
      </c>
      <c r="AA318" s="2">
        <f>([412]L!AC318*'D(Ti_Audétat23) Times'!$F318*0.000001)^2/(4*'D(Ti_Audétat23) Times'!$C318)/(365.35*24*3600)</f>
        <v>8414.8048059319608</v>
      </c>
      <c r="AB318" s="2">
        <f>([412]L!AD318*'D(Ti_Audétat23) Times'!$F318*0.000001)^2/(4*'D(Ti_Audétat23) Times'!$C318)/(365.35*24*3600)</f>
        <v>29918.668635748112</v>
      </c>
      <c r="AC318" s="2">
        <f t="shared" si="17"/>
        <v>8035.8551753544143</v>
      </c>
      <c r="AD318" s="2">
        <f t="shared" si="18"/>
        <v>13468.008654461737</v>
      </c>
    </row>
    <row r="319" spans="1:30" x14ac:dyDescent="0.2">
      <c r="A319" t="str">
        <f>[412]L!A319</f>
        <v>CGI015-qtz07-CL-fit-4-offset</v>
      </c>
      <c r="B319">
        <v>750</v>
      </c>
      <c r="C319">
        <f t="shared" si="19"/>
        <v>1.1456341375347871E-23</v>
      </c>
      <c r="D319">
        <v>2250</v>
      </c>
      <c r="E319">
        <v>1024</v>
      </c>
      <c r="F319">
        <f t="shared" si="16"/>
        <v>2.197265625</v>
      </c>
      <c r="I319" s="2">
        <f>([412]L!J319*'D(Ti_Audétat23) Times'!$F319*0.000001)^2/(4*'D(Ti_Audétat23) Times'!$C319)/(365.35*24*3600)</f>
        <v>13043.070748487326</v>
      </c>
      <c r="J319" s="2">
        <f>([412]L!K319*'D(Ti_Audétat23) Times'!$F319*0.000001)^2/(4*'D(Ti_Audétat23) Times'!$C319)/(365.35*24*3600)</f>
        <v>8718.0706959079453</v>
      </c>
      <c r="K319" s="2">
        <f>([412]L!L319*'D(Ti_Audétat23) Times'!$F319*0.000001)^2/(4*'D(Ti_Audétat23) Times'!$C319)/(365.35*24*3600)</f>
        <v>13740.532081108595</v>
      </c>
      <c r="L319" s="2">
        <f>([412]L!M319*'D(Ti_Audétat23) Times'!$F319*0.000001)^2/(4*'D(Ti_Audétat23) Times'!$C319)/(365.35*24*3600)</f>
        <v>12448.340598515413</v>
      </c>
      <c r="M319" s="2">
        <f>([412]L!N319*'D(Ti_Audétat23) Times'!$F319*0.000001)^2/(4*'D(Ti_Audétat23) Times'!$C319)/(365.35*24*3600)</f>
        <v>14008.550238557227</v>
      </c>
      <c r="N319" s="2">
        <f>([412]L!O319*'D(Ti_Audétat23) Times'!$F319*0.000001)^2/(4*'D(Ti_Audétat23) Times'!$C319)/(365.35*24*3600)</f>
        <v>13808.737380332343</v>
      </c>
      <c r="O319" s="2">
        <f>([412]L!P319*'D(Ti_Audétat23) Times'!$F319*0.000001)^2/(4*'D(Ti_Audétat23) Times'!$C319)/(365.35*24*3600)</f>
        <v>13551.375905030256</v>
      </c>
      <c r="P319" s="2">
        <f>([412]L!Q319*'D(Ti_Audétat23) Times'!$F319*0.000001)^2/(4*'D(Ti_Audétat23) Times'!$C319)/(365.35*24*3600)</f>
        <v>13383.754060090256</v>
      </c>
      <c r="Q319" s="2">
        <f>([412]L!R319*'D(Ti_Audétat23) Times'!$F319*0.000001)^2/(4*'D(Ti_Audétat23) Times'!$C319)/(365.35*24*3600)</f>
        <v>12187.961925422611</v>
      </c>
      <c r="R319" s="2">
        <f>([412]L!S319*'D(Ti_Audétat23) Times'!$F319*0.000001)^2/(4*'D(Ti_Audétat23) Times'!$C319)/(365.35*24*3600)</f>
        <v>17255.058172598689</v>
      </c>
      <c r="S319" s="2">
        <f>([412]L!T319*'D(Ti_Audétat23) Times'!$F319*0.000001)^2/(4*'D(Ti_Audétat23) Times'!$C319)/(365.35*24*3600)</f>
        <v>18579.931280900404</v>
      </c>
      <c r="T319" s="2"/>
      <c r="U319" s="2">
        <f>([412]L!V319*'D(Ti_Audétat23) Times'!$F319*0.000001)^2/(4*'D(Ti_Audétat23) Times'!$C319)/(365.35*24*3600)</f>
        <v>14753.858557545214</v>
      </c>
      <c r="V319" s="2">
        <f>([412]L!W319*'D(Ti_Audétat23) Times'!$F319*0.000001)^2/(4*'D(Ti_Audétat23) Times'!$C319)/(365.35*24*3600)</f>
        <v>13591.356668248069</v>
      </c>
      <c r="W319" s="2">
        <f>([412]L!X319*'D(Ti_Audétat23) Times'!$F319*0.000001)^2/(4*'D(Ti_Audétat23) Times'!$C319)/(365.35*24*3600)</f>
        <v>13551.375905030256</v>
      </c>
      <c r="X319" s="2"/>
      <c r="Y319" s="2">
        <f>([412]L!Z319*'D(Ti_Audétat23) Times'!$F319*0.000001)^2/(4*'D(Ti_Audétat23) Times'!$C319)/(365.35*24*3600)</f>
        <v>14503.554550868739</v>
      </c>
      <c r="Z319" s="2">
        <f>([412]L!AB319*'D(Ti_Audétat23) Times'!$F319*0.000001)^2/(4*'D(Ti_Audétat23) Times'!$C319)/(365.35*24*3600)</f>
        <v>13479.00986633291</v>
      </c>
      <c r="AA319" s="2">
        <f>([412]L!AC319*'D(Ti_Audétat23) Times'!$F319*0.000001)^2/(4*'D(Ti_Audétat23) Times'!$C319)/(365.35*24*3600)</f>
        <v>1916.3478141647242</v>
      </c>
      <c r="AB319" s="2">
        <f>([412]L!AD319*'D(Ti_Audétat23) Times'!$F319*0.000001)^2/(4*'D(Ti_Audétat23) Times'!$C319)/(365.35*24*3600)</f>
        <v>25627.251324463858</v>
      </c>
      <c r="AC319" s="2">
        <f t="shared" si="17"/>
        <v>11562.662052168185</v>
      </c>
      <c r="AD319" s="2">
        <f t="shared" si="18"/>
        <v>12148.241458130948</v>
      </c>
    </row>
    <row r="320" spans="1:30" x14ac:dyDescent="0.2">
      <c r="A320" t="str">
        <f>[412]L!A320</f>
        <v>CGI015-qtz07-CL-fit-5-offset</v>
      </c>
      <c r="B320">
        <v>750</v>
      </c>
      <c r="C320">
        <f t="shared" si="19"/>
        <v>1.1456341375347871E-23</v>
      </c>
      <c r="D320">
        <v>2250</v>
      </c>
      <c r="E320">
        <v>1024</v>
      </c>
      <c r="F320">
        <f t="shared" si="16"/>
        <v>2.197265625</v>
      </c>
      <c r="I320" s="2">
        <f>([412]L!J320*'D(Ti_Audétat23) Times'!$F320*0.000001)^2/(4*'D(Ti_Audétat23) Times'!$C320)/(365.35*24*3600)</f>
        <v>25573.726524768197</v>
      </c>
      <c r="J320" s="2">
        <f>([412]L!K320*'D(Ti_Audétat23) Times'!$F320*0.000001)^2/(4*'D(Ti_Audétat23) Times'!$C320)/(365.35*24*3600)</f>
        <v>26435.820281207838</v>
      </c>
      <c r="K320" s="2">
        <f>([412]L!L320*'D(Ti_Audétat23) Times'!$F320*0.000001)^2/(4*'D(Ti_Audétat23) Times'!$C320)/(365.35*24*3600)</f>
        <v>22394.191603837393</v>
      </c>
      <c r="L320" s="2">
        <f>([412]L!M320*'D(Ti_Audétat23) Times'!$F320*0.000001)^2/(4*'D(Ti_Audétat23) Times'!$C320)/(365.35*24*3600)</f>
        <v>28548.448045121728</v>
      </c>
      <c r="M320" s="2">
        <f>([412]L!N320*'D(Ti_Audétat23) Times'!$F320*0.000001)^2/(4*'D(Ti_Audétat23) Times'!$C320)/(365.35*24*3600)</f>
        <v>24703.937844361262</v>
      </c>
      <c r="N320" s="2">
        <f>([412]L!O320*'D(Ti_Audétat23) Times'!$F320*0.000001)^2/(4*'D(Ti_Audétat23) Times'!$C320)/(365.35*24*3600)</f>
        <v>30832.333900279053</v>
      </c>
      <c r="O320" s="2">
        <f>([412]L!P320*'D(Ti_Audétat23) Times'!$F320*0.000001)^2/(4*'D(Ti_Audétat23) Times'!$C320)/(365.35*24*3600)</f>
        <v>19819.067633629242</v>
      </c>
      <c r="P320" s="2">
        <f>([412]L!Q320*'D(Ti_Audétat23) Times'!$F320*0.000001)^2/(4*'D(Ti_Audétat23) Times'!$C320)/(365.35*24*3600)</f>
        <v>12056.218131534815</v>
      </c>
      <c r="Q320" s="2">
        <f>([412]L!R320*'D(Ti_Audétat23) Times'!$F320*0.000001)^2/(4*'D(Ti_Audétat23) Times'!$C320)/(365.35*24*3600)</f>
        <v>17609.887425911009</v>
      </c>
      <c r="R320" s="2">
        <f>([412]L!S320*'D(Ti_Audétat23) Times'!$F320*0.000001)^2/(4*'D(Ti_Audétat23) Times'!$C320)/(365.35*24*3600)</f>
        <v>33176.034386427549</v>
      </c>
      <c r="S320" s="2">
        <f>([412]L!T320*'D(Ti_Audétat23) Times'!$F320*0.000001)^2/(4*'D(Ti_Audétat23) Times'!$C320)/(365.35*24*3600)</f>
        <v>28763.856783663923</v>
      </c>
      <c r="T320" s="2"/>
      <c r="U320" s="2">
        <f>([412]L!V320*'D(Ti_Audétat23) Times'!$F320*0.000001)^2/(4*'D(Ti_Audétat23) Times'!$C320)/(365.35*24*3600)</f>
        <v>24701.804119459048</v>
      </c>
      <c r="V320" s="2">
        <f>([412]L!W320*'D(Ti_Audétat23) Times'!$F320*0.000001)^2/(4*'D(Ti_Audétat23) Times'!$C320)/(365.35*24*3600)</f>
        <v>24135.32023447661</v>
      </c>
      <c r="W320" s="2">
        <f>([412]L!X320*'D(Ti_Audétat23) Times'!$F320*0.000001)^2/(4*'D(Ti_Audétat23) Times'!$C320)/(365.35*24*3600)</f>
        <v>25573.726524768197</v>
      </c>
      <c r="X320" s="2"/>
      <c r="Y320" s="2">
        <f>([412]L!Z320*'D(Ti_Audétat23) Times'!$F320*0.000001)^2/(4*'D(Ti_Audétat23) Times'!$C320)/(365.35*24*3600)</f>
        <v>22983.791096203939</v>
      </c>
      <c r="Z320" s="2">
        <f>([412]L!AB320*'D(Ti_Audétat23) Times'!$F320*0.000001)^2/(4*'D(Ti_Audétat23) Times'!$C320)/(365.35*24*3600)</f>
        <v>23365.270716047053</v>
      </c>
      <c r="AA320" s="2">
        <f>([412]L!AC320*'D(Ti_Audétat23) Times'!$F320*0.000001)^2/(4*'D(Ti_Audétat23) Times'!$C320)/(365.35*24*3600)</f>
        <v>2033.6916285548821</v>
      </c>
      <c r="AB320" s="2">
        <f>([412]L!AD320*'D(Ti_Audétat23) Times'!$F320*0.000001)^2/(4*'D(Ti_Audétat23) Times'!$C320)/(365.35*24*3600)</f>
        <v>75538.351919328095</v>
      </c>
      <c r="AC320" s="2">
        <f t="shared" si="17"/>
        <v>21331.579087492169</v>
      </c>
      <c r="AD320" s="2">
        <f t="shared" si="18"/>
        <v>52173.081203281043</v>
      </c>
    </row>
    <row r="321" spans="1:30" x14ac:dyDescent="0.2">
      <c r="A321" t="str">
        <f>[412]L!A321</f>
        <v>CGI015-qtz07-CL-fit-6-offset</v>
      </c>
      <c r="B321">
        <v>750</v>
      </c>
      <c r="C321">
        <f t="shared" si="19"/>
        <v>1.1456341375347871E-23</v>
      </c>
      <c r="D321">
        <v>2250</v>
      </c>
      <c r="E321">
        <v>1024</v>
      </c>
      <c r="F321">
        <f t="shared" si="16"/>
        <v>2.197265625</v>
      </c>
      <c r="I321" s="2">
        <f>([412]L!J321*'D(Ti_Audétat23) Times'!$F321*0.000001)^2/(4*'D(Ti_Audétat23) Times'!$C321)/(365.35*24*3600)</f>
        <v>5334.206557577314</v>
      </c>
      <c r="J321" s="2">
        <f>([412]L!K321*'D(Ti_Audétat23) Times'!$F321*0.000001)^2/(4*'D(Ti_Audétat23) Times'!$C321)/(365.35*24*3600)</f>
        <v>8321.3936634837883</v>
      </c>
      <c r="K321" s="2">
        <f>([412]L!L321*'D(Ti_Audétat23) Times'!$F321*0.000001)^2/(4*'D(Ti_Audétat23) Times'!$C321)/(365.35*24*3600)</f>
        <v>8947.2906269717732</v>
      </c>
      <c r="L321" s="2">
        <f>([412]L!M321*'D(Ti_Audétat23) Times'!$F321*0.000001)^2/(4*'D(Ti_Audétat23) Times'!$C321)/(365.35*24*3600)</f>
        <v>4613.401538376309</v>
      </c>
      <c r="M321" s="2">
        <f>([412]L!N321*'D(Ti_Audétat23) Times'!$F321*0.000001)^2/(4*'D(Ti_Audétat23) Times'!$C321)/(365.35*24*3600)</f>
        <v>7281.7416955818471</v>
      </c>
      <c r="N321" s="2">
        <f>([412]L!O321*'D(Ti_Audétat23) Times'!$F321*0.000001)^2/(4*'D(Ti_Audétat23) Times'!$C321)/(365.35*24*3600)</f>
        <v>8143.9773278856419</v>
      </c>
      <c r="O321" s="2">
        <f>([412]L!P321*'D(Ti_Audétat23) Times'!$F321*0.000001)^2/(4*'D(Ti_Audétat23) Times'!$C321)/(365.35*24*3600)</f>
        <v>10612.840126941996</v>
      </c>
      <c r="P321" s="2">
        <f>([412]L!Q321*'D(Ti_Audétat23) Times'!$F321*0.000001)^2/(4*'D(Ti_Audétat23) Times'!$C321)/(365.35*24*3600)</f>
        <v>8031.8113625780252</v>
      </c>
      <c r="Q321" s="2">
        <f>([412]L!R321*'D(Ti_Audétat23) Times'!$F321*0.000001)^2/(4*'D(Ti_Audétat23) Times'!$C321)/(365.35*24*3600)</f>
        <v>8019.4920824836809</v>
      </c>
      <c r="R321" s="2">
        <f>([412]L!S321*'D(Ti_Audétat23) Times'!$F321*0.000001)^2/(4*'D(Ti_Audétat23) Times'!$C321)/(365.35*24*3600)</f>
        <v>5235.5989503664478</v>
      </c>
      <c r="S321" s="2">
        <f>([412]L!T321*'D(Ti_Audétat23) Times'!$F321*0.000001)^2/(4*'D(Ti_Audétat23) Times'!$C321)/(365.35*24*3600)</f>
        <v>4253.9450625026348</v>
      </c>
      <c r="T321" s="2"/>
      <c r="U321" s="2">
        <f>([412]L!V321*'D(Ti_Audétat23) Times'!$F321*0.000001)^2/(4*'D(Ti_Audétat23) Times'!$C321)/(365.35*24*3600)</f>
        <v>7447.1783207344406</v>
      </c>
      <c r="V321" s="2">
        <f>([412]L!W321*'D(Ti_Audétat23) Times'!$F321*0.000001)^2/(4*'D(Ti_Audétat23) Times'!$C321)/(365.35*24*3600)</f>
        <v>7027.2695885649273</v>
      </c>
      <c r="W321" s="2">
        <f>([412]L!X321*'D(Ti_Audétat23) Times'!$F321*0.000001)^2/(4*'D(Ti_Audétat23) Times'!$C321)/(365.35*24*3600)</f>
        <v>8019.4920824836809</v>
      </c>
      <c r="X321" s="2"/>
      <c r="Y321" s="2">
        <f>([412]L!Z321*'D(Ti_Audétat23) Times'!$F321*0.000001)^2/(4*'D(Ti_Audétat23) Times'!$C321)/(365.35*24*3600)</f>
        <v>7055.6964538330021</v>
      </c>
      <c r="Z321" s="2">
        <f>([412]L!AB321*'D(Ti_Audétat23) Times'!$F321*0.000001)^2/(4*'D(Ti_Audétat23) Times'!$C321)/(365.35*24*3600)</f>
        <v>6657.0619387934785</v>
      </c>
      <c r="AA321" s="2">
        <f>([412]L!AC321*'D(Ti_Audétat23) Times'!$F321*0.000001)^2/(4*'D(Ti_Audétat23) Times'!$C321)/(365.35*24*3600)</f>
        <v>229.76599203360729</v>
      </c>
      <c r="AB321" s="2">
        <f>([412]L!AD321*'D(Ti_Audétat23) Times'!$F321*0.000001)^2/(4*'D(Ti_Audétat23) Times'!$C321)/(365.35*24*3600)</f>
        <v>14301.897347981845</v>
      </c>
      <c r="AC321" s="2">
        <f t="shared" si="17"/>
        <v>6427.2959467598712</v>
      </c>
      <c r="AD321" s="2">
        <f t="shared" si="18"/>
        <v>7644.8354091883666</v>
      </c>
    </row>
    <row r="322" spans="1:30" x14ac:dyDescent="0.2">
      <c r="A322" t="str">
        <f>[412]L!A322</f>
        <v>CGI015-qtz08-CL-fit-1-offset</v>
      </c>
      <c r="B322">
        <v>750</v>
      </c>
      <c r="C322">
        <f t="shared" si="19"/>
        <v>1.1456341375347871E-23</v>
      </c>
      <c r="D322">
        <v>1150</v>
      </c>
      <c r="E322">
        <v>1024</v>
      </c>
      <c r="F322">
        <f t="shared" si="16"/>
        <v>1.123046875</v>
      </c>
      <c r="I322" s="2">
        <f>([412]L!J322*'D(Ti_Audétat23) Times'!$F322*0.000001)^2/(4*'D(Ti_Audétat23) Times'!$C322)/(365.35*24*3600)</f>
        <v>26527.713174819954</v>
      </c>
      <c r="J322" s="2">
        <f>([412]L!K322*'D(Ti_Audétat23) Times'!$F322*0.000001)^2/(4*'D(Ti_Audétat23) Times'!$C322)/(365.35*24*3600)</f>
        <v>32126.648578149689</v>
      </c>
      <c r="K322" s="2">
        <f>([412]L!L322*'D(Ti_Audétat23) Times'!$F322*0.000001)^2/(4*'D(Ti_Audétat23) Times'!$C322)/(365.35*24*3600)</f>
        <v>36034.418791506148</v>
      </c>
      <c r="L322" s="2">
        <f>([412]L!M322*'D(Ti_Audétat23) Times'!$F322*0.000001)^2/(4*'D(Ti_Audétat23) Times'!$C322)/(365.35*24*3600)</f>
        <v>38060.282950423811</v>
      </c>
      <c r="M322" s="2">
        <f>([412]L!N322*'D(Ti_Audétat23) Times'!$F322*0.000001)^2/(4*'D(Ti_Audétat23) Times'!$C322)/(365.35*24*3600)</f>
        <v>37534.553183970478</v>
      </c>
      <c r="N322" s="2">
        <f>([412]L!O322*'D(Ti_Audétat23) Times'!$F322*0.000001)^2/(4*'D(Ti_Audétat23) Times'!$C322)/(365.35*24*3600)</f>
        <v>22742.590858468895</v>
      </c>
      <c r="O322" s="2">
        <f>([412]L!P322*'D(Ti_Audétat23) Times'!$F322*0.000001)^2/(4*'D(Ti_Audétat23) Times'!$C322)/(365.35*24*3600)</f>
        <v>24876.346533607968</v>
      </c>
      <c r="P322" s="2">
        <f>([412]L!Q322*'D(Ti_Audétat23) Times'!$F322*0.000001)^2/(4*'D(Ti_Audétat23) Times'!$C322)/(365.35*24*3600)</f>
        <v>38104.148770308479</v>
      </c>
      <c r="Q322" s="2">
        <f>([412]L!R322*'D(Ti_Audétat23) Times'!$F322*0.000001)^2/(4*'D(Ti_Audétat23) Times'!$C322)/(365.35*24*3600)</f>
        <v>32918.987045264621</v>
      </c>
      <c r="R322" s="2">
        <f>([412]L!S322*'D(Ti_Audétat23) Times'!$F322*0.000001)^2/(4*'D(Ti_Audétat23) Times'!$C322)/(365.35*24*3600)</f>
        <v>22685.293611275327</v>
      </c>
      <c r="S322" s="2">
        <f>([412]L!T322*'D(Ti_Audétat23) Times'!$F322*0.000001)^2/(4*'D(Ti_Audétat23) Times'!$C322)/(365.35*24*3600)</f>
        <v>28344.075680616101</v>
      </c>
      <c r="T322" s="2"/>
      <c r="U322" s="2">
        <f>([412]L!V322*'D(Ti_Audétat23) Times'!$F322*0.000001)^2/(4*'D(Ti_Audétat23) Times'!$C322)/(365.35*24*3600)</f>
        <v>30591.302325894852</v>
      </c>
      <c r="V322" s="2">
        <f>([412]L!W322*'D(Ti_Audétat23) Times'!$F322*0.000001)^2/(4*'D(Ti_Audétat23) Times'!$C322)/(365.35*24*3600)</f>
        <v>30622.120129294795</v>
      </c>
      <c r="W322" s="2">
        <f>([412]L!X322*'D(Ti_Audétat23) Times'!$F322*0.000001)^2/(4*'D(Ti_Audétat23) Times'!$C322)/(365.35*24*3600)</f>
        <v>32126.648578149689</v>
      </c>
      <c r="X322" s="2"/>
      <c r="Y322" s="2">
        <f>([412]L!Z322*'D(Ti_Audétat23) Times'!$F322*0.000001)^2/(4*'D(Ti_Audétat23) Times'!$C322)/(365.35*24*3600)</f>
        <v>30677.181341488689</v>
      </c>
      <c r="Z322" s="2">
        <f>([412]L!AB322*'D(Ti_Audétat23) Times'!$F322*0.000001)^2/(4*'D(Ti_Audétat23) Times'!$C322)/(365.35*24*3600)</f>
        <v>30942.530783926144</v>
      </c>
      <c r="AA322" s="2">
        <f>([412]L!AC322*'D(Ti_Audétat23) Times'!$F322*0.000001)^2/(4*'D(Ti_Audétat23) Times'!$C322)/(365.35*24*3600)</f>
        <v>18919.098256761787</v>
      </c>
      <c r="AB322" s="2">
        <f>([412]L!AD322*'D(Ti_Audétat23) Times'!$F322*0.000001)^2/(4*'D(Ti_Audétat23) Times'!$C322)/(365.35*24*3600)</f>
        <v>46239.230749890863</v>
      </c>
      <c r="AC322" s="2">
        <f t="shared" si="17"/>
        <v>12023.432527164357</v>
      </c>
      <c r="AD322" s="2">
        <f t="shared" si="18"/>
        <v>15296.699965964719</v>
      </c>
    </row>
    <row r="323" spans="1:30" x14ac:dyDescent="0.2">
      <c r="A323" t="str">
        <f>[412]L!A323</f>
        <v>CGI015-qtz08-CL-fit-2-offset</v>
      </c>
      <c r="B323">
        <v>750</v>
      </c>
      <c r="C323">
        <f t="shared" si="19"/>
        <v>1.1456341375347871E-23</v>
      </c>
      <c r="D323">
        <v>1150</v>
      </c>
      <c r="E323">
        <v>1024</v>
      </c>
      <c r="F323">
        <f t="shared" ref="F323:F386" si="20">D323/E323</f>
        <v>1.123046875</v>
      </c>
      <c r="I323" s="2">
        <f>([412]L!J323*'D(Ti_Audétat23) Times'!$F323*0.000001)^2/(4*'D(Ti_Audétat23) Times'!$C323)/(365.35*24*3600)</f>
        <v>16535.8347817535</v>
      </c>
      <c r="J323" s="2">
        <f>([412]L!K323*'D(Ti_Audétat23) Times'!$F323*0.000001)^2/(4*'D(Ti_Audétat23) Times'!$C323)/(365.35*24*3600)</f>
        <v>13463.407649063136</v>
      </c>
      <c r="K323" s="2">
        <f>([412]L!L323*'D(Ti_Audétat23) Times'!$F323*0.000001)^2/(4*'D(Ti_Audétat23) Times'!$C323)/(365.35*24*3600)</f>
        <v>16970.437298790141</v>
      </c>
      <c r="L323" s="2">
        <f>([412]L!M323*'D(Ti_Audétat23) Times'!$F323*0.000001)^2/(4*'D(Ti_Audétat23) Times'!$C323)/(365.35*24*3600)</f>
        <v>10128.189436671824</v>
      </c>
      <c r="M323" s="2">
        <f>([412]L!N323*'D(Ti_Audétat23) Times'!$F323*0.000001)^2/(4*'D(Ti_Audétat23) Times'!$C323)/(365.35*24*3600)</f>
        <v>21471.963021031355</v>
      </c>
      <c r="N323" s="2">
        <f>([412]L!O323*'D(Ti_Audétat23) Times'!$F323*0.000001)^2/(4*'D(Ti_Audétat23) Times'!$C323)/(365.35*24*3600)</f>
        <v>10247.715318785438</v>
      </c>
      <c r="O323" s="2">
        <f>([412]L!P323*'D(Ti_Audétat23) Times'!$F323*0.000001)^2/(4*'D(Ti_Audétat23) Times'!$C323)/(365.35*24*3600)</f>
        <v>13069.878757402803</v>
      </c>
      <c r="P323" s="2">
        <f>([412]L!Q323*'D(Ti_Audétat23) Times'!$F323*0.000001)^2/(4*'D(Ti_Audétat23) Times'!$C323)/(365.35*24*3600)</f>
        <v>12226.629164895294</v>
      </c>
      <c r="Q323" s="2">
        <f>([412]L!R323*'D(Ti_Audétat23) Times'!$F323*0.000001)^2/(4*'D(Ti_Audétat23) Times'!$C323)/(365.35*24*3600)</f>
        <v>10323.542167371566</v>
      </c>
      <c r="R323" s="2">
        <f>([412]L!S323*'D(Ti_Audétat23) Times'!$F323*0.000001)^2/(4*'D(Ti_Audétat23) Times'!$C323)/(365.35*24*3600)</f>
        <v>25834.6286064095</v>
      </c>
      <c r="S323" s="2">
        <f>([412]L!T323*'D(Ti_Audétat23) Times'!$F323*0.000001)^2/(4*'D(Ti_Audétat23) Times'!$C323)/(365.35*24*3600)</f>
        <v>21848.949783772161</v>
      </c>
      <c r="T323" s="2"/>
      <c r="U323" s="2">
        <f>([412]L!V323*'D(Ti_Audétat23) Times'!$F323*0.000001)^2/(4*'D(Ti_Audétat23) Times'!$C323)/(365.35*24*3600)</f>
        <v>15616.776584607906</v>
      </c>
      <c r="V323" s="2">
        <f>([412]L!W323*'D(Ti_Audétat23) Times'!$F323*0.000001)^2/(4*'D(Ti_Audétat23) Times'!$C323)/(365.35*24*3600)</f>
        <v>15248.776094465093</v>
      </c>
      <c r="W323" s="2">
        <f>([412]L!X323*'D(Ti_Audétat23) Times'!$F323*0.000001)^2/(4*'D(Ti_Audétat23) Times'!$C323)/(365.35*24*3600)</f>
        <v>13463.407649063136</v>
      </c>
      <c r="X323" s="2"/>
      <c r="Y323" s="2">
        <f>([412]L!Z323*'D(Ti_Audétat23) Times'!$F323*0.000001)^2/(4*'D(Ti_Audétat23) Times'!$C323)/(365.35*24*3600)</f>
        <v>15516.851237800549</v>
      </c>
      <c r="Z323" s="2">
        <f>([412]L!AB323*'D(Ti_Audétat23) Times'!$F323*0.000001)^2/(4*'D(Ti_Audétat23) Times'!$C323)/(365.35*24*3600)</f>
        <v>16116.713040840586</v>
      </c>
      <c r="AA323" s="2">
        <f>([412]L!AC323*'D(Ti_Audétat23) Times'!$F323*0.000001)^2/(4*'D(Ti_Audétat23) Times'!$C323)/(365.35*24*3600)</f>
        <v>7571.7656320544056</v>
      </c>
      <c r="AB323" s="2">
        <f>([412]L!AD323*'D(Ti_Audétat23) Times'!$F323*0.000001)^2/(4*'D(Ti_Audétat23) Times'!$C323)/(365.35*24*3600)</f>
        <v>35951.706560151251</v>
      </c>
      <c r="AC323" s="2">
        <f t="shared" ref="AC323:AC386" si="21">Z323-AA323</f>
        <v>8544.9474087861818</v>
      </c>
      <c r="AD323" s="2">
        <f t="shared" ref="AD323:AD386" si="22">AB323-Z323</f>
        <v>19834.993519310665</v>
      </c>
    </row>
    <row r="324" spans="1:30" x14ac:dyDescent="0.2">
      <c r="A324" t="str">
        <f>[412]L!A324</f>
        <v>CGI015-qtz08-CL-fit-3-offset</v>
      </c>
      <c r="B324">
        <v>750</v>
      </c>
      <c r="C324">
        <f t="shared" ref="C324:C387" si="23">10^(-1.2133*(10000/(B324+273)-10.17)-23.42)</f>
        <v>1.1456341375347871E-23</v>
      </c>
      <c r="D324">
        <v>1150</v>
      </c>
      <c r="E324">
        <v>1024</v>
      </c>
      <c r="F324">
        <f t="shared" si="20"/>
        <v>1.123046875</v>
      </c>
      <c r="I324" s="2">
        <f>([412]L!J324*'D(Ti_Audétat23) Times'!$F324*0.000001)^2/(4*'D(Ti_Audétat23) Times'!$C324)/(365.35*24*3600)</f>
        <v>57990.810369650142</v>
      </c>
      <c r="J324" s="2">
        <f>([412]L!K324*'D(Ti_Audétat23) Times'!$F324*0.000001)^2/(4*'D(Ti_Audétat23) Times'!$C324)/(365.35*24*3600)</f>
        <v>37467.775332406825</v>
      </c>
      <c r="K324" s="2">
        <f>([412]L!L324*'D(Ti_Audétat23) Times'!$F324*0.000001)^2/(4*'D(Ti_Audétat23) Times'!$C324)/(365.35*24*3600)</f>
        <v>47608.822389479705</v>
      </c>
      <c r="L324" s="2">
        <f>([412]L!M324*'D(Ti_Audétat23) Times'!$F324*0.000001)^2/(4*'D(Ti_Audétat23) Times'!$C324)/(365.35*24*3600)</f>
        <v>48472.772636081965</v>
      </c>
      <c r="M324" s="2">
        <f>([412]L!N324*'D(Ti_Audétat23) Times'!$F324*0.000001)^2/(4*'D(Ti_Audétat23) Times'!$C324)/(365.35*24*3600)</f>
        <v>143074.38426505279</v>
      </c>
      <c r="N324" s="2">
        <f>([412]L!O324*'D(Ti_Audétat23) Times'!$F324*0.000001)^2/(4*'D(Ti_Audétat23) Times'!$C324)/(365.35*24*3600)</f>
        <v>30969.855193734271</v>
      </c>
      <c r="O324" s="2">
        <f>([412]L!P324*'D(Ti_Audétat23) Times'!$F324*0.000001)^2/(4*'D(Ti_Audétat23) Times'!$C324)/(365.35*24*3600)</f>
        <v>35945.096331022723</v>
      </c>
      <c r="P324" s="2">
        <f>([412]L!Q324*'D(Ti_Audétat23) Times'!$F324*0.000001)^2/(4*'D(Ti_Audétat23) Times'!$C324)/(365.35*24*3600)</f>
        <v>40952.08017758817</v>
      </c>
      <c r="Q324" s="2">
        <f>([412]L!R324*'D(Ti_Audétat23) Times'!$F324*0.000001)^2/(4*'D(Ti_Audétat23) Times'!$C324)/(365.35*24*3600)</f>
        <v>103675.28908200501</v>
      </c>
      <c r="R324" s="2">
        <f>([412]L!S324*'D(Ti_Audétat23) Times'!$F324*0.000001)^2/(4*'D(Ti_Audétat23) Times'!$C324)/(365.35*24*3600)</f>
        <v>47538.09041724509</v>
      </c>
      <c r="S324" s="2">
        <f>([412]L!T324*'D(Ti_Audétat23) Times'!$F324*0.000001)^2/(4*'D(Ti_Audétat23) Times'!$C324)/(365.35*24*3600)</f>
        <v>68768.563973287441</v>
      </c>
      <c r="T324" s="2"/>
      <c r="U324" s="2">
        <f>([412]L!V324*'D(Ti_Audétat23) Times'!$F324*0.000001)^2/(4*'D(Ti_Audétat23) Times'!$C324)/(365.35*24*3600)</f>
        <v>55247.631316312334</v>
      </c>
      <c r="V324" s="2">
        <f>([412]L!W324*'D(Ti_Audétat23) Times'!$F324*0.000001)^2/(4*'D(Ti_Audétat23) Times'!$C324)/(365.35*24*3600)</f>
        <v>56782.00969133008</v>
      </c>
      <c r="W324" s="2">
        <f>([412]L!X324*'D(Ti_Audétat23) Times'!$F324*0.000001)^2/(4*'D(Ti_Audétat23) Times'!$C324)/(365.35*24*3600)</f>
        <v>47608.822389479705</v>
      </c>
      <c r="X324" s="2"/>
      <c r="Y324" s="2">
        <f>([412]L!Z324*'D(Ti_Audétat23) Times'!$F324*0.000001)^2/(4*'D(Ti_Audétat23) Times'!$C324)/(365.35*24*3600)</f>
        <v>54233.326164115657</v>
      </c>
      <c r="Z324" s="2">
        <f>([412]L!AB324*'D(Ti_Audétat23) Times'!$F324*0.000001)^2/(4*'D(Ti_Audétat23) Times'!$C324)/(365.35*24*3600)</f>
        <v>55889.629332773875</v>
      </c>
      <c r="AA324" s="2">
        <f>([412]L!AC324*'D(Ti_Audétat23) Times'!$F324*0.000001)^2/(4*'D(Ti_Audétat23) Times'!$C324)/(365.35*24*3600)</f>
        <v>9302.2903056360956</v>
      </c>
      <c r="AB324" s="2">
        <f>([412]L!AD324*'D(Ti_Audétat23) Times'!$F324*0.000001)^2/(4*'D(Ti_Audétat23) Times'!$C324)/(365.35*24*3600)</f>
        <v>174936.90966599924</v>
      </c>
      <c r="AC324" s="2">
        <f t="shared" si="21"/>
        <v>46587.339027137779</v>
      </c>
      <c r="AD324" s="2">
        <f t="shared" si="22"/>
        <v>119047.28033322535</v>
      </c>
    </row>
    <row r="325" spans="1:30" x14ac:dyDescent="0.2">
      <c r="A325" t="str">
        <f>[412]L!A325</f>
        <v>CGI015-qtz08-CL-fit-4-offset</v>
      </c>
      <c r="B325">
        <v>750</v>
      </c>
      <c r="C325">
        <f t="shared" si="23"/>
        <v>1.1456341375347871E-23</v>
      </c>
      <c r="D325">
        <v>1150</v>
      </c>
      <c r="E325">
        <v>1024</v>
      </c>
      <c r="F325">
        <f t="shared" si="20"/>
        <v>1.123046875</v>
      </c>
      <c r="I325" s="2">
        <f>([412]L!J325*'D(Ti_Audétat23) Times'!$F325*0.000001)^2/(4*'D(Ti_Audétat23) Times'!$C325)/(365.35*24*3600)</f>
        <v>10845.574949875203</v>
      </c>
      <c r="J325" s="2">
        <f>([412]L!K325*'D(Ti_Audétat23) Times'!$F325*0.000001)^2/(4*'D(Ti_Audétat23) Times'!$C325)/(365.35*24*3600)</f>
        <v>27397.724704324552</v>
      </c>
      <c r="K325" s="2">
        <f>([412]L!L325*'D(Ti_Audétat23) Times'!$F325*0.000001)^2/(4*'D(Ti_Audétat23) Times'!$C325)/(365.35*24*3600)</f>
        <v>14486.59292316672</v>
      </c>
      <c r="L325" s="2">
        <f>([412]L!M325*'D(Ti_Audétat23) Times'!$F325*0.000001)^2/(4*'D(Ti_Audétat23) Times'!$C325)/(365.35*24*3600)</f>
        <v>17646.550443012511</v>
      </c>
      <c r="M325" s="2">
        <f>([412]L!N325*'D(Ti_Audétat23) Times'!$F325*0.000001)^2/(4*'D(Ti_Audétat23) Times'!$C325)/(365.35*24*3600)</f>
        <v>14060.691402636403</v>
      </c>
      <c r="N325" s="2">
        <f>([412]L!O325*'D(Ti_Audétat23) Times'!$F325*0.000001)^2/(4*'D(Ti_Audétat23) Times'!$C325)/(365.35*24*3600)</f>
        <v>16989.913099610272</v>
      </c>
      <c r="O325" s="2">
        <f>([412]L!P325*'D(Ti_Audétat23) Times'!$F325*0.000001)^2/(4*'D(Ti_Audétat23) Times'!$C325)/(365.35*24*3600)</f>
        <v>16545.969855403786</v>
      </c>
      <c r="P325" s="2">
        <f>([412]L!Q325*'D(Ti_Audétat23) Times'!$F325*0.000001)^2/(4*'D(Ti_Audétat23) Times'!$C325)/(365.35*24*3600)</f>
        <v>20143.647163802656</v>
      </c>
      <c r="Q325" s="2">
        <f>([412]L!R325*'D(Ti_Audétat23) Times'!$F325*0.000001)^2/(4*'D(Ti_Audétat23) Times'!$C325)/(365.35*24*3600)</f>
        <v>24316.765374245617</v>
      </c>
      <c r="R325" s="2">
        <f>([412]L!S325*'D(Ti_Audétat23) Times'!$F325*0.000001)^2/(4*'D(Ti_Audétat23) Times'!$C325)/(365.35*24*3600)</f>
        <v>45825.654560323193</v>
      </c>
      <c r="S325" s="2">
        <f>([412]L!T325*'D(Ti_Audétat23) Times'!$F325*0.000001)^2/(4*'D(Ti_Audétat23) Times'!$C325)/(365.35*24*3600)</f>
        <v>21217.601997034366</v>
      </c>
      <c r="T325" s="2"/>
      <c r="U325" s="2">
        <f>([412]L!V325*'D(Ti_Audétat23) Times'!$F325*0.000001)^2/(4*'D(Ti_Audétat23) Times'!$C325)/(365.35*24*3600)</f>
        <v>20581.665312874502</v>
      </c>
      <c r="V325" s="2">
        <f>([412]L!W325*'D(Ti_Audétat23) Times'!$F325*0.000001)^2/(4*'D(Ti_Audétat23) Times'!$C325)/(365.35*24*3600)</f>
        <v>20061.325629702846</v>
      </c>
      <c r="W325" s="2">
        <f>([412]L!X325*'D(Ti_Audétat23) Times'!$F325*0.000001)^2/(4*'D(Ti_Audétat23) Times'!$C325)/(365.35*24*3600)</f>
        <v>17646.550443012511</v>
      </c>
      <c r="X325" s="2"/>
      <c r="Y325" s="2">
        <f>([412]L!Z325*'D(Ti_Audétat23) Times'!$F325*0.000001)^2/(4*'D(Ti_Audétat23) Times'!$C325)/(365.35*24*3600)</f>
        <v>19074.438047184176</v>
      </c>
      <c r="Z325" s="2">
        <f>([412]L!AB325*'D(Ti_Audétat23) Times'!$F325*0.000001)^2/(4*'D(Ti_Audétat23) Times'!$C325)/(365.35*24*3600)</f>
        <v>19336.140010242259</v>
      </c>
      <c r="AA325" s="2">
        <f>([412]L!AC325*'D(Ti_Audétat23) Times'!$F325*0.000001)^2/(4*'D(Ti_Audétat23) Times'!$C325)/(365.35*24*3600)</f>
        <v>7313.5901949629515</v>
      </c>
      <c r="AB325" s="2">
        <f>([412]L!AD325*'D(Ti_Audétat23) Times'!$F325*0.000001)^2/(4*'D(Ti_Audétat23) Times'!$C325)/(365.35*24*3600)</f>
        <v>41535.718350174953</v>
      </c>
      <c r="AC325" s="2">
        <f t="shared" si="21"/>
        <v>12022.549815279308</v>
      </c>
      <c r="AD325" s="2">
        <f t="shared" si="22"/>
        <v>22199.578339932694</v>
      </c>
    </row>
    <row r="326" spans="1:30" x14ac:dyDescent="0.2">
      <c r="A326" t="str">
        <f>[412]L!A326</f>
        <v>CGI015-qtz08-CL-fit-5-offset</v>
      </c>
      <c r="B326">
        <v>750</v>
      </c>
      <c r="C326">
        <f t="shared" si="23"/>
        <v>1.1456341375347871E-23</v>
      </c>
      <c r="D326">
        <v>1150</v>
      </c>
      <c r="E326">
        <v>1024</v>
      </c>
      <c r="F326">
        <f t="shared" si="20"/>
        <v>1.123046875</v>
      </c>
      <c r="I326" s="2">
        <f>([412]L!J326*'D(Ti_Audétat23) Times'!$F326*0.000001)^2/(4*'D(Ti_Audétat23) Times'!$C326)/(365.35*24*3600)</f>
        <v>14870.85741409754</v>
      </c>
      <c r="J326" s="2">
        <f>([412]L!K326*'D(Ti_Audétat23) Times'!$F326*0.000001)^2/(4*'D(Ti_Audétat23) Times'!$C326)/(365.35*24*3600)</f>
        <v>17959.435340622174</v>
      </c>
      <c r="K326" s="2">
        <f>([412]L!L326*'D(Ti_Audétat23) Times'!$F326*0.000001)^2/(4*'D(Ti_Audétat23) Times'!$C326)/(365.35*24*3600)</f>
        <v>15924.352025587681</v>
      </c>
      <c r="L326" s="2">
        <f>([412]L!M326*'D(Ti_Audétat23) Times'!$F326*0.000001)^2/(4*'D(Ti_Audétat23) Times'!$C326)/(365.35*24*3600)</f>
        <v>11225.693566132559</v>
      </c>
      <c r="M326" s="2">
        <f>([412]L!N326*'D(Ti_Audétat23) Times'!$F326*0.000001)^2/(4*'D(Ti_Audétat23) Times'!$C326)/(365.35*24*3600)</f>
        <v>18059.053418771477</v>
      </c>
      <c r="N326" s="2">
        <f>([412]L!O326*'D(Ti_Audétat23) Times'!$F326*0.000001)^2/(4*'D(Ti_Audétat23) Times'!$C326)/(365.35*24*3600)</f>
        <v>19386.809537189663</v>
      </c>
      <c r="O326" s="2">
        <f>([412]L!P326*'D(Ti_Audétat23) Times'!$F326*0.000001)^2/(4*'D(Ti_Audétat23) Times'!$C326)/(365.35*24*3600)</f>
        <v>17629.051859103176</v>
      </c>
      <c r="P326" s="2">
        <f>([412]L!Q326*'D(Ti_Audétat23) Times'!$F326*0.000001)^2/(4*'D(Ti_Audétat23) Times'!$C326)/(365.35*24*3600)</f>
        <v>31777.83357691564</v>
      </c>
      <c r="Q326" s="2">
        <f>([412]L!R326*'D(Ti_Audétat23) Times'!$F326*0.000001)^2/(4*'D(Ti_Audétat23) Times'!$C326)/(365.35*24*3600)</f>
        <v>44063.846767055744</v>
      </c>
      <c r="R326" s="2">
        <f>([412]L!S326*'D(Ti_Audétat23) Times'!$F326*0.000001)^2/(4*'D(Ti_Audétat23) Times'!$C326)/(365.35*24*3600)</f>
        <v>60959.731520361929</v>
      </c>
      <c r="S326" s="2">
        <f>([412]L!T326*'D(Ti_Audétat23) Times'!$F326*0.000001)^2/(4*'D(Ti_Audétat23) Times'!$C326)/(365.35*24*3600)</f>
        <v>29581.508978186976</v>
      </c>
      <c r="T326" s="2"/>
      <c r="U326" s="2">
        <f>([412]L!V326*'D(Ti_Audétat23) Times'!$F326*0.000001)^2/(4*'D(Ti_Audétat23) Times'!$C326)/(365.35*24*3600)</f>
        <v>23226.999683764741</v>
      </c>
      <c r="V326" s="2">
        <f>([412]L!W326*'D(Ti_Audétat23) Times'!$F326*0.000001)^2/(4*'D(Ti_Audétat23) Times'!$C326)/(365.35*24*3600)</f>
        <v>23928.35695810265</v>
      </c>
      <c r="W326" s="2">
        <f>([412]L!X326*'D(Ti_Audétat23) Times'!$F326*0.000001)^2/(4*'D(Ti_Audétat23) Times'!$C326)/(365.35*24*3600)</f>
        <v>18059.053418771477</v>
      </c>
      <c r="X326" s="2"/>
      <c r="Y326" s="2">
        <f>([412]L!Z326*'D(Ti_Audétat23) Times'!$F326*0.000001)^2/(4*'D(Ti_Audétat23) Times'!$C326)/(365.35*24*3600)</f>
        <v>22782.624247644642</v>
      </c>
      <c r="Z326" s="2">
        <f>([412]L!AB326*'D(Ti_Audétat23) Times'!$F326*0.000001)^2/(4*'D(Ti_Audétat23) Times'!$C326)/(365.35*24*3600)</f>
        <v>23523.469155014747</v>
      </c>
      <c r="AA326" s="2">
        <f>([412]L!AC326*'D(Ti_Audétat23) Times'!$F326*0.000001)^2/(4*'D(Ti_Audétat23) Times'!$C326)/(365.35*24*3600)</f>
        <v>8557.4786879223939</v>
      </c>
      <c r="AB326" s="2">
        <f>([412]L!AD326*'D(Ti_Audétat23) Times'!$F326*0.000001)^2/(4*'D(Ti_Audétat23) Times'!$C326)/(365.35*24*3600)</f>
        <v>52133.107931297563</v>
      </c>
      <c r="AC326" s="2">
        <f t="shared" si="21"/>
        <v>14965.990467092353</v>
      </c>
      <c r="AD326" s="2">
        <f t="shared" si="22"/>
        <v>28609.638776282816</v>
      </c>
    </row>
    <row r="327" spans="1:30" x14ac:dyDescent="0.2">
      <c r="A327" t="str">
        <f>[412]L!A327</f>
        <v>CGI015-qtz08-CL-fit-6-offset</v>
      </c>
      <c r="B327">
        <v>750</v>
      </c>
      <c r="C327">
        <f t="shared" si="23"/>
        <v>1.1456341375347871E-23</v>
      </c>
      <c r="D327">
        <v>1150</v>
      </c>
      <c r="E327">
        <v>1024</v>
      </c>
      <c r="F327">
        <f t="shared" si="20"/>
        <v>1.123046875</v>
      </c>
      <c r="I327" s="2">
        <f>([412]L!J327*'D(Ti_Audétat23) Times'!$F327*0.000001)^2/(4*'D(Ti_Audétat23) Times'!$C327)/(365.35*24*3600)</f>
        <v>7477.6655340838033</v>
      </c>
      <c r="J327" s="2">
        <f>([412]L!K327*'D(Ti_Audétat23) Times'!$F327*0.000001)^2/(4*'D(Ti_Audétat23) Times'!$C327)/(365.35*24*3600)</f>
        <v>10587.286483683107</v>
      </c>
      <c r="K327" s="2">
        <f>([412]L!L327*'D(Ti_Audétat23) Times'!$F327*0.000001)^2/(4*'D(Ti_Audétat23) Times'!$C327)/(365.35*24*3600)</f>
        <v>5214.6170566305982</v>
      </c>
      <c r="L327" s="2">
        <f>([412]L!M327*'D(Ti_Audétat23) Times'!$F327*0.000001)^2/(4*'D(Ti_Audétat23) Times'!$C327)/(365.35*24*3600)</f>
        <v>2935.1713994193551</v>
      </c>
      <c r="M327" s="2">
        <f>([412]L!N327*'D(Ti_Audétat23) Times'!$F327*0.000001)^2/(4*'D(Ti_Audétat23) Times'!$C327)/(365.35*24*3600)</f>
        <v>6104.4791138071541</v>
      </c>
      <c r="N327" s="2">
        <f>([412]L!O327*'D(Ti_Audétat23) Times'!$F327*0.000001)^2/(4*'D(Ti_Audétat23) Times'!$C327)/(365.35*24*3600)</f>
        <v>5054.4908007739959</v>
      </c>
      <c r="O327" s="2">
        <f>([412]L!P327*'D(Ti_Audétat23) Times'!$F327*0.000001)^2/(4*'D(Ti_Audétat23) Times'!$C327)/(365.35*24*3600)</f>
        <v>6302.7159661736578</v>
      </c>
      <c r="P327" s="2">
        <f>([412]L!Q327*'D(Ti_Audétat23) Times'!$F327*0.000001)^2/(4*'D(Ti_Audétat23) Times'!$C327)/(365.35*24*3600)</f>
        <v>7053.9349758528197</v>
      </c>
      <c r="Q327" s="2">
        <f>([412]L!R327*'D(Ti_Audétat23) Times'!$F327*0.000001)^2/(4*'D(Ti_Audétat23) Times'!$C327)/(365.35*24*3600)</f>
        <v>8118.9885527184679</v>
      </c>
      <c r="R327" s="2">
        <f>([412]L!S327*'D(Ti_Audétat23) Times'!$F327*0.000001)^2/(4*'D(Ti_Audétat23) Times'!$C327)/(365.35*24*3600)</f>
        <v>4123.6292027599693</v>
      </c>
      <c r="S327" s="2">
        <f>([412]L!T327*'D(Ti_Audétat23) Times'!$F327*0.000001)^2/(4*'D(Ti_Audétat23) Times'!$C327)/(365.35*24*3600)</f>
        <v>8670.1006463935209</v>
      </c>
      <c r="T327" s="2"/>
      <c r="U327" s="2">
        <f>([412]L!V327*'D(Ti_Audétat23) Times'!$F327*0.000001)^2/(4*'D(Ti_Audétat23) Times'!$C327)/(365.35*24*3600)</f>
        <v>6059.9419322517178</v>
      </c>
      <c r="V327" s="2">
        <f>([412]L!W327*'D(Ti_Audétat23) Times'!$F327*0.000001)^2/(4*'D(Ti_Audétat23) Times'!$C327)/(365.35*24*3600)</f>
        <v>6338.9871589834456</v>
      </c>
      <c r="W327" s="2">
        <f>([412]L!X327*'D(Ti_Audétat23) Times'!$F327*0.000001)^2/(4*'D(Ti_Audétat23) Times'!$C327)/(365.35*24*3600)</f>
        <v>6302.7159661736578</v>
      </c>
      <c r="X327" s="2"/>
      <c r="Y327" s="2">
        <f>([412]L!Z327*'D(Ti_Audétat23) Times'!$F327*0.000001)^2/(4*'D(Ti_Audétat23) Times'!$C327)/(365.35*24*3600)</f>
        <v>6081.5499446715312</v>
      </c>
      <c r="Z327" s="2">
        <f>([412]L!AB327*'D(Ti_Audétat23) Times'!$F327*0.000001)^2/(4*'D(Ti_Audétat23) Times'!$C327)/(365.35*24*3600)</f>
        <v>6606.1207007672356</v>
      </c>
      <c r="AA327" s="2">
        <f>([412]L!AC327*'D(Ti_Audétat23) Times'!$F327*0.000001)^2/(4*'D(Ti_Audétat23) Times'!$C327)/(365.35*24*3600)</f>
        <v>2220.9271272943465</v>
      </c>
      <c r="AB327" s="2">
        <f>([412]L!AD327*'D(Ti_Audétat23) Times'!$F327*0.000001)^2/(4*'D(Ti_Audétat23) Times'!$C327)/(365.35*24*3600)</f>
        <v>17687.787853716225</v>
      </c>
      <c r="AC327" s="2">
        <f t="shared" si="21"/>
        <v>4385.1935734728886</v>
      </c>
      <c r="AD327" s="2">
        <f t="shared" si="22"/>
        <v>11081.66715294899</v>
      </c>
    </row>
    <row r="328" spans="1:30" x14ac:dyDescent="0.2">
      <c r="A328" t="str">
        <f>[412]L!A328</f>
        <v>CGI015-qtz09-CL-fit-1-offset</v>
      </c>
      <c r="B328">
        <v>750</v>
      </c>
      <c r="C328">
        <f t="shared" si="23"/>
        <v>1.1456341375347871E-23</v>
      </c>
      <c r="D328">
        <v>2150</v>
      </c>
      <c r="E328">
        <v>1024</v>
      </c>
      <c r="F328">
        <f t="shared" si="20"/>
        <v>2.099609375</v>
      </c>
      <c r="I328" s="2">
        <f>([412]L!J328*'D(Ti_Audétat23) Times'!$F328*0.000001)^2/(4*'D(Ti_Audétat23) Times'!$C328)/(365.35*24*3600)</f>
        <v>77950.153186218275</v>
      </c>
      <c r="J328" s="2">
        <f>([412]L!K328*'D(Ti_Audétat23) Times'!$F328*0.000001)^2/(4*'D(Ti_Audétat23) Times'!$C328)/(365.35*24*3600)</f>
        <v>103127.01231568176</v>
      </c>
      <c r="K328" s="2">
        <f>([412]L!L328*'D(Ti_Audétat23) Times'!$F328*0.000001)^2/(4*'D(Ti_Audétat23) Times'!$C328)/(365.35*24*3600)</f>
        <v>101430.91843527457</v>
      </c>
      <c r="L328" s="2">
        <f>([412]L!M328*'D(Ti_Audétat23) Times'!$F328*0.000001)^2/(4*'D(Ti_Audétat23) Times'!$C328)/(365.35*24*3600)</f>
        <v>121199.85013405576</v>
      </c>
      <c r="M328" s="2">
        <f>([412]L!N328*'D(Ti_Audétat23) Times'!$F328*0.000001)^2/(4*'D(Ti_Audétat23) Times'!$C328)/(365.35*24*3600)</f>
        <v>90807.086503406405</v>
      </c>
      <c r="N328" s="2">
        <f>([412]L!O328*'D(Ti_Audétat23) Times'!$F328*0.000001)^2/(4*'D(Ti_Audétat23) Times'!$C328)/(365.35*24*3600)</f>
        <v>107278.01850636046</v>
      </c>
      <c r="O328" s="2">
        <f>([412]L!P328*'D(Ti_Audétat23) Times'!$F328*0.000001)^2/(4*'D(Ti_Audétat23) Times'!$C328)/(365.35*24*3600)</f>
        <v>103359.13936503764</v>
      </c>
      <c r="P328" s="2">
        <f>([412]L!Q328*'D(Ti_Audétat23) Times'!$F328*0.000001)^2/(4*'D(Ti_Audétat23) Times'!$C328)/(365.35*24*3600)</f>
        <v>118037.08059661367</v>
      </c>
      <c r="Q328" s="2">
        <f>([412]L!R328*'D(Ti_Audétat23) Times'!$F328*0.000001)^2/(4*'D(Ti_Audétat23) Times'!$C328)/(365.35*24*3600)</f>
        <v>165159.60761990288</v>
      </c>
      <c r="R328" s="2">
        <f>([412]L!S328*'D(Ti_Audétat23) Times'!$F328*0.000001)^2/(4*'D(Ti_Audétat23) Times'!$C328)/(365.35*24*3600)</f>
        <v>117586.51197585661</v>
      </c>
      <c r="S328" s="2">
        <f>([412]L!T328*'D(Ti_Audétat23) Times'!$F328*0.000001)^2/(4*'D(Ti_Audétat23) Times'!$C328)/(365.35*24*3600)</f>
        <v>123233.21047401091</v>
      </c>
      <c r="T328" s="2"/>
      <c r="U328" s="2">
        <f>([412]L!V328*'D(Ti_Audétat23) Times'!$F328*0.000001)^2/(4*'D(Ti_Audétat23) Times'!$C328)/(365.35*24*3600)</f>
        <v>110033.44544955775</v>
      </c>
      <c r="V328" s="2">
        <f>([412]L!W328*'D(Ti_Audétat23) Times'!$F328*0.000001)^2/(4*'D(Ti_Audétat23) Times'!$C328)/(365.35*24*3600)</f>
        <v>110782.36235433155</v>
      </c>
      <c r="W328" s="2">
        <f>([412]L!X328*'D(Ti_Audétat23) Times'!$F328*0.000001)^2/(4*'D(Ti_Audétat23) Times'!$C328)/(365.35*24*3600)</f>
        <v>107278.01850636046</v>
      </c>
      <c r="X328" s="2"/>
      <c r="Y328" s="2">
        <f>([412]L!Z328*'D(Ti_Audétat23) Times'!$F328*0.000001)^2/(4*'D(Ti_Audétat23) Times'!$C328)/(365.35*24*3600)</f>
        <v>111099.52139724462</v>
      </c>
      <c r="Z328" s="2">
        <f>([412]L!AB328*'D(Ti_Audétat23) Times'!$F328*0.000001)^2/(4*'D(Ti_Audétat23) Times'!$C328)/(365.35*24*3600)</f>
        <v>112836.23357124416</v>
      </c>
      <c r="AA328" s="2">
        <f>([412]L!AC328*'D(Ti_Audétat23) Times'!$F328*0.000001)^2/(4*'D(Ti_Audétat23) Times'!$C328)/(365.35*24*3600)</f>
        <v>80468.672339335011</v>
      </c>
      <c r="AB328" s="2">
        <f>([412]L!AD328*'D(Ti_Audétat23) Times'!$F328*0.000001)^2/(4*'D(Ti_Audétat23) Times'!$C328)/(365.35*24*3600)</f>
        <v>168866.73439252027</v>
      </c>
      <c r="AC328" s="2">
        <f t="shared" si="21"/>
        <v>32367.561231909145</v>
      </c>
      <c r="AD328" s="2">
        <f t="shared" si="22"/>
        <v>56030.500821276117</v>
      </c>
    </row>
    <row r="329" spans="1:30" x14ac:dyDescent="0.2">
      <c r="A329" t="str">
        <f>[412]L!A329</f>
        <v>CGI015-qtz09-CL-fit-2-offset</v>
      </c>
      <c r="B329">
        <v>750</v>
      </c>
      <c r="C329">
        <f t="shared" si="23"/>
        <v>1.1456341375347871E-23</v>
      </c>
      <c r="D329">
        <v>2150</v>
      </c>
      <c r="E329">
        <v>1024</v>
      </c>
      <c r="F329">
        <f t="shared" si="20"/>
        <v>2.099609375</v>
      </c>
      <c r="I329" s="2">
        <f>([412]L!J329*'D(Ti_Audétat23) Times'!$F329*0.000001)^2/(4*'D(Ti_Audétat23) Times'!$C329)/(365.35*24*3600)</f>
        <v>85634.646038405495</v>
      </c>
      <c r="J329" s="2">
        <f>([412]L!K329*'D(Ti_Audétat23) Times'!$F329*0.000001)^2/(4*'D(Ti_Audétat23) Times'!$C329)/(365.35*24*3600)</f>
        <v>99096.386056581905</v>
      </c>
      <c r="K329" s="2">
        <f>([412]L!L329*'D(Ti_Audétat23) Times'!$F329*0.000001)^2/(4*'D(Ti_Audétat23) Times'!$C329)/(365.35*24*3600)</f>
        <v>61053.650010810699</v>
      </c>
      <c r="L329" s="2">
        <f>([412]L!M329*'D(Ti_Audétat23) Times'!$F329*0.000001)^2/(4*'D(Ti_Audétat23) Times'!$C329)/(365.35*24*3600)</f>
        <v>74008.377900995503</v>
      </c>
      <c r="M329" s="2">
        <f>([412]L!N329*'D(Ti_Audétat23) Times'!$F329*0.000001)^2/(4*'D(Ti_Audétat23) Times'!$C329)/(365.35*24*3600)</f>
        <v>62712.806685019335</v>
      </c>
      <c r="N329" s="2">
        <f>([412]L!O329*'D(Ti_Audétat23) Times'!$F329*0.000001)^2/(4*'D(Ti_Audétat23) Times'!$C329)/(365.35*24*3600)</f>
        <v>79747.167205995691</v>
      </c>
      <c r="O329" s="2">
        <f>([412]L!P329*'D(Ti_Audétat23) Times'!$F329*0.000001)^2/(4*'D(Ti_Audétat23) Times'!$C329)/(365.35*24*3600)</f>
        <v>83949.394408053238</v>
      </c>
      <c r="P329" s="2">
        <f>([412]L!Q329*'D(Ti_Audétat23) Times'!$F329*0.000001)^2/(4*'D(Ti_Audétat23) Times'!$C329)/(365.35*24*3600)</f>
        <v>96210.862013533362</v>
      </c>
      <c r="Q329" s="2">
        <f>([412]L!R329*'D(Ti_Audétat23) Times'!$F329*0.000001)^2/(4*'D(Ti_Audétat23) Times'!$C329)/(365.35*24*3600)</f>
        <v>93939.606167999547</v>
      </c>
      <c r="R329" s="2">
        <f>([412]L!S329*'D(Ti_Audétat23) Times'!$F329*0.000001)^2/(4*'D(Ti_Audétat23) Times'!$C329)/(365.35*24*3600)</f>
        <v>104954.4388813808</v>
      </c>
      <c r="S329" s="2">
        <f>([412]L!T329*'D(Ti_Audétat23) Times'!$F329*0.000001)^2/(4*'D(Ti_Audétat23) Times'!$C329)/(365.35*24*3600)</f>
        <v>57863.72752637216</v>
      </c>
      <c r="T329" s="2"/>
      <c r="U329" s="2">
        <f>([412]L!V329*'D(Ti_Audétat23) Times'!$F329*0.000001)^2/(4*'D(Ti_Audétat23) Times'!$C329)/(365.35*24*3600)</f>
        <v>81987.100732684936</v>
      </c>
      <c r="V329" s="2">
        <f>([412]L!W329*'D(Ti_Audétat23) Times'!$F329*0.000001)^2/(4*'D(Ti_Audétat23) Times'!$C329)/(365.35*24*3600)</f>
        <v>80982.454398540925</v>
      </c>
      <c r="W329" s="2">
        <f>([412]L!X329*'D(Ti_Audétat23) Times'!$F329*0.000001)^2/(4*'D(Ti_Audétat23) Times'!$C329)/(365.35*24*3600)</f>
        <v>83949.394408053238</v>
      </c>
      <c r="X329" s="2"/>
      <c r="Y329" s="2">
        <f>([412]L!Z329*'D(Ti_Audétat23) Times'!$F329*0.000001)^2/(4*'D(Ti_Audétat23) Times'!$C329)/(365.35*24*3600)</f>
        <v>79495.670179703462</v>
      </c>
      <c r="Z329" s="2">
        <f>([412]L!AB329*'D(Ti_Audétat23) Times'!$F329*0.000001)^2/(4*'D(Ti_Audétat23) Times'!$C329)/(365.35*24*3600)</f>
        <v>79740.771530441416</v>
      </c>
      <c r="AA329" s="2">
        <f>([412]L!AC329*'D(Ti_Audétat23) Times'!$F329*0.000001)^2/(4*'D(Ti_Audétat23) Times'!$C329)/(365.35*24*3600)</f>
        <v>45997.217754327547</v>
      </c>
      <c r="AB329" s="2">
        <f>([412]L!AD329*'D(Ti_Audétat23) Times'!$F329*0.000001)^2/(4*'D(Ti_Audétat23) Times'!$C329)/(365.35*24*3600)</f>
        <v>131556.6554737991</v>
      </c>
      <c r="AC329" s="2">
        <f t="shared" si="21"/>
        <v>33743.553776113869</v>
      </c>
      <c r="AD329" s="2">
        <f t="shared" si="22"/>
        <v>51815.88394335768</v>
      </c>
    </row>
    <row r="330" spans="1:30" x14ac:dyDescent="0.2">
      <c r="A330" t="str">
        <f>[412]L!A330</f>
        <v>CGI015-qtz09-CL-fit-3-offset</v>
      </c>
      <c r="B330">
        <v>750</v>
      </c>
      <c r="C330">
        <f t="shared" si="23"/>
        <v>1.1456341375347871E-23</v>
      </c>
      <c r="D330">
        <v>2150</v>
      </c>
      <c r="E330">
        <v>1024</v>
      </c>
      <c r="F330">
        <f t="shared" si="20"/>
        <v>2.099609375</v>
      </c>
      <c r="I330" s="2">
        <f>([412]L!J330*'D(Ti_Audétat23) Times'!$F330*0.000001)^2/(4*'D(Ti_Audétat23) Times'!$C330)/(365.35*24*3600)</f>
        <v>13417.892064020907</v>
      </c>
      <c r="J330" s="2">
        <f>([412]L!K330*'D(Ti_Audétat23) Times'!$F330*0.000001)^2/(4*'D(Ti_Audétat23) Times'!$C330)/(365.35*24*3600)</f>
        <v>12261.975526740651</v>
      </c>
      <c r="K330" s="2">
        <f>([412]L!L330*'D(Ti_Audétat23) Times'!$F330*0.000001)^2/(4*'D(Ti_Audétat23) Times'!$C330)/(365.35*24*3600)</f>
        <v>9866.2971027022686</v>
      </c>
      <c r="L330" s="2">
        <f>([412]L!M330*'D(Ti_Audétat23) Times'!$F330*0.000001)^2/(4*'D(Ti_Audétat23) Times'!$C330)/(365.35*24*3600)</f>
        <v>8484.8853364332299</v>
      </c>
      <c r="M330" s="2">
        <f>([412]L!N330*'D(Ti_Audétat23) Times'!$F330*0.000001)^2/(4*'D(Ti_Audétat23) Times'!$C330)/(365.35*24*3600)</f>
        <v>9961.1252133943035</v>
      </c>
      <c r="N330" s="2">
        <f>([412]L!O330*'D(Ti_Audétat23) Times'!$F330*0.000001)^2/(4*'D(Ti_Audétat23) Times'!$C330)/(365.35*24*3600)</f>
        <v>9780.821802698696</v>
      </c>
      <c r="O330" s="2">
        <f>([412]L!P330*'D(Ti_Audétat23) Times'!$F330*0.000001)^2/(4*'D(Ti_Audétat23) Times'!$C330)/(365.35*24*3600)</f>
        <v>9794.2462712114448</v>
      </c>
      <c r="P330" s="2">
        <f>([412]L!Q330*'D(Ti_Audétat23) Times'!$F330*0.000001)^2/(4*'D(Ti_Audétat23) Times'!$C330)/(365.35*24*3600)</f>
        <v>20829.974140597733</v>
      </c>
      <c r="Q330" s="2">
        <f>([412]L!R330*'D(Ti_Audétat23) Times'!$F330*0.000001)^2/(4*'D(Ti_Audétat23) Times'!$C330)/(365.35*24*3600)</f>
        <v>13471.82591629745</v>
      </c>
      <c r="R330" s="2">
        <f>([412]L!S330*'D(Ti_Audétat23) Times'!$F330*0.000001)^2/(4*'D(Ti_Audétat23) Times'!$C330)/(365.35*24*3600)</f>
        <v>13888.198701262638</v>
      </c>
      <c r="S330" s="2">
        <f>([412]L!T330*'D(Ti_Audétat23) Times'!$F330*0.000001)^2/(4*'D(Ti_Audétat23) Times'!$C330)/(365.35*24*3600)</f>
        <v>15566.19668314563</v>
      </c>
      <c r="T330" s="2"/>
      <c r="U330" s="2">
        <f>([412]L!V330*'D(Ti_Audétat23) Times'!$F330*0.000001)^2/(4*'D(Ti_Audétat23) Times'!$C330)/(365.35*24*3600)</f>
        <v>12446.234763807481</v>
      </c>
      <c r="V330" s="2">
        <f>([412]L!W330*'D(Ti_Audétat23) Times'!$F330*0.000001)^2/(4*'D(Ti_Audétat23) Times'!$C330)/(365.35*24*3600)</f>
        <v>12274.390945796931</v>
      </c>
      <c r="W330" s="2">
        <f>([412]L!X330*'D(Ti_Audétat23) Times'!$F330*0.000001)^2/(4*'D(Ti_Audétat23) Times'!$C330)/(365.35*24*3600)</f>
        <v>12261.975526740651</v>
      </c>
      <c r="X330" s="2"/>
      <c r="Y330" s="2">
        <f>([412]L!Z330*'D(Ti_Audétat23) Times'!$F330*0.000001)^2/(4*'D(Ti_Audétat23) Times'!$C330)/(365.35*24*3600)</f>
        <v>11383.507884472527</v>
      </c>
      <c r="Z330" s="2">
        <f>([412]L!AB330*'D(Ti_Audétat23) Times'!$F330*0.000001)^2/(4*'D(Ti_Audétat23) Times'!$C330)/(365.35*24*3600)</f>
        <v>11493.810762930532</v>
      </c>
      <c r="AA330" s="2">
        <f>([412]L!AC330*'D(Ti_Audétat23) Times'!$F330*0.000001)^2/(4*'D(Ti_Audétat23) Times'!$C330)/(365.35*24*3600)</f>
        <v>4850.7537030731328</v>
      </c>
      <c r="AB330" s="2">
        <f>([412]L!AD330*'D(Ti_Audétat23) Times'!$F330*0.000001)^2/(4*'D(Ti_Audétat23) Times'!$C330)/(365.35*24*3600)</f>
        <v>20577.884252907559</v>
      </c>
      <c r="AC330" s="2">
        <f t="shared" si="21"/>
        <v>6643.0570598573995</v>
      </c>
      <c r="AD330" s="2">
        <f t="shared" si="22"/>
        <v>9084.0734899770268</v>
      </c>
    </row>
    <row r="331" spans="1:30" x14ac:dyDescent="0.2">
      <c r="A331" t="str">
        <f>[412]L!A331</f>
        <v>CGI015-qtz09-CL-fit-4-offset</v>
      </c>
      <c r="B331">
        <v>750</v>
      </c>
      <c r="C331">
        <f t="shared" si="23"/>
        <v>1.1456341375347871E-23</v>
      </c>
      <c r="D331">
        <v>2150</v>
      </c>
      <c r="E331">
        <v>1024</v>
      </c>
      <c r="F331">
        <f t="shared" si="20"/>
        <v>2.099609375</v>
      </c>
      <c r="I331" s="2">
        <f>([412]L!J331*'D(Ti_Audétat23) Times'!$F331*0.000001)^2/(4*'D(Ti_Audétat23) Times'!$C331)/(365.35*24*3600)</f>
        <v>11602.168816590078</v>
      </c>
      <c r="J331" s="2">
        <f>([412]L!K331*'D(Ti_Audétat23) Times'!$F331*0.000001)^2/(4*'D(Ti_Audétat23) Times'!$C331)/(365.35*24*3600)</f>
        <v>21945.855582040786</v>
      </c>
      <c r="K331" s="2">
        <f>([412]L!L331*'D(Ti_Audétat23) Times'!$F331*0.000001)^2/(4*'D(Ti_Audétat23) Times'!$C331)/(365.35*24*3600)</f>
        <v>27416.354833771849</v>
      </c>
      <c r="L331" s="2">
        <f>([412]L!M331*'D(Ti_Audétat23) Times'!$F331*0.000001)^2/(4*'D(Ti_Audétat23) Times'!$C331)/(365.35*24*3600)</f>
        <v>26591.886050684283</v>
      </c>
      <c r="M331" s="2">
        <f>([412]L!N331*'D(Ti_Audétat23) Times'!$F331*0.000001)^2/(4*'D(Ti_Audétat23) Times'!$C331)/(365.35*24*3600)</f>
        <v>32206.296337071009</v>
      </c>
      <c r="N331" s="2">
        <f>([412]L!O331*'D(Ti_Audétat23) Times'!$F331*0.000001)^2/(4*'D(Ti_Audétat23) Times'!$C331)/(365.35*24*3600)</f>
        <v>10148.55776890521</v>
      </c>
      <c r="O331" s="2">
        <f>([412]L!P331*'D(Ti_Audétat23) Times'!$F331*0.000001)^2/(4*'D(Ti_Audétat23) Times'!$C331)/(365.35*24*3600)</f>
        <v>17114.872401667952</v>
      </c>
      <c r="P331" s="2">
        <f>([412]L!Q331*'D(Ti_Audétat23) Times'!$F331*0.000001)^2/(4*'D(Ti_Audétat23) Times'!$C331)/(365.35*24*3600)</f>
        <v>22552.795828089842</v>
      </c>
      <c r="Q331" s="2">
        <f>([412]L!R331*'D(Ti_Audétat23) Times'!$F331*0.000001)^2/(4*'D(Ti_Audétat23) Times'!$C331)/(365.35*24*3600)</f>
        <v>27134.251641807296</v>
      </c>
      <c r="R331" s="2">
        <f>([412]L!S331*'D(Ti_Audétat23) Times'!$F331*0.000001)^2/(4*'D(Ti_Audétat23) Times'!$C331)/(365.35*24*3600)</f>
        <v>20130.603094353646</v>
      </c>
      <c r="S331" s="2">
        <f>([412]L!T331*'D(Ti_Audétat23) Times'!$F331*0.000001)^2/(4*'D(Ti_Audétat23) Times'!$C331)/(365.35*24*3600)</f>
        <v>29568.601913451654</v>
      </c>
      <c r="T331" s="2"/>
      <c r="U331" s="2">
        <f>([412]L!V331*'D(Ti_Audétat23) Times'!$F331*0.000001)^2/(4*'D(Ti_Audétat23) Times'!$C331)/(365.35*24*3600)</f>
        <v>23714.076120528513</v>
      </c>
      <c r="V331" s="2">
        <f>([412]L!W331*'D(Ti_Audétat23) Times'!$F331*0.000001)^2/(4*'D(Ti_Audétat23) Times'!$C331)/(365.35*24*3600)</f>
        <v>21803.663082749517</v>
      </c>
      <c r="W331" s="2">
        <f>([412]L!X331*'D(Ti_Audétat23) Times'!$F331*0.000001)^2/(4*'D(Ti_Audétat23) Times'!$C331)/(365.35*24*3600)</f>
        <v>22552.795828089842</v>
      </c>
      <c r="X331" s="2"/>
      <c r="Y331" s="2">
        <f>([412]L!Z331*'D(Ti_Audétat23) Times'!$F331*0.000001)^2/(4*'D(Ti_Audétat23) Times'!$C331)/(365.35*24*3600)</f>
        <v>23050.078632498142</v>
      </c>
      <c r="Z331" s="2">
        <f>([412]L!AB331*'D(Ti_Audétat23) Times'!$F331*0.000001)^2/(4*'D(Ti_Audétat23) Times'!$C331)/(365.35*24*3600)</f>
        <v>22486.780858283062</v>
      </c>
      <c r="AA331" s="2">
        <f>([412]L!AC331*'D(Ti_Audétat23) Times'!$F331*0.000001)^2/(4*'D(Ti_Audétat23) Times'!$C331)/(365.35*24*3600)</f>
        <v>6848.0480776106524</v>
      </c>
      <c r="AB331" s="2">
        <f>([412]L!AD331*'D(Ti_Audétat23) Times'!$F331*0.000001)^2/(4*'D(Ti_Audétat23) Times'!$C331)/(365.35*24*3600)</f>
        <v>43701.786952102419</v>
      </c>
      <c r="AC331" s="2">
        <f t="shared" si="21"/>
        <v>15638.73278067241</v>
      </c>
      <c r="AD331" s="2">
        <f t="shared" si="22"/>
        <v>21215.006093819356</v>
      </c>
    </row>
    <row r="332" spans="1:30" x14ac:dyDescent="0.2">
      <c r="A332" t="str">
        <f>[412]L!A332</f>
        <v>CGI015-qtz09-CL-fit-5-offset</v>
      </c>
      <c r="B332">
        <v>750</v>
      </c>
      <c r="C332">
        <f t="shared" si="23"/>
        <v>1.1456341375347871E-23</v>
      </c>
      <c r="D332">
        <v>2150</v>
      </c>
      <c r="E332">
        <v>1024</v>
      </c>
      <c r="F332">
        <f t="shared" si="20"/>
        <v>2.099609375</v>
      </c>
      <c r="I332" s="2">
        <f>([412]L!J332*'D(Ti_Audétat23) Times'!$F332*0.000001)^2/(4*'D(Ti_Audétat23) Times'!$C332)/(365.35*24*3600)</f>
        <v>4.4129680205353566E-4</v>
      </c>
      <c r="J332" s="2">
        <f>([412]L!K332*'D(Ti_Audétat23) Times'!$F332*0.000001)^2/(4*'D(Ti_Audétat23) Times'!$C332)/(365.35*24*3600)</f>
        <v>3922.7381431981321</v>
      </c>
      <c r="K332" s="2">
        <f>([412]L!L332*'D(Ti_Audétat23) Times'!$F332*0.000001)^2/(4*'D(Ti_Audétat23) Times'!$C332)/(365.35*24*3600)</f>
        <v>3703.5292852280581</v>
      </c>
      <c r="L332" s="2">
        <f>([412]L!M332*'D(Ti_Audétat23) Times'!$F332*0.000001)^2/(4*'D(Ti_Audétat23) Times'!$C332)/(365.35*24*3600)</f>
        <v>5.5272447268488767</v>
      </c>
      <c r="M332" s="2">
        <f>([412]L!N332*'D(Ti_Audétat23) Times'!$F332*0.000001)^2/(4*'D(Ti_Audétat23) Times'!$C332)/(365.35*24*3600)</f>
        <v>7613.8256645867841</v>
      </c>
      <c r="N332" s="2">
        <f>([412]L!O332*'D(Ti_Audétat23) Times'!$F332*0.000001)^2/(4*'D(Ti_Audétat23) Times'!$C332)/(365.35*24*3600)</f>
        <v>1709.6693000023561</v>
      </c>
      <c r="O332" s="2">
        <f>([412]L!P332*'D(Ti_Audétat23) Times'!$F332*0.000001)^2/(4*'D(Ti_Audétat23) Times'!$C332)/(365.35*24*3600)</f>
        <v>2855.6848751013754</v>
      </c>
      <c r="P332" s="2">
        <f>([412]L!Q332*'D(Ti_Audétat23) Times'!$F332*0.000001)^2/(4*'D(Ti_Audétat23) Times'!$C332)/(365.35*24*3600)</f>
        <v>0.1617267322271557</v>
      </c>
      <c r="Q332" s="2">
        <f>([412]L!R332*'D(Ti_Audétat23) Times'!$F332*0.000001)^2/(4*'D(Ti_Audétat23) Times'!$C332)/(365.35*24*3600)</f>
        <v>2505.9749250933705</v>
      </c>
      <c r="R332" s="2">
        <f>([412]L!S332*'D(Ti_Audétat23) Times'!$F332*0.000001)^2/(4*'D(Ti_Audétat23) Times'!$C332)/(365.35*24*3600)</f>
        <v>3433.9291954906853</v>
      </c>
      <c r="S332" s="2">
        <f>([412]L!T332*'D(Ti_Audétat23) Times'!$F332*0.000001)^2/(4*'D(Ti_Audétat23) Times'!$C332)/(365.35*24*3600)</f>
        <v>1128.4452044542106</v>
      </c>
      <c r="T332" s="2"/>
      <c r="U332" s="2">
        <f>([412]L!V332*'D(Ti_Audétat23) Times'!$F332*0.000001)^2/(4*'D(Ti_Audétat23) Times'!$C332)/(365.35*24*3600)</f>
        <v>2151.6286656457482</v>
      </c>
      <c r="V332" s="2">
        <f>([412]L!W332*'D(Ti_Audétat23) Times'!$F332*0.000001)^2/(4*'D(Ti_Audétat23) Times'!$C332)/(365.35*24*3600)</f>
        <v>1677.7092957705611</v>
      </c>
      <c r="W332" s="2">
        <f>([412]L!X332*'D(Ti_Audétat23) Times'!$F332*0.000001)^2/(4*'D(Ti_Audétat23) Times'!$C332)/(365.35*24*3600)</f>
        <v>2505.9749250933705</v>
      </c>
      <c r="X332" s="2"/>
      <c r="Y332" s="2">
        <f>([412]L!Z332*'D(Ti_Audétat23) Times'!$F332*0.000001)^2/(4*'D(Ti_Audétat23) Times'!$C332)/(365.35*24*3600)</f>
        <v>1930.5905407049941</v>
      </c>
      <c r="Z332" s="2">
        <f>([412]L!AB332*'D(Ti_Audétat23) Times'!$F332*0.000001)^2/(4*'D(Ti_Audétat23) Times'!$C332)/(365.35*24*3600)</f>
        <v>2143.6363199973275</v>
      </c>
      <c r="AA332" s="2">
        <f>([412]L!AC332*'D(Ti_Audétat23) Times'!$F332*0.000001)^2/(4*'D(Ti_Audétat23) Times'!$C332)/(365.35*24*3600)</f>
        <v>45.742493596583856</v>
      </c>
      <c r="AB332" s="2">
        <f>([412]L!AD332*'D(Ti_Audétat23) Times'!$F332*0.000001)^2/(4*'D(Ti_Audétat23) Times'!$C332)/(365.35*24*3600)</f>
        <v>9278.1059025912673</v>
      </c>
      <c r="AC332" s="2">
        <f t="shared" si="21"/>
        <v>2097.8938264007438</v>
      </c>
      <c r="AD332" s="2">
        <f t="shared" si="22"/>
        <v>7134.4695825939398</v>
      </c>
    </row>
    <row r="333" spans="1:30" x14ac:dyDescent="0.2">
      <c r="A333" t="str">
        <f>[412]L!A333</f>
        <v>CGI015-qtz09-CL-fit-6-offset</v>
      </c>
      <c r="B333">
        <v>750</v>
      </c>
      <c r="C333">
        <f t="shared" si="23"/>
        <v>1.1456341375347871E-23</v>
      </c>
      <c r="D333">
        <v>2150</v>
      </c>
      <c r="E333">
        <v>1024</v>
      </c>
      <c r="F333">
        <f t="shared" si="20"/>
        <v>2.099609375</v>
      </c>
      <c r="I333" s="2">
        <f>([412]L!J333*'D(Ti_Audétat23) Times'!$F333*0.000001)^2/(4*'D(Ti_Audétat23) Times'!$C333)/(365.35*24*3600)</f>
        <v>23039.785257887092</v>
      </c>
      <c r="J333" s="2">
        <f>([412]L!K333*'D(Ti_Audétat23) Times'!$F333*0.000001)^2/(4*'D(Ti_Audétat23) Times'!$C333)/(365.35*24*3600)</f>
        <v>13986.100308678791</v>
      </c>
      <c r="K333" s="2">
        <f>([412]L!L333*'D(Ti_Audétat23) Times'!$F333*0.000001)^2/(4*'D(Ti_Audétat23) Times'!$C333)/(365.35*24*3600)</f>
        <v>17772.605251796675</v>
      </c>
      <c r="L333" s="2">
        <f>([412]L!M333*'D(Ti_Audétat23) Times'!$F333*0.000001)^2/(4*'D(Ti_Audétat23) Times'!$C333)/(365.35*24*3600)</f>
        <v>8073.5002933699343</v>
      </c>
      <c r="M333" s="2">
        <f>([412]L!N333*'D(Ti_Audétat23) Times'!$F333*0.000001)^2/(4*'D(Ti_Audétat23) Times'!$C333)/(365.35*24*3600)</f>
        <v>11732.018601441774</v>
      </c>
      <c r="N333" s="2">
        <f>([412]L!O333*'D(Ti_Audétat23) Times'!$F333*0.000001)^2/(4*'D(Ti_Audétat23) Times'!$C333)/(365.35*24*3600)</f>
        <v>8548.1345291281486</v>
      </c>
      <c r="O333" s="2">
        <f>([412]L!P333*'D(Ti_Audétat23) Times'!$F333*0.000001)^2/(4*'D(Ti_Audétat23) Times'!$C333)/(365.35*24*3600)</f>
        <v>10597.484044703902</v>
      </c>
      <c r="P333" s="2">
        <f>([412]L!Q333*'D(Ti_Audétat23) Times'!$F333*0.000001)^2/(4*'D(Ti_Audétat23) Times'!$C333)/(365.35*24*3600)</f>
        <v>8275.3038017064082</v>
      </c>
      <c r="Q333" s="2">
        <f>([412]L!R333*'D(Ti_Audétat23) Times'!$F333*0.000001)^2/(4*'D(Ti_Audétat23) Times'!$C333)/(365.35*24*3600)</f>
        <v>5322.4885075064049</v>
      </c>
      <c r="R333" s="2">
        <f>([412]L!S333*'D(Ti_Audétat23) Times'!$F333*0.000001)^2/(4*'D(Ti_Audétat23) Times'!$C333)/(365.35*24*3600)</f>
        <v>6018.58085722123</v>
      </c>
      <c r="S333" s="2">
        <f>([412]L!T333*'D(Ti_Audétat23) Times'!$F333*0.000001)^2/(4*'D(Ti_Audétat23) Times'!$C333)/(365.35*24*3600)</f>
        <v>5211.5998735292387</v>
      </c>
      <c r="T333" s="2"/>
      <c r="U333" s="2">
        <f>([412]L!V333*'D(Ti_Audétat23) Times'!$F333*0.000001)^2/(4*'D(Ti_Audétat23) Times'!$C333)/(365.35*24*3600)</f>
        <v>11547.864681041325</v>
      </c>
      <c r="V333" s="2">
        <f>([412]L!W333*'D(Ti_Audétat23) Times'!$F333*0.000001)^2/(4*'D(Ti_Audétat23) Times'!$C333)/(365.35*24*3600)</f>
        <v>10194.164623025683</v>
      </c>
      <c r="W333" s="2">
        <f>([412]L!X333*'D(Ti_Audétat23) Times'!$F333*0.000001)^2/(4*'D(Ti_Audétat23) Times'!$C333)/(365.35*24*3600)</f>
        <v>8548.1345291281486</v>
      </c>
      <c r="X333" s="2"/>
      <c r="Y333" s="2">
        <f>([412]L!Z333*'D(Ti_Audétat23) Times'!$F333*0.000001)^2/(4*'D(Ti_Audétat23) Times'!$C333)/(365.35*24*3600)</f>
        <v>10083.738934096582</v>
      </c>
      <c r="Z333" s="2">
        <f>([412]L!AB333*'D(Ti_Audétat23) Times'!$F333*0.000001)^2/(4*'D(Ti_Audétat23) Times'!$C333)/(365.35*24*3600)</f>
        <v>9623.775266434086</v>
      </c>
      <c r="AA333" s="2">
        <f>([412]L!AC333*'D(Ti_Audétat23) Times'!$F333*0.000001)^2/(4*'D(Ti_Audétat23) Times'!$C333)/(365.35*24*3600)</f>
        <v>1538.7081649485858</v>
      </c>
      <c r="AB333" s="2">
        <f>([412]L!AD333*'D(Ti_Audétat23) Times'!$F333*0.000001)^2/(4*'D(Ti_Audétat23) Times'!$C333)/(365.35*24*3600)</f>
        <v>26374.244228886742</v>
      </c>
      <c r="AC333" s="2">
        <f t="shared" si="21"/>
        <v>8085.0671014854997</v>
      </c>
      <c r="AD333" s="2">
        <f t="shared" si="22"/>
        <v>16750.468962452658</v>
      </c>
    </row>
    <row r="334" spans="1:30" x14ac:dyDescent="0.2">
      <c r="A334" t="str">
        <f>[412]L!A334</f>
        <v>CGI015-qtz10-CL-fit-1-offset</v>
      </c>
      <c r="B334">
        <v>750</v>
      </c>
      <c r="C334">
        <f t="shared" si="23"/>
        <v>1.1456341375347871E-23</v>
      </c>
      <c r="D334">
        <v>2050</v>
      </c>
      <c r="E334">
        <v>1024</v>
      </c>
      <c r="F334">
        <f t="shared" si="20"/>
        <v>2.001953125</v>
      </c>
      <c r="I334" s="2">
        <f>([412]L!J334*'D(Ti_Audétat23) Times'!$F334*0.000001)^2/(4*'D(Ti_Audétat23) Times'!$C334)/(365.35*24*3600)</f>
        <v>131401.93272312763</v>
      </c>
      <c r="J334" s="2">
        <f>([412]L!K334*'D(Ti_Audétat23) Times'!$F334*0.000001)^2/(4*'D(Ti_Audétat23) Times'!$C334)/(365.35*24*3600)</f>
        <v>150086.11542943076</v>
      </c>
      <c r="K334" s="2">
        <f>([412]L!L334*'D(Ti_Audétat23) Times'!$F334*0.000001)^2/(4*'D(Ti_Audétat23) Times'!$C334)/(365.35*24*3600)</f>
        <v>97242.444772742907</v>
      </c>
      <c r="L334" s="2">
        <f>([412]L!M334*'D(Ti_Audétat23) Times'!$F334*0.000001)^2/(4*'D(Ti_Audétat23) Times'!$C334)/(365.35*24*3600)</f>
        <v>146080.0816213582</v>
      </c>
      <c r="M334" s="2">
        <f>([412]L!N334*'D(Ti_Audétat23) Times'!$F334*0.000001)^2/(4*'D(Ti_Audétat23) Times'!$C334)/(365.35*24*3600)</f>
        <v>129514.17049019295</v>
      </c>
      <c r="N334" s="2">
        <f>([412]L!O334*'D(Ti_Audétat23) Times'!$F334*0.000001)^2/(4*'D(Ti_Audétat23) Times'!$C334)/(365.35*24*3600)</f>
        <v>162778.26336119042</v>
      </c>
      <c r="O334" s="2">
        <f>([412]L!P334*'D(Ti_Audétat23) Times'!$F334*0.000001)^2/(4*'D(Ti_Audétat23) Times'!$C334)/(365.35*24*3600)</f>
        <v>146495.1208399692</v>
      </c>
      <c r="P334" s="2">
        <f>([412]L!Q334*'D(Ti_Audétat23) Times'!$F334*0.000001)^2/(4*'D(Ti_Audétat23) Times'!$C334)/(365.35*24*3600)</f>
        <v>128745.84041790996</v>
      </c>
      <c r="Q334" s="2">
        <f>([412]L!R334*'D(Ti_Audétat23) Times'!$F334*0.000001)^2/(4*'D(Ti_Audétat23) Times'!$C334)/(365.35*24*3600)</f>
        <v>134136.25265743237</v>
      </c>
      <c r="R334" s="2">
        <f>([412]L!S334*'D(Ti_Audétat23) Times'!$F334*0.000001)^2/(4*'D(Ti_Audétat23) Times'!$C334)/(365.35*24*3600)</f>
        <v>203484.07058664697</v>
      </c>
      <c r="S334" s="2">
        <f>([412]L!T334*'D(Ti_Audétat23) Times'!$F334*0.000001)^2/(4*'D(Ti_Audétat23) Times'!$C334)/(365.35*24*3600)</f>
        <v>134665.44132572153</v>
      </c>
      <c r="T334" s="2"/>
      <c r="U334" s="2">
        <f>([412]L!V334*'D(Ti_Audétat23) Times'!$F334*0.000001)^2/(4*'D(Ti_Audétat23) Times'!$C334)/(365.35*24*3600)</f>
        <v>140867.23443395141</v>
      </c>
      <c r="V334" s="2">
        <f>([412]L!W334*'D(Ti_Audétat23) Times'!$F334*0.000001)^2/(4*'D(Ti_Audétat23) Times'!$C334)/(365.35*24*3600)</f>
        <v>141181.1154974057</v>
      </c>
      <c r="W334" s="2">
        <f>([412]L!X334*'D(Ti_Audétat23) Times'!$F334*0.000001)^2/(4*'D(Ti_Audétat23) Times'!$C334)/(365.35*24*3600)</f>
        <v>134665.44132572153</v>
      </c>
      <c r="X334" s="2"/>
      <c r="Y334" s="2">
        <f>([412]L!Z334*'D(Ti_Audétat23) Times'!$F334*0.000001)^2/(4*'D(Ti_Audétat23) Times'!$C334)/(365.35*24*3600)</f>
        <v>140458.01825012878</v>
      </c>
      <c r="Z334" s="2">
        <f>([412]L!AB334*'D(Ti_Audétat23) Times'!$F334*0.000001)^2/(4*'D(Ti_Audétat23) Times'!$C334)/(365.35*24*3600)</f>
        <v>139860.93556609636</v>
      </c>
      <c r="AA334" s="2">
        <f>([412]L!AC334*'D(Ti_Audétat23) Times'!$F334*0.000001)^2/(4*'D(Ti_Audétat23) Times'!$C334)/(365.35*24*3600)</f>
        <v>94587.699979416007</v>
      </c>
      <c r="AB334" s="2">
        <f>([412]L!AD334*'D(Ti_Audétat23) Times'!$F334*0.000001)^2/(4*'D(Ti_Audétat23) Times'!$C334)/(365.35*24*3600)</f>
        <v>207631.23943030596</v>
      </c>
      <c r="AC334" s="2">
        <f t="shared" si="21"/>
        <v>45273.235586680355</v>
      </c>
      <c r="AD334" s="2">
        <f t="shared" si="22"/>
        <v>67770.303864209593</v>
      </c>
    </row>
    <row r="335" spans="1:30" x14ac:dyDescent="0.2">
      <c r="A335" t="str">
        <f>[412]L!A335</f>
        <v>CGI015-qtz10-CL-fit-2-offset</v>
      </c>
      <c r="B335">
        <v>750</v>
      </c>
      <c r="C335">
        <f t="shared" si="23"/>
        <v>1.1456341375347871E-23</v>
      </c>
      <c r="D335">
        <v>2050</v>
      </c>
      <c r="E335">
        <v>1024</v>
      </c>
      <c r="F335">
        <f t="shared" si="20"/>
        <v>2.001953125</v>
      </c>
      <c r="I335" s="2">
        <f>([412]L!J335*'D(Ti_Audétat23) Times'!$F335*0.000001)^2/(4*'D(Ti_Audétat23) Times'!$C335)/(365.35*24*3600)</f>
        <v>39435.869092607121</v>
      </c>
      <c r="J335" s="2">
        <f>([412]L!K335*'D(Ti_Audétat23) Times'!$F335*0.000001)^2/(4*'D(Ti_Audétat23) Times'!$C335)/(365.35*24*3600)</f>
        <v>29828.173414094214</v>
      </c>
      <c r="K335" s="2">
        <f>([412]L!L335*'D(Ti_Audétat23) Times'!$F335*0.000001)^2/(4*'D(Ti_Audétat23) Times'!$C335)/(365.35*24*3600)</f>
        <v>6499.6318756785759</v>
      </c>
      <c r="L335" s="2">
        <f>([412]L!M335*'D(Ti_Audétat23) Times'!$F335*0.000001)^2/(4*'D(Ti_Audétat23) Times'!$C335)/(365.35*24*3600)</f>
        <v>11782.689312414217</v>
      </c>
      <c r="M335" s="2">
        <f>([412]L!N335*'D(Ti_Audétat23) Times'!$F335*0.000001)^2/(4*'D(Ti_Audétat23) Times'!$C335)/(365.35*24*3600)</f>
        <v>18822.739721099726</v>
      </c>
      <c r="N335" s="2">
        <f>([412]L!O335*'D(Ti_Audétat23) Times'!$F335*0.000001)^2/(4*'D(Ti_Audétat23) Times'!$C335)/(365.35*24*3600)</f>
        <v>43849.824892197728</v>
      </c>
      <c r="O335" s="2">
        <f>([412]L!P335*'D(Ti_Audétat23) Times'!$F335*0.000001)^2/(4*'D(Ti_Audétat23) Times'!$C335)/(365.35*24*3600)</f>
        <v>3771.9374747856491</v>
      </c>
      <c r="P335" s="2">
        <f>([412]L!Q335*'D(Ti_Audétat23) Times'!$F335*0.000001)^2/(4*'D(Ti_Audétat23) Times'!$C335)/(365.35*24*3600)</f>
        <v>22935.194372857732</v>
      </c>
      <c r="Q335" s="2">
        <f>([412]L!R335*'D(Ti_Audétat23) Times'!$F335*0.000001)^2/(4*'D(Ti_Audétat23) Times'!$C335)/(365.35*24*3600)</f>
        <v>37233.658197986464</v>
      </c>
      <c r="R335" s="2">
        <f>([412]L!S335*'D(Ti_Audétat23) Times'!$F335*0.000001)^2/(4*'D(Ti_Audétat23) Times'!$C335)/(365.35*24*3600)</f>
        <v>22473.056297316827</v>
      </c>
      <c r="S335" s="2">
        <f>([412]L!T335*'D(Ti_Audétat23) Times'!$F335*0.000001)^2/(4*'D(Ti_Audétat23) Times'!$C335)/(365.35*24*3600)</f>
        <v>3406.658238308391</v>
      </c>
      <c r="T335" s="2"/>
      <c r="U335" s="2">
        <f>([412]L!V335*'D(Ti_Audétat23) Times'!$F335*0.000001)^2/(4*'D(Ti_Audétat23) Times'!$C335)/(365.35*24*3600)</f>
        <v>27541.827590656387</v>
      </c>
      <c r="V335" s="2">
        <f>([412]L!W335*'D(Ti_Audétat23) Times'!$F335*0.000001)^2/(4*'D(Ti_Audétat23) Times'!$C335)/(365.35*24*3600)</f>
        <v>19123.311699669874</v>
      </c>
      <c r="W335" s="2">
        <f>([412]L!X335*'D(Ti_Audétat23) Times'!$F335*0.000001)^2/(4*'D(Ti_Audétat23) Times'!$C335)/(365.35*24*3600)</f>
        <v>22473.056297316827</v>
      </c>
      <c r="X335" s="2"/>
      <c r="Y335" s="2">
        <f>([412]L!Z335*'D(Ti_Audétat23) Times'!$F335*0.000001)^2/(4*'D(Ti_Audétat23) Times'!$C335)/(365.35*24*3600)</f>
        <v>25389.557031593042</v>
      </c>
      <c r="Z335" s="2">
        <f>([412]L!AB335*'D(Ti_Audétat23) Times'!$F335*0.000001)^2/(4*'D(Ti_Audétat23) Times'!$C335)/(365.35*24*3600)</f>
        <v>28517.785861689121</v>
      </c>
      <c r="AA335" s="2">
        <f>([412]L!AC335*'D(Ti_Audétat23) Times'!$F335*0.000001)^2/(4*'D(Ti_Audétat23) Times'!$C335)/(365.35*24*3600)</f>
        <v>182.01535078049335</v>
      </c>
      <c r="AB335" s="2">
        <f>([412]L!AD335*'D(Ti_Audétat23) Times'!$F335*0.000001)^2/(4*'D(Ti_Audétat23) Times'!$C335)/(365.35*24*3600)</f>
        <v>213762.34017583789</v>
      </c>
      <c r="AC335" s="2">
        <f t="shared" si="21"/>
        <v>28335.770510908627</v>
      </c>
      <c r="AD335" s="2">
        <f t="shared" si="22"/>
        <v>185244.55431414876</v>
      </c>
    </row>
    <row r="336" spans="1:30" x14ac:dyDescent="0.2">
      <c r="A336" t="str">
        <f>[412]L!A336</f>
        <v>CGI015-qtz10-CL-fit-3-offset</v>
      </c>
      <c r="B336">
        <v>750</v>
      </c>
      <c r="C336">
        <f t="shared" si="23"/>
        <v>1.1456341375347871E-23</v>
      </c>
      <c r="D336">
        <v>2050</v>
      </c>
      <c r="E336">
        <v>1024</v>
      </c>
      <c r="F336">
        <f t="shared" si="20"/>
        <v>2.001953125</v>
      </c>
      <c r="I336" s="2">
        <f>([412]L!J336*'D(Ti_Audétat23) Times'!$F336*0.000001)^2/(4*'D(Ti_Audétat23) Times'!$C336)/(365.35*24*3600)</f>
        <v>21544.845644291319</v>
      </c>
      <c r="J336" s="2">
        <f>([412]L!K336*'D(Ti_Audétat23) Times'!$F336*0.000001)^2/(4*'D(Ti_Audétat23) Times'!$C336)/(365.35*24*3600)</f>
        <v>16135.055225118724</v>
      </c>
      <c r="K336" s="2">
        <f>([412]L!L336*'D(Ti_Audétat23) Times'!$F336*0.000001)^2/(4*'D(Ti_Audétat23) Times'!$C336)/(365.35*24*3600)</f>
        <v>17726.486056659334</v>
      </c>
      <c r="L336" s="2">
        <f>([412]L!M336*'D(Ti_Audétat23) Times'!$F336*0.000001)^2/(4*'D(Ti_Audétat23) Times'!$C336)/(365.35*24*3600)</f>
        <v>22694.790869850694</v>
      </c>
      <c r="M336" s="2">
        <f>([412]L!N336*'D(Ti_Audétat23) Times'!$F336*0.000001)^2/(4*'D(Ti_Audétat23) Times'!$C336)/(365.35*24*3600)</f>
        <v>26447.98946881685</v>
      </c>
      <c r="N336" s="2">
        <f>([412]L!O336*'D(Ti_Audétat23) Times'!$F336*0.000001)^2/(4*'D(Ti_Audétat23) Times'!$C336)/(365.35*24*3600)</f>
        <v>25063.091798831974</v>
      </c>
      <c r="O336" s="2">
        <f>([412]L!P336*'D(Ti_Audétat23) Times'!$F336*0.000001)^2/(4*'D(Ti_Audétat23) Times'!$C336)/(365.35*24*3600)</f>
        <v>32350.338200010898</v>
      </c>
      <c r="P336" s="2">
        <f>([412]L!Q336*'D(Ti_Audétat23) Times'!$F336*0.000001)^2/(4*'D(Ti_Audétat23) Times'!$C336)/(365.35*24*3600)</f>
        <v>1660.7107916118766</v>
      </c>
      <c r="Q336" s="2">
        <f>([412]L!R336*'D(Ti_Audétat23) Times'!$F336*0.000001)^2/(4*'D(Ti_Audétat23) Times'!$C336)/(365.35*24*3600)</f>
        <v>0</v>
      </c>
      <c r="R336" s="2">
        <f>([412]L!S336*'D(Ti_Audétat23) Times'!$F336*0.000001)^2/(4*'D(Ti_Audétat23) Times'!$C336)/(365.35*24*3600)</f>
        <v>27991.464070384591</v>
      </c>
      <c r="S336" s="2">
        <f>([412]L!T336*'D(Ti_Audétat23) Times'!$F336*0.000001)^2/(4*'D(Ti_Audétat23) Times'!$C336)/(365.35*24*3600)</f>
        <v>32984.717128758253</v>
      </c>
      <c r="T336" s="2"/>
      <c r="U336" s="2">
        <f>([412]L!V336*'D(Ti_Audétat23) Times'!$F336*0.000001)^2/(4*'D(Ti_Audétat23) Times'!$C336)/(365.35*24*3600)</f>
        <v>25648.517670289857</v>
      </c>
      <c r="V336" s="2">
        <f>([412]L!W336*'D(Ti_Audétat23) Times'!$F336*0.000001)^2/(4*'D(Ti_Audétat23) Times'!$C336)/(365.35*24*3600)</f>
        <v>20969.157976680133</v>
      </c>
      <c r="W336" s="2">
        <f>([412]L!X336*'D(Ti_Audétat23) Times'!$F336*0.000001)^2/(4*'D(Ti_Audétat23) Times'!$C336)/(365.35*24*3600)</f>
        <v>23864.251869842283</v>
      </c>
      <c r="X336" s="2"/>
      <c r="Y336" s="2">
        <f>([412]L!Z336*'D(Ti_Audétat23) Times'!$F336*0.000001)^2/(4*'D(Ti_Audétat23) Times'!$C336)/(365.35*24*3600)</f>
        <v>22094.834284277098</v>
      </c>
      <c r="Z336" s="2">
        <f>([412]L!AB336*'D(Ti_Audétat23) Times'!$F336*0.000001)^2/(4*'D(Ti_Audétat23) Times'!$C336)/(365.35*24*3600)</f>
        <v>22276.42401311886</v>
      </c>
      <c r="AA336" s="2">
        <f>([412]L!AC336*'D(Ti_Audétat23) Times'!$F336*0.000001)^2/(4*'D(Ti_Audétat23) Times'!$C336)/(365.35*24*3600)</f>
        <v>268.98762473478843</v>
      </c>
      <c r="AB336" s="2">
        <f>([412]L!AD336*'D(Ti_Audétat23) Times'!$F336*0.000001)^2/(4*'D(Ti_Audétat23) Times'!$C336)/(365.35*24*3600)</f>
        <v>115038.83822826164</v>
      </c>
      <c r="AC336" s="2">
        <f t="shared" si="21"/>
        <v>22007.436388384071</v>
      </c>
      <c r="AD336" s="2">
        <f t="shared" si="22"/>
        <v>92762.41421514278</v>
      </c>
    </row>
    <row r="337" spans="1:30" x14ac:dyDescent="0.2">
      <c r="A337" t="str">
        <f>[412]L!A337</f>
        <v>CGI015-qtz10-CL-fit-4-offset</v>
      </c>
      <c r="B337">
        <v>750</v>
      </c>
      <c r="C337">
        <f t="shared" si="23"/>
        <v>1.1456341375347871E-23</v>
      </c>
      <c r="D337">
        <v>2050</v>
      </c>
      <c r="E337">
        <v>1024</v>
      </c>
      <c r="F337">
        <f t="shared" si="20"/>
        <v>2.001953125</v>
      </c>
      <c r="I337" s="2">
        <f>([412]L!J337*'D(Ti_Audétat23) Times'!$F337*0.000001)^2/(4*'D(Ti_Audétat23) Times'!$C337)/(365.35*24*3600)</f>
        <v>8359.1269919191855</v>
      </c>
      <c r="J337" s="2">
        <f>([412]L!K337*'D(Ti_Audétat23) Times'!$F337*0.000001)^2/(4*'D(Ti_Audétat23) Times'!$C337)/(365.35*24*3600)</f>
        <v>2701.7649590579663</v>
      </c>
      <c r="K337" s="2">
        <f>([412]L!L337*'D(Ti_Audétat23) Times'!$F337*0.000001)^2/(4*'D(Ti_Audétat23) Times'!$C337)/(365.35*24*3600)</f>
        <v>1307.9544660451622</v>
      </c>
      <c r="L337" s="2">
        <f>([412]L!M337*'D(Ti_Audétat23) Times'!$F337*0.000001)^2/(4*'D(Ti_Audétat23) Times'!$C337)/(365.35*24*3600)</f>
        <v>8341.1101711741212</v>
      </c>
      <c r="M337" s="2">
        <f>([412]L!N337*'D(Ti_Audétat23) Times'!$F337*0.000001)^2/(4*'D(Ti_Audétat23) Times'!$C337)/(365.35*24*3600)</f>
        <v>2662.7662733194134</v>
      </c>
      <c r="N337" s="2">
        <f>([412]L!O337*'D(Ti_Audétat23) Times'!$F337*0.000001)^2/(4*'D(Ti_Audétat23) Times'!$C337)/(365.35*24*3600)</f>
        <v>10543.606249582015</v>
      </c>
      <c r="O337" s="2">
        <f>([412]L!P337*'D(Ti_Audétat23) Times'!$F337*0.000001)^2/(4*'D(Ti_Audétat23) Times'!$C337)/(365.35*24*3600)</f>
        <v>10131.448984871135</v>
      </c>
      <c r="P337" s="2">
        <f>([412]L!Q337*'D(Ti_Audétat23) Times'!$F337*0.000001)^2/(4*'D(Ti_Audétat23) Times'!$C337)/(365.35*24*3600)</f>
        <v>14378.293415146427</v>
      </c>
      <c r="Q337" s="2">
        <f>([412]L!R337*'D(Ti_Audétat23) Times'!$F337*0.000001)^2/(4*'D(Ti_Audétat23) Times'!$C337)/(365.35*24*3600)</f>
        <v>18893.979673278875</v>
      </c>
      <c r="R337" s="2">
        <f>([412]L!S337*'D(Ti_Audétat23) Times'!$F337*0.000001)^2/(4*'D(Ti_Audétat23) Times'!$C337)/(365.35*24*3600)</f>
        <v>10078.850523937326</v>
      </c>
      <c r="S337" s="2">
        <f>([412]L!T337*'D(Ti_Audétat23) Times'!$F337*0.000001)^2/(4*'D(Ti_Audétat23) Times'!$C337)/(365.35*24*3600)</f>
        <v>10662.67748854718</v>
      </c>
      <c r="T337" s="2"/>
      <c r="U337" s="2">
        <f>([412]L!V337*'D(Ti_Audétat23) Times'!$F337*0.000001)^2/(4*'D(Ti_Audétat23) Times'!$C337)/(365.35*24*3600)</f>
        <v>9871.2232661029448</v>
      </c>
      <c r="V337" s="2">
        <f>([412]L!W337*'D(Ti_Audétat23) Times'!$F337*0.000001)^2/(4*'D(Ti_Audétat23) Times'!$C337)/(365.35*24*3600)</f>
        <v>8048.6976250005946</v>
      </c>
      <c r="W337" s="2">
        <f>([412]L!X337*'D(Ti_Audétat23) Times'!$F337*0.000001)^2/(4*'D(Ti_Audétat23) Times'!$C337)/(365.35*24*3600)</f>
        <v>10078.850523937326</v>
      </c>
      <c r="X337" s="2"/>
      <c r="Y337" s="2">
        <f>([412]L!Z337*'D(Ti_Audétat23) Times'!$F337*0.000001)^2/(4*'D(Ti_Audétat23) Times'!$C337)/(365.35*24*3600)</f>
        <v>8118.981430243567</v>
      </c>
      <c r="Z337" s="2">
        <f>([412]L!AB337*'D(Ti_Audétat23) Times'!$F337*0.000001)^2/(4*'D(Ti_Audétat23) Times'!$C337)/(365.35*24*3600)</f>
        <v>7892.0396019170648</v>
      </c>
      <c r="AA337" s="2">
        <f>([412]L!AC337*'D(Ti_Audétat23) Times'!$F337*0.000001)^2/(4*'D(Ti_Audétat23) Times'!$C337)/(365.35*24*3600)</f>
        <v>526.36463419668837</v>
      </c>
      <c r="AB337" s="2">
        <f>([412]L!AD337*'D(Ti_Audétat23) Times'!$F337*0.000001)^2/(4*'D(Ti_Audétat23) Times'!$C337)/(365.35*24*3600)</f>
        <v>22953.816456954919</v>
      </c>
      <c r="AC337" s="2">
        <f t="shared" si="21"/>
        <v>7365.6749677203761</v>
      </c>
      <c r="AD337" s="2">
        <f t="shared" si="22"/>
        <v>15061.776855037853</v>
      </c>
    </row>
    <row r="338" spans="1:30" x14ac:dyDescent="0.2">
      <c r="A338" t="str">
        <f>[412]L!A338</f>
        <v>CGI015-qtz10-CL-fit-5-offset</v>
      </c>
      <c r="B338">
        <v>750</v>
      </c>
      <c r="C338">
        <f t="shared" si="23"/>
        <v>1.1456341375347871E-23</v>
      </c>
      <c r="D338">
        <v>2050</v>
      </c>
      <c r="E338">
        <v>1024</v>
      </c>
      <c r="F338">
        <f t="shared" si="20"/>
        <v>2.001953125</v>
      </c>
      <c r="I338" s="2">
        <f>([412]L!J338*'D(Ti_Audétat23) Times'!$F338*0.000001)^2/(4*'D(Ti_Audétat23) Times'!$C338)/(365.35*24*3600)</f>
        <v>5971.5480878872777</v>
      </c>
      <c r="J338" s="2">
        <f>([412]L!K338*'D(Ti_Audétat23) Times'!$F338*0.000001)^2/(4*'D(Ti_Audétat23) Times'!$C338)/(365.35*24*3600)</f>
        <v>6081.6175211112059</v>
      </c>
      <c r="K338" s="2">
        <f>([412]L!L338*'D(Ti_Audétat23) Times'!$F338*0.000001)^2/(4*'D(Ti_Audétat23) Times'!$C338)/(365.35*24*3600)</f>
        <v>7505.9766728423692</v>
      </c>
      <c r="L338" s="2">
        <f>([412]L!M338*'D(Ti_Audétat23) Times'!$F338*0.000001)^2/(4*'D(Ti_Audétat23) Times'!$C338)/(365.35*24*3600)</f>
        <v>19410.360539702146</v>
      </c>
      <c r="M338" s="2">
        <f>([412]L!N338*'D(Ti_Audétat23) Times'!$F338*0.000001)^2/(4*'D(Ti_Audétat23) Times'!$C338)/(365.35*24*3600)</f>
        <v>14259.992114701594</v>
      </c>
      <c r="N338" s="2">
        <f>([412]L!O338*'D(Ti_Audétat23) Times'!$F338*0.000001)^2/(4*'D(Ti_Audétat23) Times'!$C338)/(365.35*24*3600)</f>
        <v>16558.76662124338</v>
      </c>
      <c r="O338" s="2">
        <f>([412]L!P338*'D(Ti_Audétat23) Times'!$F338*0.000001)^2/(4*'D(Ti_Audétat23) Times'!$C338)/(365.35*24*3600)</f>
        <v>15824.537896518328</v>
      </c>
      <c r="P338" s="2">
        <f>([412]L!Q338*'D(Ti_Audétat23) Times'!$F338*0.000001)^2/(4*'D(Ti_Audétat23) Times'!$C338)/(365.35*24*3600)</f>
        <v>34103.229453480053</v>
      </c>
      <c r="Q338" s="2">
        <f>([412]L!R338*'D(Ti_Audétat23) Times'!$F338*0.000001)^2/(4*'D(Ti_Audétat23) Times'!$C338)/(365.35*24*3600)</f>
        <v>26049.149245326749</v>
      </c>
      <c r="R338" s="2">
        <f>([412]L!S338*'D(Ti_Audétat23) Times'!$F338*0.000001)^2/(4*'D(Ti_Audétat23) Times'!$C338)/(365.35*24*3600)</f>
        <v>21214.774131157592</v>
      </c>
      <c r="S338" s="2">
        <f>([412]L!T338*'D(Ti_Audétat23) Times'!$F338*0.000001)^2/(4*'D(Ti_Audétat23) Times'!$C338)/(365.35*24*3600)</f>
        <v>19433.070040444381</v>
      </c>
      <c r="T338" s="2"/>
      <c r="U338" s="2">
        <f>([412]L!V338*'D(Ti_Audétat23) Times'!$F338*0.000001)^2/(4*'D(Ti_Audétat23) Times'!$C338)/(365.35*24*3600)</f>
        <v>15370.804460454363</v>
      </c>
      <c r="V338" s="2">
        <f>([412]L!W338*'D(Ti_Audétat23) Times'!$F338*0.000001)^2/(4*'D(Ti_Audétat23) Times'!$C338)/(365.35*24*3600)</f>
        <v>15881.358518499925</v>
      </c>
      <c r="W338" s="2">
        <f>([412]L!X338*'D(Ti_Audétat23) Times'!$F338*0.000001)^2/(4*'D(Ti_Audétat23) Times'!$C338)/(365.35*24*3600)</f>
        <v>16558.76662124338</v>
      </c>
      <c r="X338" s="2"/>
      <c r="Y338" s="2">
        <f>([412]L!Z338*'D(Ti_Audétat23) Times'!$F338*0.000001)^2/(4*'D(Ti_Audétat23) Times'!$C338)/(365.35*24*3600)</f>
        <v>15931.704029100105</v>
      </c>
      <c r="Z338" s="2">
        <f>([412]L!AB338*'D(Ti_Audétat23) Times'!$F338*0.000001)^2/(4*'D(Ti_Audétat23) Times'!$C338)/(365.35*24*3600)</f>
        <v>16445.262791006066</v>
      </c>
      <c r="AA338" s="2">
        <f>([412]L!AC338*'D(Ti_Audétat23) Times'!$F338*0.000001)^2/(4*'D(Ti_Audétat23) Times'!$C338)/(365.35*24*3600)</f>
        <v>1994.9978621168893</v>
      </c>
      <c r="AB338" s="2">
        <f>([412]L!AD338*'D(Ti_Audétat23) Times'!$F338*0.000001)^2/(4*'D(Ti_Audétat23) Times'!$C338)/(365.35*24*3600)</f>
        <v>49439.343753800771</v>
      </c>
      <c r="AC338" s="2">
        <f t="shared" si="21"/>
        <v>14450.264928889177</v>
      </c>
      <c r="AD338" s="2">
        <f t="shared" si="22"/>
        <v>32994.080962794702</v>
      </c>
    </row>
    <row r="339" spans="1:30" x14ac:dyDescent="0.2">
      <c r="A339" t="str">
        <f>[412]L!A339</f>
        <v>CGI015-qtz10-CL-fit-6-offset</v>
      </c>
      <c r="B339">
        <v>750</v>
      </c>
      <c r="C339">
        <f t="shared" si="23"/>
        <v>1.1456341375347871E-23</v>
      </c>
      <c r="D339">
        <v>2050</v>
      </c>
      <c r="E339">
        <v>1024</v>
      </c>
      <c r="F339">
        <f t="shared" si="20"/>
        <v>2.001953125</v>
      </c>
      <c r="I339" s="2">
        <f>([412]L!J339*'D(Ti_Audétat23) Times'!$F339*0.000001)^2/(4*'D(Ti_Audétat23) Times'!$C339)/(365.35*24*3600)</f>
        <v>3606.5529090513246</v>
      </c>
      <c r="J339" s="2">
        <f>([412]L!K339*'D(Ti_Audétat23) Times'!$F339*0.000001)^2/(4*'D(Ti_Audétat23) Times'!$C339)/(365.35*24*3600)</f>
        <v>7571.7795541513324</v>
      </c>
      <c r="K339" s="2">
        <f>([412]L!L339*'D(Ti_Audétat23) Times'!$F339*0.000001)^2/(4*'D(Ti_Audétat23) Times'!$C339)/(365.35*24*3600)</f>
        <v>5189.54970318303</v>
      </c>
      <c r="L339" s="2">
        <f>([412]L!M339*'D(Ti_Audétat23) Times'!$F339*0.000001)^2/(4*'D(Ti_Audétat23) Times'!$C339)/(365.35*24*3600)</f>
        <v>4159.0568148396469</v>
      </c>
      <c r="M339" s="2">
        <f>([412]L!N339*'D(Ti_Audétat23) Times'!$F339*0.000001)^2/(4*'D(Ti_Audétat23) Times'!$C339)/(365.35*24*3600)</f>
        <v>4574.1312930971844</v>
      </c>
      <c r="N339" s="2">
        <f>([412]L!O339*'D(Ti_Audétat23) Times'!$F339*0.000001)^2/(4*'D(Ti_Audétat23) Times'!$C339)/(365.35*24*3600)</f>
        <v>3170.776099555892</v>
      </c>
      <c r="O339" s="2">
        <f>([412]L!P339*'D(Ti_Audétat23) Times'!$F339*0.000001)^2/(4*'D(Ti_Audétat23) Times'!$C339)/(365.35*24*3600)</f>
        <v>4278.7411419086766</v>
      </c>
      <c r="P339" s="2">
        <f>([412]L!Q339*'D(Ti_Audétat23) Times'!$F339*0.000001)^2/(4*'D(Ti_Audétat23) Times'!$C339)/(365.35*24*3600)</f>
        <v>6100.7252225093707</v>
      </c>
      <c r="Q339" s="2">
        <f>([412]L!R339*'D(Ti_Audétat23) Times'!$F339*0.000001)^2/(4*'D(Ti_Audétat23) Times'!$C339)/(365.35*24*3600)</f>
        <v>3690.9882916507431</v>
      </c>
      <c r="R339" s="2">
        <f>([412]L!S339*'D(Ti_Audétat23) Times'!$F339*0.000001)^2/(4*'D(Ti_Audétat23) Times'!$C339)/(365.35*24*3600)</f>
        <v>4281.2642376546364</v>
      </c>
      <c r="S339" s="2">
        <f>([412]L!T339*'D(Ti_Audétat23) Times'!$F339*0.000001)^2/(4*'D(Ti_Audétat23) Times'!$C339)/(365.35*24*3600)</f>
        <v>3323.3824270666205</v>
      </c>
      <c r="T339" s="2"/>
      <c r="U339" s="2">
        <f>([412]L!V339*'D(Ti_Audétat23) Times'!$F339*0.000001)^2/(4*'D(Ti_Audétat23) Times'!$C339)/(365.35*24*3600)</f>
        <v>4404.921676365705</v>
      </c>
      <c r="V339" s="2">
        <f>([412]L!W339*'D(Ti_Audétat23) Times'!$F339*0.000001)^2/(4*'D(Ti_Audétat23) Times'!$C339)/(365.35*24*3600)</f>
        <v>4463.3901325409688</v>
      </c>
      <c r="W339" s="2">
        <f>([412]L!X339*'D(Ti_Audétat23) Times'!$F339*0.000001)^2/(4*'D(Ti_Audétat23) Times'!$C339)/(365.35*24*3600)</f>
        <v>4278.7411419086766</v>
      </c>
      <c r="X339" s="2"/>
      <c r="Y339" s="2">
        <f>([412]L!Z339*'D(Ti_Audétat23) Times'!$F339*0.000001)^2/(4*'D(Ti_Audétat23) Times'!$C339)/(365.35*24*3600)</f>
        <v>4051.6802640029882</v>
      </c>
      <c r="Z339" s="2">
        <f>([412]L!AB339*'D(Ti_Audétat23) Times'!$F339*0.000001)^2/(4*'D(Ti_Audétat23) Times'!$C339)/(365.35*24*3600)</f>
        <v>3634.6692336704409</v>
      </c>
      <c r="AA339" s="2">
        <f>([412]L!AC339*'D(Ti_Audétat23) Times'!$F339*0.000001)^2/(4*'D(Ti_Audétat23) Times'!$C339)/(365.35*24*3600)</f>
        <v>126.16341134589753</v>
      </c>
      <c r="AB339" s="2">
        <f>([412]L!AD339*'D(Ti_Audétat23) Times'!$F339*0.000001)^2/(4*'D(Ti_Audétat23) Times'!$C339)/(365.35*24*3600)</f>
        <v>12334.666452995476</v>
      </c>
      <c r="AC339" s="2">
        <f t="shared" si="21"/>
        <v>3508.5058223245433</v>
      </c>
      <c r="AD339" s="2">
        <f t="shared" si="22"/>
        <v>8699.997219325036</v>
      </c>
    </row>
    <row r="340" spans="1:30" x14ac:dyDescent="0.2">
      <c r="A340" t="str">
        <f>[412]L!A340</f>
        <v>CGI015-qtz10-CL-fit-7-offset</v>
      </c>
      <c r="B340">
        <v>750</v>
      </c>
      <c r="C340">
        <f t="shared" si="23"/>
        <v>1.1456341375347871E-23</v>
      </c>
      <c r="D340">
        <v>2050</v>
      </c>
      <c r="E340">
        <v>1024</v>
      </c>
      <c r="F340">
        <f t="shared" si="20"/>
        <v>2.001953125</v>
      </c>
      <c r="I340" s="2">
        <f>([412]L!J340*'D(Ti_Audétat23) Times'!$F340*0.000001)^2/(4*'D(Ti_Audétat23) Times'!$C340)/(365.35*24*3600)</f>
        <v>122.84921202041474</v>
      </c>
      <c r="J340" s="2">
        <f>([412]L!K340*'D(Ti_Audétat23) Times'!$F340*0.000001)^2/(4*'D(Ti_Audétat23) Times'!$C340)/(365.35*24*3600)</f>
        <v>152.73883620920179</v>
      </c>
      <c r="K340" s="2">
        <f>([412]L!L340*'D(Ti_Audétat23) Times'!$F340*0.000001)^2/(4*'D(Ti_Audétat23) Times'!$C340)/(365.35*24*3600)</f>
        <v>107.07631449493253</v>
      </c>
      <c r="L340" s="2">
        <f>([412]L!M340*'D(Ti_Audétat23) Times'!$F340*0.000001)^2/(4*'D(Ti_Audétat23) Times'!$C340)/(365.35*24*3600)</f>
        <v>76.707879129104171</v>
      </c>
      <c r="M340" s="2">
        <f>([412]L!N340*'D(Ti_Audétat23) Times'!$F340*0.000001)^2/(4*'D(Ti_Audétat23) Times'!$C340)/(365.35*24*3600)</f>
        <v>1038.0724460687168</v>
      </c>
      <c r="N340" s="2">
        <f>([412]L!O340*'D(Ti_Audétat23) Times'!$F340*0.000001)^2/(4*'D(Ti_Audétat23) Times'!$C340)/(365.35*24*3600)</f>
        <v>14.252347937316751</v>
      </c>
      <c r="O340" s="2">
        <f>([412]L!P340*'D(Ti_Audétat23) Times'!$F340*0.000001)^2/(4*'D(Ti_Audétat23) Times'!$C340)/(365.35*24*3600)</f>
        <v>125.49566995834319</v>
      </c>
      <c r="P340" s="2">
        <f>([412]L!Q340*'D(Ti_Audétat23) Times'!$F340*0.000001)^2/(4*'D(Ti_Audétat23) Times'!$C340)/(365.35*24*3600)</f>
        <v>104.94277215783983</v>
      </c>
      <c r="Q340" s="2">
        <f>([412]L!R340*'D(Ti_Audétat23) Times'!$F340*0.000001)^2/(4*'D(Ti_Audétat23) Times'!$C340)/(365.35*24*3600)</f>
        <v>108.03379646503488</v>
      </c>
      <c r="R340" s="2">
        <f>([412]L!S340*'D(Ti_Audétat23) Times'!$F340*0.000001)^2/(4*'D(Ti_Audétat23) Times'!$C340)/(365.35*24*3600)</f>
        <v>1193.3746272398828</v>
      </c>
      <c r="S340" s="2">
        <f>([412]L!T340*'D(Ti_Audétat23) Times'!$F340*0.000001)^2/(4*'D(Ti_Audétat23) Times'!$C340)/(365.35*24*3600)</f>
        <v>38.182141444069657</v>
      </c>
      <c r="T340" s="2"/>
      <c r="U340" s="2">
        <f>([412]L!V340*'D(Ti_Audétat23) Times'!$F340*0.000001)^2/(4*'D(Ti_Audétat23) Times'!$C340)/(365.35*24*3600)</f>
        <v>114.97939660644403</v>
      </c>
      <c r="V340" s="2">
        <f>([412]L!W340*'D(Ti_Audétat23) Times'!$F340*0.000001)^2/(4*'D(Ti_Audétat23) Times'!$C340)/(365.35*24*3600)</f>
        <v>188.70747218007827</v>
      </c>
      <c r="W340" s="2">
        <f>([412]L!X340*'D(Ti_Audétat23) Times'!$F340*0.000001)^2/(4*'D(Ti_Audétat23) Times'!$C340)/(365.35*24*3600)</f>
        <v>108.03379646503488</v>
      </c>
      <c r="X340" s="2"/>
      <c r="Y340" s="2">
        <f>([412]L!Z340*'D(Ti_Audétat23) Times'!$F340*0.000001)^2/(4*'D(Ti_Audétat23) Times'!$C340)/(365.35*24*3600)</f>
        <v>169.9538802405614</v>
      </c>
      <c r="Z340" s="2">
        <f>([412]L!AB340*'D(Ti_Audétat23) Times'!$F340*0.000001)^2/(4*'D(Ti_Audétat23) Times'!$C340)/(365.35*24*3600)</f>
        <v>612.85925737399464</v>
      </c>
      <c r="AA340" s="2">
        <f>([412]L!AC340*'D(Ti_Audétat23) Times'!$F340*0.000001)^2/(4*'D(Ti_Audétat23) Times'!$C340)/(365.35*24*3600)</f>
        <v>9.2733638855201919E-4</v>
      </c>
      <c r="AB340" s="2">
        <f>([412]L!AD340*'D(Ti_Audétat23) Times'!$F340*0.000001)^2/(4*'D(Ti_Audétat23) Times'!$C340)/(365.35*24*3600)</f>
        <v>20657.744463542414</v>
      </c>
      <c r="AC340" s="2">
        <f t="shared" si="21"/>
        <v>612.85833003760604</v>
      </c>
      <c r="AD340" s="2">
        <f t="shared" si="22"/>
        <v>20044.885206168419</v>
      </c>
    </row>
    <row r="341" spans="1:30" x14ac:dyDescent="0.2">
      <c r="A341" t="str">
        <f>[412]L!A341</f>
        <v>CGI015-qtz11-CL-fit-1-offset</v>
      </c>
      <c r="B341">
        <v>750</v>
      </c>
      <c r="C341">
        <f t="shared" si="23"/>
        <v>1.1456341375347871E-23</v>
      </c>
      <c r="D341">
        <v>1700</v>
      </c>
      <c r="E341">
        <v>1024</v>
      </c>
      <c r="F341">
        <f t="shared" si="20"/>
        <v>1.66015625</v>
      </c>
      <c r="I341" s="2">
        <f>([412]L!J341*'D(Ti_Audétat23) Times'!$F341*0.000001)^2/(4*'D(Ti_Audétat23) Times'!$C341)/(365.35*24*3600)</f>
        <v>80591.907689154745</v>
      </c>
      <c r="J341" s="2">
        <f>([412]L!K341*'D(Ti_Audétat23) Times'!$F341*0.000001)^2/(4*'D(Ti_Audétat23) Times'!$C341)/(365.35*24*3600)</f>
        <v>71502.321847905056</v>
      </c>
      <c r="K341" s="2">
        <f>([412]L!L341*'D(Ti_Audétat23) Times'!$F341*0.000001)^2/(4*'D(Ti_Audétat23) Times'!$C341)/(365.35*24*3600)</f>
        <v>76266.816402264754</v>
      </c>
      <c r="L341" s="2">
        <f>([412]L!M341*'D(Ti_Audétat23) Times'!$F341*0.000001)^2/(4*'D(Ti_Audétat23) Times'!$C341)/(365.35*24*3600)</f>
        <v>68043.305136000665</v>
      </c>
      <c r="M341" s="2">
        <f>([412]L!N341*'D(Ti_Audétat23) Times'!$F341*0.000001)^2/(4*'D(Ti_Audétat23) Times'!$C341)/(365.35*24*3600)</f>
        <v>71515.180570836586</v>
      </c>
      <c r="N341" s="2">
        <f>([412]L!O341*'D(Ti_Audétat23) Times'!$F341*0.000001)^2/(4*'D(Ti_Audétat23) Times'!$C341)/(365.35*24*3600)</f>
        <v>65745.093963231906</v>
      </c>
      <c r="O341" s="2">
        <f>([412]L!P341*'D(Ti_Audétat23) Times'!$F341*0.000001)^2/(4*'D(Ti_Audétat23) Times'!$C341)/(365.35*24*3600)</f>
        <v>68984.640575684432</v>
      </c>
      <c r="P341" s="2">
        <f>([412]L!Q341*'D(Ti_Audétat23) Times'!$F341*0.000001)^2/(4*'D(Ti_Audétat23) Times'!$C341)/(365.35*24*3600)</f>
        <v>87644.324995013798</v>
      </c>
      <c r="Q341" s="2">
        <f>([412]L!R341*'D(Ti_Audétat23) Times'!$F341*0.000001)^2/(4*'D(Ti_Audétat23) Times'!$C341)/(365.35*24*3600)</f>
        <v>96183.029496542644</v>
      </c>
      <c r="R341" s="2">
        <f>([412]L!S341*'D(Ti_Audétat23) Times'!$F341*0.000001)^2/(4*'D(Ti_Audétat23) Times'!$C341)/(365.35*24*3600)</f>
        <v>85873.348542550128</v>
      </c>
      <c r="S341" s="2">
        <f>([412]L!T341*'D(Ti_Audétat23) Times'!$F341*0.000001)^2/(4*'D(Ti_Audétat23) Times'!$C341)/(365.35*24*3600)</f>
        <v>106360.11979039256</v>
      </c>
      <c r="T341" s="2"/>
      <c r="U341" s="2">
        <f>([412]L!V341*'D(Ti_Audétat23) Times'!$F341*0.000001)^2/(4*'D(Ti_Audétat23) Times'!$C341)/(365.35*24*3600)</f>
        <v>79161.330301835202</v>
      </c>
      <c r="V341" s="2">
        <f>([412]L!W341*'D(Ti_Audétat23) Times'!$F341*0.000001)^2/(4*'D(Ti_Audétat23) Times'!$C341)/(365.35*24*3600)</f>
        <v>79428.391791779533</v>
      </c>
      <c r="W341" s="2">
        <f>([412]L!X341*'D(Ti_Audétat23) Times'!$F341*0.000001)^2/(4*'D(Ti_Audétat23) Times'!$C341)/(365.35*24*3600)</f>
        <v>76266.816402264754</v>
      </c>
      <c r="X341" s="2"/>
      <c r="Y341" s="2">
        <f>([412]L!Z341*'D(Ti_Audétat23) Times'!$F341*0.000001)^2/(4*'D(Ti_Audétat23) Times'!$C341)/(365.35*24*3600)</f>
        <v>78349.877448436193</v>
      </c>
      <c r="Z341" s="2">
        <f>([412]L!AB341*'D(Ti_Audétat23) Times'!$F341*0.000001)^2/(4*'D(Ti_Audétat23) Times'!$C341)/(365.35*24*3600)</f>
        <v>78018.992133945183</v>
      </c>
      <c r="AA341" s="2">
        <f>([412]L!AC341*'D(Ti_Audétat23) Times'!$F341*0.000001)^2/(4*'D(Ti_Audétat23) Times'!$C341)/(365.35*24*3600)</f>
        <v>60762.133434057745</v>
      </c>
      <c r="AB341" s="2">
        <f>([412]L!AD341*'D(Ti_Audétat23) Times'!$F341*0.000001)^2/(4*'D(Ti_Audétat23) Times'!$C341)/(365.35*24*3600)</f>
        <v>96683.603507823907</v>
      </c>
      <c r="AC341" s="2">
        <f t="shared" si="21"/>
        <v>17256.858699887438</v>
      </c>
      <c r="AD341" s="2">
        <f t="shared" si="22"/>
        <v>18664.611373878724</v>
      </c>
    </row>
    <row r="342" spans="1:30" x14ac:dyDescent="0.2">
      <c r="A342" t="str">
        <f>[412]L!A342</f>
        <v>CGI015-qtz11-CL-fit-2-offset</v>
      </c>
      <c r="B342">
        <v>750</v>
      </c>
      <c r="C342">
        <f t="shared" si="23"/>
        <v>1.1456341375347871E-23</v>
      </c>
      <c r="D342">
        <v>1700</v>
      </c>
      <c r="E342">
        <v>1024</v>
      </c>
      <c r="F342">
        <f t="shared" si="20"/>
        <v>1.66015625</v>
      </c>
      <c r="I342" s="2">
        <f>([412]L!J342*'D(Ti_Audétat23) Times'!$F342*0.000001)^2/(4*'D(Ti_Audétat23) Times'!$C342)/(365.35*24*3600)</f>
        <v>88526.025732123991</v>
      </c>
      <c r="J342" s="2">
        <f>([412]L!K342*'D(Ti_Audétat23) Times'!$F342*0.000001)^2/(4*'D(Ti_Audétat23) Times'!$C342)/(365.35*24*3600)</f>
        <v>80325.207956068247</v>
      </c>
      <c r="K342" s="2">
        <f>([412]L!L342*'D(Ti_Audétat23) Times'!$F342*0.000001)^2/(4*'D(Ti_Audétat23) Times'!$C342)/(365.35*24*3600)</f>
        <v>62818.673007439371</v>
      </c>
      <c r="L342" s="2">
        <f>([412]L!M342*'D(Ti_Audétat23) Times'!$F342*0.000001)^2/(4*'D(Ti_Audétat23) Times'!$C342)/(365.35*24*3600)</f>
        <v>77985.949327741197</v>
      </c>
      <c r="M342" s="2">
        <f>([412]L!N342*'D(Ti_Audétat23) Times'!$F342*0.000001)^2/(4*'D(Ti_Audétat23) Times'!$C342)/(365.35*24*3600)</f>
        <v>66544.000970746521</v>
      </c>
      <c r="N342" s="2">
        <f>([412]L!O342*'D(Ti_Audétat23) Times'!$F342*0.000001)^2/(4*'D(Ti_Audétat23) Times'!$C342)/(365.35*24*3600)</f>
        <v>73447.313834839544</v>
      </c>
      <c r="O342" s="2">
        <f>([412]L!P342*'D(Ti_Audétat23) Times'!$F342*0.000001)^2/(4*'D(Ti_Audétat23) Times'!$C342)/(365.35*24*3600)</f>
        <v>61282.757699197216</v>
      </c>
      <c r="P342" s="2">
        <f>([412]L!Q342*'D(Ti_Audétat23) Times'!$F342*0.000001)^2/(4*'D(Ti_Audétat23) Times'!$C342)/(365.35*24*3600)</f>
        <v>51054.132836870209</v>
      </c>
      <c r="Q342" s="2">
        <f>([412]L!R342*'D(Ti_Audétat23) Times'!$F342*0.000001)^2/(4*'D(Ti_Audétat23) Times'!$C342)/(365.35*24*3600)</f>
        <v>70497.910609695973</v>
      </c>
      <c r="R342" s="2">
        <f>([412]L!S342*'D(Ti_Audétat23) Times'!$F342*0.000001)^2/(4*'D(Ti_Audétat23) Times'!$C342)/(365.35*24*3600)</f>
        <v>38555.451955392717</v>
      </c>
      <c r="S342" s="2">
        <f>([412]L!T342*'D(Ti_Audétat23) Times'!$F342*0.000001)^2/(4*'D(Ti_Audétat23) Times'!$C342)/(365.35*24*3600)</f>
        <v>50705.125950516944</v>
      </c>
      <c r="T342" s="2"/>
      <c r="U342" s="2">
        <f>([412]L!V342*'D(Ti_Audétat23) Times'!$F342*0.000001)^2/(4*'D(Ti_Audétat23) Times'!$C342)/(365.35*24*3600)</f>
        <v>66544.056103782044</v>
      </c>
      <c r="V342" s="2">
        <f>([412]L!W342*'D(Ti_Audétat23) Times'!$F342*0.000001)^2/(4*'D(Ti_Audétat23) Times'!$C342)/(365.35*24*3600)</f>
        <v>64810.621016598976</v>
      </c>
      <c r="W342" s="2">
        <f>([412]L!X342*'D(Ti_Audétat23) Times'!$F342*0.000001)^2/(4*'D(Ti_Audétat23) Times'!$C342)/(365.35*24*3600)</f>
        <v>66544.000970746521</v>
      </c>
      <c r="X342" s="2"/>
      <c r="Y342" s="2">
        <f>([412]L!Z342*'D(Ti_Audétat23) Times'!$F342*0.000001)^2/(4*'D(Ti_Audétat23) Times'!$C342)/(365.35*24*3600)</f>
        <v>65869.485671623042</v>
      </c>
      <c r="Z342" s="2">
        <f>([412]L!AB342*'D(Ti_Audétat23) Times'!$F342*0.000001)^2/(4*'D(Ti_Audétat23) Times'!$C342)/(365.35*24*3600)</f>
        <v>67309.650224118959</v>
      </c>
      <c r="AA342" s="2">
        <f>([412]L!AC342*'D(Ti_Audétat23) Times'!$F342*0.000001)^2/(4*'D(Ti_Audétat23) Times'!$C342)/(365.35*24*3600)</f>
        <v>36791.037482077503</v>
      </c>
      <c r="AB342" s="2">
        <f>([412]L!AD342*'D(Ti_Audétat23) Times'!$F342*0.000001)^2/(4*'D(Ti_Audétat23) Times'!$C342)/(365.35*24*3600)</f>
        <v>112483.27747344125</v>
      </c>
      <c r="AC342" s="2">
        <f t="shared" si="21"/>
        <v>30518.612742041456</v>
      </c>
      <c r="AD342" s="2">
        <f t="shared" si="22"/>
        <v>45173.627249322293</v>
      </c>
    </row>
    <row r="343" spans="1:30" x14ac:dyDescent="0.2">
      <c r="A343" t="str">
        <f>[412]L!A343</f>
        <v>CGI015-qtz11-CL-fit-3-offset</v>
      </c>
      <c r="B343">
        <v>750</v>
      </c>
      <c r="C343">
        <f t="shared" si="23"/>
        <v>1.1456341375347871E-23</v>
      </c>
      <c r="D343">
        <v>1700</v>
      </c>
      <c r="E343">
        <v>1024</v>
      </c>
      <c r="F343">
        <f t="shared" si="20"/>
        <v>1.66015625</v>
      </c>
      <c r="I343" s="2">
        <f>([412]L!J343*'D(Ti_Audétat23) Times'!$F343*0.000001)^2/(4*'D(Ti_Audétat23) Times'!$C343)/(365.35*24*3600)</f>
        <v>6951.782296980924</v>
      </c>
      <c r="J343" s="2">
        <f>([412]L!K343*'D(Ti_Audétat23) Times'!$F343*0.000001)^2/(4*'D(Ti_Audétat23) Times'!$C343)/(365.35*24*3600)</f>
        <v>295.12196962516833</v>
      </c>
      <c r="K343" s="2">
        <f>([412]L!L343*'D(Ti_Audétat23) Times'!$F343*0.000001)^2/(4*'D(Ti_Audétat23) Times'!$C343)/(365.35*24*3600)</f>
        <v>6618.200704975603</v>
      </c>
      <c r="L343" s="2">
        <f>([412]L!M343*'D(Ti_Audétat23) Times'!$F343*0.000001)^2/(4*'D(Ti_Audétat23) Times'!$C343)/(365.35*24*3600)</f>
        <v>14797.687772999316</v>
      </c>
      <c r="M343" s="2">
        <f>([412]L!N343*'D(Ti_Audétat23) Times'!$F343*0.000001)^2/(4*'D(Ti_Audétat23) Times'!$C343)/(365.35*24*3600)</f>
        <v>7256.4987533561807</v>
      </c>
      <c r="N343" s="2">
        <f>([412]L!O343*'D(Ti_Audétat23) Times'!$F343*0.000001)^2/(4*'D(Ti_Audétat23) Times'!$C343)/(365.35*24*3600)</f>
        <v>2334.9187467046909</v>
      </c>
      <c r="O343" s="2">
        <f>([412]L!P343*'D(Ti_Audétat23) Times'!$F343*0.000001)^2/(4*'D(Ti_Audétat23) Times'!$C343)/(365.35*24*3600)</f>
        <v>7111.7443989353114</v>
      </c>
      <c r="P343" s="2">
        <f>([412]L!Q343*'D(Ti_Audétat23) Times'!$F343*0.000001)^2/(4*'D(Ti_Audétat23) Times'!$C343)/(365.35*24*3600)</f>
        <v>6779.0151045777075</v>
      </c>
      <c r="Q343" s="2">
        <f>([412]L!R343*'D(Ti_Audétat23) Times'!$F343*0.000001)^2/(4*'D(Ti_Audétat23) Times'!$C343)/(365.35*24*3600)</f>
        <v>5536.3972949395684</v>
      </c>
      <c r="R343" s="2">
        <f>([412]L!S343*'D(Ti_Audétat23) Times'!$F343*0.000001)^2/(4*'D(Ti_Audétat23) Times'!$C343)/(365.35*24*3600)</f>
        <v>9077.0690669610085</v>
      </c>
      <c r="S343" s="2">
        <f>([412]L!T343*'D(Ti_Audétat23) Times'!$F343*0.000001)^2/(4*'D(Ti_Audétat23) Times'!$C343)/(365.35*24*3600)</f>
        <v>11942.496271676588</v>
      </c>
      <c r="T343" s="2"/>
      <c r="U343" s="2">
        <f>([412]L!V343*'D(Ti_Audétat23) Times'!$F343*0.000001)^2/(4*'D(Ti_Audétat23) Times'!$C343)/(365.35*24*3600)</f>
        <v>5889.4019114183775</v>
      </c>
      <c r="V343" s="2">
        <f>([412]L!W343*'D(Ti_Audétat23) Times'!$F343*0.000001)^2/(4*'D(Ti_Audétat23) Times'!$C343)/(365.35*24*3600)</f>
        <v>6439.1710829713293</v>
      </c>
      <c r="W343" s="2">
        <f>([412]L!X343*'D(Ti_Audétat23) Times'!$F343*0.000001)^2/(4*'D(Ti_Audétat23) Times'!$C343)/(365.35*24*3600)</f>
        <v>6951.782296980924</v>
      </c>
      <c r="X343" s="2"/>
      <c r="Y343" s="2">
        <f>([412]L!Z343*'D(Ti_Audétat23) Times'!$F343*0.000001)^2/(4*'D(Ti_Audétat23) Times'!$C343)/(365.35*24*3600)</f>
        <v>4816.5017584771986</v>
      </c>
      <c r="Z343" s="2">
        <f>([412]L!AB343*'D(Ti_Audétat23) Times'!$F343*0.000001)^2/(4*'D(Ti_Audétat23) Times'!$C343)/(365.35*24*3600)</f>
        <v>5565.6296415841643</v>
      </c>
      <c r="AA343" s="2">
        <f>([412]L!AC343*'D(Ti_Audétat23) Times'!$F343*0.000001)^2/(4*'D(Ti_Audétat23) Times'!$C343)/(365.35*24*3600)</f>
        <v>501.11715790875513</v>
      </c>
      <c r="AB343" s="2">
        <f>([412]L!AD343*'D(Ti_Audétat23) Times'!$F343*0.000001)^2/(4*'D(Ti_Audétat23) Times'!$C343)/(365.35*24*3600)</f>
        <v>20926.355092150538</v>
      </c>
      <c r="AC343" s="2">
        <f t="shared" si="21"/>
        <v>5064.5124836754094</v>
      </c>
      <c r="AD343" s="2">
        <f t="shared" si="22"/>
        <v>15360.725450566373</v>
      </c>
    </row>
    <row r="344" spans="1:30" x14ac:dyDescent="0.2">
      <c r="A344" t="str">
        <f>[412]L!A344</f>
        <v>CGI015-qtz11-CL-fit-4-offset</v>
      </c>
      <c r="B344">
        <v>750</v>
      </c>
      <c r="C344">
        <f t="shared" si="23"/>
        <v>1.1456341375347871E-23</v>
      </c>
      <c r="D344">
        <v>1700</v>
      </c>
      <c r="E344">
        <v>1024</v>
      </c>
      <c r="F344">
        <f t="shared" si="20"/>
        <v>1.66015625</v>
      </c>
      <c r="I344" s="2">
        <f>([412]L!J344*'D(Ti_Audétat23) Times'!$F344*0.000001)^2/(4*'D(Ti_Audétat23) Times'!$C344)/(365.35*24*3600)</f>
        <v>4811.2754739563252</v>
      </c>
      <c r="J344" s="2">
        <f>([412]L!K344*'D(Ti_Audétat23) Times'!$F344*0.000001)^2/(4*'D(Ti_Audétat23) Times'!$C344)/(365.35*24*3600)</f>
        <v>1736.321732113483</v>
      </c>
      <c r="K344" s="2">
        <f>([412]L!L344*'D(Ti_Audétat23) Times'!$F344*0.000001)^2/(4*'D(Ti_Audétat23) Times'!$C344)/(365.35*24*3600)</f>
        <v>5090.7914018310066</v>
      </c>
      <c r="L344" s="2">
        <f>([412]L!M344*'D(Ti_Audétat23) Times'!$F344*0.000001)^2/(4*'D(Ti_Audétat23) Times'!$C344)/(365.35*24*3600)</f>
        <v>1734.6040365553038</v>
      </c>
      <c r="M344" s="2">
        <f>([412]L!N344*'D(Ti_Audétat23) Times'!$F344*0.000001)^2/(4*'D(Ti_Audétat23) Times'!$C344)/(365.35*24*3600)</f>
        <v>61.105092962118711</v>
      </c>
      <c r="N344" s="2">
        <f>([412]L!O344*'D(Ti_Audétat23) Times'!$F344*0.000001)^2/(4*'D(Ti_Audétat23) Times'!$C344)/(365.35*24*3600)</f>
        <v>5285.3419254149303</v>
      </c>
      <c r="O344" s="2">
        <f>([412]L!P344*'D(Ti_Audétat23) Times'!$F344*0.000001)^2/(4*'D(Ti_Audétat23) Times'!$C344)/(365.35*24*3600)</f>
        <v>8578.0661691040295</v>
      </c>
      <c r="P344" s="2">
        <f>([412]L!Q344*'D(Ti_Audétat23) Times'!$F344*0.000001)^2/(4*'D(Ti_Audétat23) Times'!$C344)/(365.35*24*3600)</f>
        <v>5.1680760020778723E-3</v>
      </c>
      <c r="Q344" s="2">
        <f>([412]L!R344*'D(Ti_Audétat23) Times'!$F344*0.000001)^2/(4*'D(Ti_Audétat23) Times'!$C344)/(365.35*24*3600)</f>
        <v>9000.6398631717439</v>
      </c>
      <c r="R344" s="2">
        <f>([412]L!S344*'D(Ti_Audétat23) Times'!$F344*0.000001)^2/(4*'D(Ti_Audétat23) Times'!$C344)/(365.35*24*3600)</f>
        <v>0</v>
      </c>
      <c r="S344" s="2">
        <f>([412]L!T344*'D(Ti_Audétat23) Times'!$F344*0.000001)^2/(4*'D(Ti_Audétat23) Times'!$C344)/(365.35*24*3600)</f>
        <v>0</v>
      </c>
      <c r="T344" s="2"/>
      <c r="U344" s="2">
        <f>([412]L!V344*'D(Ti_Audétat23) Times'!$F344*0.000001)^2/(4*'D(Ti_Audétat23) Times'!$C344)/(365.35*24*3600)</f>
        <v>6212.9788936337791</v>
      </c>
      <c r="V344" s="2">
        <f>([412]L!W344*'D(Ti_Audétat23) Times'!$F344*0.000001)^2/(4*'D(Ti_Audétat23) Times'!$C344)/(365.35*24*3600)</f>
        <v>2989.7770706223414</v>
      </c>
      <c r="W344" s="2">
        <f>([412]L!X344*'D(Ti_Audétat23) Times'!$F344*0.000001)^2/(4*'D(Ti_Audétat23) Times'!$C344)/(365.35*24*3600)</f>
        <v>4811.2754739563252</v>
      </c>
      <c r="X344" s="2"/>
      <c r="Y344" s="2">
        <f>([412]L!Z344*'D(Ti_Audétat23) Times'!$F344*0.000001)^2/(4*'D(Ti_Audétat23) Times'!$C344)/(365.35*24*3600)</f>
        <v>3723.1208474798523</v>
      </c>
      <c r="Z344" s="2">
        <f>([412]L!AB344*'D(Ti_Audétat23) Times'!$F344*0.000001)^2/(4*'D(Ti_Audétat23) Times'!$C344)/(365.35*24*3600)</f>
        <v>5071.0007159663028</v>
      </c>
      <c r="AA344" s="2">
        <f>([412]L!AC344*'D(Ti_Audétat23) Times'!$F344*0.000001)^2/(4*'D(Ti_Audétat23) Times'!$C344)/(365.35*24*3600)</f>
        <v>21.291872987979378</v>
      </c>
      <c r="AB344" s="2">
        <f>([412]L!AD344*'D(Ti_Audétat23) Times'!$F344*0.000001)^2/(4*'D(Ti_Audétat23) Times'!$C344)/(365.35*24*3600)</f>
        <v>70404.322492673033</v>
      </c>
      <c r="AC344" s="2">
        <f t="shared" si="21"/>
        <v>5049.7088429783234</v>
      </c>
      <c r="AD344" s="2">
        <f t="shared" si="22"/>
        <v>65333.321776706733</v>
      </c>
    </row>
    <row r="345" spans="1:30" x14ac:dyDescent="0.2">
      <c r="A345" t="str">
        <f>[412]L!A345</f>
        <v>CGI015-qtz11-CL-fit-5-offset</v>
      </c>
      <c r="B345">
        <v>750</v>
      </c>
      <c r="C345">
        <f t="shared" si="23"/>
        <v>1.1456341375347871E-23</v>
      </c>
      <c r="D345">
        <v>1700</v>
      </c>
      <c r="E345">
        <v>1024</v>
      </c>
      <c r="F345">
        <f t="shared" si="20"/>
        <v>1.66015625</v>
      </c>
      <c r="I345" s="2">
        <f>([412]L!J345*'D(Ti_Audétat23) Times'!$F345*0.000001)^2/(4*'D(Ti_Audétat23) Times'!$C345)/(365.35*24*3600)</f>
        <v>71.990465959037266</v>
      </c>
      <c r="J345" s="2">
        <f>([412]L!K345*'D(Ti_Audétat23) Times'!$F345*0.000001)^2/(4*'D(Ti_Audétat23) Times'!$C345)/(365.35*24*3600)</f>
        <v>2677.9610583245208</v>
      </c>
      <c r="K345" s="2">
        <f>([412]L!L345*'D(Ti_Audétat23) Times'!$F345*0.000001)^2/(4*'D(Ti_Audétat23) Times'!$C345)/(365.35*24*3600)</f>
        <v>68.9957381259145</v>
      </c>
      <c r="L345" s="2">
        <f>([412]L!M345*'D(Ti_Audétat23) Times'!$F345*0.000001)^2/(4*'D(Ti_Audétat23) Times'!$C345)/(365.35*24*3600)</f>
        <v>499.23277353377119</v>
      </c>
      <c r="M345" s="2">
        <f>([412]L!N345*'D(Ti_Audétat23) Times'!$F345*0.000001)^2/(4*'D(Ti_Audétat23) Times'!$C345)/(365.35*24*3600)</f>
        <v>7252.6654535625139</v>
      </c>
      <c r="N345" s="2">
        <f>([412]L!O345*'D(Ti_Audétat23) Times'!$F345*0.000001)^2/(4*'D(Ti_Audétat23) Times'!$C345)/(365.35*24*3600)</f>
        <v>886.33080016421673</v>
      </c>
      <c r="O345" s="2">
        <f>([412]L!P345*'D(Ti_Audétat23) Times'!$F345*0.000001)^2/(4*'D(Ti_Audétat23) Times'!$C345)/(365.35*24*3600)</f>
        <v>15551.757667227052</v>
      </c>
      <c r="P345" s="2">
        <f>([412]L!Q345*'D(Ti_Audétat23) Times'!$F345*0.000001)^2/(4*'D(Ti_Audétat23) Times'!$C345)/(365.35*24*3600)</f>
        <v>7986.9512877355201</v>
      </c>
      <c r="Q345" s="2">
        <f>([412]L!R345*'D(Ti_Audétat23) Times'!$F345*0.000001)^2/(4*'D(Ti_Audétat23) Times'!$C345)/(365.35*24*3600)</f>
        <v>7010.2662520973126</v>
      </c>
      <c r="R345" s="2">
        <f>([412]L!S345*'D(Ti_Audétat23) Times'!$F345*0.000001)^2/(4*'D(Ti_Audétat23) Times'!$C345)/(365.35*24*3600)</f>
        <v>3851.3725994080551</v>
      </c>
      <c r="S345" s="2">
        <f>([412]L!T345*'D(Ti_Audétat23) Times'!$F345*0.000001)^2/(4*'D(Ti_Audétat23) Times'!$C345)/(365.35*24*3600)</f>
        <v>1497.9902800061764</v>
      </c>
      <c r="T345" s="2"/>
      <c r="U345" s="2">
        <f>([412]L!V345*'D(Ti_Audétat23) Times'!$F345*0.000001)^2/(4*'D(Ti_Audétat23) Times'!$C345)/(365.35*24*3600)</f>
        <v>2653.3863278538297</v>
      </c>
      <c r="V345" s="2">
        <f>([412]L!W345*'D(Ti_Audétat23) Times'!$F345*0.000001)^2/(4*'D(Ti_Audétat23) Times'!$C345)/(365.35*24*3600)</f>
        <v>3018.8489953058247</v>
      </c>
      <c r="W345" s="2">
        <f>([412]L!X345*'D(Ti_Audétat23) Times'!$F345*0.000001)^2/(4*'D(Ti_Audétat23) Times'!$C345)/(365.35*24*3600)</f>
        <v>2677.9610583245208</v>
      </c>
      <c r="X345" s="2"/>
      <c r="Y345" s="2">
        <f>([412]L!Z345*'D(Ti_Audétat23) Times'!$F345*0.000001)^2/(4*'D(Ti_Audétat23) Times'!$C345)/(365.35*24*3600)</f>
        <v>2319.3844815635857</v>
      </c>
      <c r="Z345" s="2">
        <f>([412]L!AB345*'D(Ti_Audétat23) Times'!$F345*0.000001)^2/(4*'D(Ti_Audétat23) Times'!$C345)/(365.35*24*3600)</f>
        <v>3917.7177540798507</v>
      </c>
      <c r="AA345" s="2">
        <f>([412]L!AC345*'D(Ti_Audétat23) Times'!$F345*0.000001)^2/(4*'D(Ti_Audétat23) Times'!$C345)/(365.35*24*3600)</f>
        <v>56.950828154451457</v>
      </c>
      <c r="AB345" s="2">
        <f>([412]L!AD345*'D(Ti_Audétat23) Times'!$F345*0.000001)^2/(4*'D(Ti_Audétat23) Times'!$C345)/(365.35*24*3600)</f>
        <v>13762.845702515211</v>
      </c>
      <c r="AC345" s="2">
        <f t="shared" si="21"/>
        <v>3860.7669259253994</v>
      </c>
      <c r="AD345" s="2">
        <f t="shared" si="22"/>
        <v>9845.1279484353599</v>
      </c>
    </row>
    <row r="346" spans="1:30" x14ac:dyDescent="0.2">
      <c r="A346" t="str">
        <f>[412]L!A346</f>
        <v>CGI015-qtz11-CL-fit-6-offset</v>
      </c>
      <c r="B346">
        <v>750</v>
      </c>
      <c r="C346">
        <f t="shared" si="23"/>
        <v>1.1456341375347871E-23</v>
      </c>
      <c r="D346">
        <v>1700</v>
      </c>
      <c r="E346">
        <v>1024</v>
      </c>
      <c r="F346">
        <f t="shared" si="20"/>
        <v>1.66015625</v>
      </c>
      <c r="I346" s="2">
        <f>([412]L!J346*'D(Ti_Audétat23) Times'!$F346*0.000001)^2/(4*'D(Ti_Audétat23) Times'!$C346)/(365.35*24*3600)</f>
        <v>40060.343542531395</v>
      </c>
      <c r="J346" s="2">
        <f>([412]L!K346*'D(Ti_Audétat23) Times'!$F346*0.000001)^2/(4*'D(Ti_Audétat23) Times'!$C346)/(365.35*24*3600)</f>
        <v>437.55673360553556</v>
      </c>
      <c r="K346" s="2">
        <f>([412]L!L346*'D(Ti_Audétat23) Times'!$F346*0.000001)^2/(4*'D(Ti_Audétat23) Times'!$C346)/(365.35*24*3600)</f>
        <v>13060.676023580951</v>
      </c>
      <c r="L346" s="2">
        <f>([412]L!M346*'D(Ti_Audétat23) Times'!$F346*0.000001)^2/(4*'D(Ti_Audétat23) Times'!$C346)/(365.35*24*3600)</f>
        <v>1400.7601221907769</v>
      </c>
      <c r="M346" s="2">
        <f>([412]L!N346*'D(Ti_Audétat23) Times'!$F346*0.000001)^2/(4*'D(Ti_Audétat23) Times'!$C346)/(365.35*24*3600)</f>
        <v>445.53828050552227</v>
      </c>
      <c r="N346" s="2">
        <f>([412]L!O346*'D(Ti_Audétat23) Times'!$F346*0.000001)^2/(4*'D(Ti_Audétat23) Times'!$C346)/(365.35*24*3600)</f>
        <v>410.73017661528723</v>
      </c>
      <c r="O346" s="2">
        <f>([412]L!P346*'D(Ti_Audétat23) Times'!$F346*0.000001)^2/(4*'D(Ti_Audétat23) Times'!$C346)/(365.35*24*3600)</f>
        <v>7857.2884751265883</v>
      </c>
      <c r="P346" s="2">
        <f>([412]L!Q346*'D(Ti_Audétat23) Times'!$F346*0.000001)^2/(4*'D(Ti_Audétat23) Times'!$C346)/(365.35*24*3600)</f>
        <v>7578.7887954593371</v>
      </c>
      <c r="Q346" s="2">
        <f>([412]L!R346*'D(Ti_Audétat23) Times'!$F346*0.000001)^2/(4*'D(Ti_Audétat23) Times'!$C346)/(365.35*24*3600)</f>
        <v>4564.8467817102146</v>
      </c>
      <c r="R346" s="2">
        <f>([412]L!S346*'D(Ti_Audétat23) Times'!$F346*0.000001)^2/(4*'D(Ti_Audétat23) Times'!$C346)/(365.35*24*3600)</f>
        <v>16923.407136428337</v>
      </c>
      <c r="S346" s="2">
        <f>([412]L!T346*'D(Ti_Audétat23) Times'!$F346*0.000001)^2/(4*'D(Ti_Audétat23) Times'!$C346)/(365.35*24*3600)</f>
        <v>13880.112592777896</v>
      </c>
      <c r="T346" s="2"/>
      <c r="U346" s="2">
        <f>([412]L!V346*'D(Ti_Audétat23) Times'!$F346*0.000001)^2/(4*'D(Ti_Audétat23) Times'!$C346)/(365.35*24*3600)</f>
        <v>2113.7558194925978</v>
      </c>
      <c r="V346" s="2">
        <f>([412]L!W346*'D(Ti_Audétat23) Times'!$F346*0.000001)^2/(4*'D(Ti_Audétat23) Times'!$C346)/(365.35*24*3600)</f>
        <v>6773.5605893188804</v>
      </c>
      <c r="W346" s="2">
        <f>([412]L!X346*'D(Ti_Audétat23) Times'!$F346*0.000001)^2/(4*'D(Ti_Audétat23) Times'!$C346)/(365.35*24*3600)</f>
        <v>7578.7887954593371</v>
      </c>
      <c r="X346" s="2"/>
      <c r="Y346" s="2">
        <f>([412]L!Z346*'D(Ti_Audétat23) Times'!$F346*0.000001)^2/(4*'D(Ti_Audétat23) Times'!$C346)/(365.35*24*3600)</f>
        <v>6738.1018720749344</v>
      </c>
      <c r="Z346" s="2">
        <f>([412]L!AB346*'D(Ti_Audétat23) Times'!$F346*0.000001)^2/(4*'D(Ti_Audétat23) Times'!$C346)/(365.35*24*3600)</f>
        <v>9537.5768729081701</v>
      </c>
      <c r="AA346" s="2">
        <f>([412]L!AC346*'D(Ti_Audétat23) Times'!$F346*0.000001)^2/(4*'D(Ti_Audétat23) Times'!$C346)/(365.35*24*3600)</f>
        <v>11.282056301326747</v>
      </c>
      <c r="AB346" s="2">
        <f>([412]L!AD346*'D(Ti_Audétat23) Times'!$F346*0.000001)^2/(4*'D(Ti_Audétat23) Times'!$C346)/(365.35*24*3600)</f>
        <v>69973.436124335509</v>
      </c>
      <c r="AC346" s="2">
        <f t="shared" si="21"/>
        <v>9526.2948166068436</v>
      </c>
      <c r="AD346" s="2">
        <f t="shared" si="22"/>
        <v>60435.85925142734</v>
      </c>
    </row>
    <row r="347" spans="1:30" x14ac:dyDescent="0.2">
      <c r="A347" t="str">
        <f>[412]L!A347</f>
        <v>CGI015-qtz11-CL-fit-7-offset</v>
      </c>
      <c r="B347">
        <v>750</v>
      </c>
      <c r="C347">
        <f t="shared" si="23"/>
        <v>1.1456341375347871E-23</v>
      </c>
      <c r="D347">
        <v>1700</v>
      </c>
      <c r="E347">
        <v>1024</v>
      </c>
      <c r="F347">
        <f t="shared" si="20"/>
        <v>1.66015625</v>
      </c>
      <c r="I347" s="2">
        <f>([412]L!J347*'D(Ti_Audétat23) Times'!$F347*0.000001)^2/(4*'D(Ti_Audétat23) Times'!$C347)/(365.35*24*3600)</f>
        <v>2011.92710219951</v>
      </c>
      <c r="J347" s="2">
        <f>([412]L!K347*'D(Ti_Audétat23) Times'!$F347*0.000001)^2/(4*'D(Ti_Audétat23) Times'!$C347)/(365.35*24*3600)</f>
        <v>1403.6441496907164</v>
      </c>
      <c r="K347" s="2">
        <f>([412]L!L347*'D(Ti_Audétat23) Times'!$F347*0.000001)^2/(4*'D(Ti_Audétat23) Times'!$C347)/(365.35*24*3600)</f>
        <v>2345.7892575445599</v>
      </c>
      <c r="L347" s="2">
        <f>([412]L!M347*'D(Ti_Audétat23) Times'!$F347*0.000001)^2/(4*'D(Ti_Audétat23) Times'!$C347)/(365.35*24*3600)</f>
        <v>1394.2530418179977</v>
      </c>
      <c r="M347" s="2">
        <f>([412]L!N347*'D(Ti_Audétat23) Times'!$F347*0.000001)^2/(4*'D(Ti_Audétat23) Times'!$C347)/(365.35*24*3600)</f>
        <v>772.23549576521418</v>
      </c>
      <c r="N347" s="2">
        <f>([412]L!O347*'D(Ti_Audétat23) Times'!$F347*0.000001)^2/(4*'D(Ti_Audétat23) Times'!$C347)/(365.35*24*3600)</f>
        <v>559.87498502503479</v>
      </c>
      <c r="O347" s="2">
        <f>([412]L!P347*'D(Ti_Audétat23) Times'!$F347*0.000001)^2/(4*'D(Ti_Audétat23) Times'!$C347)/(365.35*24*3600)</f>
        <v>1088.9959919595642</v>
      </c>
      <c r="P347" s="2">
        <f>([412]L!Q347*'D(Ti_Audétat23) Times'!$F347*0.000001)^2/(4*'D(Ti_Audétat23) Times'!$C347)/(365.35*24*3600)</f>
        <v>2193.04522396428</v>
      </c>
      <c r="Q347" s="2">
        <f>([412]L!R347*'D(Ti_Audétat23) Times'!$F347*0.000001)^2/(4*'D(Ti_Audétat23) Times'!$C347)/(365.35*24*3600)</f>
        <v>362.17914113349605</v>
      </c>
      <c r="R347" s="2">
        <f>([412]L!S347*'D(Ti_Audétat23) Times'!$F347*0.000001)^2/(4*'D(Ti_Audétat23) Times'!$C347)/(365.35*24*3600)</f>
        <v>1329.5302558414371</v>
      </c>
      <c r="S347" s="2">
        <f>([412]L!T347*'D(Ti_Audétat23) Times'!$F347*0.000001)^2/(4*'D(Ti_Audétat23) Times'!$C347)/(365.35*24*3600)</f>
        <v>950.24891632718868</v>
      </c>
      <c r="T347" s="2"/>
      <c r="U347" s="2">
        <f>([412]L!V347*'D(Ti_Audétat23) Times'!$F347*0.000001)^2/(4*'D(Ti_Audétat23) Times'!$C347)/(365.35*24*3600)</f>
        <v>1336.6006395264526</v>
      </c>
      <c r="V347" s="2">
        <f>([412]L!W347*'D(Ti_Audétat23) Times'!$F347*0.000001)^2/(4*'D(Ti_Audétat23) Times'!$C347)/(365.35*24*3600)</f>
        <v>1229.4161101781863</v>
      </c>
      <c r="W347" s="2">
        <f>([412]L!X347*'D(Ti_Audétat23) Times'!$F347*0.000001)^2/(4*'D(Ti_Audétat23) Times'!$C347)/(365.35*24*3600)</f>
        <v>1329.5302558414371</v>
      </c>
      <c r="X347" s="2"/>
      <c r="Y347" s="2">
        <f>([412]L!Z347*'D(Ti_Audétat23) Times'!$F347*0.000001)^2/(4*'D(Ti_Audétat23) Times'!$C347)/(365.35*24*3600)</f>
        <v>1204.5780919779388</v>
      </c>
      <c r="Z347" s="2">
        <f>([412]L!AB347*'D(Ti_Audétat23) Times'!$F347*0.000001)^2/(4*'D(Ti_Audétat23) Times'!$C347)/(365.35*24*3600)</f>
        <v>1341.7073696324471</v>
      </c>
      <c r="AA347" s="2">
        <f>([412]L!AC347*'D(Ti_Audétat23) Times'!$F347*0.000001)^2/(4*'D(Ti_Audétat23) Times'!$C347)/(365.35*24*3600)</f>
        <v>13.65424791505407</v>
      </c>
      <c r="AB347" s="2">
        <f>([412]L!AD347*'D(Ti_Audétat23) Times'!$F347*0.000001)^2/(4*'D(Ti_Audétat23) Times'!$C347)/(365.35*24*3600)</f>
        <v>7255.2331823684972</v>
      </c>
      <c r="AC347" s="2">
        <f t="shared" si="21"/>
        <v>1328.053121717393</v>
      </c>
      <c r="AD347" s="2">
        <f t="shared" si="22"/>
        <v>5913.5258127360503</v>
      </c>
    </row>
    <row r="348" spans="1:30" x14ac:dyDescent="0.2">
      <c r="A348" t="str">
        <f>[412]L!A348</f>
        <v>CGI015-qtz12-CL-fit-1-offset</v>
      </c>
      <c r="B348">
        <v>750</v>
      </c>
      <c r="C348">
        <f t="shared" si="23"/>
        <v>1.1456341375347871E-23</v>
      </c>
      <c r="D348">
        <v>2300</v>
      </c>
      <c r="E348">
        <v>1024</v>
      </c>
      <c r="F348">
        <f t="shared" si="20"/>
        <v>2.24609375</v>
      </c>
      <c r="I348" s="2">
        <f>([412]L!J348*'D(Ti_Audétat23) Times'!$F348*0.000001)^2/(4*'D(Ti_Audétat23) Times'!$C348)/(365.35*24*3600)</f>
        <v>97787.676861822896</v>
      </c>
      <c r="J348" s="2">
        <f>([412]L!K348*'D(Ti_Audétat23) Times'!$F348*0.000001)^2/(4*'D(Ti_Audétat23) Times'!$C348)/(365.35*24*3600)</f>
        <v>154728.32767851933</v>
      </c>
      <c r="K348" s="2">
        <f>([412]L!L348*'D(Ti_Audétat23) Times'!$F348*0.000001)^2/(4*'D(Ti_Audétat23) Times'!$C348)/(365.35*24*3600)</f>
        <v>85558.39221993371</v>
      </c>
      <c r="L348" s="2">
        <f>([412]L!M348*'D(Ti_Audétat23) Times'!$F348*0.000001)^2/(4*'D(Ti_Audétat23) Times'!$C348)/(365.35*24*3600)</f>
        <v>130939.46011408386</v>
      </c>
      <c r="M348" s="2">
        <f>([412]L!N348*'D(Ti_Audétat23) Times'!$F348*0.000001)^2/(4*'D(Ti_Audétat23) Times'!$C348)/(365.35*24*3600)</f>
        <v>145038.75938316018</v>
      </c>
      <c r="N348" s="2">
        <f>([412]L!O348*'D(Ti_Audétat23) Times'!$F348*0.000001)^2/(4*'D(Ti_Audétat23) Times'!$C348)/(365.35*24*3600)</f>
        <v>92834.7262476631</v>
      </c>
      <c r="O348" s="2">
        <f>([412]L!P348*'D(Ti_Audétat23) Times'!$F348*0.000001)^2/(4*'D(Ti_Audétat23) Times'!$C348)/(365.35*24*3600)</f>
        <v>155788.51300891407</v>
      </c>
      <c r="P348" s="2">
        <f>([412]L!Q348*'D(Ti_Audétat23) Times'!$F348*0.000001)^2/(4*'D(Ti_Audétat23) Times'!$C348)/(365.35*24*3600)</f>
        <v>98764.948421011286</v>
      </c>
      <c r="Q348" s="2">
        <f>([412]L!R348*'D(Ti_Audétat23) Times'!$F348*0.000001)^2/(4*'D(Ti_Audétat23) Times'!$C348)/(365.35*24*3600)</f>
        <v>100195.08529787224</v>
      </c>
      <c r="R348" s="2">
        <f>([412]L!S348*'D(Ti_Audétat23) Times'!$F348*0.000001)^2/(4*'D(Ti_Audétat23) Times'!$C348)/(365.35*24*3600)</f>
        <v>137834.35776987497</v>
      </c>
      <c r="S348" s="2">
        <f>([412]L!T348*'D(Ti_Audétat23) Times'!$F348*0.000001)^2/(4*'D(Ti_Audétat23) Times'!$C348)/(365.35*24*3600)</f>
        <v>140413.91678442495</v>
      </c>
      <c r="T348" s="2"/>
      <c r="U348" s="2">
        <f>([412]L!V348*'D(Ti_Audétat23) Times'!$F348*0.000001)^2/(4*'D(Ti_Audétat23) Times'!$C348)/(365.35*24*3600)</f>
        <v>119153.21463328891</v>
      </c>
      <c r="V348" s="2">
        <f>([412]L!W348*'D(Ti_Audétat23) Times'!$F348*0.000001)^2/(4*'D(Ti_Audétat23) Times'!$C348)/(365.35*24*3600)</f>
        <v>120436.54713721974</v>
      </c>
      <c r="W348" s="2">
        <f>([412]L!X348*'D(Ti_Audétat23) Times'!$F348*0.000001)^2/(4*'D(Ti_Audétat23) Times'!$C348)/(365.35*24*3600)</f>
        <v>130939.46011408386</v>
      </c>
      <c r="X348" s="2"/>
      <c r="Y348" s="2">
        <f>([412]L!Z348*'D(Ti_Audétat23) Times'!$F348*0.000001)^2/(4*'D(Ti_Audétat23) Times'!$C348)/(365.35*24*3600)</f>
        <v>119534.41543927813</v>
      </c>
      <c r="Z348" s="2">
        <f>([412]L!AB348*'D(Ti_Audétat23) Times'!$F348*0.000001)^2/(4*'D(Ti_Audétat23) Times'!$C348)/(365.35*24*3600)</f>
        <v>119892.89011749334</v>
      </c>
      <c r="AA348" s="2">
        <f>([412]L!AC348*'D(Ti_Audétat23) Times'!$F348*0.000001)^2/(4*'D(Ti_Audétat23) Times'!$C348)/(365.35*24*3600)</f>
        <v>71176.302899878254</v>
      </c>
      <c r="AB348" s="2">
        <f>([412]L!AD348*'D(Ti_Audétat23) Times'!$F348*0.000001)^2/(4*'D(Ti_Audétat23) Times'!$C348)/(365.35*24*3600)</f>
        <v>179850.3979714904</v>
      </c>
      <c r="AC348" s="2">
        <f t="shared" si="21"/>
        <v>48716.587217615088</v>
      </c>
      <c r="AD348" s="2">
        <f t="shared" si="22"/>
        <v>59957.507853997056</v>
      </c>
    </row>
    <row r="349" spans="1:30" x14ac:dyDescent="0.2">
      <c r="A349" t="str">
        <f>[412]L!A349</f>
        <v>CGI015-qtz12-CL-fit-2-offset</v>
      </c>
      <c r="B349">
        <v>750</v>
      </c>
      <c r="C349">
        <f t="shared" si="23"/>
        <v>1.1456341375347871E-23</v>
      </c>
      <c r="D349">
        <v>2300</v>
      </c>
      <c r="E349">
        <v>1024</v>
      </c>
      <c r="F349">
        <f t="shared" si="20"/>
        <v>2.24609375</v>
      </c>
      <c r="I349" s="2">
        <f>([412]L!J349*'D(Ti_Audétat23) Times'!$F349*0.000001)^2/(4*'D(Ti_Audétat23) Times'!$C349)/(365.35*24*3600)</f>
        <v>57678.607502773339</v>
      </c>
      <c r="J349" s="2">
        <f>([412]L!K349*'D(Ti_Audétat23) Times'!$F349*0.000001)^2/(4*'D(Ti_Audétat23) Times'!$C349)/(365.35*24*3600)</f>
        <v>17951.750871231547</v>
      </c>
      <c r="K349" s="2">
        <f>([412]L!L349*'D(Ti_Audétat23) Times'!$F349*0.000001)^2/(4*'D(Ti_Audétat23) Times'!$C349)/(365.35*24*3600)</f>
        <v>101.68427520390033</v>
      </c>
      <c r="L349" s="2">
        <f>([412]L!M349*'D(Ti_Audétat23) Times'!$F349*0.000001)^2/(4*'D(Ti_Audétat23) Times'!$C349)/(365.35*24*3600)</f>
        <v>183.34530335703178</v>
      </c>
      <c r="M349" s="2">
        <f>([412]L!N349*'D(Ti_Audétat23) Times'!$F349*0.000001)^2/(4*'D(Ti_Audétat23) Times'!$C349)/(365.35*24*3600)</f>
        <v>1573.0195332206981</v>
      </c>
      <c r="N349" s="2">
        <f>([412]L!O349*'D(Ti_Audétat23) Times'!$F349*0.000001)^2/(4*'D(Ti_Audétat23) Times'!$C349)/(365.35*24*3600)</f>
        <v>12539.445107129541</v>
      </c>
      <c r="O349" s="2">
        <f>([412]L!P349*'D(Ti_Audétat23) Times'!$F349*0.000001)^2/(4*'D(Ti_Audétat23) Times'!$C349)/(365.35*24*3600)</f>
        <v>105173.51639658866</v>
      </c>
      <c r="P349" s="2">
        <f>([412]L!Q349*'D(Ti_Audétat23) Times'!$F349*0.000001)^2/(4*'D(Ti_Audétat23) Times'!$C349)/(365.35*24*3600)</f>
        <v>829.06873533677833</v>
      </c>
      <c r="Q349" s="2">
        <f>([412]L!R349*'D(Ti_Audétat23) Times'!$F349*0.000001)^2/(4*'D(Ti_Audétat23) Times'!$C349)/(365.35*24*3600)</f>
        <v>71429.542553771316</v>
      </c>
      <c r="R349" s="2">
        <f>([412]L!S349*'D(Ti_Audétat23) Times'!$F349*0.000001)^2/(4*'D(Ti_Audétat23) Times'!$C349)/(365.35*24*3600)</f>
        <v>684.29544509316872</v>
      </c>
      <c r="S349" s="2">
        <f>([412]L!T349*'D(Ti_Audétat23) Times'!$F349*0.000001)^2/(4*'D(Ti_Audétat23) Times'!$C349)/(365.35*24*3600)</f>
        <v>85384.131827414152</v>
      </c>
      <c r="T349" s="2"/>
      <c r="U349" s="2">
        <f>([412]L!V349*'D(Ti_Audétat23) Times'!$F349*0.000001)^2/(4*'D(Ti_Audétat23) Times'!$C349)/(365.35*24*3600)</f>
        <v>28171.529333719223</v>
      </c>
      <c r="V349" s="2">
        <f>([412]L!W349*'D(Ti_Audétat23) Times'!$F349*0.000001)^2/(4*'D(Ti_Audétat23) Times'!$C349)/(365.35*24*3600)</f>
        <v>18302.133272139563</v>
      </c>
      <c r="W349" s="2">
        <f>([412]L!X349*'D(Ti_Audétat23) Times'!$F349*0.000001)^2/(4*'D(Ti_Audétat23) Times'!$C349)/(365.35*24*3600)</f>
        <v>12539.445107129541</v>
      </c>
      <c r="X349" s="2"/>
      <c r="Y349" s="2">
        <f>([412]L!Z349*'D(Ti_Audétat23) Times'!$F349*0.000001)^2/(4*'D(Ti_Audétat23) Times'!$C349)/(365.35*24*3600)</f>
        <v>20386.707020224552</v>
      </c>
      <c r="Z349" s="2">
        <f>([412]L!AB349*'D(Ti_Audétat23) Times'!$F349*0.000001)^2/(4*'D(Ti_Audétat23) Times'!$C349)/(365.35*24*3600)</f>
        <v>26174.369196212869</v>
      </c>
      <c r="AA349" s="2">
        <f>([412]L!AC349*'D(Ti_Audétat23) Times'!$F349*0.000001)^2/(4*'D(Ti_Audétat23) Times'!$C349)/(365.35*24*3600)</f>
        <v>14.774562735850017</v>
      </c>
      <c r="AB349" s="2">
        <f>([412]L!AD349*'D(Ti_Audétat23) Times'!$F349*0.000001)^2/(4*'D(Ti_Audétat23) Times'!$C349)/(365.35*24*3600)</f>
        <v>175030.78536529993</v>
      </c>
      <c r="AC349" s="2">
        <f t="shared" si="21"/>
        <v>26159.59463347702</v>
      </c>
      <c r="AD349" s="2">
        <f t="shared" si="22"/>
        <v>148856.41616908705</v>
      </c>
    </row>
    <row r="350" spans="1:30" x14ac:dyDescent="0.2">
      <c r="A350" t="str">
        <f>[412]L!A350</f>
        <v>CGI015-qtz12-CL-fit-3-offset</v>
      </c>
      <c r="B350">
        <v>750</v>
      </c>
      <c r="C350">
        <f t="shared" si="23"/>
        <v>1.1456341375347871E-23</v>
      </c>
      <c r="D350">
        <v>2300</v>
      </c>
      <c r="E350">
        <v>1024</v>
      </c>
      <c r="F350">
        <f t="shared" si="20"/>
        <v>2.24609375</v>
      </c>
      <c r="I350" s="2">
        <f>([412]L!J350*'D(Ti_Audétat23) Times'!$F350*0.000001)^2/(4*'D(Ti_Audétat23) Times'!$C350)/(365.35*24*3600)</f>
        <v>71087.251010275781</v>
      </c>
      <c r="J350" s="2">
        <f>([412]L!K350*'D(Ti_Audétat23) Times'!$F350*0.000001)^2/(4*'D(Ti_Audétat23) Times'!$C350)/(365.35*24*3600)</f>
        <v>5200.7575658948826</v>
      </c>
      <c r="K350" s="2">
        <f>([412]L!L350*'D(Ti_Audétat23) Times'!$F350*0.000001)^2/(4*'D(Ti_Audétat23) Times'!$C350)/(365.35*24*3600)</f>
        <v>14035.816367440526</v>
      </c>
      <c r="L350" s="2">
        <f>([412]L!M350*'D(Ti_Audétat23) Times'!$F350*0.000001)^2/(4*'D(Ti_Audétat23) Times'!$C350)/(365.35*24*3600)</f>
        <v>18818.589702460893</v>
      </c>
      <c r="M350" s="2">
        <f>([412]L!N350*'D(Ti_Audétat23) Times'!$F350*0.000001)^2/(4*'D(Ti_Audétat23) Times'!$C350)/(365.35*24*3600)</f>
        <v>35996.347075223675</v>
      </c>
      <c r="N350" s="2">
        <f>([412]L!O350*'D(Ti_Audétat23) Times'!$F350*0.000001)^2/(4*'D(Ti_Audétat23) Times'!$C350)/(365.35*24*3600)</f>
        <v>21782.631593862527</v>
      </c>
      <c r="O350" s="2">
        <f>([412]L!P350*'D(Ti_Audétat23) Times'!$F350*0.000001)^2/(4*'D(Ti_Audétat23) Times'!$C350)/(365.35*24*3600)</f>
        <v>51869.564782947447</v>
      </c>
      <c r="P350" s="2">
        <f>([412]L!Q350*'D(Ti_Audétat23) Times'!$F350*0.000001)^2/(4*'D(Ti_Audétat23) Times'!$C350)/(365.35*24*3600)</f>
        <v>44773.777941782253</v>
      </c>
      <c r="Q350" s="2">
        <f>([412]L!R350*'D(Ti_Audétat23) Times'!$F350*0.000001)^2/(4*'D(Ti_Audétat23) Times'!$C350)/(365.35*24*3600)</f>
        <v>42618.909059530553</v>
      </c>
      <c r="R350" s="2">
        <f>([412]L!S350*'D(Ti_Audétat23) Times'!$F350*0.000001)^2/(4*'D(Ti_Audétat23) Times'!$C350)/(365.35*24*3600)</f>
        <v>20958.756219079198</v>
      </c>
      <c r="S350" s="2">
        <f>([412]L!T350*'D(Ti_Audétat23) Times'!$F350*0.000001)^2/(4*'D(Ti_Audétat23) Times'!$C350)/(365.35*24*3600)</f>
        <v>47707.981354436284</v>
      </c>
      <c r="T350" s="2"/>
      <c r="U350" s="2">
        <f>([412]L!V350*'D(Ti_Audétat23) Times'!$F350*0.000001)^2/(4*'D(Ti_Audétat23) Times'!$C350)/(365.35*24*3600)</f>
        <v>32334.183033285291</v>
      </c>
      <c r="V350" s="2">
        <f>([412]L!W350*'D(Ti_Audétat23) Times'!$F350*0.000001)^2/(4*'D(Ti_Audétat23) Times'!$C350)/(365.35*24*3600)</f>
        <v>31126.321163018514</v>
      </c>
      <c r="W350" s="2">
        <f>([412]L!X350*'D(Ti_Audétat23) Times'!$F350*0.000001)^2/(4*'D(Ti_Audétat23) Times'!$C350)/(365.35*24*3600)</f>
        <v>35996.347075223675</v>
      </c>
      <c r="X350" s="2"/>
      <c r="Y350" s="2">
        <f>([412]L!Z350*'D(Ti_Audétat23) Times'!$F350*0.000001)^2/(4*'D(Ti_Audétat23) Times'!$C350)/(365.35*24*3600)</f>
        <v>32320.353840618529</v>
      </c>
      <c r="Z350" s="2">
        <f>([412]L!AB350*'D(Ti_Audétat23) Times'!$F350*0.000001)^2/(4*'D(Ti_Audétat23) Times'!$C350)/(365.35*24*3600)</f>
        <v>31451.233509489059</v>
      </c>
      <c r="AA350" s="2">
        <f>([412]L!AC350*'D(Ti_Audétat23) Times'!$F350*0.000001)^2/(4*'D(Ti_Audétat23) Times'!$C350)/(365.35*24*3600)</f>
        <v>8098.3210615152302</v>
      </c>
      <c r="AB350" s="2">
        <f>([412]L!AD350*'D(Ti_Audétat23) Times'!$F350*0.000001)^2/(4*'D(Ti_Audétat23) Times'!$C350)/(365.35*24*3600)</f>
        <v>71755.767052260853</v>
      </c>
      <c r="AC350" s="2">
        <f t="shared" si="21"/>
        <v>23352.912447973828</v>
      </c>
      <c r="AD350" s="2">
        <f t="shared" si="22"/>
        <v>40304.533542771795</v>
      </c>
    </row>
    <row r="351" spans="1:30" x14ac:dyDescent="0.2">
      <c r="A351" t="str">
        <f>[412]L!A351</f>
        <v>CGI015-qtz12-CL-fit-4-offset</v>
      </c>
      <c r="B351">
        <v>750</v>
      </c>
      <c r="C351">
        <f t="shared" si="23"/>
        <v>1.1456341375347871E-23</v>
      </c>
      <c r="D351">
        <v>2300</v>
      </c>
      <c r="E351">
        <v>1024</v>
      </c>
      <c r="F351">
        <f t="shared" si="20"/>
        <v>2.24609375</v>
      </c>
      <c r="I351" s="2">
        <f>([412]L!J351*'D(Ti_Audétat23) Times'!$F351*0.000001)^2/(4*'D(Ti_Audétat23) Times'!$C351)/(365.35*24*3600)</f>
        <v>5000.5219892683563</v>
      </c>
      <c r="J351" s="2">
        <f>([412]L!K351*'D(Ti_Audétat23) Times'!$F351*0.000001)^2/(4*'D(Ti_Audétat23) Times'!$C351)/(365.35*24*3600)</f>
        <v>4799.5457141577799</v>
      </c>
      <c r="K351" s="2">
        <f>([412]L!L351*'D(Ti_Audétat23) Times'!$F351*0.000001)^2/(4*'D(Ti_Audétat23) Times'!$C351)/(365.35*24*3600)</f>
        <v>4474.6128391905158</v>
      </c>
      <c r="L351" s="2">
        <f>([412]L!M351*'D(Ti_Audétat23) Times'!$F351*0.000001)^2/(4*'D(Ti_Audétat23) Times'!$C351)/(365.35*24*3600)</f>
        <v>4809.3871186720398</v>
      </c>
      <c r="M351" s="2">
        <f>([412]L!N351*'D(Ti_Audétat23) Times'!$F351*0.000001)^2/(4*'D(Ti_Audétat23) Times'!$C351)/(365.35*24*3600)</f>
        <v>3861.6500762614469</v>
      </c>
      <c r="N351" s="2">
        <f>([412]L!O351*'D(Ti_Audétat23) Times'!$F351*0.000001)^2/(4*'D(Ti_Audétat23) Times'!$C351)/(365.35*24*3600)</f>
        <v>5597.1009225787438</v>
      </c>
      <c r="O351" s="2">
        <f>([412]L!P351*'D(Ti_Audétat23) Times'!$F351*0.000001)^2/(4*'D(Ti_Audétat23) Times'!$C351)/(365.35*24*3600)</f>
        <v>3893.4241292928746</v>
      </c>
      <c r="P351" s="2">
        <f>([412]L!Q351*'D(Ti_Audétat23) Times'!$F351*0.000001)^2/(4*'D(Ti_Audétat23) Times'!$C351)/(365.35*24*3600)</f>
        <v>5067.6706726141811</v>
      </c>
      <c r="Q351" s="2">
        <f>([412]L!R351*'D(Ti_Audétat23) Times'!$F351*0.000001)^2/(4*'D(Ti_Audétat23) Times'!$C351)/(365.35*24*3600)</f>
        <v>4510.109567131216</v>
      </c>
      <c r="R351" s="2">
        <f>([412]L!S351*'D(Ti_Audétat23) Times'!$F351*0.000001)^2/(4*'D(Ti_Audétat23) Times'!$C351)/(365.35*24*3600)</f>
        <v>6370.321935986105</v>
      </c>
      <c r="S351" s="2">
        <f>([412]L!T351*'D(Ti_Audétat23) Times'!$F351*0.000001)^2/(4*'D(Ti_Audétat23) Times'!$C351)/(365.35*24*3600)</f>
        <v>4460.7239228614835</v>
      </c>
      <c r="T351" s="2"/>
      <c r="U351" s="2">
        <f>([412]L!V351*'D(Ti_Audétat23) Times'!$F351*0.000001)^2/(4*'D(Ti_Audétat23) Times'!$C351)/(365.35*24*3600)</f>
        <v>5112.9033190239861</v>
      </c>
      <c r="V351" s="2">
        <f>([412]L!W351*'D(Ti_Audétat23) Times'!$F351*0.000001)^2/(4*'D(Ti_Audétat23) Times'!$C351)/(365.35*24*3600)</f>
        <v>4780.2961731405185</v>
      </c>
      <c r="W351" s="2">
        <f>([412]L!X351*'D(Ti_Audétat23) Times'!$F351*0.000001)^2/(4*'D(Ti_Audétat23) Times'!$C351)/(365.35*24*3600)</f>
        <v>4799.5457141577799</v>
      </c>
      <c r="X351" s="2"/>
      <c r="Y351" s="2">
        <f>([412]L!Z351*'D(Ti_Audétat23) Times'!$F351*0.000001)^2/(4*'D(Ti_Audétat23) Times'!$C351)/(365.35*24*3600)</f>
        <v>4261.1391960985811</v>
      </c>
      <c r="Z351" s="2">
        <f>([412]L!AB351*'D(Ti_Audétat23) Times'!$F351*0.000001)^2/(4*'D(Ti_Audétat23) Times'!$C351)/(365.35*24*3600)</f>
        <v>3973.3789081519599</v>
      </c>
      <c r="AA351" s="2">
        <f>([412]L!AC351*'D(Ti_Audétat23) Times'!$F351*0.000001)^2/(4*'D(Ti_Audétat23) Times'!$C351)/(365.35*24*3600)</f>
        <v>194.06906906677744</v>
      </c>
      <c r="AB351" s="2">
        <f>([412]L!AD351*'D(Ti_Audétat23) Times'!$F351*0.000001)^2/(4*'D(Ti_Audétat23) Times'!$C351)/(365.35*24*3600)</f>
        <v>10270.574363420332</v>
      </c>
      <c r="AC351" s="2">
        <f t="shared" si="21"/>
        <v>3779.3098390851824</v>
      </c>
      <c r="AD351" s="2">
        <f t="shared" si="22"/>
        <v>6297.1954552683719</v>
      </c>
    </row>
    <row r="352" spans="1:30" x14ac:dyDescent="0.2">
      <c r="A352" t="str">
        <f>[412]L!A352</f>
        <v>CGI015-qtz12-CL-fit-5-offset</v>
      </c>
      <c r="B352">
        <v>750</v>
      </c>
      <c r="C352">
        <f t="shared" si="23"/>
        <v>1.1456341375347871E-23</v>
      </c>
      <c r="D352">
        <v>2300</v>
      </c>
      <c r="E352">
        <v>1024</v>
      </c>
      <c r="F352">
        <f t="shared" si="20"/>
        <v>2.24609375</v>
      </c>
      <c r="I352" s="2">
        <f>([412]L!J352*'D(Ti_Audétat23) Times'!$F352*0.000001)^2/(4*'D(Ti_Audétat23) Times'!$C352)/(365.35*24*3600)</f>
        <v>8929.6629752993504</v>
      </c>
      <c r="J352" s="2">
        <f>([412]L!K352*'D(Ti_Audétat23) Times'!$F352*0.000001)^2/(4*'D(Ti_Audétat23) Times'!$C352)/(365.35*24*3600)</f>
        <v>7387.604600434991</v>
      </c>
      <c r="K352" s="2">
        <f>([412]L!L352*'D(Ti_Audétat23) Times'!$F352*0.000001)^2/(4*'D(Ti_Audétat23) Times'!$C352)/(365.35*24*3600)</f>
        <v>7160.9749927180683</v>
      </c>
      <c r="L352" s="2">
        <f>([412]L!M352*'D(Ti_Audétat23) Times'!$F352*0.000001)^2/(4*'D(Ti_Audétat23) Times'!$C352)/(365.35*24*3600)</f>
        <v>9245.2580495831353</v>
      </c>
      <c r="M352" s="2">
        <f>([412]L!N352*'D(Ti_Audétat23) Times'!$F352*0.000001)^2/(4*'D(Ti_Audétat23) Times'!$C352)/(365.35*24*3600)</f>
        <v>13205.970598925427</v>
      </c>
      <c r="N352" s="2">
        <f>([412]L!O352*'D(Ti_Audétat23) Times'!$F352*0.000001)^2/(4*'D(Ti_Audétat23) Times'!$C352)/(365.35*24*3600)</f>
        <v>17410.780177464763</v>
      </c>
      <c r="O352" s="2">
        <f>([412]L!P352*'D(Ti_Audétat23) Times'!$F352*0.000001)^2/(4*'D(Ti_Audétat23) Times'!$C352)/(365.35*24*3600)</f>
        <v>9939.0385856068915</v>
      </c>
      <c r="P352" s="2">
        <f>([412]L!Q352*'D(Ti_Audétat23) Times'!$F352*0.000001)^2/(4*'D(Ti_Audétat23) Times'!$C352)/(365.35*24*3600)</f>
        <v>1519.8148100551243</v>
      </c>
      <c r="Q352" s="2">
        <f>([412]L!R352*'D(Ti_Audétat23) Times'!$F352*0.000001)^2/(4*'D(Ti_Audétat23) Times'!$C352)/(365.35*24*3600)</f>
        <v>6504.0416715578413</v>
      </c>
      <c r="R352" s="2">
        <f>([412]L!S352*'D(Ti_Audétat23) Times'!$F352*0.000001)^2/(4*'D(Ti_Audétat23) Times'!$C352)/(365.35*24*3600)</f>
        <v>11601.600839591334</v>
      </c>
      <c r="S352" s="2">
        <f>([412]L!T352*'D(Ti_Audétat23) Times'!$F352*0.000001)^2/(4*'D(Ti_Audétat23) Times'!$C352)/(365.35*24*3600)</f>
        <v>12881.195048513837</v>
      </c>
      <c r="T352" s="2"/>
      <c r="U352" s="2">
        <f>([412]L!V352*'D(Ti_Audétat23) Times'!$F352*0.000001)^2/(4*'D(Ti_Audétat23) Times'!$C352)/(365.35*24*3600)</f>
        <v>10655.587933063309</v>
      </c>
      <c r="V352" s="2">
        <f>([412]L!W352*'D(Ti_Audétat23) Times'!$F352*0.000001)^2/(4*'D(Ti_Audétat23) Times'!$C352)/(365.35*24*3600)</f>
        <v>9087.6923605024185</v>
      </c>
      <c r="W352" s="2">
        <f>([412]L!X352*'D(Ti_Audétat23) Times'!$F352*0.000001)^2/(4*'D(Ti_Audétat23) Times'!$C352)/(365.35*24*3600)</f>
        <v>9245.2580495831353</v>
      </c>
      <c r="X352" s="2"/>
      <c r="Y352" s="2">
        <f>([412]L!Z352*'D(Ti_Audétat23) Times'!$F352*0.000001)^2/(4*'D(Ti_Audétat23) Times'!$C352)/(365.35*24*3600)</f>
        <v>9357.4504838876837</v>
      </c>
      <c r="Z352" s="2">
        <f>([412]L!AB352*'D(Ti_Audétat23) Times'!$F352*0.000001)^2/(4*'D(Ti_Audétat23) Times'!$C352)/(365.35*24*3600)</f>
        <v>9545.7390146578527</v>
      </c>
      <c r="AA352" s="2">
        <f>([412]L!AC352*'D(Ti_Audétat23) Times'!$F352*0.000001)^2/(4*'D(Ti_Audétat23) Times'!$C352)/(365.35*24*3600)</f>
        <v>246.66870727727712</v>
      </c>
      <c r="AB352" s="2">
        <f>([412]L!AD352*'D(Ti_Audétat23) Times'!$F352*0.000001)^2/(4*'D(Ti_Audétat23) Times'!$C352)/(365.35*24*3600)</f>
        <v>27524.053386135209</v>
      </c>
      <c r="AC352" s="2">
        <f t="shared" si="21"/>
        <v>9299.0703073805762</v>
      </c>
      <c r="AD352" s="2">
        <f t="shared" si="22"/>
        <v>17978.314371477354</v>
      </c>
    </row>
    <row r="353" spans="1:30" x14ac:dyDescent="0.2">
      <c r="A353" t="str">
        <f>[412]L!A353</f>
        <v>CGI018-qtz01-CL-fit-1-offset</v>
      </c>
      <c r="B353">
        <v>750</v>
      </c>
      <c r="C353">
        <f t="shared" si="23"/>
        <v>1.1456341375347871E-23</v>
      </c>
      <c r="D353">
        <v>1700</v>
      </c>
      <c r="E353">
        <v>1024</v>
      </c>
      <c r="F353">
        <f t="shared" si="20"/>
        <v>1.66015625</v>
      </c>
      <c r="I353" s="2">
        <f>([412]L!J353*'D(Ti_Audétat23) Times'!$F353*0.000001)^2/(4*'D(Ti_Audétat23) Times'!$C353)/(365.35*24*3600)</f>
        <v>202972.34589491351</v>
      </c>
      <c r="J353" s="2">
        <f>([412]L!K353*'D(Ti_Audétat23) Times'!$F353*0.000001)^2/(4*'D(Ti_Audétat23) Times'!$C353)/(365.35*24*3600)</f>
        <v>259815.08148228587</v>
      </c>
      <c r="K353" s="2">
        <f>([412]L!L353*'D(Ti_Audétat23) Times'!$F353*0.000001)^2/(4*'D(Ti_Audétat23) Times'!$C353)/(365.35*24*3600)</f>
        <v>233467.39575107858</v>
      </c>
      <c r="L353" s="2">
        <f>([412]L!M353*'D(Ti_Audétat23) Times'!$F353*0.000001)^2/(4*'D(Ti_Audétat23) Times'!$C353)/(365.35*24*3600)</f>
        <v>176601.31644018105</v>
      </c>
      <c r="M353" s="2">
        <f>([412]L!N353*'D(Ti_Audétat23) Times'!$F353*0.000001)^2/(4*'D(Ti_Audétat23) Times'!$C353)/(365.35*24*3600)</f>
        <v>246992.52945985709</v>
      </c>
      <c r="N353" s="2">
        <f>([412]L!O353*'D(Ti_Audétat23) Times'!$F353*0.000001)^2/(4*'D(Ti_Audétat23) Times'!$C353)/(365.35*24*3600)</f>
        <v>157643.01583556546</v>
      </c>
      <c r="O353" s="2">
        <f>([412]L!P353*'D(Ti_Audétat23) Times'!$F353*0.000001)^2/(4*'D(Ti_Audétat23) Times'!$C353)/(365.35*24*3600)</f>
        <v>245789.35874623107</v>
      </c>
      <c r="P353" s="2">
        <f>([412]L!Q353*'D(Ti_Audétat23) Times'!$F353*0.000001)^2/(4*'D(Ti_Audétat23) Times'!$C353)/(365.35*24*3600)</f>
        <v>168057.71681013904</v>
      </c>
      <c r="Q353" s="2">
        <f>([412]L!R353*'D(Ti_Audétat23) Times'!$F353*0.000001)^2/(4*'D(Ti_Audétat23) Times'!$C353)/(365.35*24*3600)</f>
        <v>165141.77254211731</v>
      </c>
      <c r="R353" s="2">
        <f>([412]L!S353*'D(Ti_Audétat23) Times'!$F353*0.000001)^2/(4*'D(Ti_Audétat23) Times'!$C353)/(365.35*24*3600)</f>
        <v>145942.2092888343</v>
      </c>
      <c r="S353" s="2">
        <f>([412]L!T353*'D(Ti_Audétat23) Times'!$F353*0.000001)^2/(4*'D(Ti_Audétat23) Times'!$C353)/(365.35*24*3600)</f>
        <v>234749.04967983364</v>
      </c>
      <c r="T353" s="2"/>
      <c r="U353" s="2">
        <f>([412]L!V353*'D(Ti_Audétat23) Times'!$F353*0.000001)^2/(4*'D(Ti_Audétat23) Times'!$C353)/(365.35*24*3600)</f>
        <v>200824.97113073064</v>
      </c>
      <c r="V353" s="2">
        <f>([412]L!W353*'D(Ti_Audétat23) Times'!$F353*0.000001)^2/(4*'D(Ti_Audétat23) Times'!$C353)/(365.35*24*3600)</f>
        <v>201382.66833337056</v>
      </c>
      <c r="W353" s="2">
        <f>([412]L!X353*'D(Ti_Audétat23) Times'!$F353*0.000001)^2/(4*'D(Ti_Audétat23) Times'!$C353)/(365.35*24*3600)</f>
        <v>202972.34589491351</v>
      </c>
      <c r="X353" s="2"/>
      <c r="Y353" s="2">
        <f>([412]L!Z353*'D(Ti_Audétat23) Times'!$F353*0.000001)^2/(4*'D(Ti_Audétat23) Times'!$C353)/(365.35*24*3600)</f>
        <v>196263.08740102075</v>
      </c>
      <c r="Z353" s="2">
        <f>([412]L!AB353*'D(Ti_Audétat23) Times'!$F353*0.000001)^2/(4*'D(Ti_Audétat23) Times'!$C353)/(365.35*24*3600)</f>
        <v>201635.98212669633</v>
      </c>
      <c r="AA353" s="2">
        <f>([412]L!AC353*'D(Ti_Audétat23) Times'!$F353*0.000001)^2/(4*'D(Ti_Audétat23) Times'!$C353)/(365.35*24*3600)</f>
        <v>126786.49366904439</v>
      </c>
      <c r="AB353" s="2">
        <f>([412]L!AD353*'D(Ti_Audétat23) Times'!$F353*0.000001)^2/(4*'D(Ti_Audétat23) Times'!$C353)/(365.35*24*3600)</f>
        <v>310117.24937738269</v>
      </c>
      <c r="AC353" s="2">
        <f t="shared" si="21"/>
        <v>74849.48845765194</v>
      </c>
      <c r="AD353" s="2">
        <f t="shared" si="22"/>
        <v>108481.26725068636</v>
      </c>
    </row>
    <row r="354" spans="1:30" x14ac:dyDescent="0.2">
      <c r="A354" t="str">
        <f>[412]L!A354</f>
        <v>CGI018-qtz01-CL-fit-2-offset</v>
      </c>
      <c r="B354">
        <v>750</v>
      </c>
      <c r="C354">
        <f t="shared" si="23"/>
        <v>1.1456341375347871E-23</v>
      </c>
      <c r="D354">
        <v>1700</v>
      </c>
      <c r="E354">
        <v>1024</v>
      </c>
      <c r="F354">
        <f t="shared" si="20"/>
        <v>1.66015625</v>
      </c>
      <c r="I354" s="2">
        <f>([412]L!J354*'D(Ti_Audétat23) Times'!$F354*0.000001)^2/(4*'D(Ti_Audétat23) Times'!$C354)/(365.35*24*3600)</f>
        <v>54369.413559579509</v>
      </c>
      <c r="J354" s="2">
        <f>([412]L!K354*'D(Ti_Audétat23) Times'!$F354*0.000001)^2/(4*'D(Ti_Audétat23) Times'!$C354)/(365.35*24*3600)</f>
        <v>46457.90910125996</v>
      </c>
      <c r="K354" s="2">
        <f>([412]L!L354*'D(Ti_Audétat23) Times'!$F354*0.000001)^2/(4*'D(Ti_Audétat23) Times'!$C354)/(365.35*24*3600)</f>
        <v>79383.303918761609</v>
      </c>
      <c r="L354" s="2">
        <f>([412]L!M354*'D(Ti_Audétat23) Times'!$F354*0.000001)^2/(4*'D(Ti_Audétat23) Times'!$C354)/(365.35*24*3600)</f>
        <v>54464.187367743943</v>
      </c>
      <c r="M354" s="2">
        <f>([412]L!N354*'D(Ti_Audétat23) Times'!$F354*0.000001)^2/(4*'D(Ti_Audétat23) Times'!$C354)/(365.35*24*3600)</f>
        <v>65670.971808643808</v>
      </c>
      <c r="N354" s="2">
        <f>([412]L!O354*'D(Ti_Audétat23) Times'!$F354*0.000001)^2/(4*'D(Ti_Audétat23) Times'!$C354)/(365.35*24*3600)</f>
        <v>107718.23659800884</v>
      </c>
      <c r="O354" s="2">
        <f>([412]L!P354*'D(Ti_Audétat23) Times'!$F354*0.000001)^2/(4*'D(Ti_Audétat23) Times'!$C354)/(365.35*24*3600)</f>
        <v>95649.354134255365</v>
      </c>
      <c r="P354" s="2">
        <f>([412]L!Q354*'D(Ti_Audétat23) Times'!$F354*0.000001)^2/(4*'D(Ti_Audétat23) Times'!$C354)/(365.35*24*3600)</f>
        <v>58250.710074366638</v>
      </c>
      <c r="Q354" s="2">
        <f>([412]L!R354*'D(Ti_Audétat23) Times'!$F354*0.000001)^2/(4*'D(Ti_Audétat23) Times'!$C354)/(365.35*24*3600)</f>
        <v>41969.805243169278</v>
      </c>
      <c r="R354" s="2">
        <f>([412]L!S354*'D(Ti_Audétat23) Times'!$F354*0.000001)^2/(4*'D(Ti_Audétat23) Times'!$C354)/(365.35*24*3600)</f>
        <v>87449.423335401196</v>
      </c>
      <c r="S354" s="2">
        <f>([412]L!T354*'D(Ti_Audétat23) Times'!$F354*0.000001)^2/(4*'D(Ti_Audétat23) Times'!$C354)/(365.35*24*3600)</f>
        <v>38893.488438827189</v>
      </c>
      <c r="T354" s="2"/>
      <c r="U354" s="2">
        <f>([412]L!V354*'D(Ti_Audétat23) Times'!$F354*0.000001)^2/(4*'D(Ti_Audétat23) Times'!$C354)/(365.35*24*3600)</f>
        <v>63756.68882155441</v>
      </c>
      <c r="V354" s="2">
        <f>([412]L!W354*'D(Ti_Audétat23) Times'!$F354*0.000001)^2/(4*'D(Ti_Audétat23) Times'!$C354)/(365.35*24*3600)</f>
        <v>64642.131260248942</v>
      </c>
      <c r="W354" s="2">
        <f>([412]L!X354*'D(Ti_Audétat23) Times'!$F354*0.000001)^2/(4*'D(Ti_Audétat23) Times'!$C354)/(365.35*24*3600)</f>
        <v>58250.710074366638</v>
      </c>
      <c r="X354" s="2"/>
      <c r="Y354" s="2">
        <f>([412]L!Z354*'D(Ti_Audétat23) Times'!$F354*0.000001)^2/(4*'D(Ti_Audétat23) Times'!$C354)/(365.35*24*3600)</f>
        <v>63873.813719975944</v>
      </c>
      <c r="Z354" s="2">
        <f>([412]L!AB354*'D(Ti_Audétat23) Times'!$F354*0.000001)^2/(4*'D(Ti_Audétat23) Times'!$C354)/(365.35*24*3600)</f>
        <v>63623.740583835679</v>
      </c>
      <c r="AA354" s="2">
        <f>([412]L!AC354*'D(Ti_Audétat23) Times'!$F354*0.000001)^2/(4*'D(Ti_Audétat23) Times'!$C354)/(365.35*24*3600)</f>
        <v>35318.782189350313</v>
      </c>
      <c r="AB354" s="2">
        <f>([412]L!AD354*'D(Ti_Audétat23) Times'!$F354*0.000001)^2/(4*'D(Ti_Audétat23) Times'!$C354)/(365.35*24*3600)</f>
        <v>99284.20048711689</v>
      </c>
      <c r="AC354" s="2">
        <f t="shared" si="21"/>
        <v>28304.958394485366</v>
      </c>
      <c r="AD354" s="2">
        <f t="shared" si="22"/>
        <v>35660.459903281211</v>
      </c>
    </row>
    <row r="355" spans="1:30" x14ac:dyDescent="0.2">
      <c r="A355" t="str">
        <f>[412]L!A355</f>
        <v>CGI018-qtz01-CL-fit-3-offset</v>
      </c>
      <c r="B355">
        <v>750</v>
      </c>
      <c r="C355">
        <f t="shared" si="23"/>
        <v>1.1456341375347871E-23</v>
      </c>
      <c r="D355">
        <v>1700</v>
      </c>
      <c r="E355">
        <v>1024</v>
      </c>
      <c r="F355">
        <f t="shared" si="20"/>
        <v>1.66015625</v>
      </c>
      <c r="I355" s="2">
        <f>([412]L!J355*'D(Ti_Audétat23) Times'!$F355*0.000001)^2/(4*'D(Ti_Audétat23) Times'!$C355)/(365.35*24*3600)</f>
        <v>34255.229541129891</v>
      </c>
      <c r="J355" s="2">
        <f>([412]L!K355*'D(Ti_Audétat23) Times'!$F355*0.000001)^2/(4*'D(Ti_Audétat23) Times'!$C355)/(365.35*24*3600)</f>
        <v>34917.272833129915</v>
      </c>
      <c r="K355" s="2">
        <f>([412]L!L355*'D(Ti_Audétat23) Times'!$F355*0.000001)^2/(4*'D(Ti_Audétat23) Times'!$C355)/(365.35*24*3600)</f>
        <v>24901.924618561305</v>
      </c>
      <c r="L355" s="2">
        <f>([412]L!M355*'D(Ti_Audétat23) Times'!$F355*0.000001)^2/(4*'D(Ti_Audétat23) Times'!$C355)/(365.35*24*3600)</f>
        <v>41762.496305086228</v>
      </c>
      <c r="M355" s="2">
        <f>([412]L!N355*'D(Ti_Audétat23) Times'!$F355*0.000001)^2/(4*'D(Ti_Audétat23) Times'!$C355)/(365.35*24*3600)</f>
        <v>23033.443513666654</v>
      </c>
      <c r="N355" s="2">
        <f>([412]L!O355*'D(Ti_Audétat23) Times'!$F355*0.000001)^2/(4*'D(Ti_Audétat23) Times'!$C355)/(365.35*24*3600)</f>
        <v>33021.10637119929</v>
      </c>
      <c r="O355" s="2">
        <f>([412]L!P355*'D(Ti_Audétat23) Times'!$F355*0.000001)^2/(4*'D(Ti_Audétat23) Times'!$C355)/(365.35*24*3600)</f>
        <v>38003.39848448601</v>
      </c>
      <c r="P355" s="2">
        <f>([412]L!Q355*'D(Ti_Audétat23) Times'!$F355*0.000001)^2/(4*'D(Ti_Audétat23) Times'!$C355)/(365.35*24*3600)</f>
        <v>53360.952854069481</v>
      </c>
      <c r="Q355" s="2">
        <f>([412]L!R355*'D(Ti_Audétat23) Times'!$F355*0.000001)^2/(4*'D(Ti_Audétat23) Times'!$C355)/(365.35*24*3600)</f>
        <v>36722.598247740803</v>
      </c>
      <c r="R355" s="2">
        <f>([412]L!S355*'D(Ti_Audétat23) Times'!$F355*0.000001)^2/(4*'D(Ti_Audétat23) Times'!$C355)/(365.35*24*3600)</f>
        <v>24072.372377860353</v>
      </c>
      <c r="S355" s="2">
        <f>([412]L!T355*'D(Ti_Audétat23) Times'!$F355*0.000001)^2/(4*'D(Ti_Audétat23) Times'!$C355)/(365.35*24*3600)</f>
        <v>31356.653806944061</v>
      </c>
      <c r="T355" s="2"/>
      <c r="U355" s="2">
        <f>([412]L!V355*'D(Ti_Audétat23) Times'!$F355*0.000001)^2/(4*'D(Ti_Audétat23) Times'!$C355)/(365.35*24*3600)</f>
        <v>33549.138876255834</v>
      </c>
      <c r="V355" s="2">
        <f>([412]L!W355*'D(Ti_Audétat23) Times'!$F355*0.000001)^2/(4*'D(Ti_Audétat23) Times'!$C355)/(365.35*24*3600)</f>
        <v>33635.463066658653</v>
      </c>
      <c r="W355" s="2">
        <f>([412]L!X355*'D(Ti_Audétat23) Times'!$F355*0.000001)^2/(4*'D(Ti_Audétat23) Times'!$C355)/(365.35*24*3600)</f>
        <v>34255.229541129891</v>
      </c>
      <c r="X355" s="2"/>
      <c r="Y355" s="2">
        <f>([412]L!Z355*'D(Ti_Audétat23) Times'!$F355*0.000001)^2/(4*'D(Ti_Audétat23) Times'!$C355)/(365.35*24*3600)</f>
        <v>33610.958282288091</v>
      </c>
      <c r="Z355" s="2">
        <f>([412]L!AB355*'D(Ti_Audétat23) Times'!$F355*0.000001)^2/(4*'D(Ti_Audétat23) Times'!$C355)/(365.35*24*3600)</f>
        <v>33297.480723058747</v>
      </c>
      <c r="AA355" s="2">
        <f>([412]L!AC355*'D(Ti_Audétat23) Times'!$F355*0.000001)^2/(4*'D(Ti_Audétat23) Times'!$C355)/(365.35*24*3600)</f>
        <v>17317.180687903106</v>
      </c>
      <c r="AB355" s="2">
        <f>([412]L!AD355*'D(Ti_Audétat23) Times'!$F355*0.000001)^2/(4*'D(Ti_Audétat23) Times'!$C355)/(365.35*24*3600)</f>
        <v>50942.806203425316</v>
      </c>
      <c r="AC355" s="2">
        <f t="shared" si="21"/>
        <v>15980.30003515564</v>
      </c>
      <c r="AD355" s="2">
        <f t="shared" si="22"/>
        <v>17645.32548036657</v>
      </c>
    </row>
    <row r="356" spans="1:30" x14ac:dyDescent="0.2">
      <c r="A356" t="str">
        <f>[412]L!A356</f>
        <v>CGI018-qtz01-CL-fit-4-offset</v>
      </c>
      <c r="B356">
        <v>750</v>
      </c>
      <c r="C356">
        <f t="shared" si="23"/>
        <v>1.1456341375347871E-23</v>
      </c>
      <c r="D356">
        <v>1700</v>
      </c>
      <c r="E356">
        <v>1024</v>
      </c>
      <c r="F356">
        <f t="shared" si="20"/>
        <v>1.66015625</v>
      </c>
      <c r="I356" s="2">
        <f>([412]L!J356*'D(Ti_Audétat23) Times'!$F356*0.000001)^2/(4*'D(Ti_Audétat23) Times'!$C356)/(365.35*24*3600)</f>
        <v>15250.838117886897</v>
      </c>
      <c r="J356" s="2">
        <f>([412]L!K356*'D(Ti_Audétat23) Times'!$F356*0.000001)^2/(4*'D(Ti_Audétat23) Times'!$C356)/(365.35*24*3600)</f>
        <v>13515.712611206265</v>
      </c>
      <c r="K356" s="2">
        <f>([412]L!L356*'D(Ti_Audétat23) Times'!$F356*0.000001)^2/(4*'D(Ti_Audétat23) Times'!$C356)/(365.35*24*3600)</f>
        <v>17004.467506376943</v>
      </c>
      <c r="L356" s="2">
        <f>([412]L!M356*'D(Ti_Audétat23) Times'!$F356*0.000001)^2/(4*'D(Ti_Audétat23) Times'!$C356)/(365.35*24*3600)</f>
        <v>10695.863001273983</v>
      </c>
      <c r="M356" s="2">
        <f>([412]L!N356*'D(Ti_Audétat23) Times'!$F356*0.000001)^2/(4*'D(Ti_Audétat23) Times'!$C356)/(365.35*24*3600)</f>
        <v>17497.374695087383</v>
      </c>
      <c r="N356" s="2">
        <f>([412]L!O356*'D(Ti_Audétat23) Times'!$F356*0.000001)^2/(4*'D(Ti_Audétat23) Times'!$C356)/(365.35*24*3600)</f>
        <v>11700.354059592688</v>
      </c>
      <c r="O356" s="2">
        <f>([412]L!P356*'D(Ti_Audétat23) Times'!$F356*0.000001)^2/(4*'D(Ti_Audétat23) Times'!$C356)/(365.35*24*3600)</f>
        <v>11016.84505597422</v>
      </c>
      <c r="P356" s="2">
        <f>([412]L!Q356*'D(Ti_Audétat23) Times'!$F356*0.000001)^2/(4*'D(Ti_Audétat23) Times'!$C356)/(365.35*24*3600)</f>
        <v>15773.392065715212</v>
      </c>
      <c r="Q356" s="2">
        <f>([412]L!R356*'D(Ti_Audétat23) Times'!$F356*0.000001)^2/(4*'D(Ti_Audétat23) Times'!$C356)/(365.35*24*3600)</f>
        <v>32826.110325795082</v>
      </c>
      <c r="R356" s="2">
        <f>([412]L!S356*'D(Ti_Audétat23) Times'!$F356*0.000001)^2/(4*'D(Ti_Audétat23) Times'!$C356)/(365.35*24*3600)</f>
        <v>24274.49453550058</v>
      </c>
      <c r="S356" s="2">
        <f>([412]L!T356*'D(Ti_Audétat23) Times'!$F356*0.000001)^2/(4*'D(Ti_Audétat23) Times'!$C356)/(365.35*24*3600)</f>
        <v>30936.933833967694</v>
      </c>
      <c r="T356" s="2"/>
      <c r="U356" s="2">
        <f>([412]L!V356*'D(Ti_Audétat23) Times'!$F356*0.000001)^2/(4*'D(Ti_Audétat23) Times'!$C356)/(365.35*24*3600)</f>
        <v>18037.245606574019</v>
      </c>
      <c r="V356" s="2">
        <f>([412]L!W356*'D(Ti_Audétat23) Times'!$F356*0.000001)^2/(4*'D(Ti_Audétat23) Times'!$C356)/(365.35*24*3600)</f>
        <v>17554.901067385101</v>
      </c>
      <c r="W356" s="2">
        <f>([412]L!X356*'D(Ti_Audétat23) Times'!$F356*0.000001)^2/(4*'D(Ti_Audétat23) Times'!$C356)/(365.35*24*3600)</f>
        <v>15773.392065715212</v>
      </c>
      <c r="X356" s="2"/>
      <c r="Y356" s="2">
        <f>([412]L!Z356*'D(Ti_Audétat23) Times'!$F356*0.000001)^2/(4*'D(Ti_Audétat23) Times'!$C356)/(365.35*24*3600)</f>
        <v>17911.209761408889</v>
      </c>
      <c r="Z356" s="2">
        <f>([412]L!AB356*'D(Ti_Audétat23) Times'!$F356*0.000001)^2/(4*'D(Ti_Audétat23) Times'!$C356)/(365.35*24*3600)</f>
        <v>18658.688427463105</v>
      </c>
      <c r="AA356" s="2">
        <f>([412]L!AC356*'D(Ti_Audétat23) Times'!$F356*0.000001)^2/(4*'D(Ti_Audétat23) Times'!$C356)/(365.35*24*3600)</f>
        <v>6820.4498140121732</v>
      </c>
      <c r="AB356" s="2">
        <f>([412]L!AD356*'D(Ti_Audétat23) Times'!$F356*0.000001)^2/(4*'D(Ti_Audétat23) Times'!$C356)/(365.35*24*3600)</f>
        <v>41007.470939052211</v>
      </c>
      <c r="AC356" s="2">
        <f t="shared" si="21"/>
        <v>11838.238613450932</v>
      </c>
      <c r="AD356" s="2">
        <f t="shared" si="22"/>
        <v>22348.782511589106</v>
      </c>
    </row>
    <row r="357" spans="1:30" x14ac:dyDescent="0.2">
      <c r="A357" t="str">
        <f>[412]L!A357</f>
        <v>CGI018-qtz01-CL-fit-5-offset</v>
      </c>
      <c r="B357">
        <v>750</v>
      </c>
      <c r="C357">
        <f t="shared" si="23"/>
        <v>1.1456341375347871E-23</v>
      </c>
      <c r="D357">
        <v>1700</v>
      </c>
      <c r="E357">
        <v>1024</v>
      </c>
      <c r="F357">
        <f t="shared" si="20"/>
        <v>1.66015625</v>
      </c>
      <c r="I357" s="2">
        <f>([412]L!J357*'D(Ti_Audétat23) Times'!$F357*0.000001)^2/(4*'D(Ti_Audétat23) Times'!$C357)/(365.35*24*3600)</f>
        <v>14031.398153125616</v>
      </c>
      <c r="J357" s="2">
        <f>([412]L!K357*'D(Ti_Audétat23) Times'!$F357*0.000001)^2/(4*'D(Ti_Audétat23) Times'!$C357)/(365.35*24*3600)</f>
        <v>7279.5658425460888</v>
      </c>
      <c r="K357" s="2">
        <f>([412]L!L357*'D(Ti_Audétat23) Times'!$F357*0.000001)^2/(4*'D(Ti_Audétat23) Times'!$C357)/(365.35*24*3600)</f>
        <v>7911.8145414490937</v>
      </c>
      <c r="L357" s="2">
        <f>([412]L!M357*'D(Ti_Audétat23) Times'!$F357*0.000001)^2/(4*'D(Ti_Audétat23) Times'!$C357)/(365.35*24*3600)</f>
        <v>7199.8829168654174</v>
      </c>
      <c r="M357" s="2">
        <f>([412]L!N357*'D(Ti_Audétat23) Times'!$F357*0.000001)^2/(4*'D(Ti_Audétat23) Times'!$C357)/(365.35*24*3600)</f>
        <v>8131.2407128362493</v>
      </c>
      <c r="N357" s="2">
        <f>([412]L!O357*'D(Ti_Audétat23) Times'!$F357*0.000001)^2/(4*'D(Ti_Audétat23) Times'!$C357)/(365.35*24*3600)</f>
        <v>11587.525568687355</v>
      </c>
      <c r="O357" s="2">
        <f>([412]L!P357*'D(Ti_Audétat23) Times'!$F357*0.000001)^2/(4*'D(Ti_Audétat23) Times'!$C357)/(365.35*24*3600)</f>
        <v>11201.58922437908</v>
      </c>
      <c r="P357" s="2">
        <f>([412]L!Q357*'D(Ti_Audétat23) Times'!$F357*0.000001)^2/(4*'D(Ti_Audétat23) Times'!$C357)/(365.35*24*3600)</f>
        <v>5836.2868202419268</v>
      </c>
      <c r="Q357" s="2">
        <f>([412]L!R357*'D(Ti_Audétat23) Times'!$F357*0.000001)^2/(4*'D(Ti_Audétat23) Times'!$C357)/(365.35*24*3600)</f>
        <v>11226.354967677604</v>
      </c>
      <c r="R357" s="2">
        <f>([412]L!S357*'D(Ti_Audétat23) Times'!$F357*0.000001)^2/(4*'D(Ti_Audétat23) Times'!$C357)/(365.35*24*3600)</f>
        <v>8017.4156384065382</v>
      </c>
      <c r="S357" s="2">
        <f>([412]L!T357*'D(Ti_Audétat23) Times'!$F357*0.000001)^2/(4*'D(Ti_Audétat23) Times'!$C357)/(365.35*24*3600)</f>
        <v>17004.586217296259</v>
      </c>
      <c r="T357" s="2"/>
      <c r="U357" s="2">
        <f>([412]L!V357*'D(Ti_Audétat23) Times'!$F357*0.000001)^2/(4*'D(Ti_Audétat23) Times'!$C357)/(365.35*24*3600)</f>
        <v>9837.2854861563719</v>
      </c>
      <c r="V357" s="2">
        <f>([412]L!W357*'D(Ti_Audétat23) Times'!$F357*0.000001)^2/(4*'D(Ti_Audétat23) Times'!$C357)/(365.35*24*3600)</f>
        <v>9702.6645654581134</v>
      </c>
      <c r="W357" s="2">
        <f>([412]L!X357*'D(Ti_Audétat23) Times'!$F357*0.000001)^2/(4*'D(Ti_Audétat23) Times'!$C357)/(365.35*24*3600)</f>
        <v>8131.2407128362493</v>
      </c>
      <c r="X357" s="2"/>
      <c r="Y357" s="2">
        <f>([412]L!Z357*'D(Ti_Audétat23) Times'!$F357*0.000001)^2/(4*'D(Ti_Audétat23) Times'!$C357)/(365.35*24*3600)</f>
        <v>9175.2866892218517</v>
      </c>
      <c r="Z357" s="2">
        <f>([412]L!AB357*'D(Ti_Audétat23) Times'!$F357*0.000001)^2/(4*'D(Ti_Audétat23) Times'!$C357)/(365.35*24*3600)</f>
        <v>9108.3300099143107</v>
      </c>
      <c r="AA357" s="2">
        <f>([412]L!AC357*'D(Ti_Audétat23) Times'!$F357*0.000001)^2/(4*'D(Ti_Audétat23) Times'!$C357)/(365.35*24*3600)</f>
        <v>4050.4250020972017</v>
      </c>
      <c r="AB357" s="2">
        <f>([412]L!AD357*'D(Ti_Audétat23) Times'!$F357*0.000001)^2/(4*'D(Ti_Audétat23) Times'!$C357)/(365.35*24*3600)</f>
        <v>17963.316883689389</v>
      </c>
      <c r="AC357" s="2">
        <f t="shared" si="21"/>
        <v>5057.9050078171094</v>
      </c>
      <c r="AD357" s="2">
        <f t="shared" si="22"/>
        <v>8854.9868737750785</v>
      </c>
    </row>
    <row r="358" spans="1:30" x14ac:dyDescent="0.2">
      <c r="A358" t="str">
        <f>[412]L!A358</f>
        <v>CGI018-qtz02-CL-fit-1-offset</v>
      </c>
      <c r="B358">
        <v>750</v>
      </c>
      <c r="C358">
        <f t="shared" si="23"/>
        <v>1.1456341375347871E-23</v>
      </c>
      <c r="D358">
        <v>1750</v>
      </c>
      <c r="E358">
        <v>1024</v>
      </c>
      <c r="F358">
        <f t="shared" si="20"/>
        <v>1.708984375</v>
      </c>
      <c r="I358" s="2">
        <f>([412]L!J358*'D(Ti_Audétat23) Times'!$F358*0.000001)^2/(4*'D(Ti_Audétat23) Times'!$C358)/(365.35*24*3600)</f>
        <v>64301.896460434102</v>
      </c>
      <c r="J358" s="2">
        <f>([412]L!K358*'D(Ti_Audétat23) Times'!$F358*0.000001)^2/(4*'D(Ti_Audétat23) Times'!$C358)/(365.35*24*3600)</f>
        <v>110893.37499944244</v>
      </c>
      <c r="K358" s="2">
        <f>([412]L!L358*'D(Ti_Audétat23) Times'!$F358*0.000001)^2/(4*'D(Ti_Audétat23) Times'!$C358)/(365.35*24*3600)</f>
        <v>104038.05190029055</v>
      </c>
      <c r="L358" s="2">
        <f>([412]L!M358*'D(Ti_Audétat23) Times'!$F358*0.000001)^2/(4*'D(Ti_Audétat23) Times'!$C358)/(365.35*24*3600)</f>
        <v>77248.533149646508</v>
      </c>
      <c r="M358" s="2">
        <f>([412]L!N358*'D(Ti_Audétat23) Times'!$F358*0.000001)^2/(4*'D(Ti_Audétat23) Times'!$C358)/(365.35*24*3600)</f>
        <v>109662.37963010234</v>
      </c>
      <c r="N358" s="2">
        <f>([412]L!O358*'D(Ti_Audétat23) Times'!$F358*0.000001)^2/(4*'D(Ti_Audétat23) Times'!$C358)/(365.35*24*3600)</f>
        <v>45676.275773021465</v>
      </c>
      <c r="O358" s="2">
        <f>([412]L!P358*'D(Ti_Audétat23) Times'!$F358*0.000001)^2/(4*'D(Ti_Audétat23) Times'!$C358)/(365.35*24*3600)</f>
        <v>72955.747623236108</v>
      </c>
      <c r="P358" s="2">
        <f>([412]L!Q358*'D(Ti_Audétat23) Times'!$F358*0.000001)^2/(4*'D(Ti_Audétat23) Times'!$C358)/(365.35*24*3600)</f>
        <v>111062.80607988378</v>
      </c>
      <c r="Q358" s="2">
        <f>([412]L!R358*'D(Ti_Audétat23) Times'!$F358*0.000001)^2/(4*'D(Ti_Audétat23) Times'!$C358)/(365.35*24*3600)</f>
        <v>68164.349167805238</v>
      </c>
      <c r="R358" s="2">
        <f>([412]L!S358*'D(Ti_Audétat23) Times'!$F358*0.000001)^2/(4*'D(Ti_Audétat23) Times'!$C358)/(365.35*24*3600)</f>
        <v>75637.72960751137</v>
      </c>
      <c r="S358" s="2">
        <f>([412]L!T358*'D(Ti_Audétat23) Times'!$F358*0.000001)^2/(4*'D(Ti_Audétat23) Times'!$C358)/(365.35*24*3600)</f>
        <v>225252.79440706599</v>
      </c>
      <c r="T358" s="2"/>
      <c r="U358" s="2">
        <f>([412]L!V358*'D(Ti_Audétat23) Times'!$F358*0.000001)^2/(4*'D(Ti_Audétat23) Times'!$C358)/(365.35*24*3600)</f>
        <v>86943.661244176445</v>
      </c>
      <c r="V358" s="2">
        <f>([412]L!W358*'D(Ti_Audétat23) Times'!$F358*0.000001)^2/(4*'D(Ti_Audétat23) Times'!$C358)/(365.35*24*3600)</f>
        <v>92527.781739123398</v>
      </c>
      <c r="W358" s="2">
        <f>([412]L!X358*'D(Ti_Audétat23) Times'!$F358*0.000001)^2/(4*'D(Ti_Audétat23) Times'!$C358)/(365.35*24*3600)</f>
        <v>77248.533149646508</v>
      </c>
      <c r="X358" s="2"/>
      <c r="Y358" s="2">
        <f>([412]L!Z358*'D(Ti_Audétat23) Times'!$F358*0.000001)^2/(4*'D(Ti_Audétat23) Times'!$C358)/(365.35*24*3600)</f>
        <v>84695.676707635139</v>
      </c>
      <c r="Z358" s="2">
        <f>([412]L!AB358*'D(Ti_Audétat23) Times'!$F358*0.000001)^2/(4*'D(Ti_Audétat23) Times'!$C358)/(365.35*24*3600)</f>
        <v>86905.312366172118</v>
      </c>
      <c r="AA358" s="2">
        <f>([412]L!AC358*'D(Ti_Audétat23) Times'!$F358*0.000001)^2/(4*'D(Ti_Audétat23) Times'!$C358)/(365.35*24*3600)</f>
        <v>31260.240415316181</v>
      </c>
      <c r="AB358" s="2">
        <f>([412]L!AD358*'D(Ti_Audétat23) Times'!$F358*0.000001)^2/(4*'D(Ti_Audétat23) Times'!$C358)/(365.35*24*3600)</f>
        <v>199148.7977764715</v>
      </c>
      <c r="AC358" s="2">
        <f t="shared" si="21"/>
        <v>55645.071950855941</v>
      </c>
      <c r="AD358" s="2">
        <f t="shared" si="22"/>
        <v>112243.48541029938</v>
      </c>
    </row>
    <row r="359" spans="1:30" x14ac:dyDescent="0.2">
      <c r="A359" t="str">
        <f>[412]L!A359</f>
        <v>CGI018-qtz02-CL-fit-2-offset</v>
      </c>
      <c r="B359">
        <v>750</v>
      </c>
      <c r="C359">
        <f t="shared" si="23"/>
        <v>1.1456341375347871E-23</v>
      </c>
      <c r="D359">
        <v>1750</v>
      </c>
      <c r="E359">
        <v>1024</v>
      </c>
      <c r="F359">
        <f t="shared" si="20"/>
        <v>1.708984375</v>
      </c>
      <c r="I359" s="2">
        <f>([412]L!J359*'D(Ti_Audétat23) Times'!$F359*0.000001)^2/(4*'D(Ti_Audétat23) Times'!$C359)/(365.35*24*3600)</f>
        <v>122281.93531061028</v>
      </c>
      <c r="J359" s="2">
        <f>([412]L!K359*'D(Ti_Audétat23) Times'!$F359*0.000001)^2/(4*'D(Ti_Audétat23) Times'!$C359)/(365.35*24*3600)</f>
        <v>97870.901555622913</v>
      </c>
      <c r="K359" s="2">
        <f>([412]L!L359*'D(Ti_Audétat23) Times'!$F359*0.000001)^2/(4*'D(Ti_Audétat23) Times'!$C359)/(365.35*24*3600)</f>
        <v>131598.9128632645</v>
      </c>
      <c r="L359" s="2">
        <f>([412]L!M359*'D(Ti_Audétat23) Times'!$F359*0.000001)^2/(4*'D(Ti_Audétat23) Times'!$C359)/(365.35*24*3600)</f>
        <v>84694.870108581992</v>
      </c>
      <c r="M359" s="2">
        <f>([412]L!N359*'D(Ti_Audétat23) Times'!$F359*0.000001)^2/(4*'D(Ti_Audétat23) Times'!$C359)/(365.35*24*3600)</f>
        <v>93700.144715295959</v>
      </c>
      <c r="N359" s="2">
        <f>([412]L!O359*'D(Ti_Audétat23) Times'!$F359*0.000001)^2/(4*'D(Ti_Audétat23) Times'!$C359)/(365.35*24*3600)</f>
        <v>61126.240970173385</v>
      </c>
      <c r="O359" s="2">
        <f>([412]L!P359*'D(Ti_Audétat23) Times'!$F359*0.000001)^2/(4*'D(Ti_Audétat23) Times'!$C359)/(365.35*24*3600)</f>
        <v>49959.681111671729</v>
      </c>
      <c r="P359" s="2">
        <f>([412]L!Q359*'D(Ti_Audétat23) Times'!$F359*0.000001)^2/(4*'D(Ti_Audétat23) Times'!$C359)/(365.35*24*3600)</f>
        <v>60182.325631804539</v>
      </c>
      <c r="Q359" s="2">
        <f>([412]L!R359*'D(Ti_Audétat23) Times'!$F359*0.000001)^2/(4*'D(Ti_Audétat23) Times'!$C359)/(365.35*24*3600)</f>
        <v>55062.597669577633</v>
      </c>
      <c r="R359" s="2">
        <f>([412]L!S359*'D(Ti_Audétat23) Times'!$F359*0.000001)^2/(4*'D(Ti_Audétat23) Times'!$C359)/(365.35*24*3600)</f>
        <v>72395.163559427951</v>
      </c>
      <c r="S359" s="2">
        <f>([412]L!T359*'D(Ti_Audétat23) Times'!$F359*0.000001)^2/(4*'D(Ti_Audétat23) Times'!$C359)/(365.35*24*3600)</f>
        <v>82336.602331232672</v>
      </c>
      <c r="T359" s="2"/>
      <c r="U359" s="2">
        <f>([412]L!V359*'D(Ti_Audétat23) Times'!$F359*0.000001)^2/(4*'D(Ti_Audétat23) Times'!$C359)/(365.35*24*3600)</f>
        <v>74685.970280857699</v>
      </c>
      <c r="V359" s="2">
        <f>([412]L!W359*'D(Ti_Audétat23) Times'!$F359*0.000001)^2/(4*'D(Ti_Audétat23) Times'!$C359)/(365.35*24*3600)</f>
        <v>80922.757839715676</v>
      </c>
      <c r="W359" s="2">
        <f>([412]L!X359*'D(Ti_Audétat23) Times'!$F359*0.000001)^2/(4*'D(Ti_Audétat23) Times'!$C359)/(365.35*24*3600)</f>
        <v>82336.602331232672</v>
      </c>
      <c r="X359" s="2"/>
      <c r="Y359" s="2">
        <f>([412]L!Z359*'D(Ti_Audétat23) Times'!$F359*0.000001)^2/(4*'D(Ti_Audétat23) Times'!$C359)/(365.35*24*3600)</f>
        <v>73991.871151585598</v>
      </c>
      <c r="Z359" s="2">
        <f>([412]L!AB359*'D(Ti_Audétat23) Times'!$F359*0.000001)^2/(4*'D(Ti_Audétat23) Times'!$C359)/(365.35*24*3600)</f>
        <v>78251.736829017551</v>
      </c>
      <c r="AA359" s="2">
        <f>([412]L!AC359*'D(Ti_Audétat23) Times'!$F359*0.000001)^2/(4*'D(Ti_Audétat23) Times'!$C359)/(365.35*24*3600)</f>
        <v>44291.940347763091</v>
      </c>
      <c r="AB359" s="2">
        <f>([412]L!AD359*'D(Ti_Audétat23) Times'!$F359*0.000001)^2/(4*'D(Ti_Audétat23) Times'!$C359)/(365.35*24*3600)</f>
        <v>152071.77003396911</v>
      </c>
      <c r="AC359" s="2">
        <f t="shared" si="21"/>
        <v>33959.79648125446</v>
      </c>
      <c r="AD359" s="2">
        <f t="shared" si="22"/>
        <v>73820.033204951556</v>
      </c>
    </row>
    <row r="360" spans="1:30" x14ac:dyDescent="0.2">
      <c r="A360" t="str">
        <f>[412]L!A360</f>
        <v>CGI018-qtz02-CL-fit-3-offset</v>
      </c>
      <c r="B360">
        <v>750</v>
      </c>
      <c r="C360">
        <f t="shared" si="23"/>
        <v>1.1456341375347871E-23</v>
      </c>
      <c r="D360">
        <v>1750</v>
      </c>
      <c r="E360">
        <v>1024</v>
      </c>
      <c r="F360">
        <f t="shared" si="20"/>
        <v>1.708984375</v>
      </c>
      <c r="I360" s="2">
        <f>([412]L!J360*'D(Ti_Audétat23) Times'!$F360*0.000001)^2/(4*'D(Ti_Audétat23) Times'!$C360)/(365.35*24*3600)</f>
        <v>19465.034705268023</v>
      </c>
      <c r="J360" s="2">
        <f>([412]L!K360*'D(Ti_Audétat23) Times'!$F360*0.000001)^2/(4*'D(Ti_Audétat23) Times'!$C360)/(365.35*24*3600)</f>
        <v>35309.838899127652</v>
      </c>
      <c r="K360" s="2">
        <f>([412]L!L360*'D(Ti_Audétat23) Times'!$F360*0.000001)^2/(4*'D(Ti_Audétat23) Times'!$C360)/(365.35*24*3600)</f>
        <v>23901.963227753804</v>
      </c>
      <c r="L360" s="2">
        <f>([412]L!M360*'D(Ti_Audétat23) Times'!$F360*0.000001)^2/(4*'D(Ti_Audétat23) Times'!$C360)/(365.35*24*3600)</f>
        <v>34731.054775717959</v>
      </c>
      <c r="M360" s="2">
        <f>([412]L!N360*'D(Ti_Audétat23) Times'!$F360*0.000001)^2/(4*'D(Ti_Audétat23) Times'!$C360)/(365.35*24*3600)</f>
        <v>16897.817041696428</v>
      </c>
      <c r="N360" s="2">
        <f>([412]L!O360*'D(Ti_Audétat23) Times'!$F360*0.000001)^2/(4*'D(Ti_Audétat23) Times'!$C360)/(365.35*24*3600)</f>
        <v>35157.761653094072</v>
      </c>
      <c r="O360" s="2">
        <f>([412]L!P360*'D(Ti_Audétat23) Times'!$F360*0.000001)^2/(4*'D(Ti_Audétat23) Times'!$C360)/(365.35*24*3600)</f>
        <v>21889.384623630031</v>
      </c>
      <c r="P360" s="2">
        <f>([412]L!Q360*'D(Ti_Audétat23) Times'!$F360*0.000001)^2/(4*'D(Ti_Audétat23) Times'!$C360)/(365.35*24*3600)</f>
        <v>31487.974841279793</v>
      </c>
      <c r="Q360" s="2">
        <f>([412]L!R360*'D(Ti_Audétat23) Times'!$F360*0.000001)^2/(4*'D(Ti_Audétat23) Times'!$C360)/(365.35*24*3600)</f>
        <v>31039.980476617751</v>
      </c>
      <c r="R360" s="2">
        <f>([412]L!S360*'D(Ti_Audétat23) Times'!$F360*0.000001)^2/(4*'D(Ti_Audétat23) Times'!$C360)/(365.35*24*3600)</f>
        <v>35748.272797038371</v>
      </c>
      <c r="S360" s="2">
        <f>([412]L!T360*'D(Ti_Audétat23) Times'!$F360*0.000001)^2/(4*'D(Ti_Audétat23) Times'!$C360)/(365.35*24*3600)</f>
        <v>25653.629209092927</v>
      </c>
      <c r="T360" s="2"/>
      <c r="U360" s="2">
        <f>([412]L!V360*'D(Ti_Audétat23) Times'!$F360*0.000001)^2/(4*'D(Ti_Audétat23) Times'!$C360)/(365.35*24*3600)</f>
        <v>28048.741589502541</v>
      </c>
      <c r="V360" s="2">
        <f>([412]L!W360*'D(Ti_Audétat23) Times'!$F360*0.000001)^2/(4*'D(Ti_Audétat23) Times'!$C360)/(365.35*24*3600)</f>
        <v>27880.123580683805</v>
      </c>
      <c r="W360" s="2">
        <f>([412]L!X360*'D(Ti_Audétat23) Times'!$F360*0.000001)^2/(4*'D(Ti_Audétat23) Times'!$C360)/(365.35*24*3600)</f>
        <v>31039.980476617751</v>
      </c>
      <c r="X360" s="2"/>
      <c r="Y360" s="2">
        <f>([412]L!Z360*'D(Ti_Audétat23) Times'!$F360*0.000001)^2/(4*'D(Ti_Audétat23) Times'!$C360)/(365.35*24*3600)</f>
        <v>27944.468892487996</v>
      </c>
      <c r="Z360" s="2">
        <f>([412]L!AB360*'D(Ti_Audétat23) Times'!$F360*0.000001)^2/(4*'D(Ti_Audétat23) Times'!$C360)/(365.35*24*3600)</f>
        <v>27273.003077471221</v>
      </c>
      <c r="AA360" s="2">
        <f>([412]L!AC360*'D(Ti_Audétat23) Times'!$F360*0.000001)^2/(4*'D(Ti_Audétat23) Times'!$C360)/(365.35*24*3600)</f>
        <v>13818.76911302985</v>
      </c>
      <c r="AB360" s="2">
        <f>([412]L!AD360*'D(Ti_Audétat23) Times'!$F360*0.000001)^2/(4*'D(Ti_Audétat23) Times'!$C360)/(365.35*24*3600)</f>
        <v>45195.157870211784</v>
      </c>
      <c r="AC360" s="2">
        <f t="shared" si="21"/>
        <v>13454.233964441371</v>
      </c>
      <c r="AD360" s="2">
        <f t="shared" si="22"/>
        <v>17922.154792740563</v>
      </c>
    </row>
    <row r="361" spans="1:30" x14ac:dyDescent="0.2">
      <c r="A361" t="str">
        <f>[412]L!A361</f>
        <v>CGI018-qtz02-CL-fit-4-offset</v>
      </c>
      <c r="B361">
        <v>750</v>
      </c>
      <c r="C361">
        <f t="shared" si="23"/>
        <v>1.1456341375347871E-23</v>
      </c>
      <c r="D361">
        <v>1750</v>
      </c>
      <c r="E361">
        <v>1024</v>
      </c>
      <c r="F361">
        <f t="shared" si="20"/>
        <v>1.708984375</v>
      </c>
      <c r="I361" s="2">
        <f>([412]L!J361*'D(Ti_Audétat23) Times'!$F361*0.000001)^2/(4*'D(Ti_Audétat23) Times'!$C361)/(365.35*24*3600)</f>
        <v>9488.022019389522</v>
      </c>
      <c r="J361" s="2">
        <f>([412]L!K361*'D(Ti_Audétat23) Times'!$F361*0.000001)^2/(4*'D(Ti_Audétat23) Times'!$C361)/(365.35*24*3600)</f>
        <v>19386.17523419483</v>
      </c>
      <c r="K361" s="2">
        <f>([412]L!L361*'D(Ti_Audétat23) Times'!$F361*0.000001)^2/(4*'D(Ti_Audétat23) Times'!$C361)/(365.35*24*3600)</f>
        <v>11702.669126743893</v>
      </c>
      <c r="L361" s="2">
        <f>([412]L!M361*'D(Ti_Audétat23) Times'!$F361*0.000001)^2/(4*'D(Ti_Audétat23) Times'!$C361)/(365.35*24*3600)</f>
        <v>14110.475190983014</v>
      </c>
      <c r="M361" s="2">
        <f>([412]L!N361*'D(Ti_Audétat23) Times'!$F361*0.000001)^2/(4*'D(Ti_Audétat23) Times'!$C361)/(365.35*24*3600)</f>
        <v>10865.87986142581</v>
      </c>
      <c r="N361" s="2">
        <f>([412]L!O361*'D(Ti_Audétat23) Times'!$F361*0.000001)^2/(4*'D(Ti_Audétat23) Times'!$C361)/(365.35*24*3600)</f>
        <v>12004.222886405134</v>
      </c>
      <c r="O361" s="2">
        <f>([412]L!P361*'D(Ti_Audétat23) Times'!$F361*0.000001)^2/(4*'D(Ti_Audétat23) Times'!$C361)/(365.35*24*3600)</f>
        <v>17700.410002947268</v>
      </c>
      <c r="P361" s="2">
        <f>([412]L!Q361*'D(Ti_Audétat23) Times'!$F361*0.000001)^2/(4*'D(Ti_Audétat23) Times'!$C361)/(365.35*24*3600)</f>
        <v>14052.524972572148</v>
      </c>
      <c r="Q361" s="2">
        <f>([412]L!R361*'D(Ti_Audétat23) Times'!$F361*0.000001)^2/(4*'D(Ti_Audétat23) Times'!$C361)/(365.35*24*3600)</f>
        <v>27567.877320112872</v>
      </c>
      <c r="R361" s="2">
        <f>([412]L!S361*'D(Ti_Audétat23) Times'!$F361*0.000001)^2/(4*'D(Ti_Audétat23) Times'!$C361)/(365.35*24*3600)</f>
        <v>13361.188534936513</v>
      </c>
      <c r="S361" s="2">
        <f>([412]L!T361*'D(Ti_Audétat23) Times'!$F361*0.000001)^2/(4*'D(Ti_Audétat23) Times'!$C361)/(365.35*24*3600)</f>
        <v>22964.592977625656</v>
      </c>
      <c r="T361" s="2"/>
      <c r="U361" s="2">
        <f>([412]L!V361*'D(Ti_Audétat23) Times'!$F361*0.000001)^2/(4*'D(Ti_Audétat23) Times'!$C361)/(365.35*24*3600)</f>
        <v>15385.39129021949</v>
      </c>
      <c r="V361" s="2">
        <f>([412]L!W361*'D(Ti_Audétat23) Times'!$F361*0.000001)^2/(4*'D(Ti_Audétat23) Times'!$C361)/(365.35*24*3600)</f>
        <v>15334.629452778499</v>
      </c>
      <c r="W361" s="2">
        <f>([412]L!X361*'D(Ti_Audétat23) Times'!$F361*0.000001)^2/(4*'D(Ti_Audétat23) Times'!$C361)/(365.35*24*3600)</f>
        <v>14052.524972572148</v>
      </c>
      <c r="X361" s="2"/>
      <c r="Y361" s="2">
        <f>([412]L!Z361*'D(Ti_Audétat23) Times'!$F361*0.000001)^2/(4*'D(Ti_Audétat23) Times'!$C361)/(365.35*24*3600)</f>
        <v>14830.173549600526</v>
      </c>
      <c r="Z361" s="2">
        <f>([412]L!AB361*'D(Ti_Audétat23) Times'!$F361*0.000001)^2/(4*'D(Ti_Audétat23) Times'!$C361)/(365.35*24*3600)</f>
        <v>15099.371682409412</v>
      </c>
      <c r="AA361" s="2">
        <f>([412]L!AC361*'D(Ti_Audétat23) Times'!$F361*0.000001)^2/(4*'D(Ti_Audétat23) Times'!$C361)/(365.35*24*3600)</f>
        <v>5811.5299115238222</v>
      </c>
      <c r="AB361" s="2">
        <f>([412]L!AD361*'D(Ti_Audétat23) Times'!$F361*0.000001)^2/(4*'D(Ti_Audétat23) Times'!$C361)/(365.35*24*3600)</f>
        <v>28317.359569624423</v>
      </c>
      <c r="AC361" s="2">
        <f t="shared" si="21"/>
        <v>9287.8417708855886</v>
      </c>
      <c r="AD361" s="2">
        <f t="shared" si="22"/>
        <v>13217.987887215011</v>
      </c>
    </row>
    <row r="362" spans="1:30" x14ac:dyDescent="0.2">
      <c r="A362" t="str">
        <f>[412]L!A362</f>
        <v>CGI018-qtz02-CL-fit-5-offset</v>
      </c>
      <c r="B362">
        <v>750</v>
      </c>
      <c r="C362">
        <f t="shared" si="23"/>
        <v>1.1456341375347871E-23</v>
      </c>
      <c r="D362">
        <v>1750</v>
      </c>
      <c r="E362">
        <v>1024</v>
      </c>
      <c r="F362">
        <f t="shared" si="20"/>
        <v>1.708984375</v>
      </c>
      <c r="I362" s="2">
        <f>([412]L!J362*'D(Ti_Audétat23) Times'!$F362*0.000001)^2/(4*'D(Ti_Audétat23) Times'!$C362)/(365.35*24*3600)</f>
        <v>2760.8474269912322</v>
      </c>
      <c r="J362" s="2">
        <f>([412]L!K362*'D(Ti_Audétat23) Times'!$F362*0.000001)^2/(4*'D(Ti_Audétat23) Times'!$C362)/(365.35*24*3600)</f>
        <v>2440.0889631365944</v>
      </c>
      <c r="K362" s="2">
        <f>([412]L!L362*'D(Ti_Audétat23) Times'!$F362*0.000001)^2/(4*'D(Ti_Audétat23) Times'!$C362)/(365.35*24*3600)</f>
        <v>2980.6663004982061</v>
      </c>
      <c r="L362" s="2">
        <f>([412]L!M362*'D(Ti_Audétat23) Times'!$F362*0.000001)^2/(4*'D(Ti_Audétat23) Times'!$C362)/(365.35*24*3600)</f>
        <v>2655.1470449653216</v>
      </c>
      <c r="M362" s="2">
        <f>([412]L!N362*'D(Ti_Audétat23) Times'!$F362*0.000001)^2/(4*'D(Ti_Audétat23) Times'!$C362)/(365.35*24*3600)</f>
        <v>3595.5790825060649</v>
      </c>
      <c r="N362" s="2">
        <f>([412]L!O362*'D(Ti_Audétat23) Times'!$F362*0.000001)^2/(4*'D(Ti_Audétat23) Times'!$C362)/(365.35*24*3600)</f>
        <v>5536.0400869772802</v>
      </c>
      <c r="O362" s="2">
        <f>([412]L!P362*'D(Ti_Audétat23) Times'!$F362*0.000001)^2/(4*'D(Ti_Audétat23) Times'!$C362)/(365.35*24*3600)</f>
        <v>4307.0295413415224</v>
      </c>
      <c r="P362" s="2">
        <f>([412]L!Q362*'D(Ti_Audétat23) Times'!$F362*0.000001)^2/(4*'D(Ti_Audétat23) Times'!$C362)/(365.35*24*3600)</f>
        <v>3752.2090631160399</v>
      </c>
      <c r="Q362" s="2">
        <f>([412]L!R362*'D(Ti_Audétat23) Times'!$F362*0.000001)^2/(4*'D(Ti_Audétat23) Times'!$C362)/(365.35*24*3600)</f>
        <v>2124.9271953098487</v>
      </c>
      <c r="R362" s="2">
        <f>([412]L!S362*'D(Ti_Audétat23) Times'!$F362*0.000001)^2/(4*'D(Ti_Audétat23) Times'!$C362)/(365.35*24*3600)</f>
        <v>3182.5103761580622</v>
      </c>
      <c r="S362" s="2">
        <f>([412]L!T362*'D(Ti_Audétat23) Times'!$F362*0.000001)^2/(4*'D(Ti_Audétat23) Times'!$C362)/(365.35*24*3600)</f>
        <v>2543.7805465018391</v>
      </c>
      <c r="T362" s="2"/>
      <c r="U362" s="2">
        <f>([412]L!V362*'D(Ti_Audétat23) Times'!$F362*0.000001)^2/(4*'D(Ti_Audétat23) Times'!$C362)/(365.35*24*3600)</f>
        <v>3727.4450698224746</v>
      </c>
      <c r="V362" s="2">
        <f>([412]L!W362*'D(Ti_Audétat23) Times'!$F362*0.000001)^2/(4*'D(Ti_Audétat23) Times'!$C362)/(365.35*24*3600)</f>
        <v>3200.0842713079933</v>
      </c>
      <c r="W362" s="2">
        <f>([412]L!X362*'D(Ti_Audétat23) Times'!$F362*0.000001)^2/(4*'D(Ti_Audétat23) Times'!$C362)/(365.35*24*3600)</f>
        <v>2980.6663004982061</v>
      </c>
      <c r="X362" s="2"/>
      <c r="Y362" s="2">
        <f>([412]L!Z362*'D(Ti_Audétat23) Times'!$F362*0.000001)^2/(4*'D(Ti_Audétat23) Times'!$C362)/(365.35*24*3600)</f>
        <v>2785.6542241958309</v>
      </c>
      <c r="Z362" s="2">
        <f>([412]L!AB362*'D(Ti_Audétat23) Times'!$F362*0.000001)^2/(4*'D(Ti_Audétat23) Times'!$C362)/(365.35*24*3600)</f>
        <v>2907.0758841083571</v>
      </c>
      <c r="AA362" s="2">
        <f>([412]L!AC362*'D(Ti_Audétat23) Times'!$F362*0.000001)^2/(4*'D(Ti_Audétat23) Times'!$C362)/(365.35*24*3600)</f>
        <v>287.64978050894774</v>
      </c>
      <c r="AB362" s="2">
        <f>([412]L!AD362*'D(Ti_Audétat23) Times'!$F362*0.000001)^2/(4*'D(Ti_Audétat23) Times'!$C362)/(365.35*24*3600)</f>
        <v>9058.9115659706404</v>
      </c>
      <c r="AC362" s="2">
        <f t="shared" si="21"/>
        <v>2619.4261035994095</v>
      </c>
      <c r="AD362" s="2">
        <f t="shared" si="22"/>
        <v>6151.8356818622833</v>
      </c>
    </row>
    <row r="363" spans="1:30" x14ac:dyDescent="0.2">
      <c r="A363" t="str">
        <f>[412]L!A363</f>
        <v>CGI018-qtz03-CL-fit-1-offset</v>
      </c>
      <c r="B363">
        <v>750</v>
      </c>
      <c r="C363">
        <f t="shared" si="23"/>
        <v>1.1456341375347871E-23</v>
      </c>
      <c r="D363">
        <v>2100</v>
      </c>
      <c r="E363">
        <v>1024</v>
      </c>
      <c r="F363">
        <f t="shared" si="20"/>
        <v>2.05078125</v>
      </c>
      <c r="I363" s="2">
        <f>([412]L!J363*'D(Ti_Audétat23) Times'!$F363*0.000001)^2/(4*'D(Ti_Audétat23) Times'!$C363)/(365.35*24*3600)</f>
        <v>22270.239867466622</v>
      </c>
      <c r="J363" s="2">
        <f>([412]L!K363*'D(Ti_Audétat23) Times'!$F363*0.000001)^2/(4*'D(Ti_Audétat23) Times'!$C363)/(365.35*24*3600)</f>
        <v>18021.190210916651</v>
      </c>
      <c r="K363" s="2">
        <f>([412]L!L363*'D(Ti_Audétat23) Times'!$F363*0.000001)^2/(4*'D(Ti_Audétat23) Times'!$C363)/(365.35*24*3600)</f>
        <v>18646.083209027405</v>
      </c>
      <c r="L363" s="2">
        <f>([412]L!M363*'D(Ti_Audétat23) Times'!$F363*0.000001)^2/(4*'D(Ti_Audétat23) Times'!$C363)/(365.35*24*3600)</f>
        <v>30720.443789719262</v>
      </c>
      <c r="M363" s="2">
        <f>([412]L!N363*'D(Ti_Audétat23) Times'!$F363*0.000001)^2/(4*'D(Ti_Audétat23) Times'!$C363)/(365.35*24*3600)</f>
        <v>42874.111144362367</v>
      </c>
      <c r="N363" s="2">
        <f>([412]L!O363*'D(Ti_Audétat23) Times'!$F363*0.000001)^2/(4*'D(Ti_Audétat23) Times'!$C363)/(365.35*24*3600)</f>
        <v>24091.4167312973</v>
      </c>
      <c r="O363" s="2">
        <f>([412]L!P363*'D(Ti_Audétat23) Times'!$F363*0.000001)^2/(4*'D(Ti_Audétat23) Times'!$C363)/(365.35*24*3600)</f>
        <v>23351.93826173366</v>
      </c>
      <c r="P363" s="2">
        <f>([412]L!Q363*'D(Ti_Audétat23) Times'!$F363*0.000001)^2/(4*'D(Ti_Audétat23) Times'!$C363)/(365.35*24*3600)</f>
        <v>32041.09835074779</v>
      </c>
      <c r="Q363" s="2">
        <f>([412]L!R363*'D(Ti_Audétat23) Times'!$F363*0.000001)^2/(4*'D(Ti_Audétat23) Times'!$C363)/(365.35*24*3600)</f>
        <v>28450.997442896805</v>
      </c>
      <c r="R363" s="2">
        <f>([412]L!S363*'D(Ti_Audétat23) Times'!$F363*0.000001)^2/(4*'D(Ti_Audétat23) Times'!$C363)/(365.35*24*3600)</f>
        <v>26425.7884425923</v>
      </c>
      <c r="S363" s="2">
        <f>([412]L!T363*'D(Ti_Audétat23) Times'!$F363*0.000001)^2/(4*'D(Ti_Audétat23) Times'!$C363)/(365.35*24*3600)</f>
        <v>17648.819692528319</v>
      </c>
      <c r="T363" s="2"/>
      <c r="U363" s="2">
        <f>([412]L!V363*'D(Ti_Audétat23) Times'!$F363*0.000001)^2/(4*'D(Ti_Audétat23) Times'!$C363)/(365.35*24*3600)</f>
        <v>25668.147981221096</v>
      </c>
      <c r="V363" s="2">
        <f>([412]L!W363*'D(Ti_Audétat23) Times'!$F363*0.000001)^2/(4*'D(Ti_Audétat23) Times'!$C363)/(365.35*24*3600)</f>
        <v>25410.387985435496</v>
      </c>
      <c r="W363" s="2">
        <f>([412]L!X363*'D(Ti_Audétat23) Times'!$F363*0.000001)^2/(4*'D(Ti_Audétat23) Times'!$C363)/(365.35*24*3600)</f>
        <v>24091.4167312973</v>
      </c>
      <c r="X363" s="2"/>
      <c r="Y363" s="2">
        <f>([412]L!Z363*'D(Ti_Audétat23) Times'!$F363*0.000001)^2/(4*'D(Ti_Audétat23) Times'!$C363)/(365.35*24*3600)</f>
        <v>24517.002634287954</v>
      </c>
      <c r="Z363" s="2">
        <f>([412]L!AB363*'D(Ti_Audétat23) Times'!$F363*0.000001)^2/(4*'D(Ti_Audétat23) Times'!$C363)/(365.35*24*3600)</f>
        <v>24762.697847087104</v>
      </c>
      <c r="AA363" s="2">
        <f>([412]L!AC363*'D(Ti_Audétat23) Times'!$F363*0.000001)^2/(4*'D(Ti_Audétat23) Times'!$C363)/(365.35*24*3600)</f>
        <v>13503.510503163758</v>
      </c>
      <c r="AB363" s="2">
        <f>([412]L!AD363*'D(Ti_Audétat23) Times'!$F363*0.000001)^2/(4*'D(Ti_Audétat23) Times'!$C363)/(365.35*24*3600)</f>
        <v>38647.338743277571</v>
      </c>
      <c r="AC363" s="2">
        <f t="shared" si="21"/>
        <v>11259.187343923346</v>
      </c>
      <c r="AD363" s="2">
        <f t="shared" si="22"/>
        <v>13884.640896190467</v>
      </c>
    </row>
    <row r="364" spans="1:30" x14ac:dyDescent="0.2">
      <c r="A364" t="str">
        <f>[412]L!A364</f>
        <v>CGI018-qtz03-CL-fit-2-offset</v>
      </c>
      <c r="B364">
        <v>750</v>
      </c>
      <c r="C364">
        <f t="shared" si="23"/>
        <v>1.1456341375347871E-23</v>
      </c>
      <c r="D364">
        <v>2100</v>
      </c>
      <c r="E364">
        <v>1024</v>
      </c>
      <c r="F364">
        <f t="shared" si="20"/>
        <v>2.05078125</v>
      </c>
      <c r="I364" s="2">
        <f>([412]L!J364*'D(Ti_Audétat23) Times'!$F364*0.000001)^2/(4*'D(Ti_Audétat23) Times'!$C364)/(365.35*24*3600)</f>
        <v>3.6693469919881729</v>
      </c>
      <c r="J364" s="2">
        <f>([412]L!K364*'D(Ti_Audétat23) Times'!$F364*0.000001)^2/(4*'D(Ti_Audétat23) Times'!$C364)/(365.35*24*3600)</f>
        <v>24257.690558262228</v>
      </c>
      <c r="K364" s="2">
        <f>([412]L!L364*'D(Ti_Audétat23) Times'!$F364*0.000001)^2/(4*'D(Ti_Audétat23) Times'!$C364)/(365.35*24*3600)</f>
        <v>3502.2884990295956</v>
      </c>
      <c r="L364" s="2">
        <f>([412]L!M364*'D(Ti_Audétat23) Times'!$F364*0.000001)^2/(4*'D(Ti_Audétat23) Times'!$C364)/(365.35*24*3600)</f>
        <v>84931.0399603236</v>
      </c>
      <c r="M364" s="2">
        <f>([412]L!N364*'D(Ti_Audétat23) Times'!$F364*0.000001)^2/(4*'D(Ti_Audétat23) Times'!$C364)/(365.35*24*3600)</f>
        <v>90642.477148037637</v>
      </c>
      <c r="N364" s="2">
        <f>([412]L!O364*'D(Ti_Audétat23) Times'!$F364*0.000001)^2/(4*'D(Ti_Audétat23) Times'!$C364)/(365.35*24*3600)</f>
        <v>101162.08243397609</v>
      </c>
      <c r="O364" s="2">
        <f>([412]L!P364*'D(Ti_Audétat23) Times'!$F364*0.000001)^2/(4*'D(Ti_Audétat23) Times'!$C364)/(365.35*24*3600)</f>
        <v>227483.22042429718</v>
      </c>
      <c r="P364" s="2">
        <f>([412]L!Q364*'D(Ti_Audétat23) Times'!$F364*0.000001)^2/(4*'D(Ti_Audétat23) Times'!$C364)/(365.35*24*3600)</f>
        <v>421881.7516165133</v>
      </c>
      <c r="Q364" s="2">
        <f>([412]L!R364*'D(Ti_Audétat23) Times'!$F364*0.000001)^2/(4*'D(Ti_Audétat23) Times'!$C364)/(365.35*24*3600)</f>
        <v>0</v>
      </c>
      <c r="R364" s="2">
        <f>([412]L!S364*'D(Ti_Audétat23) Times'!$F364*0.000001)^2/(4*'D(Ti_Audétat23) Times'!$C364)/(365.35*24*3600)</f>
        <v>0</v>
      </c>
      <c r="S364" s="2">
        <f>([412]L!T364*'D(Ti_Audétat23) Times'!$F364*0.000001)^2/(4*'D(Ti_Audétat23) Times'!$C364)/(365.35*24*3600)</f>
        <v>371864.74349772779</v>
      </c>
      <c r="T364" s="2"/>
      <c r="U364" s="2">
        <f>([412]L!V364*'D(Ti_Audétat23) Times'!$F364*0.000001)^2/(4*'D(Ti_Audétat23) Times'!$C364)/(365.35*24*3600)</f>
        <v>143860.46091874811</v>
      </c>
      <c r="V364" s="2">
        <f>([412]L!W364*'D(Ti_Audétat23) Times'!$F364*0.000001)^2/(4*'D(Ti_Audétat23) Times'!$C364)/(365.35*24*3600)</f>
        <v>101243.17639062049</v>
      </c>
      <c r="W364" s="2">
        <f>([412]L!X364*'D(Ti_Audétat23) Times'!$F364*0.000001)^2/(4*'D(Ti_Audétat23) Times'!$C364)/(365.35*24*3600)</f>
        <v>90642.477148037637</v>
      </c>
      <c r="X364" s="2"/>
      <c r="Y364" s="2">
        <f>([412]L!Z364*'D(Ti_Audétat23) Times'!$F364*0.000001)^2/(4*'D(Ti_Audétat23) Times'!$C364)/(365.35*24*3600)</f>
        <v>138829.27261516528</v>
      </c>
      <c r="Z364" s="2">
        <f>([412]L!AB364*'D(Ti_Audétat23) Times'!$F364*0.000001)^2/(4*'D(Ti_Audétat23) Times'!$C364)/(365.35*24*3600)</f>
        <v>140986.04876383761</v>
      </c>
      <c r="AA364" s="2">
        <f>([412]L!AC364*'D(Ti_Audétat23) Times'!$F364*0.000001)^2/(4*'D(Ti_Audétat23) Times'!$C364)/(365.35*24*3600)</f>
        <v>1282.9015388311998</v>
      </c>
      <c r="AB364" s="2">
        <f>([412]L!AD364*'D(Ti_Audétat23) Times'!$F364*0.000001)^2/(4*'D(Ti_Audétat23) Times'!$C364)/(365.35*24*3600)</f>
        <v>551714.91855040716</v>
      </c>
      <c r="AC364" s="2">
        <f t="shared" si="21"/>
        <v>139703.1472250064</v>
      </c>
      <c r="AD364" s="2">
        <f t="shared" si="22"/>
        <v>410728.86978656956</v>
      </c>
    </row>
    <row r="365" spans="1:30" x14ac:dyDescent="0.2">
      <c r="A365" t="str">
        <f>[412]L!A365</f>
        <v>CGI018-qtz03-CL-fit-3-offset</v>
      </c>
      <c r="B365">
        <v>750</v>
      </c>
      <c r="C365">
        <f t="shared" si="23"/>
        <v>1.1456341375347871E-23</v>
      </c>
      <c r="D365">
        <v>2100</v>
      </c>
      <c r="E365">
        <v>1024</v>
      </c>
      <c r="F365">
        <f t="shared" si="20"/>
        <v>2.05078125</v>
      </c>
      <c r="I365" s="2">
        <f>([412]L!J365*'D(Ti_Audétat23) Times'!$F365*0.000001)^2/(4*'D(Ti_Audétat23) Times'!$C365)/(365.35*24*3600)</f>
        <v>31986.537774979592</v>
      </c>
      <c r="J365" s="2">
        <f>([412]L!K365*'D(Ti_Audétat23) Times'!$F365*0.000001)^2/(4*'D(Ti_Audétat23) Times'!$C365)/(365.35*24*3600)</f>
        <v>16441.655177144788</v>
      </c>
      <c r="K365" s="2">
        <f>([412]L!L365*'D(Ti_Audétat23) Times'!$F365*0.000001)^2/(4*'D(Ti_Audétat23) Times'!$C365)/(365.35*24*3600)</f>
        <v>35446.804290885455</v>
      </c>
      <c r="L365" s="2">
        <f>([412]L!M365*'D(Ti_Audétat23) Times'!$F365*0.000001)^2/(4*'D(Ti_Audétat23) Times'!$C365)/(365.35*24*3600)</f>
        <v>26008.318890657632</v>
      </c>
      <c r="M365" s="2">
        <f>([412]L!N365*'D(Ti_Audétat23) Times'!$F365*0.000001)^2/(4*'D(Ti_Audétat23) Times'!$C365)/(365.35*24*3600)</f>
        <v>21379.060478565196</v>
      </c>
      <c r="N365" s="2">
        <f>([412]L!O365*'D(Ti_Audétat23) Times'!$F365*0.000001)^2/(4*'D(Ti_Audétat23) Times'!$C365)/(365.35*24*3600)</f>
        <v>19972.771322719658</v>
      </c>
      <c r="O365" s="2">
        <f>([412]L!P365*'D(Ti_Audétat23) Times'!$F365*0.000001)^2/(4*'D(Ti_Audétat23) Times'!$C365)/(365.35*24*3600)</f>
        <v>16253.31049349828</v>
      </c>
      <c r="P365" s="2">
        <f>([412]L!Q365*'D(Ti_Audétat23) Times'!$F365*0.000001)^2/(4*'D(Ti_Audétat23) Times'!$C365)/(365.35*24*3600)</f>
        <v>19967.885347386829</v>
      </c>
      <c r="Q365" s="2">
        <f>([412]L!R365*'D(Ti_Audétat23) Times'!$F365*0.000001)^2/(4*'D(Ti_Audétat23) Times'!$C365)/(365.35*24*3600)</f>
        <v>15255.736669245322</v>
      </c>
      <c r="R365" s="2">
        <f>([412]L!S365*'D(Ti_Audétat23) Times'!$F365*0.000001)^2/(4*'D(Ti_Audétat23) Times'!$C365)/(365.35*24*3600)</f>
        <v>26268.523349742391</v>
      </c>
      <c r="S365" s="2">
        <f>([412]L!T365*'D(Ti_Audétat23) Times'!$F365*0.000001)^2/(4*'D(Ti_Audétat23) Times'!$C365)/(365.35*24*3600)</f>
        <v>23405.078723835919</v>
      </c>
      <c r="T365" s="2"/>
      <c r="U365" s="2">
        <f>([412]L!V365*'D(Ti_Audétat23) Times'!$F365*0.000001)^2/(4*'D(Ti_Audétat23) Times'!$C365)/(365.35*24*3600)</f>
        <v>22708.866499065418</v>
      </c>
      <c r="V365" s="2">
        <f>([412]L!W365*'D(Ti_Audétat23) Times'!$F365*0.000001)^2/(4*'D(Ti_Audétat23) Times'!$C365)/(365.35*24*3600)</f>
        <v>22541.775508614912</v>
      </c>
      <c r="W365" s="2">
        <f>([412]L!X365*'D(Ti_Audétat23) Times'!$F365*0.000001)^2/(4*'D(Ti_Audétat23) Times'!$C365)/(365.35*24*3600)</f>
        <v>21379.060478565196</v>
      </c>
      <c r="X365" s="2"/>
      <c r="Y365" s="2">
        <f>([412]L!Z365*'D(Ti_Audétat23) Times'!$F365*0.000001)^2/(4*'D(Ti_Audétat23) Times'!$C365)/(365.35*24*3600)</f>
        <v>22934.827859494439</v>
      </c>
      <c r="Z365" s="2">
        <f>([412]L!AB365*'D(Ti_Audétat23) Times'!$F365*0.000001)^2/(4*'D(Ti_Audétat23) Times'!$C365)/(365.35*24*3600)</f>
        <v>23277.363072072068</v>
      </c>
      <c r="AA365" s="2">
        <f>([412]L!AC365*'D(Ti_Audétat23) Times'!$F365*0.000001)^2/(4*'D(Ti_Audétat23) Times'!$C365)/(365.35*24*3600)</f>
        <v>11182.138942109212</v>
      </c>
      <c r="AB365" s="2">
        <f>([412]L!AD365*'D(Ti_Audétat23) Times'!$F365*0.000001)^2/(4*'D(Ti_Audétat23) Times'!$C365)/(365.35*24*3600)</f>
        <v>44244.627286859526</v>
      </c>
      <c r="AC365" s="2">
        <f t="shared" si="21"/>
        <v>12095.224129962857</v>
      </c>
      <c r="AD365" s="2">
        <f t="shared" si="22"/>
        <v>20967.264214787458</v>
      </c>
    </row>
    <row r="366" spans="1:30" x14ac:dyDescent="0.2">
      <c r="A366" t="str">
        <f>[412]L!A366</f>
        <v>CGI018-qtz03-CL-fit-4-offset</v>
      </c>
      <c r="B366">
        <v>750</v>
      </c>
      <c r="C366">
        <f t="shared" si="23"/>
        <v>1.1456341375347871E-23</v>
      </c>
      <c r="D366">
        <v>2100</v>
      </c>
      <c r="E366">
        <v>1024</v>
      </c>
      <c r="F366">
        <f t="shared" si="20"/>
        <v>2.05078125</v>
      </c>
      <c r="I366" s="2">
        <f>([412]L!J366*'D(Ti_Audétat23) Times'!$F366*0.000001)^2/(4*'D(Ti_Audétat23) Times'!$C366)/(365.35*24*3600)</f>
        <v>5187.9406128242972</v>
      </c>
      <c r="J366" s="2">
        <f>([412]L!K366*'D(Ti_Audétat23) Times'!$F366*0.000001)^2/(4*'D(Ti_Audétat23) Times'!$C366)/(365.35*24*3600)</f>
        <v>8548.0734555864819</v>
      </c>
      <c r="K366" s="2">
        <f>([412]L!L366*'D(Ti_Audétat23) Times'!$F366*0.000001)^2/(4*'D(Ti_Audétat23) Times'!$C366)/(365.35*24*3600)</f>
        <v>4474.9159356219679</v>
      </c>
      <c r="L366" s="2">
        <f>([412]L!M366*'D(Ti_Audétat23) Times'!$F366*0.000001)^2/(4*'D(Ti_Audétat23) Times'!$C366)/(365.35*24*3600)</f>
        <v>8551.7394220045808</v>
      </c>
      <c r="M366" s="2">
        <f>([412]L!N366*'D(Ti_Audétat23) Times'!$F366*0.000001)^2/(4*'D(Ti_Audétat23) Times'!$C366)/(365.35*24*3600)</f>
        <v>13467.79221876347</v>
      </c>
      <c r="N366" s="2">
        <f>([412]L!O366*'D(Ti_Audétat23) Times'!$F366*0.000001)^2/(4*'D(Ti_Audétat23) Times'!$C366)/(365.35*24*3600)</f>
        <v>13446.913108723689</v>
      </c>
      <c r="O366" s="2">
        <f>([412]L!P366*'D(Ti_Audétat23) Times'!$F366*0.000001)^2/(4*'D(Ti_Audétat23) Times'!$C366)/(365.35*24*3600)</f>
        <v>21484.888364046663</v>
      </c>
      <c r="P366" s="2">
        <f>([412]L!Q366*'D(Ti_Audétat23) Times'!$F366*0.000001)^2/(4*'D(Ti_Audétat23) Times'!$C366)/(365.35*24*3600)</f>
        <v>25142.762278060403</v>
      </c>
      <c r="Q366" s="2">
        <f>([412]L!R366*'D(Ti_Audétat23) Times'!$F366*0.000001)^2/(4*'D(Ti_Audétat23) Times'!$C366)/(365.35*24*3600)</f>
        <v>32294.307547709959</v>
      </c>
      <c r="R366" s="2">
        <f>([412]L!S366*'D(Ti_Audétat23) Times'!$F366*0.000001)^2/(4*'D(Ti_Audétat23) Times'!$C366)/(365.35*24*3600)</f>
        <v>15701.7702087692</v>
      </c>
      <c r="S366" s="2">
        <f>([412]L!T366*'D(Ti_Audétat23) Times'!$F366*0.000001)^2/(4*'D(Ti_Audétat23) Times'!$C366)/(365.35*24*3600)</f>
        <v>25387.598302925468</v>
      </c>
      <c r="T366" s="2"/>
      <c r="U366" s="2">
        <f>([412]L!V366*'D(Ti_Audétat23) Times'!$F366*0.000001)^2/(4*'D(Ti_Audétat23) Times'!$C366)/(365.35*24*3600)</f>
        <v>15712.129944196333</v>
      </c>
      <c r="V366" s="2">
        <f>([412]L!W366*'D(Ti_Audétat23) Times'!$F366*0.000001)^2/(4*'D(Ti_Audétat23) Times'!$C366)/(365.35*24*3600)</f>
        <v>14517.071114824517</v>
      </c>
      <c r="W366" s="2">
        <f>([412]L!X366*'D(Ti_Audétat23) Times'!$F366*0.000001)^2/(4*'D(Ti_Audétat23) Times'!$C366)/(365.35*24*3600)</f>
        <v>13467.79221876347</v>
      </c>
      <c r="X366" s="2"/>
      <c r="Y366" s="2">
        <f>([412]L!Z366*'D(Ti_Audétat23) Times'!$F366*0.000001)^2/(4*'D(Ti_Audétat23) Times'!$C366)/(365.35*24*3600)</f>
        <v>16179.208604992307</v>
      </c>
      <c r="Z366" s="2">
        <f>([412]L!AB366*'D(Ti_Audétat23) Times'!$F366*0.000001)^2/(4*'D(Ti_Audétat23) Times'!$C366)/(365.35*24*3600)</f>
        <v>19477.653582501553</v>
      </c>
      <c r="AA366" s="2">
        <f>([412]L!AC366*'D(Ti_Audétat23) Times'!$F366*0.000001)^2/(4*'D(Ti_Audétat23) Times'!$C366)/(365.35*24*3600)</f>
        <v>3472.532045458086</v>
      </c>
      <c r="AB366" s="2">
        <f>([412]L!AD366*'D(Ti_Audétat23) Times'!$F366*0.000001)^2/(4*'D(Ti_Audétat23) Times'!$C366)/(365.35*24*3600)</f>
        <v>72050.016985848692</v>
      </c>
      <c r="AC366" s="2">
        <f t="shared" si="21"/>
        <v>16005.121537043466</v>
      </c>
      <c r="AD366" s="2">
        <f t="shared" si="22"/>
        <v>52572.363403347139</v>
      </c>
    </row>
    <row r="367" spans="1:30" x14ac:dyDescent="0.2">
      <c r="A367" t="str">
        <f>[412]L!A367</f>
        <v>CGI018-qtz04-CL-fit-1-offset</v>
      </c>
      <c r="B367">
        <v>750</v>
      </c>
      <c r="C367">
        <f t="shared" si="23"/>
        <v>1.1456341375347871E-23</v>
      </c>
      <c r="D367">
        <v>1900</v>
      </c>
      <c r="E367">
        <v>1024</v>
      </c>
      <c r="F367">
        <f t="shared" si="20"/>
        <v>1.85546875</v>
      </c>
      <c r="I367" s="2">
        <f>([412]L!J367*'D(Ti_Audétat23) Times'!$F367*0.000001)^2/(4*'D(Ti_Audétat23) Times'!$C367)/(365.35*24*3600)</f>
        <v>39420.816396210255</v>
      </c>
      <c r="J367" s="2">
        <f>([412]L!K367*'D(Ti_Audétat23) Times'!$F367*0.000001)^2/(4*'D(Ti_Audétat23) Times'!$C367)/(365.35*24*3600)</f>
        <v>34313.574390766946</v>
      </c>
      <c r="K367" s="2">
        <f>([412]L!L367*'D(Ti_Audétat23) Times'!$F367*0.000001)^2/(4*'D(Ti_Audétat23) Times'!$C367)/(365.35*24*3600)</f>
        <v>23874.017993025918</v>
      </c>
      <c r="L367" s="2">
        <f>([412]L!M367*'D(Ti_Audétat23) Times'!$F367*0.000001)^2/(4*'D(Ti_Audétat23) Times'!$C367)/(365.35*24*3600)</f>
        <v>13969.244845184136</v>
      </c>
      <c r="M367" s="2">
        <f>([412]L!N367*'D(Ti_Audétat23) Times'!$F367*0.000001)^2/(4*'D(Ti_Audétat23) Times'!$C367)/(365.35*24*3600)</f>
        <v>26308.760246537942</v>
      </c>
      <c r="N367" s="2">
        <f>([412]L!O367*'D(Ti_Audétat23) Times'!$F367*0.000001)^2/(4*'D(Ti_Audétat23) Times'!$C367)/(365.35*24*3600)</f>
        <v>18046.279663854239</v>
      </c>
      <c r="O367" s="2">
        <f>([412]L!P367*'D(Ti_Audétat23) Times'!$F367*0.000001)^2/(4*'D(Ti_Audétat23) Times'!$C367)/(365.35*24*3600)</f>
        <v>13822.925454086711</v>
      </c>
      <c r="P367" s="2">
        <f>([412]L!Q367*'D(Ti_Audétat23) Times'!$F367*0.000001)^2/(4*'D(Ti_Audétat23) Times'!$C367)/(365.35*24*3600)</f>
        <v>52928.096752875819</v>
      </c>
      <c r="Q367" s="2">
        <f>([412]L!R367*'D(Ti_Audétat23) Times'!$F367*0.000001)^2/(4*'D(Ti_Audétat23) Times'!$C367)/(365.35*24*3600)</f>
        <v>31363.588339362588</v>
      </c>
      <c r="R367" s="2">
        <f>([412]L!S367*'D(Ti_Audétat23) Times'!$F367*0.000001)^2/(4*'D(Ti_Audétat23) Times'!$C367)/(365.35*24*3600)</f>
        <v>42662.948075761473</v>
      </c>
      <c r="S367" s="2">
        <f>([412]L!T367*'D(Ti_Audétat23) Times'!$F367*0.000001)^2/(4*'D(Ti_Audétat23) Times'!$C367)/(365.35*24*3600)</f>
        <v>18058.220390306673</v>
      </c>
      <c r="T367" s="2"/>
      <c r="U367" s="2">
        <f>([412]L!V367*'D(Ti_Audétat23) Times'!$F367*0.000001)^2/(4*'D(Ti_Audétat23) Times'!$C367)/(365.35*24*3600)</f>
        <v>29466.20995624335</v>
      </c>
      <c r="V367" s="2">
        <f>([412]L!W367*'D(Ti_Audétat23) Times'!$F367*0.000001)^2/(4*'D(Ti_Audétat23) Times'!$C367)/(365.35*24*3600)</f>
        <v>27335.711073872571</v>
      </c>
      <c r="W367" s="2">
        <f>([412]L!X367*'D(Ti_Audétat23) Times'!$F367*0.000001)^2/(4*'D(Ti_Audétat23) Times'!$C367)/(365.35*24*3600)</f>
        <v>26308.760246537942</v>
      </c>
      <c r="X367" s="2"/>
      <c r="Y367" s="2">
        <f>([412]L!Z367*'D(Ti_Audétat23) Times'!$F367*0.000001)^2/(4*'D(Ti_Audétat23) Times'!$C367)/(365.35*24*3600)</f>
        <v>28395.959437476744</v>
      </c>
      <c r="Z367" s="2">
        <f>([412]L!AB367*'D(Ti_Audétat23) Times'!$F367*0.000001)^2/(4*'D(Ti_Audétat23) Times'!$C367)/(365.35*24*3600)</f>
        <v>28334.703596592713</v>
      </c>
      <c r="AA367" s="2">
        <f>([412]L!AC367*'D(Ti_Audétat23) Times'!$F367*0.000001)^2/(4*'D(Ti_Audétat23) Times'!$C367)/(365.35*24*3600)</f>
        <v>4494.9809963746675</v>
      </c>
      <c r="AB367" s="2">
        <f>([412]L!AD367*'D(Ti_Audétat23) Times'!$F367*0.000001)^2/(4*'D(Ti_Audétat23) Times'!$C367)/(365.35*24*3600)</f>
        <v>63947.049468352401</v>
      </c>
      <c r="AC367" s="2">
        <f t="shared" si="21"/>
        <v>23839.722600218047</v>
      </c>
      <c r="AD367" s="2">
        <f t="shared" si="22"/>
        <v>35612.345871759688</v>
      </c>
    </row>
    <row r="368" spans="1:30" x14ac:dyDescent="0.2">
      <c r="A368" t="str">
        <f>[412]L!A368</f>
        <v>CGI018-qtz04-CL-fit-2-offset</v>
      </c>
      <c r="B368">
        <v>750</v>
      </c>
      <c r="C368">
        <f t="shared" si="23"/>
        <v>1.1456341375347871E-23</v>
      </c>
      <c r="D368">
        <v>1900</v>
      </c>
      <c r="E368">
        <v>1024</v>
      </c>
      <c r="F368">
        <f t="shared" si="20"/>
        <v>1.85546875</v>
      </c>
      <c r="I368" s="2">
        <f>([412]L!J368*'D(Ti_Audétat23) Times'!$F368*0.000001)^2/(4*'D(Ti_Audétat23) Times'!$C368)/(365.35*24*3600)</f>
        <v>0</v>
      </c>
      <c r="J368" s="2">
        <f>([412]L!K368*'D(Ti_Audétat23) Times'!$F368*0.000001)^2/(4*'D(Ti_Audétat23) Times'!$C368)/(365.35*24*3600)</f>
        <v>22956.761573314772</v>
      </c>
      <c r="K368" s="2">
        <f>([412]L!L368*'D(Ti_Audétat23) Times'!$F368*0.000001)^2/(4*'D(Ti_Audétat23) Times'!$C368)/(365.35*24*3600)</f>
        <v>39050.900522523654</v>
      </c>
      <c r="L368" s="2">
        <f>([412]L!M368*'D(Ti_Audétat23) Times'!$F368*0.000001)^2/(4*'D(Ti_Audétat23) Times'!$C368)/(365.35*24*3600)</f>
        <v>42292.786344315144</v>
      </c>
      <c r="M368" s="2">
        <f>([412]L!N368*'D(Ti_Audétat23) Times'!$F368*0.000001)^2/(4*'D(Ti_Audétat23) Times'!$C368)/(365.35*24*3600)</f>
        <v>26807.371681526172</v>
      </c>
      <c r="N368" s="2">
        <f>([412]L!O368*'D(Ti_Audétat23) Times'!$F368*0.000001)^2/(4*'D(Ti_Audétat23) Times'!$C368)/(365.35*24*3600)</f>
        <v>48401.138438161703</v>
      </c>
      <c r="O368" s="2">
        <f>([412]L!P368*'D(Ti_Audétat23) Times'!$F368*0.000001)^2/(4*'D(Ti_Audétat23) Times'!$C368)/(365.35*24*3600)</f>
        <v>16155.054956451062</v>
      </c>
      <c r="P368" s="2">
        <f>([412]L!Q368*'D(Ti_Audétat23) Times'!$F368*0.000001)^2/(4*'D(Ti_Audétat23) Times'!$C368)/(365.35*24*3600)</f>
        <v>38055.666463971473</v>
      </c>
      <c r="Q368" s="2">
        <f>([412]L!R368*'D(Ti_Audétat23) Times'!$F368*0.000001)^2/(4*'D(Ti_Audétat23) Times'!$C368)/(365.35*24*3600)</f>
        <v>30150.67361916586</v>
      </c>
      <c r="R368" s="2">
        <f>([412]L!S368*'D(Ti_Audétat23) Times'!$F368*0.000001)^2/(4*'D(Ti_Audétat23) Times'!$C368)/(365.35*24*3600)</f>
        <v>63502.674230029726</v>
      </c>
      <c r="S368" s="2">
        <f>([412]L!T368*'D(Ti_Audétat23) Times'!$F368*0.000001)^2/(4*'D(Ti_Audétat23) Times'!$C368)/(365.35*24*3600)</f>
        <v>10197.995449764163</v>
      </c>
      <c r="T368" s="2"/>
      <c r="U368" s="2">
        <f>([412]L!V368*'D(Ti_Audétat23) Times'!$F368*0.000001)^2/(4*'D(Ti_Audétat23) Times'!$C368)/(365.35*24*3600)</f>
        <v>31591.514504500636</v>
      </c>
      <c r="V368" s="2">
        <f>([412]L!W368*'D(Ti_Audétat23) Times'!$F368*0.000001)^2/(4*'D(Ti_Audétat23) Times'!$C368)/(365.35*24*3600)</f>
        <v>31944.959573159835</v>
      </c>
      <c r="W368" s="2">
        <f>([412]L!X368*'D(Ti_Audétat23) Times'!$F368*0.000001)^2/(4*'D(Ti_Audétat23) Times'!$C368)/(365.35*24*3600)</f>
        <v>33988.261044395338</v>
      </c>
      <c r="X368" s="2"/>
      <c r="Y368" s="2">
        <f>([412]L!Z368*'D(Ti_Audétat23) Times'!$F368*0.000001)^2/(4*'D(Ti_Audétat23) Times'!$C368)/(365.35*24*3600)</f>
        <v>31268.171849207152</v>
      </c>
      <c r="Z368" s="2">
        <f>([412]L!AB368*'D(Ti_Audétat23) Times'!$F368*0.000001)^2/(4*'D(Ti_Audétat23) Times'!$C368)/(365.35*24*3600)</f>
        <v>33297.765695795017</v>
      </c>
      <c r="AA368" s="2">
        <f>([412]L!AC368*'D(Ti_Audétat23) Times'!$F368*0.000001)^2/(4*'D(Ti_Audétat23) Times'!$C368)/(365.35*24*3600)</f>
        <v>6812.9161425153698</v>
      </c>
      <c r="AB368" s="2">
        <f>([412]L!AD368*'D(Ti_Audétat23) Times'!$F368*0.000001)^2/(4*'D(Ti_Audétat23) Times'!$C368)/(365.35*24*3600)</f>
        <v>112905.00386983593</v>
      </c>
      <c r="AC368" s="2">
        <f t="shared" si="21"/>
        <v>26484.849553279648</v>
      </c>
      <c r="AD368" s="2">
        <f t="shared" si="22"/>
        <v>79607.238174040918</v>
      </c>
    </row>
    <row r="369" spans="1:30" x14ac:dyDescent="0.2">
      <c r="A369" t="str">
        <f>[412]L!A369</f>
        <v>CGI018-qtz04-CL-fit-3-offset</v>
      </c>
      <c r="B369">
        <v>750</v>
      </c>
      <c r="C369">
        <f t="shared" si="23"/>
        <v>1.1456341375347871E-23</v>
      </c>
      <c r="D369">
        <v>1900</v>
      </c>
      <c r="E369">
        <v>1024</v>
      </c>
      <c r="F369">
        <f t="shared" si="20"/>
        <v>1.85546875</v>
      </c>
      <c r="I369" s="2">
        <f>([412]L!J369*'D(Ti_Audétat23) Times'!$F369*0.000001)^2/(4*'D(Ti_Audétat23) Times'!$C369)/(365.35*24*3600)</f>
        <v>13135.63998663165</v>
      </c>
      <c r="J369" s="2">
        <f>([412]L!K369*'D(Ti_Audétat23) Times'!$F369*0.000001)^2/(4*'D(Ti_Audétat23) Times'!$C369)/(365.35*24*3600)</f>
        <v>3730.7343808278324</v>
      </c>
      <c r="K369" s="2">
        <f>([412]L!L369*'D(Ti_Audétat23) Times'!$F369*0.000001)^2/(4*'D(Ti_Audétat23) Times'!$C369)/(365.35*24*3600)</f>
        <v>7553.7389991375176</v>
      </c>
      <c r="L369" s="2">
        <f>([412]L!M369*'D(Ti_Audétat23) Times'!$F369*0.000001)^2/(4*'D(Ti_Audétat23) Times'!$C369)/(365.35*24*3600)</f>
        <v>9625.329437726683</v>
      </c>
      <c r="M369" s="2">
        <f>([412]L!N369*'D(Ti_Audétat23) Times'!$F369*0.000001)^2/(4*'D(Ti_Audétat23) Times'!$C369)/(365.35*24*3600)</f>
        <v>8558.2540630856111</v>
      </c>
      <c r="N369" s="2">
        <f>([412]L!O369*'D(Ti_Audétat23) Times'!$F369*0.000001)^2/(4*'D(Ti_Audétat23) Times'!$C369)/(365.35*24*3600)</f>
        <v>5767.6886556426616</v>
      </c>
      <c r="O369" s="2">
        <f>([412]L!P369*'D(Ti_Audétat23) Times'!$F369*0.000001)^2/(4*'D(Ti_Audétat23) Times'!$C369)/(365.35*24*3600)</f>
        <v>7213.4267273215446</v>
      </c>
      <c r="P369" s="2">
        <f>([412]L!Q369*'D(Ti_Audétat23) Times'!$F369*0.000001)^2/(4*'D(Ti_Audétat23) Times'!$C369)/(365.35*24*3600)</f>
        <v>7216.1223114239265</v>
      </c>
      <c r="Q369" s="2">
        <f>([412]L!R369*'D(Ti_Audétat23) Times'!$F369*0.000001)^2/(4*'D(Ti_Audétat23) Times'!$C369)/(365.35*24*3600)</f>
        <v>7000.7887396123097</v>
      </c>
      <c r="R369" s="2">
        <f>([412]L!S369*'D(Ti_Audétat23) Times'!$F369*0.000001)^2/(4*'D(Ti_Audétat23) Times'!$C369)/(365.35*24*3600)</f>
        <v>9424.7329193718579</v>
      </c>
      <c r="S369" s="2">
        <f>([412]L!T369*'D(Ti_Audétat23) Times'!$F369*0.000001)^2/(4*'D(Ti_Audétat23) Times'!$C369)/(365.35*24*3600)</f>
        <v>14001.547869040758</v>
      </c>
      <c r="T369" s="2"/>
      <c r="U369" s="2">
        <f>([412]L!V369*'D(Ti_Audétat23) Times'!$F369*0.000001)^2/(4*'D(Ti_Audétat23) Times'!$C369)/(365.35*24*3600)</f>
        <v>8648.7825428441702</v>
      </c>
      <c r="V369" s="2">
        <f>([412]L!W369*'D(Ti_Audétat23) Times'!$F369*0.000001)^2/(4*'D(Ti_Audétat23) Times'!$C369)/(365.35*24*3600)</f>
        <v>8233.537668246976</v>
      </c>
      <c r="W369" s="2">
        <f>([412]L!X369*'D(Ti_Audétat23) Times'!$F369*0.000001)^2/(4*'D(Ti_Audétat23) Times'!$C369)/(365.35*24*3600)</f>
        <v>7553.7389991375176</v>
      </c>
      <c r="X369" s="2"/>
      <c r="Y369" s="2">
        <f>([412]L!Z369*'D(Ti_Audétat23) Times'!$F369*0.000001)^2/(4*'D(Ti_Audétat23) Times'!$C369)/(365.35*24*3600)</f>
        <v>8408.0303137900664</v>
      </c>
      <c r="Z369" s="2">
        <f>([412]L!AB369*'D(Ti_Audétat23) Times'!$F369*0.000001)^2/(4*'D(Ti_Audétat23) Times'!$C369)/(365.35*24*3600)</f>
        <v>8097.40450818503</v>
      </c>
      <c r="AA369" s="2">
        <f>([412]L!AC369*'D(Ti_Audétat23) Times'!$F369*0.000001)^2/(4*'D(Ti_Audétat23) Times'!$C369)/(365.35*24*3600)</f>
        <v>1753.8828504805724</v>
      </c>
      <c r="AB369" s="2">
        <f>([412]L!AD369*'D(Ti_Audétat23) Times'!$F369*0.000001)^2/(4*'D(Ti_Audétat23) Times'!$C369)/(365.35*24*3600)</f>
        <v>16544.444654042152</v>
      </c>
      <c r="AC369" s="2">
        <f t="shared" si="21"/>
        <v>6343.5216577044575</v>
      </c>
      <c r="AD369" s="2">
        <f t="shared" si="22"/>
        <v>8447.0401458571214</v>
      </c>
    </row>
    <row r="370" spans="1:30" x14ac:dyDescent="0.2">
      <c r="A370" t="str">
        <f>[412]L!A370</f>
        <v>CGI018-qtz04-CL-fit-4-offset</v>
      </c>
      <c r="B370">
        <v>750</v>
      </c>
      <c r="C370">
        <f t="shared" si="23"/>
        <v>1.1456341375347871E-23</v>
      </c>
      <c r="D370">
        <v>1900</v>
      </c>
      <c r="E370">
        <v>1024</v>
      </c>
      <c r="F370">
        <f t="shared" si="20"/>
        <v>1.85546875</v>
      </c>
      <c r="I370" s="2">
        <f>([412]L!J370*'D(Ti_Audétat23) Times'!$F370*0.000001)^2/(4*'D(Ti_Audétat23) Times'!$C370)/(365.35*24*3600)</f>
        <v>14464.334228322212</v>
      </c>
      <c r="J370" s="2">
        <f>([412]L!K370*'D(Ti_Audétat23) Times'!$F370*0.000001)^2/(4*'D(Ti_Audétat23) Times'!$C370)/(365.35*24*3600)</f>
        <v>11888.026748780714</v>
      </c>
      <c r="K370" s="2">
        <f>([412]L!L370*'D(Ti_Audétat23) Times'!$F370*0.000001)^2/(4*'D(Ti_Audétat23) Times'!$C370)/(365.35*24*3600)</f>
        <v>10265.802615077015</v>
      </c>
      <c r="L370" s="2">
        <f>([412]L!M370*'D(Ti_Audétat23) Times'!$F370*0.000001)^2/(4*'D(Ti_Audétat23) Times'!$C370)/(365.35*24*3600)</f>
        <v>0</v>
      </c>
      <c r="M370" s="2">
        <f>([412]L!N370*'D(Ti_Audétat23) Times'!$F370*0.000001)^2/(4*'D(Ti_Audétat23) Times'!$C370)/(365.35*24*3600)</f>
        <v>14901.061773296607</v>
      </c>
      <c r="N370" s="2">
        <f>([412]L!O370*'D(Ti_Audétat23) Times'!$F370*0.000001)^2/(4*'D(Ti_Audétat23) Times'!$C370)/(365.35*24*3600)</f>
        <v>10287.323594100766</v>
      </c>
      <c r="O370" s="2">
        <f>([412]L!P370*'D(Ti_Audétat23) Times'!$F370*0.000001)^2/(4*'D(Ti_Audétat23) Times'!$C370)/(365.35*24*3600)</f>
        <v>13452.739849912063</v>
      </c>
      <c r="P370" s="2">
        <f>([412]L!Q370*'D(Ti_Audétat23) Times'!$F370*0.000001)^2/(4*'D(Ti_Audétat23) Times'!$C370)/(365.35*24*3600)</f>
        <v>13955.053200767881</v>
      </c>
      <c r="Q370" s="2">
        <f>([412]L!R370*'D(Ti_Audétat23) Times'!$F370*0.000001)^2/(4*'D(Ti_Audétat23) Times'!$C370)/(365.35*24*3600)</f>
        <v>3904.8723111726495</v>
      </c>
      <c r="R370" s="2">
        <f>([412]L!S370*'D(Ti_Audétat23) Times'!$F370*0.000001)^2/(4*'D(Ti_Audétat23) Times'!$C370)/(365.35*24*3600)</f>
        <v>12898.530935561863</v>
      </c>
      <c r="S370" s="2">
        <f>([412]L!T370*'D(Ti_Audétat23) Times'!$F370*0.000001)^2/(4*'D(Ti_Audétat23) Times'!$C370)/(365.35*24*3600)</f>
        <v>7156.6199605798965</v>
      </c>
      <c r="T370" s="2"/>
      <c r="U370" s="2">
        <f>([412]L!V370*'D(Ti_Audétat23) Times'!$F370*0.000001)^2/(4*'D(Ti_Audétat23) Times'!$C370)/(365.35*24*3600)</f>
        <v>11608.525299343341</v>
      </c>
      <c r="V370" s="2">
        <f>([412]L!W370*'D(Ti_Audétat23) Times'!$F370*0.000001)^2/(4*'D(Ti_Audétat23) Times'!$C370)/(365.35*24*3600)</f>
        <v>11001.73536918175</v>
      </c>
      <c r="W370" s="2">
        <f>([412]L!X370*'D(Ti_Audétat23) Times'!$F370*0.000001)^2/(4*'D(Ti_Audétat23) Times'!$C370)/(365.35*24*3600)</f>
        <v>12388.127141777955</v>
      </c>
      <c r="X370" s="2"/>
      <c r="Y370" s="2">
        <f>([412]L!Z370*'D(Ti_Audétat23) Times'!$F370*0.000001)^2/(4*'D(Ti_Audétat23) Times'!$C370)/(365.35*24*3600)</f>
        <v>11395.258097160262</v>
      </c>
      <c r="Z370" s="2">
        <f>([412]L!AB370*'D(Ti_Audétat23) Times'!$F370*0.000001)^2/(4*'D(Ti_Audétat23) Times'!$C370)/(365.35*24*3600)</f>
        <v>11677.093241171915</v>
      </c>
      <c r="AA370" s="2">
        <f>([412]L!AC370*'D(Ti_Audétat23) Times'!$F370*0.000001)^2/(4*'D(Ti_Audétat23) Times'!$C370)/(365.35*24*3600)</f>
        <v>1740.8269230801302</v>
      </c>
      <c r="AB370" s="2">
        <f>([412]L!AD370*'D(Ti_Audétat23) Times'!$F370*0.000001)^2/(4*'D(Ti_Audétat23) Times'!$C370)/(365.35*24*3600)</f>
        <v>36746.742425815784</v>
      </c>
      <c r="AC370" s="2">
        <f t="shared" si="21"/>
        <v>9936.2663180917843</v>
      </c>
      <c r="AD370" s="2">
        <f t="shared" si="22"/>
        <v>25069.649184643869</v>
      </c>
    </row>
    <row r="371" spans="1:30" x14ac:dyDescent="0.2">
      <c r="A371" t="str">
        <f>[412]L!A371</f>
        <v>CGI018-qtz05-CL-fit-1-offset</v>
      </c>
      <c r="B371">
        <v>750</v>
      </c>
      <c r="C371">
        <f t="shared" si="23"/>
        <v>1.1456341375347871E-23</v>
      </c>
      <c r="D371">
        <v>1600</v>
      </c>
      <c r="E371">
        <v>1024</v>
      </c>
      <c r="F371">
        <f t="shared" si="20"/>
        <v>1.5625</v>
      </c>
      <c r="I371" s="2">
        <f>([412]L!J371*'D(Ti_Audétat23) Times'!$F371*0.000001)^2/(4*'D(Ti_Audétat23) Times'!$C371)/(365.35*24*3600)</f>
        <v>110.61840022639939</v>
      </c>
      <c r="J371" s="2">
        <f>([412]L!K371*'D(Ti_Audétat23) Times'!$F371*0.000001)^2/(4*'D(Ti_Audétat23) Times'!$C371)/(365.35*24*3600)</f>
        <v>94.275196474048087</v>
      </c>
      <c r="K371" s="2">
        <f>([412]L!L371*'D(Ti_Audétat23) Times'!$F371*0.000001)^2/(4*'D(Ti_Audétat23) Times'!$C371)/(365.35*24*3600)</f>
        <v>2.7791190160944836</v>
      </c>
      <c r="L371" s="2">
        <f>([412]L!M371*'D(Ti_Audétat23) Times'!$F371*0.000001)^2/(4*'D(Ti_Audétat23) Times'!$C371)/(365.35*24*3600)</f>
        <v>80.824615819730937</v>
      </c>
      <c r="M371" s="2">
        <f>([412]L!N371*'D(Ti_Audétat23) Times'!$F371*0.000001)^2/(4*'D(Ti_Audétat23) Times'!$C371)/(365.35*24*3600)</f>
        <v>4141.6355850755572</v>
      </c>
      <c r="N371" s="2">
        <f>([412]L!O371*'D(Ti_Audétat23) Times'!$F371*0.000001)^2/(4*'D(Ti_Audétat23) Times'!$C371)/(365.35*24*3600)</f>
        <v>88.267252878103989</v>
      </c>
      <c r="O371" s="2">
        <f>([412]L!P371*'D(Ti_Audétat23) Times'!$F371*0.000001)^2/(4*'D(Ti_Audétat23) Times'!$C371)/(365.35*24*3600)</f>
        <v>258.10309262837478</v>
      </c>
      <c r="P371" s="2">
        <f>([412]L!Q371*'D(Ti_Audétat23) Times'!$F371*0.000001)^2/(4*'D(Ti_Audétat23) Times'!$C371)/(365.35*24*3600)</f>
        <v>3990.7158713904387</v>
      </c>
      <c r="Q371" s="2">
        <f>([412]L!R371*'D(Ti_Audétat23) Times'!$F371*0.000001)^2/(4*'D(Ti_Audétat23) Times'!$C371)/(365.35*24*3600)</f>
        <v>15369.067153271093</v>
      </c>
      <c r="R371" s="2">
        <f>([412]L!S371*'D(Ti_Audétat23) Times'!$F371*0.000001)^2/(4*'D(Ti_Audétat23) Times'!$C371)/(365.35*24*3600)</f>
        <v>255.61467729414588</v>
      </c>
      <c r="S371" s="2">
        <f>([412]L!T371*'D(Ti_Audétat23) Times'!$F371*0.000001)^2/(4*'D(Ti_Audétat23) Times'!$C371)/(365.35*24*3600)</f>
        <v>13576.804035107252</v>
      </c>
      <c r="T371" s="2"/>
      <c r="U371" s="2">
        <f>([412]L!V371*'D(Ti_Audétat23) Times'!$F371*0.000001)^2/(4*'D(Ti_Audétat23) Times'!$C371)/(365.35*24*3600)</f>
        <v>8320.5783305649111</v>
      </c>
      <c r="V371" s="2">
        <f>([412]L!W371*'D(Ti_Audétat23) Times'!$F371*0.000001)^2/(4*'D(Ti_Audétat23) Times'!$C371)/(365.35*24*3600)</f>
        <v>1602.5627381847726</v>
      </c>
      <c r="W371" s="2">
        <f>([412]L!X371*'D(Ti_Audétat23) Times'!$F371*0.000001)^2/(4*'D(Ti_Audétat23) Times'!$C371)/(365.35*24*3600)</f>
        <v>255.61467729414588</v>
      </c>
      <c r="X371" s="2"/>
      <c r="Y371" s="2">
        <f>([412]L!Z371*'D(Ti_Audétat23) Times'!$F371*0.000001)^2/(4*'D(Ti_Audétat23) Times'!$C371)/(365.35*24*3600)</f>
        <v>3760.2030201886223</v>
      </c>
      <c r="Z371" s="2">
        <f>([412]L!AB371*'D(Ti_Audétat23) Times'!$F371*0.000001)^2/(4*'D(Ti_Audétat23) Times'!$C371)/(365.35*24*3600)</f>
        <v>16698.423694716712</v>
      </c>
      <c r="AA371" s="2">
        <f>([412]L!AC371*'D(Ti_Audétat23) Times'!$F371*0.000001)^2/(4*'D(Ti_Audétat23) Times'!$C371)/(365.35*24*3600)</f>
        <v>2.0206276464718716E-9</v>
      </c>
      <c r="AB371" s="2">
        <f>([412]L!AD371*'D(Ti_Audétat23) Times'!$F371*0.000001)^2/(4*'D(Ti_Audétat23) Times'!$C371)/(365.35*24*3600)</f>
        <v>1333775.8027905205</v>
      </c>
      <c r="AC371" s="2">
        <f t="shared" si="21"/>
        <v>16698.423694714693</v>
      </c>
      <c r="AD371" s="2">
        <f t="shared" si="22"/>
        <v>1317077.3790958037</v>
      </c>
    </row>
    <row r="372" spans="1:30" x14ac:dyDescent="0.2">
      <c r="A372" t="str">
        <f>[412]L!A372</f>
        <v>CGI018-qtz05-CL-fit-2-offset</v>
      </c>
      <c r="B372">
        <v>750</v>
      </c>
      <c r="C372">
        <f t="shared" si="23"/>
        <v>1.1456341375347871E-23</v>
      </c>
      <c r="D372">
        <v>1600</v>
      </c>
      <c r="E372">
        <v>1024</v>
      </c>
      <c r="F372">
        <f t="shared" si="20"/>
        <v>1.5625</v>
      </c>
      <c r="I372" s="2">
        <f>([412]L!J372*'D(Ti_Audétat23) Times'!$F372*0.000001)^2/(4*'D(Ti_Audétat23) Times'!$C372)/(365.35*24*3600)</f>
        <v>33708.93556211597</v>
      </c>
      <c r="J372" s="2">
        <f>([412]L!K372*'D(Ti_Audétat23) Times'!$F372*0.000001)^2/(4*'D(Ti_Audétat23) Times'!$C372)/(365.35*24*3600)</f>
        <v>20387.747249167947</v>
      </c>
      <c r="K372" s="2">
        <f>([412]L!L372*'D(Ti_Audétat23) Times'!$F372*0.000001)^2/(4*'D(Ti_Audétat23) Times'!$C372)/(365.35*24*3600)</f>
        <v>22333.693021101772</v>
      </c>
      <c r="L372" s="2">
        <f>([412]L!M372*'D(Ti_Audétat23) Times'!$F372*0.000001)^2/(4*'D(Ti_Audétat23) Times'!$C372)/(365.35*24*3600)</f>
        <v>22252.893417939064</v>
      </c>
      <c r="M372" s="2">
        <f>([412]L!N372*'D(Ti_Audétat23) Times'!$F372*0.000001)^2/(4*'D(Ti_Audétat23) Times'!$C372)/(365.35*24*3600)</f>
        <v>14157.202516651781</v>
      </c>
      <c r="N372" s="2">
        <f>([412]L!O372*'D(Ti_Audétat23) Times'!$F372*0.000001)^2/(4*'D(Ti_Audétat23) Times'!$C372)/(365.35*24*3600)</f>
        <v>16445.618508373351</v>
      </c>
      <c r="O372" s="2">
        <f>([412]L!P372*'D(Ti_Audétat23) Times'!$F372*0.000001)^2/(4*'D(Ti_Audétat23) Times'!$C372)/(365.35*24*3600)</f>
        <v>12061.508534284896</v>
      </c>
      <c r="P372" s="2">
        <f>([412]L!Q372*'D(Ti_Audétat23) Times'!$F372*0.000001)^2/(4*'D(Ti_Audétat23) Times'!$C372)/(365.35*24*3600)</f>
        <v>17762.279874734995</v>
      </c>
      <c r="Q372" s="2">
        <f>([412]L!R372*'D(Ti_Audétat23) Times'!$F372*0.000001)^2/(4*'D(Ti_Audétat23) Times'!$C372)/(365.35*24*3600)</f>
        <v>11769.971820792207</v>
      </c>
      <c r="R372" s="2">
        <f>([412]L!S372*'D(Ti_Audétat23) Times'!$F372*0.000001)^2/(4*'D(Ti_Audétat23) Times'!$C372)/(365.35*24*3600)</f>
        <v>32416.980180122613</v>
      </c>
      <c r="S372" s="2">
        <f>([412]L!T372*'D(Ti_Audétat23) Times'!$F372*0.000001)^2/(4*'D(Ti_Audétat23) Times'!$C372)/(365.35*24*3600)</f>
        <v>32333.137687076989</v>
      </c>
      <c r="T372" s="2"/>
      <c r="U372" s="2">
        <f>([412]L!V372*'D(Ti_Audétat23) Times'!$F372*0.000001)^2/(4*'D(Ti_Audétat23) Times'!$C372)/(365.35*24*3600)</f>
        <v>20630.769584648304</v>
      </c>
      <c r="V372" s="2">
        <f>([412]L!W372*'D(Ti_Audétat23) Times'!$F372*0.000001)^2/(4*'D(Ti_Audétat23) Times'!$C372)/(365.35*24*3600)</f>
        <v>20727.615068596668</v>
      </c>
      <c r="W372" s="2">
        <f>([412]L!X372*'D(Ti_Audétat23) Times'!$F372*0.000001)^2/(4*'D(Ti_Audétat23) Times'!$C372)/(365.35*24*3600)</f>
        <v>20387.747249167947</v>
      </c>
      <c r="X372" s="2"/>
      <c r="Y372" s="2">
        <f>([412]L!Z372*'D(Ti_Audétat23) Times'!$F372*0.000001)^2/(4*'D(Ti_Audétat23) Times'!$C372)/(365.35*24*3600)</f>
        <v>20246.594035762191</v>
      </c>
      <c r="Z372" s="2">
        <f>([412]L!AB372*'D(Ti_Audétat23) Times'!$F372*0.000001)^2/(4*'D(Ti_Audétat23) Times'!$C372)/(365.35*24*3600)</f>
        <v>20878.872844341342</v>
      </c>
      <c r="AA372" s="2">
        <f>([412]L!AC372*'D(Ti_Audétat23) Times'!$F372*0.000001)^2/(4*'D(Ti_Audétat23) Times'!$C372)/(365.35*24*3600)</f>
        <v>3661.9319651434471</v>
      </c>
      <c r="AB372" s="2">
        <f>([412]L!AD372*'D(Ti_Audétat23) Times'!$F372*0.000001)^2/(4*'D(Ti_Audétat23) Times'!$C372)/(365.35*24*3600)</f>
        <v>59664.345674254255</v>
      </c>
      <c r="AC372" s="2">
        <f t="shared" si="21"/>
        <v>17216.940879197893</v>
      </c>
      <c r="AD372" s="2">
        <f t="shared" si="22"/>
        <v>38785.472829912913</v>
      </c>
    </row>
    <row r="373" spans="1:30" x14ac:dyDescent="0.2">
      <c r="A373" t="str">
        <f>[412]L!A373</f>
        <v>CGI018-qtz05-CL-fit-3-offset</v>
      </c>
      <c r="B373">
        <v>750</v>
      </c>
      <c r="C373">
        <f t="shared" si="23"/>
        <v>1.1456341375347871E-23</v>
      </c>
      <c r="D373">
        <v>1600</v>
      </c>
      <c r="E373">
        <v>1024</v>
      </c>
      <c r="F373">
        <f t="shared" si="20"/>
        <v>1.5625</v>
      </c>
      <c r="I373" s="2">
        <f>([412]L!J373*'D(Ti_Audétat23) Times'!$F373*0.000001)^2/(4*'D(Ti_Audétat23) Times'!$C373)/(365.35*24*3600)</f>
        <v>25163.678098710137</v>
      </c>
      <c r="J373" s="2">
        <f>([412]L!K373*'D(Ti_Audétat23) Times'!$F373*0.000001)^2/(4*'D(Ti_Audétat23) Times'!$C373)/(365.35*24*3600)</f>
        <v>16246.479791011703</v>
      </c>
      <c r="K373" s="2">
        <f>([412]L!L373*'D(Ti_Audétat23) Times'!$F373*0.000001)^2/(4*'D(Ti_Audétat23) Times'!$C373)/(365.35*24*3600)</f>
        <v>16830.469917755647</v>
      </c>
      <c r="L373" s="2">
        <f>([412]L!M373*'D(Ti_Audétat23) Times'!$F373*0.000001)^2/(4*'D(Ti_Audétat23) Times'!$C373)/(365.35*24*3600)</f>
        <v>5427.2865319909042</v>
      </c>
      <c r="M373" s="2">
        <f>([412]L!N373*'D(Ti_Audétat23) Times'!$F373*0.000001)^2/(4*'D(Ti_Audétat23) Times'!$C373)/(365.35*24*3600)</f>
        <v>11187.660007796967</v>
      </c>
      <c r="N373" s="2">
        <f>([412]L!O373*'D(Ti_Audétat23) Times'!$F373*0.000001)^2/(4*'D(Ti_Audétat23) Times'!$C373)/(365.35*24*3600)</f>
        <v>9536.7436571670842</v>
      </c>
      <c r="O373" s="2">
        <f>([412]L!P373*'D(Ti_Audétat23) Times'!$F373*0.000001)^2/(4*'D(Ti_Audétat23) Times'!$C373)/(365.35*24*3600)</f>
        <v>18101.300080695291</v>
      </c>
      <c r="P373" s="2">
        <f>([412]L!Q373*'D(Ti_Audétat23) Times'!$F373*0.000001)^2/(4*'D(Ti_Audétat23) Times'!$C373)/(365.35*24*3600)</f>
        <v>16347.173014162143</v>
      </c>
      <c r="Q373" s="2">
        <f>([412]L!R373*'D(Ti_Audétat23) Times'!$F373*0.000001)^2/(4*'D(Ti_Audétat23) Times'!$C373)/(365.35*24*3600)</f>
        <v>15426.854929642988</v>
      </c>
      <c r="R373" s="2">
        <f>([412]L!S373*'D(Ti_Audétat23) Times'!$F373*0.000001)^2/(4*'D(Ti_Audétat23) Times'!$C373)/(365.35*24*3600)</f>
        <v>28403.430999640274</v>
      </c>
      <c r="S373" s="2">
        <f>([412]L!T373*'D(Ti_Audétat23) Times'!$F373*0.000001)^2/(4*'D(Ti_Audétat23) Times'!$C373)/(365.35*24*3600)</f>
        <v>16110.655008490125</v>
      </c>
      <c r="T373" s="2"/>
      <c r="U373" s="2">
        <f>([412]L!V373*'D(Ti_Audétat23) Times'!$F373*0.000001)^2/(4*'D(Ti_Audétat23) Times'!$C373)/(365.35*24*3600)</f>
        <v>17612.278922662834</v>
      </c>
      <c r="V373" s="2">
        <f>([412]L!W373*'D(Ti_Audétat23) Times'!$F373*0.000001)^2/(4*'D(Ti_Audétat23) Times'!$C373)/(365.35*24*3600)</f>
        <v>15624.674523649517</v>
      </c>
      <c r="W373" s="2">
        <f>([412]L!X373*'D(Ti_Audétat23) Times'!$F373*0.000001)^2/(4*'D(Ti_Audétat23) Times'!$C373)/(365.35*24*3600)</f>
        <v>16246.479791011703</v>
      </c>
      <c r="X373" s="2"/>
      <c r="Y373" s="2">
        <f>([412]L!Z373*'D(Ti_Audétat23) Times'!$F373*0.000001)^2/(4*'D(Ti_Audétat23) Times'!$C373)/(365.35*24*3600)</f>
        <v>17281.77476675154</v>
      </c>
      <c r="Z373" s="2">
        <f>([412]L!AB373*'D(Ti_Audétat23) Times'!$F373*0.000001)^2/(4*'D(Ti_Audétat23) Times'!$C373)/(365.35*24*3600)</f>
        <v>17130.651861238017</v>
      </c>
      <c r="AA373" s="2">
        <f>([412]L!AC373*'D(Ti_Audétat23) Times'!$F373*0.000001)^2/(4*'D(Ti_Audétat23) Times'!$C373)/(365.35*24*3600)</f>
        <v>1163.6374659708445</v>
      </c>
      <c r="AB373" s="2">
        <f>([412]L!AD373*'D(Ti_Audétat23) Times'!$F373*0.000001)^2/(4*'D(Ti_Audétat23) Times'!$C373)/(365.35*24*3600)</f>
        <v>44321.556949043661</v>
      </c>
      <c r="AC373" s="2">
        <f t="shared" si="21"/>
        <v>15967.014395267171</v>
      </c>
      <c r="AD373" s="2">
        <f t="shared" si="22"/>
        <v>27190.905087805644</v>
      </c>
    </row>
    <row r="374" spans="1:30" x14ac:dyDescent="0.2">
      <c r="A374" t="str">
        <f>[412]L!A374</f>
        <v>CGI018-qtz05-CL-fit-4-offset</v>
      </c>
      <c r="B374">
        <v>750</v>
      </c>
      <c r="C374">
        <f t="shared" si="23"/>
        <v>1.1456341375347871E-23</v>
      </c>
      <c r="D374">
        <v>1600</v>
      </c>
      <c r="E374">
        <v>1024</v>
      </c>
      <c r="F374">
        <f t="shared" si="20"/>
        <v>1.5625</v>
      </c>
      <c r="I374" s="2">
        <f>([412]L!J374*'D(Ti_Audétat23) Times'!$F374*0.000001)^2/(4*'D(Ti_Audétat23) Times'!$C374)/(365.35*24*3600)</f>
        <v>21610.99375830076</v>
      </c>
      <c r="J374" s="2">
        <f>([412]L!K374*'D(Ti_Audétat23) Times'!$F374*0.000001)^2/(4*'D(Ti_Audétat23) Times'!$C374)/(365.35*24*3600)</f>
        <v>21717.760664662881</v>
      </c>
      <c r="K374" s="2">
        <f>([412]L!L374*'D(Ti_Audétat23) Times'!$F374*0.000001)^2/(4*'D(Ti_Audétat23) Times'!$C374)/(365.35*24*3600)</f>
        <v>26298.753327789207</v>
      </c>
      <c r="L374" s="2">
        <f>([412]L!M374*'D(Ti_Audétat23) Times'!$F374*0.000001)^2/(4*'D(Ti_Audétat23) Times'!$C374)/(365.35*24*3600)</f>
        <v>28676.098206349405</v>
      </c>
      <c r="M374" s="2">
        <f>([412]L!N374*'D(Ti_Audétat23) Times'!$F374*0.000001)^2/(4*'D(Ti_Audétat23) Times'!$C374)/(365.35*24*3600)</f>
        <v>26615.45801566412</v>
      </c>
      <c r="N374" s="2">
        <f>([412]L!O374*'D(Ti_Audétat23) Times'!$F374*0.000001)^2/(4*'D(Ti_Audétat23) Times'!$C374)/(365.35*24*3600)</f>
        <v>21400.738051681525</v>
      </c>
      <c r="O374" s="2">
        <f>([412]L!P374*'D(Ti_Audétat23) Times'!$F374*0.000001)^2/(4*'D(Ti_Audétat23) Times'!$C374)/(365.35*24*3600)</f>
        <v>35567.657815405531</v>
      </c>
      <c r="P374" s="2">
        <f>([412]L!Q374*'D(Ti_Audétat23) Times'!$F374*0.000001)^2/(4*'D(Ti_Audétat23) Times'!$C374)/(365.35*24*3600)</f>
        <v>30631.382768290925</v>
      </c>
      <c r="Q374" s="2">
        <f>([412]L!R374*'D(Ti_Audétat23) Times'!$F374*0.000001)^2/(4*'D(Ti_Audétat23) Times'!$C374)/(365.35*24*3600)</f>
        <v>15750.218405939464</v>
      </c>
      <c r="R374" s="2">
        <f>([412]L!S374*'D(Ti_Audétat23) Times'!$F374*0.000001)^2/(4*'D(Ti_Audétat23) Times'!$C374)/(365.35*24*3600)</f>
        <v>14357.22281775794</v>
      </c>
      <c r="S374" s="2">
        <f>([412]L!T374*'D(Ti_Audétat23) Times'!$F374*0.000001)^2/(4*'D(Ti_Audétat23) Times'!$C374)/(365.35*24*3600)</f>
        <v>19625.652868065332</v>
      </c>
      <c r="T374" s="2"/>
      <c r="U374" s="2">
        <f>([412]L!V374*'D(Ti_Audétat23) Times'!$F374*0.000001)^2/(4*'D(Ti_Audétat23) Times'!$C374)/(365.35*24*3600)</f>
        <v>22865.979982492547</v>
      </c>
      <c r="V374" s="2">
        <f>([412]L!W374*'D(Ti_Audétat23) Times'!$F374*0.000001)^2/(4*'D(Ti_Audétat23) Times'!$C374)/(365.35*24*3600)</f>
        <v>23446.372513741258</v>
      </c>
      <c r="W374" s="2">
        <f>([412]L!X374*'D(Ti_Audétat23) Times'!$F374*0.000001)^2/(4*'D(Ti_Audétat23) Times'!$C374)/(365.35*24*3600)</f>
        <v>21717.760664662881</v>
      </c>
      <c r="X374" s="2"/>
      <c r="Y374" s="2">
        <f>([412]L!Z374*'D(Ti_Audétat23) Times'!$F374*0.000001)^2/(4*'D(Ti_Audétat23) Times'!$C374)/(365.35*24*3600)</f>
        <v>22029.821377511918</v>
      </c>
      <c r="Z374" s="2">
        <f>([412]L!AB374*'D(Ti_Audétat23) Times'!$F374*0.000001)^2/(4*'D(Ti_Audétat23) Times'!$C374)/(365.35*24*3600)</f>
        <v>22025.225849187525</v>
      </c>
      <c r="AA374" s="2">
        <f>([412]L!AC374*'D(Ti_Audétat23) Times'!$F374*0.000001)^2/(4*'D(Ti_Audétat23) Times'!$C374)/(365.35*24*3600)</f>
        <v>11745.760074079368</v>
      </c>
      <c r="AB374" s="2">
        <f>([412]L!AD374*'D(Ti_Audétat23) Times'!$F374*0.000001)^2/(4*'D(Ti_Audétat23) Times'!$C374)/(365.35*24*3600)</f>
        <v>35886.123757549234</v>
      </c>
      <c r="AC374" s="2">
        <f t="shared" si="21"/>
        <v>10279.465775108158</v>
      </c>
      <c r="AD374" s="2">
        <f t="shared" si="22"/>
        <v>13860.897908361709</v>
      </c>
    </row>
    <row r="375" spans="1:30" x14ac:dyDescent="0.2">
      <c r="A375" t="str">
        <f>[412]L!A375</f>
        <v>CGI018-qtz05-CL-fit-5-offset</v>
      </c>
      <c r="B375">
        <v>750</v>
      </c>
      <c r="C375">
        <f t="shared" si="23"/>
        <v>1.1456341375347871E-23</v>
      </c>
      <c r="D375">
        <v>1600</v>
      </c>
      <c r="E375">
        <v>1024</v>
      </c>
      <c r="F375">
        <f t="shared" si="20"/>
        <v>1.5625</v>
      </c>
      <c r="I375" s="2">
        <f>([412]L!J375*'D(Ti_Audétat23) Times'!$F375*0.000001)^2/(4*'D(Ti_Audétat23) Times'!$C375)/(365.35*24*3600)</f>
        <v>1655.2357422678776</v>
      </c>
      <c r="J375" s="2">
        <f>([412]L!K375*'D(Ti_Audétat23) Times'!$F375*0.000001)^2/(4*'D(Ti_Audétat23) Times'!$C375)/(365.35*24*3600)</f>
        <v>10434.25639953873</v>
      </c>
      <c r="K375" s="2">
        <f>([412]L!L375*'D(Ti_Audétat23) Times'!$F375*0.000001)^2/(4*'D(Ti_Audétat23) Times'!$C375)/(365.35*24*3600)</f>
        <v>15612.283779317515</v>
      </c>
      <c r="L375" s="2">
        <f>([412]L!M375*'D(Ti_Audétat23) Times'!$F375*0.000001)^2/(4*'D(Ti_Audétat23) Times'!$C375)/(365.35*24*3600)</f>
        <v>18544.164154889866</v>
      </c>
      <c r="M375" s="2">
        <f>([412]L!N375*'D(Ti_Audétat23) Times'!$F375*0.000001)^2/(4*'D(Ti_Audétat23) Times'!$C375)/(365.35*24*3600)</f>
        <v>9692.4917232397547</v>
      </c>
      <c r="N375" s="2">
        <f>([412]L!O375*'D(Ti_Audétat23) Times'!$F375*0.000001)^2/(4*'D(Ti_Audétat23) Times'!$C375)/(365.35*24*3600)</f>
        <v>2726.0145643547608</v>
      </c>
      <c r="O375" s="2">
        <f>([412]L!P375*'D(Ti_Audétat23) Times'!$F375*0.000001)^2/(4*'D(Ti_Audétat23) Times'!$C375)/(365.35*24*3600)</f>
        <v>5881.5630808589422</v>
      </c>
      <c r="P375" s="2">
        <f>([412]L!Q375*'D(Ti_Audétat23) Times'!$F375*0.000001)^2/(4*'D(Ti_Audétat23) Times'!$C375)/(365.35*24*3600)</f>
        <v>8278.9993721024639</v>
      </c>
      <c r="Q375" s="2">
        <f>([412]L!R375*'D(Ti_Audétat23) Times'!$F375*0.000001)^2/(4*'D(Ti_Audétat23) Times'!$C375)/(365.35*24*3600)</f>
        <v>7950.9344491654292</v>
      </c>
      <c r="R375" s="2">
        <f>([412]L!S375*'D(Ti_Audétat23) Times'!$F375*0.000001)^2/(4*'D(Ti_Audétat23) Times'!$C375)/(365.35*24*3600)</f>
        <v>20246.343827831501</v>
      </c>
      <c r="S375" s="2">
        <f>([412]L!T375*'D(Ti_Audétat23) Times'!$F375*0.000001)^2/(4*'D(Ti_Audétat23) Times'!$C375)/(365.35*24*3600)</f>
        <v>23522.776705642671</v>
      </c>
      <c r="T375" s="2"/>
      <c r="U375" s="2">
        <f>([412]L!V375*'D(Ti_Audétat23) Times'!$F375*0.000001)^2/(4*'D(Ti_Audétat23) Times'!$C375)/(365.35*24*3600)</f>
        <v>10284.533488196152</v>
      </c>
      <c r="V375" s="2">
        <f>([412]L!W375*'D(Ti_Audétat23) Times'!$F375*0.000001)^2/(4*'D(Ti_Audétat23) Times'!$C375)/(365.35*24*3600)</f>
        <v>10130.055914979041</v>
      </c>
      <c r="W375" s="2">
        <f>([412]L!X375*'D(Ti_Audétat23) Times'!$F375*0.000001)^2/(4*'D(Ti_Audétat23) Times'!$C375)/(365.35*24*3600)</f>
        <v>9692.4917232397547</v>
      </c>
      <c r="X375" s="2"/>
      <c r="Y375" s="2">
        <f>([412]L!Z375*'D(Ti_Audétat23) Times'!$F375*0.000001)^2/(4*'D(Ti_Audétat23) Times'!$C375)/(365.35*24*3600)</f>
        <v>10097.208953553611</v>
      </c>
      <c r="Z375" s="2">
        <f>([412]L!AB375*'D(Ti_Audétat23) Times'!$F375*0.000001)^2/(4*'D(Ti_Audétat23) Times'!$C375)/(365.35*24*3600)</f>
        <v>13381.131012511671</v>
      </c>
      <c r="AA375" s="2">
        <f>([412]L!AC375*'D(Ti_Audétat23) Times'!$F375*0.000001)^2/(4*'D(Ti_Audétat23) Times'!$C375)/(365.35*24*3600)</f>
        <v>1501.1014709428232</v>
      </c>
      <c r="AB375" s="2">
        <f>([412]L!AD375*'D(Ti_Audétat23) Times'!$F375*0.000001)^2/(4*'D(Ti_Audétat23) Times'!$C375)/(365.35*24*3600)</f>
        <v>74483.538176012007</v>
      </c>
      <c r="AC375" s="2">
        <f t="shared" si="21"/>
        <v>11880.029541568847</v>
      </c>
      <c r="AD375" s="2">
        <f t="shared" si="22"/>
        <v>61102.407163500335</v>
      </c>
    </row>
    <row r="376" spans="1:30" x14ac:dyDescent="0.2">
      <c r="A376" t="str">
        <f>[412]L!A376</f>
        <v>CGI018-qtz05-CL-fit-6-offset</v>
      </c>
      <c r="B376">
        <v>750</v>
      </c>
      <c r="C376">
        <f t="shared" si="23"/>
        <v>1.1456341375347871E-23</v>
      </c>
      <c r="D376">
        <v>1600</v>
      </c>
      <c r="E376">
        <v>1024</v>
      </c>
      <c r="F376">
        <f t="shared" si="20"/>
        <v>1.5625</v>
      </c>
      <c r="I376" s="2">
        <f>([412]L!J376*'D(Ti_Audétat23) Times'!$F376*0.000001)^2/(4*'D(Ti_Audétat23) Times'!$C376)/(365.35*24*3600)</f>
        <v>1471.7203282018852</v>
      </c>
      <c r="J376" s="2">
        <f>([412]L!K376*'D(Ti_Audétat23) Times'!$F376*0.000001)^2/(4*'D(Ti_Audétat23) Times'!$C376)/(365.35*24*3600)</f>
        <v>4607.2729638124265</v>
      </c>
      <c r="K376" s="2">
        <f>([412]L!L376*'D(Ti_Audétat23) Times'!$F376*0.000001)^2/(4*'D(Ti_Audétat23) Times'!$C376)/(365.35*24*3600)</f>
        <v>2951.4478344259173</v>
      </c>
      <c r="L376" s="2">
        <f>([412]L!M376*'D(Ti_Audétat23) Times'!$F376*0.000001)^2/(4*'D(Ti_Audétat23) Times'!$C376)/(365.35*24*3600)</f>
        <v>7297.1494149216824</v>
      </c>
      <c r="M376" s="2">
        <f>([412]L!N376*'D(Ti_Audétat23) Times'!$F376*0.000001)^2/(4*'D(Ti_Audétat23) Times'!$C376)/(365.35*24*3600)</f>
        <v>3375.8508859772392</v>
      </c>
      <c r="N376" s="2">
        <f>([412]L!O376*'D(Ti_Audétat23) Times'!$F376*0.000001)^2/(4*'D(Ti_Audétat23) Times'!$C376)/(365.35*24*3600)</f>
        <v>6098.8610555741261</v>
      </c>
      <c r="O376" s="2">
        <f>([412]L!P376*'D(Ti_Audétat23) Times'!$F376*0.000001)^2/(4*'D(Ti_Audétat23) Times'!$C376)/(365.35*24*3600)</f>
        <v>8186.5140033121706</v>
      </c>
      <c r="P376" s="2">
        <f>([412]L!Q376*'D(Ti_Audétat23) Times'!$F376*0.000001)^2/(4*'D(Ti_Audétat23) Times'!$C376)/(365.35*24*3600)</f>
        <v>3364.038960176495</v>
      </c>
      <c r="Q376" s="2">
        <f>([412]L!R376*'D(Ti_Audétat23) Times'!$F376*0.000001)^2/(4*'D(Ti_Audétat23) Times'!$C376)/(365.35*24*3600)</f>
        <v>4000.9073589892273</v>
      </c>
      <c r="R376" s="2">
        <f>([412]L!S376*'D(Ti_Audétat23) Times'!$F376*0.000001)^2/(4*'D(Ti_Audétat23) Times'!$C376)/(365.35*24*3600)</f>
        <v>4369.6639472694078</v>
      </c>
      <c r="S376" s="2">
        <f>([412]L!T376*'D(Ti_Audétat23) Times'!$F376*0.000001)^2/(4*'D(Ti_Audétat23) Times'!$C376)/(365.35*24*3600)</f>
        <v>2596.7771568607509</v>
      </c>
      <c r="T376" s="2"/>
      <c r="U376" s="2">
        <f>([412]L!V376*'D(Ti_Audétat23) Times'!$F376*0.000001)^2/(4*'D(Ti_Audétat23) Times'!$C376)/(365.35*24*3600)</f>
        <v>5008.538111737279</v>
      </c>
      <c r="V376" s="2">
        <f>([412]L!W376*'D(Ti_Audétat23) Times'!$F376*0.000001)^2/(4*'D(Ti_Audétat23) Times'!$C376)/(365.35*24*3600)</f>
        <v>4177.6503137228001</v>
      </c>
      <c r="W376" s="2">
        <f>([412]L!X376*'D(Ti_Audétat23) Times'!$F376*0.000001)^2/(4*'D(Ti_Audétat23) Times'!$C376)/(365.35*24*3600)</f>
        <v>4000.9073589892273</v>
      </c>
      <c r="X376" s="2"/>
      <c r="Y376" s="2">
        <f>([412]L!Z376*'D(Ti_Audétat23) Times'!$F376*0.000001)^2/(4*'D(Ti_Audétat23) Times'!$C376)/(365.35*24*3600)</f>
        <v>3086.9408765026819</v>
      </c>
      <c r="Z376" s="2">
        <f>([412]L!AB376*'D(Ti_Audétat23) Times'!$F376*0.000001)^2/(4*'D(Ti_Audétat23) Times'!$C376)/(365.35*24*3600)</f>
        <v>2920.7191030191766</v>
      </c>
      <c r="AA376" s="2">
        <f>([412]L!AC376*'D(Ti_Audétat23) Times'!$F376*0.000001)^2/(4*'D(Ti_Audétat23) Times'!$C376)/(365.35*24*3600)</f>
        <v>78.451146841975401</v>
      </c>
      <c r="AB376" s="2">
        <f>([412]L!AD376*'D(Ti_Audétat23) Times'!$F376*0.000001)^2/(4*'D(Ti_Audétat23) Times'!$C376)/(365.35*24*3600)</f>
        <v>11491.659990610444</v>
      </c>
      <c r="AC376" s="2">
        <f t="shared" si="21"/>
        <v>2842.2679561772011</v>
      </c>
      <c r="AD376" s="2">
        <f t="shared" si="22"/>
        <v>8570.9408875912668</v>
      </c>
    </row>
    <row r="377" spans="1:30" x14ac:dyDescent="0.2">
      <c r="A377" t="str">
        <f>[412]L!A377</f>
        <v>CGI018-qtz05-CL-fit-7-offset</v>
      </c>
      <c r="B377">
        <v>750</v>
      </c>
      <c r="C377">
        <f t="shared" si="23"/>
        <v>1.1456341375347871E-23</v>
      </c>
      <c r="D377">
        <v>1600</v>
      </c>
      <c r="E377">
        <v>1024</v>
      </c>
      <c r="F377">
        <f t="shared" si="20"/>
        <v>1.5625</v>
      </c>
      <c r="I377" s="2">
        <f>([412]L!J377*'D(Ti_Audétat23) Times'!$F377*0.000001)^2/(4*'D(Ti_Audétat23) Times'!$C377)/(365.35*24*3600)</f>
        <v>215.78640216879393</v>
      </c>
      <c r="J377" s="2">
        <f>([412]L!K377*'D(Ti_Audétat23) Times'!$F377*0.000001)^2/(4*'D(Ti_Audétat23) Times'!$C377)/(365.35*24*3600)</f>
        <v>1.4768585702050852E-2</v>
      </c>
      <c r="K377" s="2">
        <f>([412]L!L377*'D(Ti_Audétat23) Times'!$F377*0.000001)^2/(4*'D(Ti_Audétat23) Times'!$C377)/(365.35*24*3600)</f>
        <v>6.6229580261633183</v>
      </c>
      <c r="L377" s="2">
        <f>([412]L!M377*'D(Ti_Audétat23) Times'!$F377*0.000001)^2/(4*'D(Ti_Audétat23) Times'!$C377)/(365.35*24*3600)</f>
        <v>1514.4088936541984</v>
      </c>
      <c r="M377" s="2">
        <f>([412]L!N377*'D(Ti_Audétat23) Times'!$F377*0.000001)^2/(4*'D(Ti_Audétat23) Times'!$C377)/(365.35*24*3600)</f>
        <v>0.33794669408079364</v>
      </c>
      <c r="N377" s="2">
        <f>([412]L!O377*'D(Ti_Audétat23) Times'!$F377*0.000001)^2/(4*'D(Ti_Audétat23) Times'!$C377)/(365.35*24*3600)</f>
        <v>1758.6232923043499</v>
      </c>
      <c r="O377" s="2">
        <f>([412]L!P377*'D(Ti_Audétat23) Times'!$F377*0.000001)^2/(4*'D(Ti_Audétat23) Times'!$C377)/(365.35*24*3600)</f>
        <v>4467.244340033325</v>
      </c>
      <c r="P377" s="2">
        <f>([412]L!Q377*'D(Ti_Audétat23) Times'!$F377*0.000001)^2/(4*'D(Ti_Audétat23) Times'!$C377)/(365.35*24*3600)</f>
        <v>5096.4723973076107</v>
      </c>
      <c r="Q377" s="2">
        <f>([412]L!R377*'D(Ti_Audétat23) Times'!$F377*0.000001)^2/(4*'D(Ti_Audétat23) Times'!$C377)/(365.35*24*3600)</f>
        <v>1232.3460330675371</v>
      </c>
      <c r="R377" s="2">
        <f>([412]L!S377*'D(Ti_Audétat23) Times'!$F377*0.000001)^2/(4*'D(Ti_Audétat23) Times'!$C377)/(365.35*24*3600)</f>
        <v>317.06029071237782</v>
      </c>
      <c r="S377" s="2">
        <f>([412]L!T377*'D(Ti_Audétat23) Times'!$F377*0.000001)^2/(4*'D(Ti_Audétat23) Times'!$C377)/(365.35*24*3600)</f>
        <v>835.00740119858017</v>
      </c>
      <c r="T377" s="2"/>
      <c r="U377" s="2">
        <f>([412]L!V377*'D(Ti_Audétat23) Times'!$F377*0.000001)^2/(4*'D(Ti_Audétat23) Times'!$C377)/(365.35*24*3600)</f>
        <v>868.97742799049968</v>
      </c>
      <c r="V377" s="2">
        <f>([412]L!W377*'D(Ti_Audétat23) Times'!$F377*0.000001)^2/(4*'D(Ti_Audétat23) Times'!$C377)/(365.35*24*3600)</f>
        <v>840.21921243082534</v>
      </c>
      <c r="W377" s="2">
        <f>([412]L!X377*'D(Ti_Audétat23) Times'!$F377*0.000001)^2/(4*'D(Ti_Audétat23) Times'!$C377)/(365.35*24*3600)</f>
        <v>835.00740119858017</v>
      </c>
      <c r="X377" s="2"/>
      <c r="Y377" s="2">
        <f>([412]L!Z377*'D(Ti_Audétat23) Times'!$F377*0.000001)^2/(4*'D(Ti_Audétat23) Times'!$C377)/(365.35*24*3600)</f>
        <v>306.95356782883874</v>
      </c>
      <c r="Z377" s="2">
        <f>([412]L!AB377*'D(Ti_Audétat23) Times'!$F377*0.000001)^2/(4*'D(Ti_Audétat23) Times'!$C377)/(365.35*24*3600)</f>
        <v>914.86792249715268</v>
      </c>
      <c r="AA377" s="2">
        <f>([412]L!AC377*'D(Ti_Audétat23) Times'!$F377*0.000001)^2/(4*'D(Ti_Audétat23) Times'!$C377)/(365.35*24*3600)</f>
        <v>8.5309824418062175E-2</v>
      </c>
      <c r="AB377" s="2">
        <f>([412]L!AD377*'D(Ti_Audétat23) Times'!$F377*0.000001)^2/(4*'D(Ti_Audétat23) Times'!$C377)/(365.35*24*3600)</f>
        <v>6979.7884407649099</v>
      </c>
      <c r="AC377" s="2">
        <f t="shared" si="21"/>
        <v>914.78261267273456</v>
      </c>
      <c r="AD377" s="2">
        <f t="shared" si="22"/>
        <v>6064.920518267757</v>
      </c>
    </row>
    <row r="378" spans="1:30" x14ac:dyDescent="0.2">
      <c r="A378" t="str">
        <f>[412]L!A378</f>
        <v>CGI018-qtz06-CL-fit-2-offset</v>
      </c>
      <c r="B378">
        <v>750</v>
      </c>
      <c r="C378">
        <f t="shared" si="23"/>
        <v>1.1456341375347871E-23</v>
      </c>
      <c r="D378">
        <v>1750</v>
      </c>
      <c r="E378">
        <v>1024</v>
      </c>
      <c r="F378">
        <f t="shared" si="20"/>
        <v>1.708984375</v>
      </c>
      <c r="I378" s="2">
        <f>([412]L!J378*'D(Ti_Audétat23) Times'!$F378*0.000001)^2/(4*'D(Ti_Audétat23) Times'!$C378)/(365.35*24*3600)</f>
        <v>9508.2663927425201</v>
      </c>
      <c r="J378" s="2">
        <f>([412]L!K378*'D(Ti_Audétat23) Times'!$F378*0.000001)^2/(4*'D(Ti_Audétat23) Times'!$C378)/(365.35*24*3600)</f>
        <v>32460.801771736591</v>
      </c>
      <c r="K378" s="2">
        <f>([412]L!L378*'D(Ti_Audétat23) Times'!$F378*0.000001)^2/(4*'D(Ti_Audétat23) Times'!$C378)/(365.35*24*3600)</f>
        <v>56462.264188845293</v>
      </c>
      <c r="L378" s="2">
        <f>([412]L!M378*'D(Ti_Audétat23) Times'!$F378*0.000001)^2/(4*'D(Ti_Audétat23) Times'!$C378)/(365.35*24*3600)</f>
        <v>17922.0655110232</v>
      </c>
      <c r="M378" s="2">
        <f>([412]L!N378*'D(Ti_Audétat23) Times'!$F378*0.000001)^2/(4*'D(Ti_Audétat23) Times'!$C378)/(365.35*24*3600)</f>
        <v>12223.031406044196</v>
      </c>
      <c r="N378" s="2">
        <f>([412]L!O378*'D(Ti_Audétat23) Times'!$F378*0.000001)^2/(4*'D(Ti_Audétat23) Times'!$C378)/(365.35*24*3600)</f>
        <v>9369.4447487045582</v>
      </c>
      <c r="O378" s="2">
        <f>([412]L!P378*'D(Ti_Audétat23) Times'!$F378*0.000001)^2/(4*'D(Ti_Audétat23) Times'!$C378)/(365.35*24*3600)</f>
        <v>7430.2733978125307</v>
      </c>
      <c r="P378" s="2">
        <f>([412]L!Q378*'D(Ti_Audétat23) Times'!$F378*0.000001)^2/(4*'D(Ti_Audétat23) Times'!$C378)/(365.35*24*3600)</f>
        <v>20429.050877278627</v>
      </c>
      <c r="Q378" s="2">
        <f>([412]L!R378*'D(Ti_Audétat23) Times'!$F378*0.000001)^2/(4*'D(Ti_Audétat23) Times'!$C378)/(365.35*24*3600)</f>
        <v>35169.684576002393</v>
      </c>
      <c r="R378" s="2">
        <f>([412]L!S378*'D(Ti_Audétat23) Times'!$F378*0.000001)^2/(4*'D(Ti_Audétat23) Times'!$C378)/(365.35*24*3600)</f>
        <v>20936.677773241248</v>
      </c>
      <c r="S378" s="2">
        <f>([412]L!T378*'D(Ti_Audétat23) Times'!$F378*0.000001)^2/(4*'D(Ti_Audétat23) Times'!$C378)/(365.35*24*3600)</f>
        <v>16228.876728095132</v>
      </c>
      <c r="T378" s="2"/>
      <c r="U378" s="2">
        <f>([412]L!V378*'D(Ti_Audétat23) Times'!$F378*0.000001)^2/(4*'D(Ti_Audétat23) Times'!$C378)/(365.35*24*3600)</f>
        <v>17075.66988160968</v>
      </c>
      <c r="V378" s="2">
        <f>([412]L!W378*'D(Ti_Audétat23) Times'!$F378*0.000001)^2/(4*'D(Ti_Audétat23) Times'!$C378)/(365.35*24*3600)</f>
        <v>19734.551106439729</v>
      </c>
      <c r="W378" s="2">
        <f>([412]L!X378*'D(Ti_Audétat23) Times'!$F378*0.000001)^2/(4*'D(Ti_Audétat23) Times'!$C378)/(365.35*24*3600)</f>
        <v>17922.0655110232</v>
      </c>
      <c r="X378" s="2"/>
      <c r="Y378" s="2">
        <f>([412]L!Z378*'D(Ti_Audétat23) Times'!$F378*0.000001)^2/(4*'D(Ti_Audétat23) Times'!$C378)/(365.35*24*3600)</f>
        <v>16945.412858670556</v>
      </c>
      <c r="Z378" s="2">
        <f>([412]L!AB378*'D(Ti_Audétat23) Times'!$F378*0.000001)^2/(4*'D(Ti_Audétat23) Times'!$C378)/(365.35*24*3600)</f>
        <v>18338.310560317972</v>
      </c>
      <c r="AA378" s="2">
        <f>([412]L!AC378*'D(Ti_Audétat23) Times'!$F378*0.000001)^2/(4*'D(Ti_Audétat23) Times'!$C378)/(365.35*24*3600)</f>
        <v>4475.585568133647</v>
      </c>
      <c r="AB378" s="2">
        <f>([412]L!AD378*'D(Ti_Audétat23) Times'!$F378*0.000001)^2/(4*'D(Ti_Audétat23) Times'!$C378)/(365.35*24*3600)</f>
        <v>66458.144216065324</v>
      </c>
      <c r="AC378" s="2">
        <f t="shared" si="21"/>
        <v>13862.724992184325</v>
      </c>
      <c r="AD378" s="2">
        <f t="shared" si="22"/>
        <v>48119.833655747352</v>
      </c>
    </row>
    <row r="379" spans="1:30" x14ac:dyDescent="0.2">
      <c r="A379" t="str">
        <f>[412]L!A379</f>
        <v>CGI018-qtz06-CL-fit-3-offset</v>
      </c>
      <c r="B379">
        <v>750</v>
      </c>
      <c r="C379">
        <f t="shared" si="23"/>
        <v>1.1456341375347871E-23</v>
      </c>
      <c r="D379">
        <v>1750</v>
      </c>
      <c r="E379">
        <v>1024</v>
      </c>
      <c r="F379">
        <f t="shared" si="20"/>
        <v>1.708984375</v>
      </c>
      <c r="I379" s="2">
        <f>([412]L!J379*'D(Ti_Audétat23) Times'!$F379*0.000001)^2/(4*'D(Ti_Audétat23) Times'!$C379)/(365.35*24*3600)</f>
        <v>1439.8286602737817</v>
      </c>
      <c r="J379" s="2">
        <f>([412]L!K379*'D(Ti_Audétat23) Times'!$F379*0.000001)^2/(4*'D(Ti_Audétat23) Times'!$C379)/(365.35*24*3600)</f>
        <v>5748.890026176934</v>
      </c>
      <c r="K379" s="2">
        <f>([412]L!L379*'D(Ti_Audétat23) Times'!$F379*0.000001)^2/(4*'D(Ti_Audétat23) Times'!$C379)/(365.35*24*3600)</f>
        <v>6562.4431095315422</v>
      </c>
      <c r="L379" s="2">
        <f>([412]L!M379*'D(Ti_Audétat23) Times'!$F379*0.000001)^2/(4*'D(Ti_Audétat23) Times'!$C379)/(365.35*24*3600)</f>
        <v>7403.6841108802064</v>
      </c>
      <c r="M379" s="2">
        <f>([412]L!N379*'D(Ti_Audétat23) Times'!$F379*0.000001)^2/(4*'D(Ti_Audétat23) Times'!$C379)/(365.35*24*3600)</f>
        <v>16087.564309598458</v>
      </c>
      <c r="N379" s="2">
        <f>([412]L!O379*'D(Ti_Audétat23) Times'!$F379*0.000001)^2/(4*'D(Ti_Audétat23) Times'!$C379)/(365.35*24*3600)</f>
        <v>3206.2620112684199</v>
      </c>
      <c r="O379" s="2">
        <f>([412]L!P379*'D(Ti_Audétat23) Times'!$F379*0.000001)^2/(4*'D(Ti_Audétat23) Times'!$C379)/(365.35*24*3600)</f>
        <v>7236.6143488269863</v>
      </c>
      <c r="P379" s="2">
        <f>([412]L!Q379*'D(Ti_Audétat23) Times'!$F379*0.000001)^2/(4*'D(Ti_Audétat23) Times'!$C379)/(365.35*24*3600)</f>
        <v>9780.9120732633855</v>
      </c>
      <c r="Q379" s="2">
        <f>([412]L!R379*'D(Ti_Audétat23) Times'!$F379*0.000001)^2/(4*'D(Ti_Audétat23) Times'!$C379)/(365.35*24*3600)</f>
        <v>8256.0611440382781</v>
      </c>
      <c r="R379" s="2">
        <f>([412]L!S379*'D(Ti_Audétat23) Times'!$F379*0.000001)^2/(4*'D(Ti_Audétat23) Times'!$C379)/(365.35*24*3600)</f>
        <v>16670.350121250547</v>
      </c>
      <c r="S379" s="2">
        <f>([412]L!T379*'D(Ti_Audétat23) Times'!$F379*0.000001)^2/(4*'D(Ti_Audétat23) Times'!$C379)/(365.35*24*3600)</f>
        <v>3593.5528366595026</v>
      </c>
      <c r="T379" s="2"/>
      <c r="U379" s="2">
        <f>([412]L!V379*'D(Ti_Audétat23) Times'!$F379*0.000001)^2/(4*'D(Ti_Audétat23) Times'!$C379)/(365.35*24*3600)</f>
        <v>6877.2256806132664</v>
      </c>
      <c r="V379" s="2">
        <f>([412]L!W379*'D(Ti_Audétat23) Times'!$F379*0.000001)^2/(4*'D(Ti_Audétat23) Times'!$C379)/(365.35*24*3600)</f>
        <v>7119.8359362480696</v>
      </c>
      <c r="W379" s="2">
        <f>([412]L!X379*'D(Ti_Audétat23) Times'!$F379*0.000001)^2/(4*'D(Ti_Audétat23) Times'!$C379)/(365.35*24*3600)</f>
        <v>7236.6143488269863</v>
      </c>
      <c r="X379" s="2"/>
      <c r="Y379" s="2">
        <f>([412]L!Z379*'D(Ti_Audétat23) Times'!$F379*0.000001)^2/(4*'D(Ti_Audétat23) Times'!$C379)/(365.35*24*3600)</f>
        <v>7137.4588874741175</v>
      </c>
      <c r="Z379" s="2">
        <f>([412]L!AB379*'D(Ti_Audétat23) Times'!$F379*0.000001)^2/(4*'D(Ti_Audétat23) Times'!$C379)/(365.35*24*3600)</f>
        <v>7213.3488103446889</v>
      </c>
      <c r="AA379" s="2">
        <f>([412]L!AC379*'D(Ti_Audétat23) Times'!$F379*0.000001)^2/(4*'D(Ti_Audétat23) Times'!$C379)/(365.35*24*3600)</f>
        <v>1200.3670634181576</v>
      </c>
      <c r="AB379" s="2">
        <f>([412]L!AD379*'D(Ti_Audétat23) Times'!$F379*0.000001)^2/(4*'D(Ti_Audétat23) Times'!$C379)/(365.35*24*3600)</f>
        <v>17369.917608411193</v>
      </c>
      <c r="AC379" s="2">
        <f t="shared" si="21"/>
        <v>6012.9817469265308</v>
      </c>
      <c r="AD379" s="2">
        <f t="shared" si="22"/>
        <v>10156.568798066504</v>
      </c>
    </row>
    <row r="380" spans="1:30" x14ac:dyDescent="0.2">
      <c r="A380" t="str">
        <f>[412]L!A380</f>
        <v>CGI018-qtz06-CL-fit-4-offset</v>
      </c>
      <c r="B380">
        <v>750</v>
      </c>
      <c r="C380">
        <f t="shared" si="23"/>
        <v>1.1456341375347871E-23</v>
      </c>
      <c r="D380">
        <v>1750</v>
      </c>
      <c r="E380">
        <v>1024</v>
      </c>
      <c r="F380">
        <f t="shared" si="20"/>
        <v>1.708984375</v>
      </c>
      <c r="I380" s="2">
        <f>([412]L!J380*'D(Ti_Audétat23) Times'!$F380*0.000001)^2/(4*'D(Ti_Audétat23) Times'!$C380)/(365.35*24*3600)</f>
        <v>2668.575054693812</v>
      </c>
      <c r="J380" s="2">
        <f>([412]L!K380*'D(Ti_Audétat23) Times'!$F380*0.000001)^2/(4*'D(Ti_Audétat23) Times'!$C380)/(365.35*24*3600)</f>
        <v>1221.088099917878</v>
      </c>
      <c r="K380" s="2">
        <f>([412]L!L380*'D(Ti_Audétat23) Times'!$F380*0.000001)^2/(4*'D(Ti_Audétat23) Times'!$C380)/(365.35*24*3600)</f>
        <v>3470.6109442985312</v>
      </c>
      <c r="L380" s="2">
        <f>([412]L!M380*'D(Ti_Audétat23) Times'!$F380*0.000001)^2/(4*'D(Ti_Audétat23) Times'!$C380)/(365.35*24*3600)</f>
        <v>104.95935671009289</v>
      </c>
      <c r="M380" s="2">
        <f>([412]L!N380*'D(Ti_Audétat23) Times'!$F380*0.000001)^2/(4*'D(Ti_Audétat23) Times'!$C380)/(365.35*24*3600)</f>
        <v>79.994711575977817</v>
      </c>
      <c r="N380" s="2">
        <f>([412]L!O380*'D(Ti_Audétat23) Times'!$F380*0.000001)^2/(4*'D(Ti_Audétat23) Times'!$C380)/(365.35*24*3600)</f>
        <v>611.16484718312495</v>
      </c>
      <c r="O380" s="2">
        <f>([412]L!P380*'D(Ti_Audétat23) Times'!$F380*0.000001)^2/(4*'D(Ti_Audétat23) Times'!$C380)/(365.35*24*3600)</f>
        <v>4395.8560851515995</v>
      </c>
      <c r="P380" s="2">
        <f>([412]L!Q380*'D(Ti_Audétat23) Times'!$F380*0.000001)^2/(4*'D(Ti_Audétat23) Times'!$C380)/(365.35*24*3600)</f>
        <v>4137.3567401712617</v>
      </c>
      <c r="Q380" s="2">
        <f>([412]L!R380*'D(Ti_Audétat23) Times'!$F380*0.000001)^2/(4*'D(Ti_Audétat23) Times'!$C380)/(365.35*24*3600)</f>
        <v>6960.4848906720081</v>
      </c>
      <c r="R380" s="2">
        <f>([412]L!S380*'D(Ti_Audétat23) Times'!$F380*0.000001)^2/(4*'D(Ti_Audétat23) Times'!$C380)/(365.35*24*3600)</f>
        <v>16.628208312995426</v>
      </c>
      <c r="S380" s="2">
        <f>([412]L!T380*'D(Ti_Audétat23) Times'!$F380*0.000001)^2/(4*'D(Ti_Audétat23) Times'!$C380)/(365.35*24*3600)</f>
        <v>12532.433629742489</v>
      </c>
      <c r="T380" s="2"/>
      <c r="U380" s="2">
        <f>([412]L!V380*'D(Ti_Audétat23) Times'!$F380*0.000001)^2/(4*'D(Ti_Audétat23) Times'!$C380)/(365.35*24*3600)</f>
        <v>1896.711648253528</v>
      </c>
      <c r="V380" s="2">
        <f>([412]L!W380*'D(Ti_Audétat23) Times'!$F380*0.000001)^2/(4*'D(Ti_Audétat23) Times'!$C380)/(365.35*24*3600)</f>
        <v>2230.4504148184192</v>
      </c>
      <c r="W380" s="2">
        <f>([412]L!X380*'D(Ti_Audétat23) Times'!$F380*0.000001)^2/(4*'D(Ti_Audétat23) Times'!$C380)/(365.35*24*3600)</f>
        <v>2668.575054693812</v>
      </c>
      <c r="X380" s="2"/>
      <c r="Y380" s="2">
        <f>([412]L!Z380*'D(Ti_Audétat23) Times'!$F380*0.000001)^2/(4*'D(Ti_Audétat23) Times'!$C380)/(365.35*24*3600)</f>
        <v>1681.9916725489527</v>
      </c>
      <c r="Z380" s="2">
        <f>([412]L!AB380*'D(Ti_Audétat23) Times'!$F380*0.000001)^2/(4*'D(Ti_Audétat23) Times'!$C380)/(365.35*24*3600)</f>
        <v>1829.8943429178264</v>
      </c>
      <c r="AA380" s="2">
        <f>([412]L!AC380*'D(Ti_Audétat23) Times'!$F380*0.000001)^2/(4*'D(Ti_Audétat23) Times'!$C380)/(365.35*24*3600)</f>
        <v>65.375031449656021</v>
      </c>
      <c r="AB380" s="2">
        <f>([412]L!AD380*'D(Ti_Audétat23) Times'!$F380*0.000001)^2/(4*'D(Ti_Audétat23) Times'!$C380)/(365.35*24*3600)</f>
        <v>15678.732939698224</v>
      </c>
      <c r="AC380" s="2">
        <f t="shared" si="21"/>
        <v>1764.5193114681704</v>
      </c>
      <c r="AD380" s="2">
        <f t="shared" si="22"/>
        <v>13848.838596780397</v>
      </c>
    </row>
    <row r="381" spans="1:30" x14ac:dyDescent="0.2">
      <c r="A381" t="str">
        <f>[412]L!A381</f>
        <v>CGI018-qtz07-CL-fit-1-offset</v>
      </c>
      <c r="B381">
        <v>750</v>
      </c>
      <c r="C381">
        <f t="shared" si="23"/>
        <v>1.1456341375347871E-23</v>
      </c>
      <c r="D381">
        <v>1700</v>
      </c>
      <c r="E381">
        <v>1024</v>
      </c>
      <c r="F381">
        <f t="shared" si="20"/>
        <v>1.66015625</v>
      </c>
      <c r="I381" s="2">
        <f>([412]L!J381*'D(Ti_Audétat23) Times'!$F381*0.000001)^2/(4*'D(Ti_Audétat23) Times'!$C381)/(365.35*24*3600)</f>
        <v>19559.694385338895</v>
      </c>
      <c r="J381" s="2">
        <f>([412]L!K381*'D(Ti_Audétat23) Times'!$F381*0.000001)^2/(4*'D(Ti_Audétat23) Times'!$C381)/(365.35*24*3600)</f>
        <v>13045.105224731235</v>
      </c>
      <c r="K381" s="2">
        <f>([412]L!L381*'D(Ti_Audétat23) Times'!$F381*0.000001)^2/(4*'D(Ti_Audétat23) Times'!$C381)/(365.35*24*3600)</f>
        <v>35708.968737333329</v>
      </c>
      <c r="L381" s="2">
        <f>([412]L!M381*'D(Ti_Audétat23) Times'!$F381*0.000001)^2/(4*'D(Ti_Audétat23) Times'!$C381)/(365.35*24*3600)</f>
        <v>33036.869733015767</v>
      </c>
      <c r="M381" s="2">
        <f>([412]L!N381*'D(Ti_Audétat23) Times'!$F381*0.000001)^2/(4*'D(Ti_Audétat23) Times'!$C381)/(365.35*24*3600)</f>
        <v>10986.219919634925</v>
      </c>
      <c r="N381" s="2">
        <f>([412]L!O381*'D(Ti_Audétat23) Times'!$F381*0.000001)^2/(4*'D(Ti_Audétat23) Times'!$C381)/(365.35*24*3600)</f>
        <v>4345.7461559601479</v>
      </c>
      <c r="O381" s="2">
        <f>([412]L!P381*'D(Ti_Audétat23) Times'!$F381*0.000001)^2/(4*'D(Ti_Audétat23) Times'!$C381)/(365.35*24*3600)</f>
        <v>44249.677452524877</v>
      </c>
      <c r="P381" s="2">
        <f>([412]L!Q381*'D(Ti_Audétat23) Times'!$F381*0.000001)^2/(4*'D(Ti_Audétat23) Times'!$C381)/(365.35*24*3600)</f>
        <v>6770.1386193449143</v>
      </c>
      <c r="Q381" s="2">
        <f>([412]L!R381*'D(Ti_Audétat23) Times'!$F381*0.000001)^2/(4*'D(Ti_Audétat23) Times'!$C381)/(365.35*24*3600)</f>
        <v>3277.4820121890866</v>
      </c>
      <c r="R381" s="2">
        <f>([412]L!S381*'D(Ti_Audétat23) Times'!$F381*0.000001)^2/(4*'D(Ti_Audétat23) Times'!$C381)/(365.35*24*3600)</f>
        <v>33935.826517399124</v>
      </c>
      <c r="S381" s="2">
        <f>([412]L!T381*'D(Ti_Audétat23) Times'!$F381*0.000001)^2/(4*'D(Ti_Audétat23) Times'!$C381)/(365.35*24*3600)</f>
        <v>6628.3180857943635</v>
      </c>
      <c r="T381" s="2"/>
      <c r="U381" s="2">
        <f>([412]L!V381*'D(Ti_Audétat23) Times'!$F381*0.000001)^2/(4*'D(Ti_Audétat23) Times'!$C381)/(365.35*24*3600)</f>
        <v>19532.859700242647</v>
      </c>
      <c r="V381" s="2">
        <f>([412]L!W381*'D(Ti_Audétat23) Times'!$F381*0.000001)^2/(4*'D(Ti_Audétat23) Times'!$C381)/(365.35*24*3600)</f>
        <v>16455.169053597176</v>
      </c>
      <c r="W381" s="2">
        <f>([412]L!X381*'D(Ti_Audétat23) Times'!$F381*0.000001)^2/(4*'D(Ti_Audétat23) Times'!$C381)/(365.35*24*3600)</f>
        <v>13045.105224731235</v>
      </c>
      <c r="X381" s="2"/>
      <c r="Y381" s="2">
        <f>([412]L!Z381*'D(Ti_Audétat23) Times'!$F381*0.000001)^2/(4*'D(Ti_Audétat23) Times'!$C381)/(365.35*24*3600)</f>
        <v>15250.548477790877</v>
      </c>
      <c r="Z381" s="2">
        <f>([412]L!AB381*'D(Ti_Audétat23) Times'!$F381*0.000001)^2/(4*'D(Ti_Audétat23) Times'!$C381)/(365.35*24*3600)</f>
        <v>20049.061781801862</v>
      </c>
      <c r="AA381" s="2">
        <f>([412]L!AC381*'D(Ti_Audétat23) Times'!$F381*0.000001)^2/(4*'D(Ti_Audétat23) Times'!$C381)/(365.35*24*3600)</f>
        <v>8.8079935899828321</v>
      </c>
      <c r="AB381" s="2">
        <f>([412]L!AD381*'D(Ti_Audétat23) Times'!$F381*0.000001)^2/(4*'D(Ti_Audétat23) Times'!$C381)/(365.35*24*3600)</f>
        <v>130060.15748793913</v>
      </c>
      <c r="AC381" s="2">
        <f t="shared" si="21"/>
        <v>20040.253788211878</v>
      </c>
      <c r="AD381" s="2">
        <f t="shared" si="22"/>
        <v>110011.09570613726</v>
      </c>
    </row>
    <row r="382" spans="1:30" x14ac:dyDescent="0.2">
      <c r="A382" t="str">
        <f>[412]L!A382</f>
        <v>CGI018-qtz07-CL-fit-2-offset</v>
      </c>
      <c r="B382">
        <v>750</v>
      </c>
      <c r="C382">
        <f t="shared" si="23"/>
        <v>1.1456341375347871E-23</v>
      </c>
      <c r="D382">
        <v>1700</v>
      </c>
      <c r="E382">
        <v>1024</v>
      </c>
      <c r="F382">
        <f t="shared" si="20"/>
        <v>1.66015625</v>
      </c>
      <c r="I382" s="2">
        <f>([412]L!J382*'D(Ti_Audétat23) Times'!$F382*0.000001)^2/(4*'D(Ti_Audétat23) Times'!$C382)/(365.35*24*3600)</f>
        <v>19031.26646061135</v>
      </c>
      <c r="J382" s="2">
        <f>([412]L!K382*'D(Ti_Audétat23) Times'!$F382*0.000001)^2/(4*'D(Ti_Audétat23) Times'!$C382)/(365.35*24*3600)</f>
        <v>21347.74520400005</v>
      </c>
      <c r="K382" s="2">
        <f>([412]L!L382*'D(Ti_Audétat23) Times'!$F382*0.000001)^2/(4*'D(Ti_Audétat23) Times'!$C382)/(365.35*24*3600)</f>
        <v>9607.3942285908252</v>
      </c>
      <c r="L382" s="2">
        <f>([412]L!M382*'D(Ti_Audétat23) Times'!$F382*0.000001)^2/(4*'D(Ti_Audétat23) Times'!$C382)/(365.35*24*3600)</f>
        <v>9999.5669591879487</v>
      </c>
      <c r="M382" s="2">
        <f>([412]L!N382*'D(Ti_Audétat23) Times'!$F382*0.000001)^2/(4*'D(Ti_Audétat23) Times'!$C382)/(365.35*24*3600)</f>
        <v>85229.719263274426</v>
      </c>
      <c r="N382" s="2">
        <f>([412]L!O382*'D(Ti_Audétat23) Times'!$F382*0.000001)^2/(4*'D(Ti_Audétat23) Times'!$C382)/(365.35*24*3600)</f>
        <v>75.484747841909936</v>
      </c>
      <c r="O382" s="2">
        <f>([412]L!P382*'D(Ti_Audétat23) Times'!$F382*0.000001)^2/(4*'D(Ti_Audétat23) Times'!$C382)/(365.35*24*3600)</f>
        <v>15437.202854755724</v>
      </c>
      <c r="P382" s="2">
        <f>([412]L!Q382*'D(Ti_Audétat23) Times'!$F382*0.000001)^2/(4*'D(Ti_Audétat23) Times'!$C382)/(365.35*24*3600)</f>
        <v>39373.192401136912</v>
      </c>
      <c r="Q382" s="2">
        <f>([412]L!R382*'D(Ti_Audétat23) Times'!$F382*0.000001)^2/(4*'D(Ti_Audétat23) Times'!$C382)/(365.35*24*3600)</f>
        <v>22568.903191935497</v>
      </c>
      <c r="R382" s="2">
        <f>([412]L!S382*'D(Ti_Audétat23) Times'!$F382*0.000001)^2/(4*'D(Ti_Audétat23) Times'!$C382)/(365.35*24*3600)</f>
        <v>10344.722734891529</v>
      </c>
      <c r="S382" s="2">
        <f>([412]L!T382*'D(Ti_Audétat23) Times'!$F382*0.000001)^2/(4*'D(Ti_Audétat23) Times'!$C382)/(365.35*24*3600)</f>
        <v>15380.920272355925</v>
      </c>
      <c r="T382" s="2"/>
      <c r="U382" s="2">
        <f>([412]L!V382*'D(Ti_Audétat23) Times'!$F382*0.000001)^2/(4*'D(Ti_Audétat23) Times'!$C382)/(365.35*24*3600)</f>
        <v>22884.100245153037</v>
      </c>
      <c r="V382" s="2">
        <f>([412]L!W382*'D(Ti_Audétat23) Times'!$F382*0.000001)^2/(4*'D(Ti_Audétat23) Times'!$C382)/(365.35*24*3600)</f>
        <v>18135.246365767878</v>
      </c>
      <c r="W382" s="2">
        <f>([412]L!X382*'D(Ti_Audétat23) Times'!$F382*0.000001)^2/(4*'D(Ti_Audétat23) Times'!$C382)/(365.35*24*3600)</f>
        <v>15437.202854755724</v>
      </c>
      <c r="X382" s="2"/>
      <c r="Y382" s="2">
        <f>([412]L!Z382*'D(Ti_Audétat23) Times'!$F382*0.000001)^2/(4*'D(Ti_Audétat23) Times'!$C382)/(365.35*24*3600)</f>
        <v>21152.311737489228</v>
      </c>
      <c r="Z382" s="2">
        <f>([412]L!AB382*'D(Ti_Audétat23) Times'!$F382*0.000001)^2/(4*'D(Ti_Audétat23) Times'!$C382)/(365.35*24*3600)</f>
        <v>22493.22630230492</v>
      </c>
      <c r="AA382" s="2">
        <f>([412]L!AC382*'D(Ti_Audétat23) Times'!$F382*0.000001)^2/(4*'D(Ti_Audétat23) Times'!$C382)/(365.35*24*3600)</f>
        <v>2539.6374453912422</v>
      </c>
      <c r="AB382" s="2">
        <f>([412]L!AD382*'D(Ti_Audétat23) Times'!$F382*0.000001)^2/(4*'D(Ti_Audétat23) Times'!$C382)/(365.35*24*3600)</f>
        <v>67229.552637528832</v>
      </c>
      <c r="AC382" s="2">
        <f t="shared" si="21"/>
        <v>19953.588856913677</v>
      </c>
      <c r="AD382" s="2">
        <f t="shared" si="22"/>
        <v>44736.326335223916</v>
      </c>
    </row>
    <row r="383" spans="1:30" x14ac:dyDescent="0.2">
      <c r="A383" t="str">
        <f>[412]L!A383</f>
        <v>CGI018-qtz07-CL-fit-3-offset</v>
      </c>
      <c r="B383">
        <v>750</v>
      </c>
      <c r="C383">
        <f t="shared" si="23"/>
        <v>1.1456341375347871E-23</v>
      </c>
      <c r="D383">
        <v>1700</v>
      </c>
      <c r="E383">
        <v>1024</v>
      </c>
      <c r="F383">
        <f t="shared" si="20"/>
        <v>1.66015625</v>
      </c>
      <c r="I383" s="2">
        <f>([412]L!J383*'D(Ti_Audétat23) Times'!$F383*0.000001)^2/(4*'D(Ti_Audétat23) Times'!$C383)/(365.35*24*3600)</f>
        <v>3429.7195484407957</v>
      </c>
      <c r="J383" s="2">
        <f>([412]L!K383*'D(Ti_Audétat23) Times'!$F383*0.000001)^2/(4*'D(Ti_Audétat23) Times'!$C383)/(365.35*24*3600)</f>
        <v>1277.322975802819</v>
      </c>
      <c r="K383" s="2">
        <f>([412]L!L383*'D(Ti_Audétat23) Times'!$F383*0.000001)^2/(4*'D(Ti_Audétat23) Times'!$C383)/(365.35*24*3600)</f>
        <v>2276.5047044918037</v>
      </c>
      <c r="L383" s="2">
        <f>([412]L!M383*'D(Ti_Audétat23) Times'!$F383*0.000001)^2/(4*'D(Ti_Audétat23) Times'!$C383)/(365.35*24*3600)</f>
        <v>1529.127241606205</v>
      </c>
      <c r="M383" s="2">
        <f>([412]L!N383*'D(Ti_Audétat23) Times'!$F383*0.000001)^2/(4*'D(Ti_Audétat23) Times'!$C383)/(365.35*24*3600)</f>
        <v>1.589782099581333</v>
      </c>
      <c r="N383" s="2">
        <f>([412]L!O383*'D(Ti_Audétat23) Times'!$F383*0.000001)^2/(4*'D(Ti_Audétat23) Times'!$C383)/(365.35*24*3600)</f>
        <v>4512.3225657838948</v>
      </c>
      <c r="O383" s="2">
        <f>([412]L!P383*'D(Ti_Audétat23) Times'!$F383*0.000001)^2/(4*'D(Ti_Audétat23) Times'!$C383)/(365.35*24*3600)</f>
        <v>25663.788048948922</v>
      </c>
      <c r="P383" s="2">
        <f>([412]L!Q383*'D(Ti_Audétat23) Times'!$F383*0.000001)^2/(4*'D(Ti_Audétat23) Times'!$C383)/(365.35*24*3600)</f>
        <v>3474.5848720419854</v>
      </c>
      <c r="Q383" s="2">
        <f>([412]L!R383*'D(Ti_Audétat23) Times'!$F383*0.000001)^2/(4*'D(Ti_Audétat23) Times'!$C383)/(365.35*24*3600)</f>
        <v>3979.1741339498385</v>
      </c>
      <c r="R383" s="2">
        <f>([412]L!S383*'D(Ti_Audétat23) Times'!$F383*0.000001)^2/(4*'D(Ti_Audétat23) Times'!$C383)/(365.35*24*3600)</f>
        <v>1613.8273237290111</v>
      </c>
      <c r="S383" s="2">
        <f>([412]L!T383*'D(Ti_Audétat23) Times'!$F383*0.000001)^2/(4*'D(Ti_Audétat23) Times'!$C383)/(365.35*24*3600)</f>
        <v>2640.3769707757115</v>
      </c>
      <c r="T383" s="2"/>
      <c r="U383" s="2">
        <f>([412]L!V383*'D(Ti_Audétat23) Times'!$F383*0.000001)^2/(4*'D(Ti_Audétat23) Times'!$C383)/(365.35*24*3600)</f>
        <v>2466.6324063920201</v>
      </c>
      <c r="V383" s="2">
        <f>([412]L!W383*'D(Ti_Audétat23) Times'!$F383*0.000001)^2/(4*'D(Ti_Audétat23) Times'!$C383)/(365.35*24*3600)</f>
        <v>3211.1543142119112</v>
      </c>
      <c r="W383" s="2">
        <f>([412]L!X383*'D(Ti_Audétat23) Times'!$F383*0.000001)^2/(4*'D(Ti_Audétat23) Times'!$C383)/(365.35*24*3600)</f>
        <v>2640.3769707757115</v>
      </c>
      <c r="X383" s="2"/>
      <c r="Y383" s="2">
        <f>([412]L!Z383*'D(Ti_Audétat23) Times'!$F383*0.000001)^2/(4*'D(Ti_Audétat23) Times'!$C383)/(365.35*24*3600)</f>
        <v>2138.9448927527192</v>
      </c>
      <c r="Z383" s="2">
        <f>([412]L!AB383*'D(Ti_Audétat23) Times'!$F383*0.000001)^2/(4*'D(Ti_Audétat23) Times'!$C383)/(365.35*24*3600)</f>
        <v>2184.2186972636505</v>
      </c>
      <c r="AA383" s="2">
        <f>([412]L!AC383*'D(Ti_Audétat23) Times'!$F383*0.000001)^2/(4*'D(Ti_Audétat23) Times'!$C383)/(365.35*24*3600)</f>
        <v>68.609495568349104</v>
      </c>
      <c r="AB383" s="2">
        <f>([412]L!AD383*'D(Ti_Audétat23) Times'!$F383*0.000001)^2/(4*'D(Ti_Audétat23) Times'!$C383)/(365.35*24*3600)</f>
        <v>6717.4692391573944</v>
      </c>
      <c r="AC383" s="2">
        <f t="shared" si="21"/>
        <v>2115.6092016953012</v>
      </c>
      <c r="AD383" s="2">
        <f t="shared" si="22"/>
        <v>4533.2505418937435</v>
      </c>
    </row>
    <row r="384" spans="1:30" x14ac:dyDescent="0.2">
      <c r="A384" t="str">
        <f>[412]L!A384</f>
        <v>CGI018-qtz08-CL-fit-1-offset</v>
      </c>
      <c r="B384">
        <v>750</v>
      </c>
      <c r="C384">
        <f t="shared" si="23"/>
        <v>1.1456341375347871E-23</v>
      </c>
      <c r="D384">
        <v>2300</v>
      </c>
      <c r="E384">
        <v>1024</v>
      </c>
      <c r="F384">
        <f t="shared" si="20"/>
        <v>2.24609375</v>
      </c>
      <c r="I384" s="2">
        <f>([412]L!J384*'D(Ti_Audétat23) Times'!$F384*0.000001)^2/(4*'D(Ti_Audétat23) Times'!$C384)/(365.35*24*3600)</f>
        <v>350533.61681879906</v>
      </c>
      <c r="J384" s="2">
        <f>([412]L!K384*'D(Ti_Audétat23) Times'!$F384*0.000001)^2/(4*'D(Ti_Audétat23) Times'!$C384)/(365.35*24*3600)</f>
        <v>331187.2833381521</v>
      </c>
      <c r="K384" s="2">
        <f>([412]L!L384*'D(Ti_Audétat23) Times'!$F384*0.000001)^2/(4*'D(Ti_Audétat23) Times'!$C384)/(365.35*24*3600)</f>
        <v>326808.37053673947</v>
      </c>
      <c r="L384" s="2">
        <f>([412]L!M384*'D(Ti_Audétat23) Times'!$F384*0.000001)^2/(4*'D(Ti_Audétat23) Times'!$C384)/(365.35*24*3600)</f>
        <v>362284.72825849662</v>
      </c>
      <c r="M384" s="2">
        <f>([412]L!N384*'D(Ti_Audétat23) Times'!$F384*0.000001)^2/(4*'D(Ti_Audétat23) Times'!$C384)/(365.35*24*3600)</f>
        <v>346910.20912011858</v>
      </c>
      <c r="N384" s="2">
        <f>([412]L!O384*'D(Ti_Audétat23) Times'!$F384*0.000001)^2/(4*'D(Ti_Audétat23) Times'!$C384)/(365.35*24*3600)</f>
        <v>375226.0762133415</v>
      </c>
      <c r="O384" s="2">
        <f>([412]L!P384*'D(Ti_Audétat23) Times'!$F384*0.000001)^2/(4*'D(Ti_Audétat23) Times'!$C384)/(365.35*24*3600)</f>
        <v>294536.09917595127</v>
      </c>
      <c r="P384" s="2">
        <f>([412]L!Q384*'D(Ti_Audétat23) Times'!$F384*0.000001)^2/(4*'D(Ti_Audétat23) Times'!$C384)/(365.35*24*3600)</f>
        <v>317153.64045351092</v>
      </c>
      <c r="Q384" s="2">
        <f>([412]L!R384*'D(Ti_Audétat23) Times'!$F384*0.000001)^2/(4*'D(Ti_Audétat23) Times'!$C384)/(365.35*24*3600)</f>
        <v>335285.96502930124</v>
      </c>
      <c r="R384" s="2">
        <f>([412]L!S384*'D(Ti_Audétat23) Times'!$F384*0.000001)^2/(4*'D(Ti_Audétat23) Times'!$C384)/(365.35*24*3600)</f>
        <v>435272.26281218912</v>
      </c>
      <c r="S384" s="2">
        <f>([412]L!T384*'D(Ti_Audétat23) Times'!$F384*0.000001)^2/(4*'D(Ti_Audétat23) Times'!$C384)/(365.35*24*3600)</f>
        <v>438579.8078225099</v>
      </c>
      <c r="T384" s="2"/>
      <c r="U384" s="2">
        <f>([412]L!V384*'D(Ti_Audétat23) Times'!$F384*0.000001)^2/(4*'D(Ti_Audétat23) Times'!$C384)/(365.35*24*3600)</f>
        <v>353675.36490988475</v>
      </c>
      <c r="V384" s="2">
        <f>([412]L!W384*'D(Ti_Audétat23) Times'!$F384*0.000001)^2/(4*'D(Ti_Audétat23) Times'!$C384)/(365.35*24*3600)</f>
        <v>354521.4785669758</v>
      </c>
      <c r="W384" s="2">
        <f>([412]L!X384*'D(Ti_Audétat23) Times'!$F384*0.000001)^2/(4*'D(Ti_Audétat23) Times'!$C384)/(365.35*24*3600)</f>
        <v>346910.20912011858</v>
      </c>
      <c r="X384" s="2"/>
      <c r="Y384" s="2">
        <f>([412]L!Z384*'D(Ti_Audétat23) Times'!$F384*0.000001)^2/(4*'D(Ti_Audétat23) Times'!$C384)/(365.35*24*3600)</f>
        <v>354836.31190166401</v>
      </c>
      <c r="Z384" s="2">
        <f>([412]L!AB384*'D(Ti_Audétat23) Times'!$F384*0.000001)^2/(4*'D(Ti_Audétat23) Times'!$C384)/(365.35*24*3600)</f>
        <v>350135.72714896832</v>
      </c>
      <c r="AA384" s="2">
        <f>([412]L!AC384*'D(Ti_Audétat23) Times'!$F384*0.000001)^2/(4*'D(Ti_Audétat23) Times'!$C384)/(365.35*24*3600)</f>
        <v>252894.95386083992</v>
      </c>
      <c r="AB384" s="2">
        <f>([412]L!AD384*'D(Ti_Audétat23) Times'!$F384*0.000001)^2/(4*'D(Ti_Audétat23) Times'!$C384)/(365.35*24*3600)</f>
        <v>472429.26168024971</v>
      </c>
      <c r="AC384" s="2">
        <f t="shared" si="21"/>
        <v>97240.773288128403</v>
      </c>
      <c r="AD384" s="2">
        <f t="shared" si="22"/>
        <v>122293.53453128139</v>
      </c>
    </row>
    <row r="385" spans="1:30" x14ac:dyDescent="0.2">
      <c r="A385" t="str">
        <f>[412]L!A385</f>
        <v>CGI018-qtz08-CL-fit-2-offset</v>
      </c>
      <c r="B385">
        <v>750</v>
      </c>
      <c r="C385">
        <f t="shared" si="23"/>
        <v>1.1456341375347871E-23</v>
      </c>
      <c r="D385">
        <v>2300</v>
      </c>
      <c r="E385">
        <v>1024</v>
      </c>
      <c r="F385">
        <f t="shared" si="20"/>
        <v>2.24609375</v>
      </c>
      <c r="I385" s="2">
        <f>([412]L!J385*'D(Ti_Audétat23) Times'!$F385*0.000001)^2/(4*'D(Ti_Audétat23) Times'!$C385)/(365.35*24*3600)</f>
        <v>45320.274810179646</v>
      </c>
      <c r="J385" s="2">
        <f>([412]L!K385*'D(Ti_Audétat23) Times'!$F385*0.000001)^2/(4*'D(Ti_Audétat23) Times'!$C385)/(365.35*24*3600)</f>
        <v>68922.502550319681</v>
      </c>
      <c r="K385" s="2">
        <f>([412]L!L385*'D(Ti_Audétat23) Times'!$F385*0.000001)^2/(4*'D(Ti_Audétat23) Times'!$C385)/(365.35*24*3600)</f>
        <v>90512.302319776965</v>
      </c>
      <c r="L385" s="2">
        <f>([412]L!M385*'D(Ti_Audétat23) Times'!$F385*0.000001)^2/(4*'D(Ti_Audétat23) Times'!$C385)/(365.35*24*3600)</f>
        <v>40065.413365137596</v>
      </c>
      <c r="M385" s="2">
        <f>([412]L!N385*'D(Ti_Audétat23) Times'!$F385*0.000001)^2/(4*'D(Ti_Audétat23) Times'!$C385)/(365.35*24*3600)</f>
        <v>56750.625013834113</v>
      </c>
      <c r="N385" s="2">
        <f>([412]L!O385*'D(Ti_Audétat23) Times'!$F385*0.000001)^2/(4*'D(Ti_Audétat23) Times'!$C385)/(365.35*24*3600)</f>
        <v>86151.809442077385</v>
      </c>
      <c r="O385" s="2">
        <f>([412]L!P385*'D(Ti_Audétat23) Times'!$F385*0.000001)^2/(4*'D(Ti_Audétat23) Times'!$C385)/(365.35*24*3600)</f>
        <v>54607.60553697039</v>
      </c>
      <c r="P385" s="2">
        <f>([412]L!Q385*'D(Ti_Audétat23) Times'!$F385*0.000001)^2/(4*'D(Ti_Audétat23) Times'!$C385)/(365.35*24*3600)</f>
        <v>52455.628960210692</v>
      </c>
      <c r="Q385" s="2">
        <f>([412]L!R385*'D(Ti_Audétat23) Times'!$F385*0.000001)^2/(4*'D(Ti_Audétat23) Times'!$C385)/(365.35*24*3600)</f>
        <v>11880.399705265163</v>
      </c>
      <c r="R385" s="2">
        <f>([412]L!S385*'D(Ti_Audétat23) Times'!$F385*0.000001)^2/(4*'D(Ti_Audétat23) Times'!$C385)/(365.35*24*3600)</f>
        <v>43386.822541163252</v>
      </c>
      <c r="S385" s="2">
        <f>([412]L!T385*'D(Ti_Audétat23) Times'!$F385*0.000001)^2/(4*'D(Ti_Audétat23) Times'!$C385)/(365.35*24*3600)</f>
        <v>70647.194861151263</v>
      </c>
      <c r="T385" s="2"/>
      <c r="U385" s="2">
        <f>([412]L!V385*'D(Ti_Audétat23) Times'!$F385*0.000001)^2/(4*'D(Ti_Audétat23) Times'!$C385)/(365.35*24*3600)</f>
        <v>55801.504796779183</v>
      </c>
      <c r="V385" s="2">
        <f>([412]L!W385*'D(Ti_Audétat23) Times'!$F385*0.000001)^2/(4*'D(Ti_Audétat23) Times'!$C385)/(365.35*24*3600)</f>
        <v>53907.347468817788</v>
      </c>
      <c r="W385" s="2">
        <f>([412]L!X385*'D(Ti_Audétat23) Times'!$F385*0.000001)^2/(4*'D(Ti_Audétat23) Times'!$C385)/(365.35*24*3600)</f>
        <v>54607.60553697039</v>
      </c>
      <c r="X385" s="2"/>
      <c r="Y385" s="2">
        <f>([412]L!Z385*'D(Ti_Audétat23) Times'!$F385*0.000001)^2/(4*'D(Ti_Audétat23) Times'!$C385)/(365.35*24*3600)</f>
        <v>57901.837555178558</v>
      </c>
      <c r="Z385" s="2">
        <f>([412]L!AB385*'D(Ti_Audétat23) Times'!$F385*0.000001)^2/(4*'D(Ti_Audétat23) Times'!$C385)/(365.35*24*3600)</f>
        <v>60131.29085073858</v>
      </c>
      <c r="AA385" s="2">
        <f>([412]L!AC385*'D(Ti_Audétat23) Times'!$F385*0.000001)^2/(4*'D(Ti_Audétat23) Times'!$C385)/(365.35*24*3600)</f>
        <v>14814.6373586751</v>
      </c>
      <c r="AB385" s="2">
        <f>([412]L!AD385*'D(Ti_Audétat23) Times'!$F385*0.000001)^2/(4*'D(Ti_Audétat23) Times'!$C385)/(365.35*24*3600)</f>
        <v>129486.53923419077</v>
      </c>
      <c r="AC385" s="2">
        <f t="shared" si="21"/>
        <v>45316.65349206348</v>
      </c>
      <c r="AD385" s="2">
        <f t="shared" si="22"/>
        <v>69355.248383452184</v>
      </c>
    </row>
    <row r="386" spans="1:30" x14ac:dyDescent="0.2">
      <c r="A386" t="str">
        <f>[412]L!A386</f>
        <v>CGI018-qtz08-CL-fit-3-offset</v>
      </c>
      <c r="B386">
        <v>750</v>
      </c>
      <c r="C386">
        <f t="shared" si="23"/>
        <v>1.1456341375347871E-23</v>
      </c>
      <c r="D386">
        <v>2300</v>
      </c>
      <c r="E386">
        <v>1024</v>
      </c>
      <c r="F386">
        <f t="shared" si="20"/>
        <v>2.24609375</v>
      </c>
      <c r="I386" s="2">
        <f>([412]L!J386*'D(Ti_Audétat23) Times'!$F386*0.000001)^2/(4*'D(Ti_Audétat23) Times'!$C386)/(365.35*24*3600)</f>
        <v>137907.67387936622</v>
      </c>
      <c r="J386" s="2">
        <f>([412]L!K386*'D(Ti_Audétat23) Times'!$F386*0.000001)^2/(4*'D(Ti_Audétat23) Times'!$C386)/(365.35*24*3600)</f>
        <v>105774.98656748894</v>
      </c>
      <c r="K386" s="2">
        <f>([412]L!L386*'D(Ti_Audétat23) Times'!$F386*0.000001)^2/(4*'D(Ti_Audétat23) Times'!$C386)/(365.35*24*3600)</f>
        <v>102779.17830085455</v>
      </c>
      <c r="L386" s="2">
        <f>([412]L!M386*'D(Ti_Audétat23) Times'!$F386*0.000001)^2/(4*'D(Ti_Audétat23) Times'!$C386)/(365.35*24*3600)</f>
        <v>44510.526626853702</v>
      </c>
      <c r="M386" s="2">
        <f>([412]L!N386*'D(Ti_Audétat23) Times'!$F386*0.000001)^2/(4*'D(Ti_Audétat23) Times'!$C386)/(365.35*24*3600)</f>
        <v>70169.078058164538</v>
      </c>
      <c r="N386" s="2">
        <f>([412]L!O386*'D(Ti_Audétat23) Times'!$F386*0.000001)^2/(4*'D(Ti_Audétat23) Times'!$C386)/(365.35*24*3600)</f>
        <v>56711.084714507713</v>
      </c>
      <c r="O386" s="2">
        <f>([412]L!P386*'D(Ti_Audétat23) Times'!$F386*0.000001)^2/(4*'D(Ti_Audétat23) Times'!$C386)/(365.35*24*3600)</f>
        <v>119989.73757886943</v>
      </c>
      <c r="P386" s="2">
        <f>([412]L!Q386*'D(Ti_Audétat23) Times'!$F386*0.000001)^2/(4*'D(Ti_Audétat23) Times'!$C386)/(365.35*24*3600)</f>
        <v>89237.722126936904</v>
      </c>
      <c r="Q386" s="2">
        <f>([412]L!R386*'D(Ti_Audétat23) Times'!$F386*0.000001)^2/(4*'D(Ti_Audétat23) Times'!$C386)/(365.35*24*3600)</f>
        <v>45956.736492921045</v>
      </c>
      <c r="R386" s="2">
        <f>([412]L!S386*'D(Ti_Audétat23) Times'!$F386*0.000001)^2/(4*'D(Ti_Audétat23) Times'!$C386)/(365.35*24*3600)</f>
        <v>32107.169364859859</v>
      </c>
      <c r="S386" s="2">
        <f>([412]L!T386*'D(Ti_Audétat23) Times'!$F386*0.000001)^2/(4*'D(Ti_Audétat23) Times'!$C386)/(365.35*24*3600)</f>
        <v>49972.757420656279</v>
      </c>
      <c r="T386" s="2"/>
      <c r="U386" s="2">
        <f>([412]L!V386*'D(Ti_Audétat23) Times'!$F386*0.000001)^2/(4*'D(Ti_Audétat23) Times'!$C386)/(365.35*24*3600)</f>
        <v>68183.683957199552</v>
      </c>
      <c r="V386" s="2">
        <f>([412]L!W386*'D(Ti_Audétat23) Times'!$F386*0.000001)^2/(4*'D(Ti_Audétat23) Times'!$C386)/(365.35*24*3600)</f>
        <v>74054.260170416921</v>
      </c>
      <c r="W386" s="2">
        <f>([412]L!X386*'D(Ti_Audétat23) Times'!$F386*0.000001)^2/(4*'D(Ti_Audétat23) Times'!$C386)/(365.35*24*3600)</f>
        <v>70169.078058164538</v>
      </c>
      <c r="X386" s="2"/>
      <c r="Y386" s="2">
        <f>([412]L!Z386*'D(Ti_Audétat23) Times'!$F386*0.000001)^2/(4*'D(Ti_Audétat23) Times'!$C386)/(365.35*24*3600)</f>
        <v>69286.443610805727</v>
      </c>
      <c r="Z386" s="2">
        <f>([412]L!AB386*'D(Ti_Audétat23) Times'!$F386*0.000001)^2/(4*'D(Ti_Audétat23) Times'!$C386)/(365.35*24*3600)</f>
        <v>68731.935332326611</v>
      </c>
      <c r="AA386" s="2">
        <f>([412]L!AC386*'D(Ti_Audétat23) Times'!$F386*0.000001)^2/(4*'D(Ti_Audétat23) Times'!$C386)/(365.35*24*3600)</f>
        <v>25394.494871086838</v>
      </c>
      <c r="AB386" s="2">
        <f>([412]L!AD386*'D(Ti_Audétat23) Times'!$F386*0.000001)^2/(4*'D(Ti_Audétat23) Times'!$C386)/(365.35*24*3600)</f>
        <v>130230.68059279078</v>
      </c>
      <c r="AC386" s="2">
        <f t="shared" si="21"/>
        <v>43337.440461239778</v>
      </c>
      <c r="AD386" s="2">
        <f t="shared" si="22"/>
        <v>61498.745260464173</v>
      </c>
    </row>
    <row r="387" spans="1:30" x14ac:dyDescent="0.2">
      <c r="A387" t="str">
        <f>[412]L!A387</f>
        <v>CGI018-qtz08-CL-fit-4-offset</v>
      </c>
      <c r="B387">
        <v>750</v>
      </c>
      <c r="C387">
        <f t="shared" si="23"/>
        <v>1.1456341375347871E-23</v>
      </c>
      <c r="D387">
        <v>2300</v>
      </c>
      <c r="E387">
        <v>1024</v>
      </c>
      <c r="F387">
        <f t="shared" ref="F387:F412" si="24">D387/E387</f>
        <v>2.24609375</v>
      </c>
      <c r="I387" s="2">
        <f>([412]L!J387*'D(Ti_Audétat23) Times'!$F387*0.000001)^2/(4*'D(Ti_Audétat23) Times'!$C387)/(365.35*24*3600)</f>
        <v>46628.090786547364</v>
      </c>
      <c r="J387" s="2">
        <f>([412]L!K387*'D(Ti_Audétat23) Times'!$F387*0.000001)^2/(4*'D(Ti_Audétat23) Times'!$C387)/(365.35*24*3600)</f>
        <v>25623.722137196222</v>
      </c>
      <c r="K387" s="2">
        <f>([412]L!L387*'D(Ti_Audétat23) Times'!$F387*0.000001)^2/(4*'D(Ti_Audétat23) Times'!$C387)/(365.35*24*3600)</f>
        <v>12926.136259572295</v>
      </c>
      <c r="L387" s="2">
        <f>([412]L!M387*'D(Ti_Audétat23) Times'!$F387*0.000001)^2/(4*'D(Ti_Audétat23) Times'!$C387)/(365.35*24*3600)</f>
        <v>36805.087428110368</v>
      </c>
      <c r="M387" s="2">
        <f>([412]L!N387*'D(Ti_Audétat23) Times'!$F387*0.000001)^2/(4*'D(Ti_Audétat23) Times'!$C387)/(365.35*24*3600)</f>
        <v>74258.827163550828</v>
      </c>
      <c r="N387" s="2">
        <f>([412]L!O387*'D(Ti_Audétat23) Times'!$F387*0.000001)^2/(4*'D(Ti_Audétat23) Times'!$C387)/(365.35*24*3600)</f>
        <v>2331.1950717970931</v>
      </c>
      <c r="O387" s="2">
        <f>([412]L!P387*'D(Ti_Audétat23) Times'!$F387*0.000001)^2/(4*'D(Ti_Audétat23) Times'!$C387)/(365.35*24*3600)</f>
        <v>83326.452319900069</v>
      </c>
      <c r="P387" s="2">
        <f>([412]L!Q387*'D(Ti_Audétat23) Times'!$F387*0.000001)^2/(4*'D(Ti_Audétat23) Times'!$C387)/(365.35*24*3600)</f>
        <v>55313.523940913095</v>
      </c>
      <c r="Q387" s="2">
        <f>([412]L!R387*'D(Ti_Audétat23) Times'!$F387*0.000001)^2/(4*'D(Ti_Audétat23) Times'!$C387)/(365.35*24*3600)</f>
        <v>23733.825763462941</v>
      </c>
      <c r="R387" s="2">
        <f>([412]L!S387*'D(Ti_Audétat23) Times'!$F387*0.000001)^2/(4*'D(Ti_Audétat23) Times'!$C387)/(365.35*24*3600)</f>
        <v>122818.9550182868</v>
      </c>
      <c r="S387" s="2">
        <f>([412]L!T387*'D(Ti_Audétat23) Times'!$F387*0.000001)^2/(4*'D(Ti_Audétat23) Times'!$C387)/(365.35*24*3600)</f>
        <v>65748.770490422423</v>
      </c>
      <c r="T387" s="2"/>
      <c r="U387" s="2">
        <f>([412]L!V387*'D(Ti_Audétat23) Times'!$F387*0.000001)^2/(4*'D(Ti_Audétat23) Times'!$C387)/(365.35*24*3600)</f>
        <v>47688.203452769347</v>
      </c>
      <c r="V387" s="2">
        <f>([412]L!W387*'D(Ti_Audétat23) Times'!$F387*0.000001)^2/(4*'D(Ti_Audétat23) Times'!$C387)/(365.35*24*3600)</f>
        <v>43230.586769020825</v>
      </c>
      <c r="W387" s="2">
        <f>([412]L!X387*'D(Ti_Audétat23) Times'!$F387*0.000001)^2/(4*'D(Ti_Audétat23) Times'!$C387)/(365.35*24*3600)</f>
        <v>46628.090786547364</v>
      </c>
      <c r="X387" s="2"/>
      <c r="Y387" s="2">
        <f>([412]L!Z387*'D(Ti_Audétat23) Times'!$F387*0.000001)^2/(4*'D(Ti_Audétat23) Times'!$C387)/(365.35*24*3600)</f>
        <v>46043.080571030609</v>
      </c>
      <c r="Z387" s="2">
        <f>([412]L!AB387*'D(Ti_Audétat23) Times'!$F387*0.000001)^2/(4*'D(Ti_Audétat23) Times'!$C387)/(365.35*24*3600)</f>
        <v>46621.60853401597</v>
      </c>
      <c r="AA387" s="2">
        <f>([412]L!AC387*'D(Ti_Audétat23) Times'!$F387*0.000001)^2/(4*'D(Ti_Audétat23) Times'!$C387)/(365.35*24*3600)</f>
        <v>8504.3670782798145</v>
      </c>
      <c r="AB387" s="2">
        <f>([412]L!AD387*'D(Ti_Audétat23) Times'!$F387*0.000001)^2/(4*'D(Ti_Audétat23) Times'!$C387)/(365.35*24*3600)</f>
        <v>134871.35688079274</v>
      </c>
      <c r="AC387" s="2">
        <f t="shared" ref="AC387:AC412" si="25">Z387-AA387</f>
        <v>38117.241455736155</v>
      </c>
      <c r="AD387" s="2">
        <f t="shared" ref="AD387:AD412" si="26">AB387-Z387</f>
        <v>88249.74834677676</v>
      </c>
    </row>
    <row r="388" spans="1:30" x14ac:dyDescent="0.2">
      <c r="A388" t="str">
        <f>[412]L!A388</f>
        <v>CGI018-qtz08-CL-fit-5-offset</v>
      </c>
      <c r="B388">
        <v>750</v>
      </c>
      <c r="C388">
        <f t="shared" ref="C388:C412" si="27">10^(-1.2133*(10000/(B388+273)-10.17)-23.42)</f>
        <v>1.1456341375347871E-23</v>
      </c>
      <c r="D388">
        <v>2300</v>
      </c>
      <c r="E388">
        <v>1024</v>
      </c>
      <c r="F388">
        <f t="shared" si="24"/>
        <v>2.24609375</v>
      </c>
      <c r="I388" s="2">
        <f>([412]L!J388*'D(Ti_Audétat23) Times'!$F388*0.000001)^2/(4*'D(Ti_Audétat23) Times'!$C388)/(365.35*24*3600)</f>
        <v>62269.603502252867</v>
      </c>
      <c r="J388" s="2">
        <f>([412]L!K388*'D(Ti_Audétat23) Times'!$F388*0.000001)^2/(4*'D(Ti_Audétat23) Times'!$C388)/(365.35*24*3600)</f>
        <v>62224.573486284658</v>
      </c>
      <c r="K388" s="2">
        <f>([412]L!L388*'D(Ti_Audétat23) Times'!$F388*0.000001)^2/(4*'D(Ti_Audétat23) Times'!$C388)/(365.35*24*3600)</f>
        <v>77509.772755393176</v>
      </c>
      <c r="L388" s="2">
        <f>([412]L!M388*'D(Ti_Audétat23) Times'!$F388*0.000001)^2/(4*'D(Ti_Audétat23) Times'!$C388)/(365.35*24*3600)</f>
        <v>103632.34265548938</v>
      </c>
      <c r="M388" s="2">
        <f>([412]L!N388*'D(Ti_Audétat23) Times'!$F388*0.000001)^2/(4*'D(Ti_Audétat23) Times'!$C388)/(365.35*24*3600)</f>
        <v>77662.41688422719</v>
      </c>
      <c r="N388" s="2">
        <f>([412]L!O388*'D(Ti_Audétat23) Times'!$F388*0.000001)^2/(4*'D(Ti_Audétat23) Times'!$C388)/(365.35*24*3600)</f>
        <v>78343.53942201157</v>
      </c>
      <c r="O388" s="2">
        <f>([412]L!P388*'D(Ti_Audétat23) Times'!$F388*0.000001)^2/(4*'D(Ti_Audétat23) Times'!$C388)/(365.35*24*3600)</f>
        <v>109867.06657406624</v>
      </c>
      <c r="P388" s="2">
        <f>([412]L!Q388*'D(Ti_Audétat23) Times'!$F388*0.000001)^2/(4*'D(Ti_Audétat23) Times'!$C388)/(365.35*24*3600)</f>
        <v>87342.056754963109</v>
      </c>
      <c r="Q388" s="2">
        <f>([412]L!R388*'D(Ti_Audétat23) Times'!$F388*0.000001)^2/(4*'D(Ti_Audétat23) Times'!$C388)/(365.35*24*3600)</f>
        <v>99300.016546699568</v>
      </c>
      <c r="R388" s="2">
        <f>([412]L!S388*'D(Ti_Audétat23) Times'!$F388*0.000001)^2/(4*'D(Ti_Audétat23) Times'!$C388)/(365.35*24*3600)</f>
        <v>98682.824310389929</v>
      </c>
      <c r="S388" s="2">
        <f>([412]L!T388*'D(Ti_Audétat23) Times'!$F388*0.000001)^2/(4*'D(Ti_Audétat23) Times'!$C388)/(365.35*24*3600)</f>
        <v>94118.435731688704</v>
      </c>
      <c r="T388" s="2"/>
      <c r="U388" s="2">
        <f>([412]L!V388*'D(Ti_Audétat23) Times'!$F388*0.000001)^2/(4*'D(Ti_Audétat23) Times'!$C388)/(365.35*24*3600)</f>
        <v>85294.681362062634</v>
      </c>
      <c r="V388" s="2">
        <f>([412]L!W388*'D(Ti_Audétat23) Times'!$F388*0.000001)^2/(4*'D(Ti_Audétat23) Times'!$C388)/(365.35*24*3600)</f>
        <v>85739.041321900499</v>
      </c>
      <c r="W388" s="2">
        <f>([412]L!X388*'D(Ti_Audétat23) Times'!$F388*0.000001)^2/(4*'D(Ti_Audétat23) Times'!$C388)/(365.35*24*3600)</f>
        <v>87342.056754963109</v>
      </c>
      <c r="X388" s="2"/>
      <c r="Y388" s="2">
        <f>([412]L!Z388*'D(Ti_Audétat23) Times'!$F388*0.000001)^2/(4*'D(Ti_Audétat23) Times'!$C388)/(365.35*24*3600)</f>
        <v>85130.103128972594</v>
      </c>
      <c r="Z388" s="2">
        <f>([412]L!AB388*'D(Ti_Audétat23) Times'!$F388*0.000001)^2/(4*'D(Ti_Audétat23) Times'!$C388)/(365.35*24*3600)</f>
        <v>85695.050401423738</v>
      </c>
      <c r="AA388" s="2">
        <f>([412]L!AC388*'D(Ti_Audétat23) Times'!$F388*0.000001)^2/(4*'D(Ti_Audétat23) Times'!$C388)/(365.35*24*3600)</f>
        <v>63118.197499819616</v>
      </c>
      <c r="AB388" s="2">
        <f>([412]L!AD388*'D(Ti_Audétat23) Times'!$F388*0.000001)^2/(4*'D(Ti_Audétat23) Times'!$C388)/(365.35*24*3600)</f>
        <v>118884.8099509062</v>
      </c>
      <c r="AC388" s="2">
        <f t="shared" si="25"/>
        <v>22576.852901604121</v>
      </c>
      <c r="AD388" s="2">
        <f t="shared" si="26"/>
        <v>33189.759549482464</v>
      </c>
    </row>
    <row r="389" spans="1:30" x14ac:dyDescent="0.2">
      <c r="A389" t="str">
        <f>[412]L!A389</f>
        <v>CGI018-qtz08-CL-fit-6-offset</v>
      </c>
      <c r="B389">
        <v>750</v>
      </c>
      <c r="C389">
        <f t="shared" si="27"/>
        <v>1.1456341375347871E-23</v>
      </c>
      <c r="D389">
        <v>2300</v>
      </c>
      <c r="E389">
        <v>1024</v>
      </c>
      <c r="F389">
        <f t="shared" si="24"/>
        <v>2.24609375</v>
      </c>
      <c r="I389" s="2">
        <f>([412]L!J389*'D(Ti_Audétat23) Times'!$F389*0.000001)^2/(4*'D(Ti_Audétat23) Times'!$C389)/(365.35*24*3600)</f>
        <v>11147.026509283234</v>
      </c>
      <c r="J389" s="2">
        <f>([412]L!K389*'D(Ti_Audétat23) Times'!$F389*0.000001)^2/(4*'D(Ti_Audétat23) Times'!$C389)/(365.35*24*3600)</f>
        <v>19996.882235304733</v>
      </c>
      <c r="K389" s="2">
        <f>([412]L!L389*'D(Ti_Audétat23) Times'!$F389*0.000001)^2/(4*'D(Ti_Audétat23) Times'!$C389)/(365.35*24*3600)</f>
        <v>19754.191124934183</v>
      </c>
      <c r="L389" s="2">
        <f>([412]L!M389*'D(Ti_Audétat23) Times'!$F389*0.000001)^2/(4*'D(Ti_Audétat23) Times'!$C389)/(365.35*24*3600)</f>
        <v>22566.1904686015</v>
      </c>
      <c r="M389" s="2">
        <f>([412]L!N389*'D(Ti_Audétat23) Times'!$F389*0.000001)^2/(4*'D(Ti_Audétat23) Times'!$C389)/(365.35*24*3600)</f>
        <v>12880.225320020278</v>
      </c>
      <c r="N389" s="2">
        <f>([412]L!O389*'D(Ti_Audétat23) Times'!$F389*0.000001)^2/(4*'D(Ti_Audétat23) Times'!$C389)/(365.35*24*3600)</f>
        <v>16173.243629708146</v>
      </c>
      <c r="O389" s="2">
        <f>([412]L!P389*'D(Ti_Audétat23) Times'!$F389*0.000001)^2/(4*'D(Ti_Audétat23) Times'!$C389)/(365.35*24*3600)</f>
        <v>14307.999075594989</v>
      </c>
      <c r="P389" s="2">
        <f>([412]L!Q389*'D(Ti_Audétat23) Times'!$F389*0.000001)^2/(4*'D(Ti_Audétat23) Times'!$C389)/(365.35*24*3600)</f>
        <v>13313.473509775637</v>
      </c>
      <c r="Q389" s="2">
        <f>([412]L!R389*'D(Ti_Audétat23) Times'!$F389*0.000001)^2/(4*'D(Ti_Audétat23) Times'!$C389)/(365.35*24*3600)</f>
        <v>19075.880932660173</v>
      </c>
      <c r="R389" s="2">
        <f>([412]L!S389*'D(Ti_Audétat23) Times'!$F389*0.000001)^2/(4*'D(Ti_Audétat23) Times'!$C389)/(365.35*24*3600)</f>
        <v>12932.028935984245</v>
      </c>
      <c r="S389" s="2">
        <f>([412]L!T389*'D(Ti_Audétat23) Times'!$F389*0.000001)^2/(4*'D(Ti_Audétat23) Times'!$C389)/(365.35*24*3600)</f>
        <v>13862.415169495196</v>
      </c>
      <c r="T389" s="2"/>
      <c r="U389" s="2">
        <f>([412]L!V389*'D(Ti_Audétat23) Times'!$F389*0.000001)^2/(4*'D(Ti_Audétat23) Times'!$C389)/(365.35*24*3600)</f>
        <v>15801.241652836261</v>
      </c>
      <c r="V389" s="2">
        <f>([412]L!W389*'D(Ti_Audétat23) Times'!$F389*0.000001)^2/(4*'D(Ti_Audétat23) Times'!$C389)/(365.35*24*3600)</f>
        <v>15807.310805906531</v>
      </c>
      <c r="W389" s="2">
        <f>([412]L!X389*'D(Ti_Audétat23) Times'!$F389*0.000001)^2/(4*'D(Ti_Audétat23) Times'!$C389)/(365.35*24*3600)</f>
        <v>14307.999075594989</v>
      </c>
      <c r="X389" s="2"/>
      <c r="Y389" s="2">
        <f>([412]L!Z389*'D(Ti_Audétat23) Times'!$F389*0.000001)^2/(4*'D(Ti_Audétat23) Times'!$C389)/(365.35*24*3600)</f>
        <v>15425.676579847606</v>
      </c>
      <c r="Z389" s="2">
        <f>([412]L!AB389*'D(Ti_Audétat23) Times'!$F389*0.000001)^2/(4*'D(Ti_Audétat23) Times'!$C389)/(365.35*24*3600)</f>
        <v>15444.938483192836</v>
      </c>
      <c r="AA389" s="2">
        <f>([412]L!AC389*'D(Ti_Audétat23) Times'!$F389*0.000001)^2/(4*'D(Ti_Audétat23) Times'!$C389)/(365.35*24*3600)</f>
        <v>8503.0711095143724</v>
      </c>
      <c r="AB389" s="2">
        <f>([412]L!AD389*'D(Ti_Audétat23) Times'!$F389*0.000001)^2/(4*'D(Ti_Audétat23) Times'!$C389)/(365.35*24*3600)</f>
        <v>25178.602682011639</v>
      </c>
      <c r="AC389" s="2">
        <f t="shared" si="25"/>
        <v>6941.867373678464</v>
      </c>
      <c r="AD389" s="2">
        <f t="shared" si="26"/>
        <v>9733.6641988188021</v>
      </c>
    </row>
    <row r="390" spans="1:30" x14ac:dyDescent="0.2">
      <c r="A390" t="str">
        <f>[412]L!A390</f>
        <v>CGI018-qtz08-CL-fit-7-offset</v>
      </c>
      <c r="B390">
        <v>750</v>
      </c>
      <c r="C390">
        <f t="shared" si="27"/>
        <v>1.1456341375347871E-23</v>
      </c>
      <c r="D390">
        <v>2300</v>
      </c>
      <c r="E390">
        <v>1024</v>
      </c>
      <c r="F390">
        <f t="shared" si="24"/>
        <v>2.24609375</v>
      </c>
      <c r="I390" s="2">
        <f>([412]L!J390*'D(Ti_Audétat23) Times'!$F390*0.000001)^2/(4*'D(Ti_Audétat23) Times'!$C390)/(365.35*24*3600)</f>
        <v>1919.9720660888579</v>
      </c>
      <c r="J390" s="2">
        <f>([412]L!K390*'D(Ti_Audétat23) Times'!$F390*0.000001)^2/(4*'D(Ti_Audétat23) Times'!$C390)/(365.35*24*3600)</f>
        <v>8362.8035223168936</v>
      </c>
      <c r="K390" s="2">
        <f>([412]L!L390*'D(Ti_Audétat23) Times'!$F390*0.000001)^2/(4*'D(Ti_Audétat23) Times'!$C390)/(365.35*24*3600)</f>
        <v>3570.3712781459899</v>
      </c>
      <c r="L390" s="2">
        <f>([412]L!M390*'D(Ti_Audétat23) Times'!$F390*0.000001)^2/(4*'D(Ti_Audétat23) Times'!$C390)/(365.35*24*3600)</f>
        <v>3780.2497082612713</v>
      </c>
      <c r="M390" s="2">
        <f>([412]L!N390*'D(Ti_Audétat23) Times'!$F390*0.000001)^2/(4*'D(Ti_Audétat23) Times'!$C390)/(365.35*24*3600)</f>
        <v>9663.9743929447795</v>
      </c>
      <c r="N390" s="2">
        <f>([412]L!O390*'D(Ti_Audétat23) Times'!$F390*0.000001)^2/(4*'D(Ti_Audétat23) Times'!$C390)/(365.35*24*3600)</f>
        <v>8360.8820687974785</v>
      </c>
      <c r="O390" s="2">
        <f>([412]L!P390*'D(Ti_Audétat23) Times'!$F390*0.000001)^2/(4*'D(Ti_Audétat23) Times'!$C390)/(365.35*24*3600)</f>
        <v>1287.2295059116354</v>
      </c>
      <c r="P390" s="2">
        <f>([412]L!Q390*'D(Ti_Audétat23) Times'!$F390*0.000001)^2/(4*'D(Ti_Audétat23) Times'!$C390)/(365.35*24*3600)</f>
        <v>58.792318669649703</v>
      </c>
      <c r="Q390" s="2">
        <f>([412]L!R390*'D(Ti_Audétat23) Times'!$F390*0.000001)^2/(4*'D(Ti_Audétat23) Times'!$C390)/(365.35*24*3600)</f>
        <v>1978.3874730118353</v>
      </c>
      <c r="R390" s="2">
        <f>([412]L!S390*'D(Ti_Audétat23) Times'!$F390*0.000001)^2/(4*'D(Ti_Audétat23) Times'!$C390)/(365.35*24*3600)</f>
        <v>250.73064590105346</v>
      </c>
      <c r="S390" s="2">
        <f>([412]L!T390*'D(Ti_Audétat23) Times'!$F390*0.000001)^2/(4*'D(Ti_Audétat23) Times'!$C390)/(365.35*24*3600)</f>
        <v>8395.1329450577941</v>
      </c>
      <c r="T390" s="2"/>
      <c r="U390" s="2">
        <f>([412]L!V390*'D(Ti_Audétat23) Times'!$F390*0.000001)^2/(4*'D(Ti_Audétat23) Times'!$C390)/(365.35*24*3600)</f>
        <v>3784.2676421851052</v>
      </c>
      <c r="V390" s="2">
        <f>([412]L!W390*'D(Ti_Audétat23) Times'!$F390*0.000001)^2/(4*'D(Ti_Audétat23) Times'!$C390)/(365.35*24*3600)</f>
        <v>3403.4457425146429</v>
      </c>
      <c r="W390" s="2">
        <f>([412]L!X390*'D(Ti_Audétat23) Times'!$F390*0.000001)^2/(4*'D(Ti_Audétat23) Times'!$C390)/(365.35*24*3600)</f>
        <v>3570.3712781459899</v>
      </c>
      <c r="X390" s="2"/>
      <c r="Y390" s="2">
        <f>([412]L!Z390*'D(Ti_Audétat23) Times'!$F390*0.000001)^2/(4*'D(Ti_Audétat23) Times'!$C390)/(365.35*24*3600)</f>
        <v>2969.5227337156975</v>
      </c>
      <c r="Z390" s="2">
        <f>([412]L!AB390*'D(Ti_Audétat23) Times'!$F390*0.000001)^2/(4*'D(Ti_Audétat23) Times'!$C390)/(365.35*24*3600)</f>
        <v>2938.9286666847338</v>
      </c>
      <c r="AA390" s="2">
        <f>([412]L!AC390*'D(Ti_Audétat23) Times'!$F390*0.000001)^2/(4*'D(Ti_Audétat23) Times'!$C390)/(365.35*24*3600)</f>
        <v>74.972978377604761</v>
      </c>
      <c r="AB390" s="2">
        <f>([412]L!AD390*'D(Ti_Audétat23) Times'!$F390*0.000001)^2/(4*'D(Ti_Audétat23) Times'!$C390)/(365.35*24*3600)</f>
        <v>12764.751559636426</v>
      </c>
      <c r="AC390" s="2">
        <f t="shared" si="25"/>
        <v>2863.9556883071291</v>
      </c>
      <c r="AD390" s="2">
        <f t="shared" si="26"/>
        <v>9825.8228929516918</v>
      </c>
    </row>
    <row r="391" spans="1:30" x14ac:dyDescent="0.2">
      <c r="A391" t="str">
        <f>[412]L!A391</f>
        <v>CGI018-qtz09-CL-fit-2-offset</v>
      </c>
      <c r="B391">
        <v>750</v>
      </c>
      <c r="C391">
        <f t="shared" si="27"/>
        <v>1.1456341375347871E-23</v>
      </c>
      <c r="D391">
        <v>2250</v>
      </c>
      <c r="E391">
        <v>1024</v>
      </c>
      <c r="F391">
        <f t="shared" si="24"/>
        <v>2.197265625</v>
      </c>
      <c r="I391" s="2">
        <f>([412]L!J391*'D(Ti_Audétat23) Times'!$F391*0.000001)^2/(4*'D(Ti_Audétat23) Times'!$C391)/(365.35*24*3600)</f>
        <v>7.0311468891604237E-2</v>
      </c>
      <c r="J391" s="2">
        <f>([412]L!K391*'D(Ti_Audétat23) Times'!$F391*0.000001)^2/(4*'D(Ti_Audétat23) Times'!$C391)/(365.35*24*3600)</f>
        <v>116.99566486524691</v>
      </c>
      <c r="K391" s="2">
        <f>([412]L!L391*'D(Ti_Audétat23) Times'!$F391*0.000001)^2/(4*'D(Ti_Audétat23) Times'!$C391)/(365.35*24*3600)</f>
        <v>33300.035860505654</v>
      </c>
      <c r="L391" s="2">
        <f>([412]L!M391*'D(Ti_Audétat23) Times'!$F391*0.000001)^2/(4*'D(Ti_Audétat23) Times'!$C391)/(365.35*24*3600)</f>
        <v>50978.004397643293</v>
      </c>
      <c r="M391" s="2">
        <f>([412]L!N391*'D(Ti_Audétat23) Times'!$F391*0.000001)^2/(4*'D(Ti_Audétat23) Times'!$C391)/(365.35*24*3600)</f>
        <v>82997.115829263435</v>
      </c>
      <c r="N391" s="2">
        <f>([412]L!O391*'D(Ti_Audétat23) Times'!$F391*0.000001)^2/(4*'D(Ti_Audétat23) Times'!$C391)/(365.35*24*3600)</f>
        <v>5995.233835574365</v>
      </c>
      <c r="O391" s="2">
        <f>([412]L!P391*'D(Ti_Audétat23) Times'!$F391*0.000001)^2/(4*'D(Ti_Audétat23) Times'!$C391)/(365.35*24*3600)</f>
        <v>7330.4481419226577</v>
      </c>
      <c r="P391" s="2">
        <f>([412]L!Q391*'D(Ti_Audétat23) Times'!$F391*0.000001)^2/(4*'D(Ti_Audétat23) Times'!$C391)/(365.35*24*3600)</f>
        <v>88.018084103042213</v>
      </c>
      <c r="Q391" s="2">
        <f>([412]L!R391*'D(Ti_Audétat23) Times'!$F391*0.000001)^2/(4*'D(Ti_Audétat23) Times'!$C391)/(365.35*24*3600)</f>
        <v>2766.7822791258882</v>
      </c>
      <c r="R391" s="2">
        <f>([412]L!S391*'D(Ti_Audétat23) Times'!$F391*0.000001)^2/(4*'D(Ti_Audétat23) Times'!$C391)/(365.35*24*3600)</f>
        <v>86786.576944078886</v>
      </c>
      <c r="S391" s="2">
        <f>([412]L!T391*'D(Ti_Audétat23) Times'!$F391*0.000001)^2/(4*'D(Ti_Audétat23) Times'!$C391)/(365.35*24*3600)</f>
        <v>187295.44505970905</v>
      </c>
      <c r="T391" s="2"/>
      <c r="U391" s="2">
        <f>([412]L!V391*'D(Ti_Audétat23) Times'!$F391*0.000001)^2/(4*'D(Ti_Audétat23) Times'!$C391)/(365.35*24*3600)</f>
        <v>76651.054904925375</v>
      </c>
      <c r="V391" s="2">
        <f>([412]L!W391*'D(Ti_Audétat23) Times'!$F391*0.000001)^2/(4*'D(Ti_Audétat23) Times'!$C391)/(365.35*24*3600)</f>
        <v>22769.187851059884</v>
      </c>
      <c r="W391" s="2">
        <f>([412]L!X391*'D(Ti_Audétat23) Times'!$F391*0.000001)^2/(4*'D(Ti_Audétat23) Times'!$C391)/(365.35*24*3600)</f>
        <v>7330.4481419226577</v>
      </c>
      <c r="X391" s="2"/>
      <c r="Y391" s="2">
        <f>([412]L!Z391*'D(Ti_Audétat23) Times'!$F391*0.000001)^2/(4*'D(Ti_Audétat23) Times'!$C391)/(365.35*24*3600)</f>
        <v>73303.774222876658</v>
      </c>
      <c r="Z391" s="2">
        <f>([412]L!AB391*'D(Ti_Audétat23) Times'!$F391*0.000001)^2/(4*'D(Ti_Audétat23) Times'!$C391)/(365.35*24*3600)</f>
        <v>104300.78405607979</v>
      </c>
      <c r="AA391" s="2">
        <f>([412]L!AC391*'D(Ti_Audétat23) Times'!$F391*0.000001)^2/(4*'D(Ti_Audétat23) Times'!$C391)/(365.35*24*3600)</f>
        <v>2.7898396189745416</v>
      </c>
      <c r="AB391" s="2">
        <f>([412]L!AD391*'D(Ti_Audétat23) Times'!$F391*0.000001)^2/(4*'D(Ti_Audétat23) Times'!$C391)/(365.35*24*3600)</f>
        <v>795275.23828828894</v>
      </c>
      <c r="AC391" s="2">
        <f t="shared" si="25"/>
        <v>104297.99421646082</v>
      </c>
      <c r="AD391" s="2">
        <f t="shared" si="26"/>
        <v>690974.45423220913</v>
      </c>
    </row>
    <row r="392" spans="1:30" x14ac:dyDescent="0.2">
      <c r="A392" t="str">
        <f>[412]L!A392</f>
        <v>CGI018-qtz09-CL-fit-3-offset</v>
      </c>
      <c r="B392">
        <v>750</v>
      </c>
      <c r="C392">
        <f t="shared" si="27"/>
        <v>1.1456341375347871E-23</v>
      </c>
      <c r="D392">
        <v>2250</v>
      </c>
      <c r="E392">
        <v>1024</v>
      </c>
      <c r="F392">
        <f t="shared" si="24"/>
        <v>2.197265625</v>
      </c>
      <c r="I392" s="2">
        <f>([412]L!J392*'D(Ti_Audétat23) Times'!$F392*0.000001)^2/(4*'D(Ti_Audétat23) Times'!$C392)/(365.35*24*3600)</f>
        <v>23338.143337323771</v>
      </c>
      <c r="J392" s="2">
        <f>([412]L!K392*'D(Ti_Audétat23) Times'!$F392*0.000001)^2/(4*'D(Ti_Audétat23) Times'!$C392)/(365.35*24*3600)</f>
        <v>20322.270303703081</v>
      </c>
      <c r="K392" s="2">
        <f>([412]L!L392*'D(Ti_Audétat23) Times'!$F392*0.000001)^2/(4*'D(Ti_Audétat23) Times'!$C392)/(365.35*24*3600)</f>
        <v>9451.8063832677981</v>
      </c>
      <c r="L392" s="2">
        <f>([412]L!M392*'D(Ti_Audétat23) Times'!$F392*0.000001)^2/(4*'D(Ti_Audétat23) Times'!$C392)/(365.35*24*3600)</f>
        <v>1.7927325138256252</v>
      </c>
      <c r="M392" s="2">
        <f>([412]L!N392*'D(Ti_Audétat23) Times'!$F392*0.000001)^2/(4*'D(Ti_Audétat23) Times'!$C392)/(365.35*24*3600)</f>
        <v>5.7912720396039674</v>
      </c>
      <c r="N392" s="2">
        <f>([412]L!O392*'D(Ti_Audétat23) Times'!$F392*0.000001)^2/(4*'D(Ti_Audétat23) Times'!$C392)/(365.35*24*3600)</f>
        <v>9.2798328633629072</v>
      </c>
      <c r="O392" s="2">
        <f>([412]L!P392*'D(Ti_Audétat23) Times'!$F392*0.000001)^2/(4*'D(Ti_Audétat23) Times'!$C392)/(365.35*24*3600)</f>
        <v>0</v>
      </c>
      <c r="P392" s="2">
        <f>([412]L!Q392*'D(Ti_Audétat23) Times'!$F392*0.000001)^2/(4*'D(Ti_Audétat23) Times'!$C392)/(365.35*24*3600)</f>
        <v>4709.5398240781815</v>
      </c>
      <c r="Q392" s="2">
        <f>([412]L!R392*'D(Ti_Audétat23) Times'!$F392*0.000001)^2/(4*'D(Ti_Audétat23) Times'!$C392)/(365.35*24*3600)</f>
        <v>11008.091777233871</v>
      </c>
      <c r="R392" s="2">
        <f>([412]L!S392*'D(Ti_Audétat23) Times'!$F392*0.000001)^2/(4*'D(Ti_Audétat23) Times'!$C392)/(365.35*24*3600)</f>
        <v>9475.0987319143169</v>
      </c>
      <c r="S392" s="2">
        <f>([412]L!T392*'D(Ti_Audétat23) Times'!$F392*0.000001)^2/(4*'D(Ti_Audétat23) Times'!$C392)/(365.35*24*3600)</f>
        <v>107985.57921829319</v>
      </c>
      <c r="T392" s="2"/>
      <c r="U392" s="2">
        <f>([412]L!V392*'D(Ti_Audétat23) Times'!$F392*0.000001)^2/(4*'D(Ti_Audétat23) Times'!$C392)/(365.35*24*3600)</f>
        <v>10378.387949089096</v>
      </c>
      <c r="V392" s="2">
        <f>([412]L!W392*'D(Ti_Audétat23) Times'!$F392*0.000001)^2/(4*'D(Ti_Audétat23) Times'!$C392)/(365.35*24*3600)</f>
        <v>9976.6903764814178</v>
      </c>
      <c r="W392" s="2">
        <f>([412]L!X392*'D(Ti_Audétat23) Times'!$F392*0.000001)^2/(4*'D(Ti_Audétat23) Times'!$C392)/(365.35*24*3600)</f>
        <v>9463.4489745058399</v>
      </c>
      <c r="X392" s="2"/>
      <c r="Y392" s="2">
        <f>([412]L!Z392*'D(Ti_Audétat23) Times'!$F392*0.000001)^2/(4*'D(Ti_Audétat23) Times'!$C392)/(365.35*24*3600)</f>
        <v>10966.611444767985</v>
      </c>
      <c r="Z392" s="2">
        <f>([412]L!AB392*'D(Ti_Audétat23) Times'!$F392*0.000001)^2/(4*'D(Ti_Audétat23) Times'!$C392)/(365.35*24*3600)</f>
        <v>57203.783849746433</v>
      </c>
      <c r="AA392" s="2">
        <f>([412]L!AC392*'D(Ti_Audétat23) Times'!$F392*0.000001)^2/(4*'D(Ti_Audétat23) Times'!$C392)/(365.35*24*3600)</f>
        <v>0.54083041661620535</v>
      </c>
      <c r="AB392" s="2">
        <f>([412]L!AD392*'D(Ti_Audétat23) Times'!$F392*0.000001)^2/(4*'D(Ti_Audétat23) Times'!$C392)/(365.35*24*3600)</f>
        <v>5094636.7162693208</v>
      </c>
      <c r="AC392" s="2">
        <f t="shared" si="25"/>
        <v>57203.243019329813</v>
      </c>
      <c r="AD392" s="2">
        <f t="shared" si="26"/>
        <v>5037432.9324195748</v>
      </c>
    </row>
    <row r="393" spans="1:30" x14ac:dyDescent="0.2">
      <c r="A393" t="str">
        <f>[412]L!A393</f>
        <v>CGI018-qtz09-CL-fit-4-offset</v>
      </c>
      <c r="B393">
        <v>750</v>
      </c>
      <c r="C393">
        <f t="shared" si="27"/>
        <v>1.1456341375347871E-23</v>
      </c>
      <c r="D393">
        <v>2250</v>
      </c>
      <c r="E393">
        <v>1024</v>
      </c>
      <c r="F393">
        <f t="shared" si="24"/>
        <v>2.197265625</v>
      </c>
      <c r="I393" s="2">
        <f>([412]L!J393*'D(Ti_Audétat23) Times'!$F393*0.000001)^2/(4*'D(Ti_Audétat23) Times'!$C393)/(365.35*24*3600)</f>
        <v>22.089426934909952</v>
      </c>
      <c r="J393" s="2">
        <f>([412]L!K393*'D(Ti_Audétat23) Times'!$F393*0.000001)^2/(4*'D(Ti_Audétat23) Times'!$C393)/(365.35*24*3600)</f>
        <v>3.1140145674569644E-12</v>
      </c>
      <c r="K393" s="2">
        <f>([412]L!L393*'D(Ti_Audétat23) Times'!$F393*0.000001)^2/(4*'D(Ti_Audétat23) Times'!$C393)/(365.35*24*3600)</f>
        <v>101.48792573420405</v>
      </c>
      <c r="L393" s="2">
        <f>([412]L!M393*'D(Ti_Audétat23) Times'!$F393*0.000001)^2/(4*'D(Ti_Audétat23) Times'!$C393)/(365.35*24*3600)</f>
        <v>11.10676895000428</v>
      </c>
      <c r="M393" s="2">
        <f>([412]L!N393*'D(Ti_Audétat23) Times'!$F393*0.000001)^2/(4*'D(Ti_Audétat23) Times'!$C393)/(365.35*24*3600)</f>
        <v>3549.7685501890915</v>
      </c>
      <c r="N393" s="2">
        <f>([412]L!O393*'D(Ti_Audétat23) Times'!$F393*0.000001)^2/(4*'D(Ti_Audétat23) Times'!$C393)/(365.35*24*3600)</f>
        <v>1216.965082132662</v>
      </c>
      <c r="O393" s="2">
        <f>([412]L!P393*'D(Ti_Audétat23) Times'!$F393*0.000001)^2/(4*'D(Ti_Audétat23) Times'!$C393)/(365.35*24*3600)</f>
        <v>24.327742035054783</v>
      </c>
      <c r="P393" s="2">
        <f>([412]L!Q393*'D(Ti_Audétat23) Times'!$F393*0.000001)^2/(4*'D(Ti_Audétat23) Times'!$C393)/(365.35*24*3600)</f>
        <v>4018.2961406933332</v>
      </c>
      <c r="Q393" s="2">
        <f>([412]L!R393*'D(Ti_Audétat23) Times'!$F393*0.000001)^2/(4*'D(Ti_Audétat23) Times'!$C393)/(365.35*24*3600)</f>
        <v>12784.639892102106</v>
      </c>
      <c r="R393" s="2">
        <f>([412]L!S393*'D(Ti_Audétat23) Times'!$F393*0.000001)^2/(4*'D(Ti_Audétat23) Times'!$C393)/(365.35*24*3600)</f>
        <v>40740.158565854967</v>
      </c>
      <c r="S393" s="2">
        <f>([412]L!T393*'D(Ti_Audétat23) Times'!$F393*0.000001)^2/(4*'D(Ti_Audétat23) Times'!$C393)/(365.35*24*3600)</f>
        <v>4261.9852658500458</v>
      </c>
      <c r="T393" s="2"/>
      <c r="U393" s="2">
        <f>([412]L!V393*'D(Ti_Audétat23) Times'!$F393*0.000001)^2/(4*'D(Ti_Audétat23) Times'!$C393)/(365.35*24*3600)</f>
        <v>2735.2597745964772</v>
      </c>
      <c r="V393" s="2">
        <f>([412]L!W393*'D(Ti_Audétat23) Times'!$F393*0.000001)^2/(4*'D(Ti_Audétat23) Times'!$C393)/(365.35*24*3600)</f>
        <v>2601.8256334871639</v>
      </c>
      <c r="W393" s="2">
        <f>([412]L!X393*'D(Ti_Audétat23) Times'!$F393*0.000001)^2/(4*'D(Ti_Audétat23) Times'!$C393)/(365.35*24*3600)</f>
        <v>1216.965082132662</v>
      </c>
      <c r="X393" s="2"/>
      <c r="Y393" s="2">
        <f>([412]L!Z393*'D(Ti_Audétat23) Times'!$F393*0.000001)^2/(4*'D(Ti_Audétat23) Times'!$C393)/(365.35*24*3600)</f>
        <v>1403.895007755038</v>
      </c>
      <c r="Z393" s="2">
        <f>([412]L!AB393*'D(Ti_Audétat23) Times'!$F393*0.000001)^2/(4*'D(Ti_Audétat23) Times'!$C393)/(365.35*24*3600)</f>
        <v>4908.4225990390469</v>
      </c>
      <c r="AA393" s="2">
        <f>([412]L!AC393*'D(Ti_Audétat23) Times'!$F393*0.000001)^2/(4*'D(Ti_Audétat23) Times'!$C393)/(365.35*24*3600)</f>
        <v>5.3216996108204736E-13</v>
      </c>
      <c r="AB393" s="2">
        <f>([412]L!AD393*'D(Ti_Audétat23) Times'!$F393*0.000001)^2/(4*'D(Ti_Audétat23) Times'!$C393)/(365.35*24*3600)</f>
        <v>64905.843305639974</v>
      </c>
      <c r="AC393" s="2">
        <f t="shared" si="25"/>
        <v>4908.422599039046</v>
      </c>
      <c r="AD393" s="2">
        <f t="shared" si="26"/>
        <v>59997.420706600926</v>
      </c>
    </row>
    <row r="394" spans="1:30" x14ac:dyDescent="0.2">
      <c r="A394" t="str">
        <f>[412]L!A394</f>
        <v>CGI018-qtz10-CL-fit-1-offset</v>
      </c>
      <c r="B394">
        <v>750</v>
      </c>
      <c r="C394">
        <f t="shared" si="27"/>
        <v>1.1456341375347871E-23</v>
      </c>
      <c r="D394">
        <v>2600</v>
      </c>
      <c r="E394">
        <v>1024</v>
      </c>
      <c r="F394">
        <f t="shared" si="24"/>
        <v>2.5390625</v>
      </c>
      <c r="I394" s="2">
        <f>([412]L!J394*'D(Ti_Audétat23) Times'!$F394*0.000001)^2/(4*'D(Ti_Audétat23) Times'!$C394)/(365.35*24*3600)</f>
        <v>83613.566309566406</v>
      </c>
      <c r="J394" s="2">
        <f>([412]L!K394*'D(Ti_Audétat23) Times'!$F394*0.000001)^2/(4*'D(Ti_Audétat23) Times'!$C394)/(365.35*24*3600)</f>
        <v>49556.486345484118</v>
      </c>
      <c r="K394" s="2">
        <f>([412]L!L394*'D(Ti_Audétat23) Times'!$F394*0.000001)^2/(4*'D(Ti_Audétat23) Times'!$C394)/(365.35*24*3600)</f>
        <v>42802.92661329273</v>
      </c>
      <c r="L394" s="2">
        <f>([412]L!M394*'D(Ti_Audétat23) Times'!$F394*0.000001)^2/(4*'D(Ti_Audétat23) Times'!$C394)/(365.35*24*3600)</f>
        <v>22162.101409281866</v>
      </c>
      <c r="M394" s="2">
        <f>([412]L!N394*'D(Ti_Audétat23) Times'!$F394*0.000001)^2/(4*'D(Ti_Audétat23) Times'!$C394)/(365.35*24*3600)</f>
        <v>68762.380048043429</v>
      </c>
      <c r="N394" s="2">
        <f>([412]L!O394*'D(Ti_Audétat23) Times'!$F394*0.000001)^2/(4*'D(Ti_Audétat23) Times'!$C394)/(365.35*24*3600)</f>
        <v>100643.0094374425</v>
      </c>
      <c r="O394" s="2">
        <f>([412]L!P394*'D(Ti_Audétat23) Times'!$F394*0.000001)^2/(4*'D(Ti_Audétat23) Times'!$C394)/(365.35*24*3600)</f>
        <v>32867.179879673189</v>
      </c>
      <c r="P394" s="2">
        <f>([412]L!Q394*'D(Ti_Audétat23) Times'!$F394*0.000001)^2/(4*'D(Ti_Audétat23) Times'!$C394)/(365.35*24*3600)</f>
        <v>20998.805268427463</v>
      </c>
      <c r="Q394" s="2">
        <f>([412]L!R394*'D(Ti_Audétat23) Times'!$F394*0.000001)^2/(4*'D(Ti_Audétat23) Times'!$C394)/(365.35*24*3600)</f>
        <v>27306.994945847011</v>
      </c>
      <c r="R394" s="2">
        <f>([412]L!S394*'D(Ti_Audétat23) Times'!$F394*0.000001)^2/(4*'D(Ti_Audétat23) Times'!$C394)/(365.35*24*3600)</f>
        <v>24749.642686821946</v>
      </c>
      <c r="S394" s="2">
        <f>([412]L!T394*'D(Ti_Audétat23) Times'!$F394*0.000001)^2/(4*'D(Ti_Audétat23) Times'!$C394)/(365.35*24*3600)</f>
        <v>34326.443467183817</v>
      </c>
      <c r="T394" s="2"/>
      <c r="U394" s="2">
        <f>([412]L!V394*'D(Ti_Audétat23) Times'!$F394*0.000001)^2/(4*'D(Ti_Audétat23) Times'!$C394)/(365.35*24*3600)</f>
        <v>40828.202329676868</v>
      </c>
      <c r="V394" s="2">
        <f>([412]L!W394*'D(Ti_Audétat23) Times'!$F394*0.000001)^2/(4*'D(Ti_Audétat23) Times'!$C394)/(365.35*24*3600)</f>
        <v>43001.369326120395</v>
      </c>
      <c r="W394" s="2">
        <f>([412]L!X394*'D(Ti_Audétat23) Times'!$F394*0.000001)^2/(4*'D(Ti_Audétat23) Times'!$C394)/(365.35*24*3600)</f>
        <v>34326.443467183817</v>
      </c>
      <c r="X394" s="2"/>
      <c r="Y394" s="2">
        <f>([412]L!Z394*'D(Ti_Audétat23) Times'!$F394*0.000001)^2/(4*'D(Ti_Audétat23) Times'!$C394)/(365.35*24*3600)</f>
        <v>43919.932521296527</v>
      </c>
      <c r="Z394" s="2">
        <f>([412]L!AB394*'D(Ti_Audétat23) Times'!$F394*0.000001)^2/(4*'D(Ti_Audétat23) Times'!$C394)/(365.35*24*3600)</f>
        <v>44624.888271717886</v>
      </c>
      <c r="AA394" s="2">
        <f>([412]L!AC394*'D(Ti_Audétat23) Times'!$F394*0.000001)^2/(4*'D(Ti_Audétat23) Times'!$C394)/(365.35*24*3600)</f>
        <v>17277.888252330351</v>
      </c>
      <c r="AB394" s="2">
        <f>([412]L!AD394*'D(Ti_Audétat23) Times'!$F394*0.000001)^2/(4*'D(Ti_Audétat23) Times'!$C394)/(365.35*24*3600)</f>
        <v>99401.88253397416</v>
      </c>
      <c r="AC394" s="2">
        <f t="shared" si="25"/>
        <v>27347.000019387535</v>
      </c>
      <c r="AD394" s="2">
        <f t="shared" si="26"/>
        <v>54776.994262256274</v>
      </c>
    </row>
    <row r="395" spans="1:30" x14ac:dyDescent="0.2">
      <c r="A395" t="str">
        <f>[412]L!A395</f>
        <v>CGI018-qtz10-CL-fit-2-offset</v>
      </c>
      <c r="B395">
        <v>750</v>
      </c>
      <c r="C395">
        <f t="shared" si="27"/>
        <v>1.1456341375347871E-23</v>
      </c>
      <c r="D395">
        <v>2600</v>
      </c>
      <c r="E395">
        <v>1024</v>
      </c>
      <c r="F395">
        <f t="shared" si="24"/>
        <v>2.5390625</v>
      </c>
      <c r="I395" s="2">
        <f>([412]L!J395*'D(Ti_Audétat23) Times'!$F395*0.000001)^2/(4*'D(Ti_Audétat23) Times'!$C395)/(365.35*24*3600)</f>
        <v>28088.334414156358</v>
      </c>
      <c r="J395" s="2">
        <f>([412]L!K395*'D(Ti_Audétat23) Times'!$F395*0.000001)^2/(4*'D(Ti_Audétat23) Times'!$C395)/(365.35*24*3600)</f>
        <v>19865.622741914562</v>
      </c>
      <c r="K395" s="2">
        <f>([412]L!L395*'D(Ti_Audétat23) Times'!$F395*0.000001)^2/(4*'D(Ti_Audétat23) Times'!$C395)/(365.35*24*3600)</f>
        <v>16425.377531924743</v>
      </c>
      <c r="L395" s="2">
        <f>([412]L!M395*'D(Ti_Audétat23) Times'!$F395*0.000001)^2/(4*'D(Ti_Audétat23) Times'!$C395)/(365.35*24*3600)</f>
        <v>27041.501716891671</v>
      </c>
      <c r="M395" s="2">
        <f>([412]L!N395*'D(Ti_Audétat23) Times'!$F395*0.000001)^2/(4*'D(Ti_Audétat23) Times'!$C395)/(365.35*24*3600)</f>
        <v>26539.030104597256</v>
      </c>
      <c r="N395" s="2">
        <f>([412]L!O395*'D(Ti_Audétat23) Times'!$F395*0.000001)^2/(4*'D(Ti_Audétat23) Times'!$C395)/(365.35*24*3600)</f>
        <v>10135.6876930666</v>
      </c>
      <c r="O395" s="2">
        <f>([412]L!P395*'D(Ti_Audétat23) Times'!$F395*0.000001)^2/(4*'D(Ti_Audétat23) Times'!$C395)/(365.35*24*3600)</f>
        <v>33349.438846380908</v>
      </c>
      <c r="P395" s="2">
        <f>([412]L!Q395*'D(Ti_Audétat23) Times'!$F395*0.000001)^2/(4*'D(Ti_Audétat23) Times'!$C395)/(365.35*24*3600)</f>
        <v>12886.118380699025</v>
      </c>
      <c r="Q395" s="2">
        <f>([412]L!R395*'D(Ti_Audétat23) Times'!$F395*0.000001)^2/(4*'D(Ti_Audétat23) Times'!$C395)/(365.35*24*3600)</f>
        <v>14814.633794241854</v>
      </c>
      <c r="R395" s="2">
        <f>([412]L!S395*'D(Ti_Audétat23) Times'!$F395*0.000001)^2/(4*'D(Ti_Audétat23) Times'!$C395)/(365.35*24*3600)</f>
        <v>39018.674177522036</v>
      </c>
      <c r="S395" s="2">
        <f>([412]L!T395*'D(Ti_Audétat23) Times'!$F395*0.000001)^2/(4*'D(Ti_Audétat23) Times'!$C395)/(365.35*24*3600)</f>
        <v>13765.629121531094</v>
      </c>
      <c r="T395" s="2"/>
      <c r="U395" s="2">
        <f>([412]L!V395*'D(Ti_Audétat23) Times'!$F395*0.000001)^2/(4*'D(Ti_Audétat23) Times'!$C395)/(365.35*24*3600)</f>
        <v>22232.782297140082</v>
      </c>
      <c r="V395" s="2">
        <f>([412]L!W395*'D(Ti_Audétat23) Times'!$F395*0.000001)^2/(4*'D(Ti_Audétat23) Times'!$C395)/(365.35*24*3600)</f>
        <v>21089.353020977393</v>
      </c>
      <c r="W395" s="2">
        <f>([412]L!X395*'D(Ti_Audétat23) Times'!$F395*0.000001)^2/(4*'D(Ti_Audétat23) Times'!$C395)/(365.35*24*3600)</f>
        <v>19865.622741914562</v>
      </c>
      <c r="X395" s="2"/>
      <c r="Y395" s="2">
        <f>([412]L!Z395*'D(Ti_Audétat23) Times'!$F395*0.000001)^2/(4*'D(Ti_Audétat23) Times'!$C395)/(365.35*24*3600)</f>
        <v>20077.267368916913</v>
      </c>
      <c r="Z395" s="2">
        <f>([412]L!AB395*'D(Ti_Audétat23) Times'!$F395*0.000001)^2/(4*'D(Ti_Audétat23) Times'!$C395)/(365.35*24*3600)</f>
        <v>20192.334619613281</v>
      </c>
      <c r="AA395" s="2">
        <f>([412]L!AC395*'D(Ti_Audétat23) Times'!$F395*0.000001)^2/(4*'D(Ti_Audétat23) Times'!$C395)/(365.35*24*3600)</f>
        <v>4409.6460967549046</v>
      </c>
      <c r="AB395" s="2">
        <f>([412]L!AD395*'D(Ti_Audétat23) Times'!$F395*0.000001)^2/(4*'D(Ti_Audétat23) Times'!$C395)/(365.35*24*3600)</f>
        <v>45017.079530103765</v>
      </c>
      <c r="AC395" s="2">
        <f t="shared" si="25"/>
        <v>15782.688522858376</v>
      </c>
      <c r="AD395" s="2">
        <f t="shared" si="26"/>
        <v>24824.744910490484</v>
      </c>
    </row>
    <row r="396" spans="1:30" x14ac:dyDescent="0.2">
      <c r="A396" t="str">
        <f>[412]L!A396</f>
        <v>CGI018-qtz10-CL-fit-3-offset</v>
      </c>
      <c r="B396">
        <v>750</v>
      </c>
      <c r="C396">
        <f t="shared" si="27"/>
        <v>1.1456341375347871E-23</v>
      </c>
      <c r="D396">
        <v>2600</v>
      </c>
      <c r="E396">
        <v>1024</v>
      </c>
      <c r="F396">
        <f t="shared" si="24"/>
        <v>2.5390625</v>
      </c>
      <c r="I396" s="2">
        <f>([412]L!J396*'D(Ti_Audétat23) Times'!$F396*0.000001)^2/(4*'D(Ti_Audétat23) Times'!$C396)/(365.35*24*3600)</f>
        <v>16037.191313941112</v>
      </c>
      <c r="J396" s="2">
        <f>([412]L!K396*'D(Ti_Audétat23) Times'!$F396*0.000001)^2/(4*'D(Ti_Audétat23) Times'!$C396)/(365.35*24*3600)</f>
        <v>10294.638450795566</v>
      </c>
      <c r="K396" s="2">
        <f>([412]L!L396*'D(Ti_Audétat23) Times'!$F396*0.000001)^2/(4*'D(Ti_Audétat23) Times'!$C396)/(365.35*24*3600)</f>
        <v>6479.7883769639175</v>
      </c>
      <c r="L396" s="2">
        <f>([412]L!M396*'D(Ti_Audétat23) Times'!$F396*0.000001)^2/(4*'D(Ti_Audétat23) Times'!$C396)/(365.35*24*3600)</f>
        <v>6275.2654690005093</v>
      </c>
      <c r="M396" s="2">
        <f>([412]L!N396*'D(Ti_Audétat23) Times'!$F396*0.000001)^2/(4*'D(Ti_Audétat23) Times'!$C396)/(365.35*24*3600)</f>
        <v>24562.436465499653</v>
      </c>
      <c r="N396" s="2">
        <f>([412]L!O396*'D(Ti_Audétat23) Times'!$F396*0.000001)^2/(4*'D(Ti_Audétat23) Times'!$C396)/(365.35*24*3600)</f>
        <v>10202.183872816247</v>
      </c>
      <c r="O396" s="2">
        <f>([412]L!P396*'D(Ti_Audétat23) Times'!$F396*0.000001)^2/(4*'D(Ti_Audétat23) Times'!$C396)/(365.35*24*3600)</f>
        <v>15259.204893200373</v>
      </c>
      <c r="P396" s="2">
        <f>([412]L!Q396*'D(Ti_Audétat23) Times'!$F396*0.000001)^2/(4*'D(Ti_Audétat23) Times'!$C396)/(365.35*24*3600)</f>
        <v>30209.251753947916</v>
      </c>
      <c r="Q396" s="2">
        <f>([412]L!R396*'D(Ti_Audétat23) Times'!$F396*0.000001)^2/(4*'D(Ti_Audétat23) Times'!$C396)/(365.35*24*3600)</f>
        <v>5772.1609551723141</v>
      </c>
      <c r="R396" s="2">
        <f>([412]L!S396*'D(Ti_Audétat23) Times'!$F396*0.000001)^2/(4*'D(Ti_Audétat23) Times'!$C396)/(365.35*24*3600)</f>
        <v>11137.46956076499</v>
      </c>
      <c r="S396" s="2">
        <f>([412]L!T396*'D(Ti_Audétat23) Times'!$F396*0.000001)^2/(4*'D(Ti_Audétat23) Times'!$C396)/(365.35*24*3600)</f>
        <v>12691.627316761525</v>
      </c>
      <c r="T396" s="2"/>
      <c r="U396" s="2">
        <f>([412]L!V396*'D(Ti_Audétat23) Times'!$F396*0.000001)^2/(4*'D(Ti_Audétat23) Times'!$C396)/(365.35*24*3600)</f>
        <v>11894.843031710081</v>
      </c>
      <c r="V396" s="2">
        <f>([412]L!W396*'D(Ti_Audétat23) Times'!$F396*0.000001)^2/(4*'D(Ti_Audétat23) Times'!$C396)/(365.35*24*3600)</f>
        <v>12646.975351243007</v>
      </c>
      <c r="W396" s="2">
        <f>([412]L!X396*'D(Ti_Audétat23) Times'!$F396*0.000001)^2/(4*'D(Ti_Audétat23) Times'!$C396)/(365.35*24*3600)</f>
        <v>11137.46956076499</v>
      </c>
      <c r="X396" s="2"/>
      <c r="Y396" s="2">
        <f>([412]L!Z396*'D(Ti_Audétat23) Times'!$F396*0.000001)^2/(4*'D(Ti_Audétat23) Times'!$C396)/(365.35*24*3600)</f>
        <v>11394.664315947606</v>
      </c>
      <c r="Z396" s="2">
        <f>([412]L!AB396*'D(Ti_Audétat23) Times'!$F396*0.000001)^2/(4*'D(Ti_Audétat23) Times'!$C396)/(365.35*24*3600)</f>
        <v>11562.43213197851</v>
      </c>
      <c r="AA396" s="2">
        <f>([412]L!AC396*'D(Ti_Audétat23) Times'!$F396*0.000001)^2/(4*'D(Ti_Audétat23) Times'!$C396)/(365.35*24*3600)</f>
        <v>335.42603521471477</v>
      </c>
      <c r="AB396" s="2">
        <f>([412]L!AD396*'D(Ti_Audétat23) Times'!$F396*0.000001)^2/(4*'D(Ti_Audétat23) Times'!$C396)/(365.35*24*3600)</f>
        <v>32560.529368390646</v>
      </c>
      <c r="AC396" s="2">
        <f t="shared" si="25"/>
        <v>11227.006096763796</v>
      </c>
      <c r="AD396" s="2">
        <f t="shared" si="26"/>
        <v>20998.097236412133</v>
      </c>
    </row>
    <row r="397" spans="1:30" x14ac:dyDescent="0.2">
      <c r="A397" t="str">
        <f>[412]L!A397</f>
        <v>CGI018-qtz10-CL-fit-4-offset</v>
      </c>
      <c r="B397">
        <v>750</v>
      </c>
      <c r="C397">
        <f t="shared" si="27"/>
        <v>1.1456341375347871E-23</v>
      </c>
      <c r="D397">
        <v>2600</v>
      </c>
      <c r="E397">
        <v>1024</v>
      </c>
      <c r="F397">
        <f t="shared" si="24"/>
        <v>2.5390625</v>
      </c>
      <c r="I397" s="2">
        <f>([412]L!J397*'D(Ti_Audétat23) Times'!$F397*0.000001)^2/(4*'D(Ti_Audétat23) Times'!$C397)/(365.35*24*3600)</f>
        <v>7813.3362201992686</v>
      </c>
      <c r="J397" s="2">
        <f>([412]L!K397*'D(Ti_Audétat23) Times'!$F397*0.000001)^2/(4*'D(Ti_Audétat23) Times'!$C397)/(365.35*24*3600)</f>
        <v>9086.1256492852717</v>
      </c>
      <c r="K397" s="2">
        <f>([412]L!L397*'D(Ti_Audétat23) Times'!$F397*0.000001)^2/(4*'D(Ti_Audétat23) Times'!$C397)/(365.35*24*3600)</f>
        <v>4001.9626566957086</v>
      </c>
      <c r="L397" s="2">
        <f>([412]L!M397*'D(Ti_Audétat23) Times'!$F397*0.000001)^2/(4*'D(Ti_Audétat23) Times'!$C397)/(365.35*24*3600)</f>
        <v>5086.1521124557803</v>
      </c>
      <c r="M397" s="2">
        <f>([412]L!N397*'D(Ti_Audétat23) Times'!$F397*0.000001)^2/(4*'D(Ti_Audétat23) Times'!$C397)/(365.35*24*3600)</f>
        <v>14274.450146274414</v>
      </c>
      <c r="N397" s="2">
        <f>([412]L!O397*'D(Ti_Audétat23) Times'!$F397*0.000001)^2/(4*'D(Ti_Audétat23) Times'!$C397)/(365.35*24*3600)</f>
        <v>18399.877681881615</v>
      </c>
      <c r="O397" s="2">
        <f>([412]L!P397*'D(Ti_Audétat23) Times'!$F397*0.000001)^2/(4*'D(Ti_Audétat23) Times'!$C397)/(365.35*24*3600)</f>
        <v>12414.156929587569</v>
      </c>
      <c r="P397" s="2">
        <f>([412]L!Q397*'D(Ti_Audétat23) Times'!$F397*0.000001)^2/(4*'D(Ti_Audétat23) Times'!$C397)/(365.35*24*3600)</f>
        <v>10564.84841828601</v>
      </c>
      <c r="Q397" s="2">
        <f>([412]L!R397*'D(Ti_Audétat23) Times'!$F397*0.000001)^2/(4*'D(Ti_Audétat23) Times'!$C397)/(365.35*24*3600)</f>
        <v>10062.903088749144</v>
      </c>
      <c r="R397" s="2">
        <f>([412]L!S397*'D(Ti_Audétat23) Times'!$F397*0.000001)^2/(4*'D(Ti_Audétat23) Times'!$C397)/(365.35*24*3600)</f>
        <v>7791.8987424239112</v>
      </c>
      <c r="S397" s="2">
        <f>([412]L!T397*'D(Ti_Audétat23) Times'!$F397*0.000001)^2/(4*'D(Ti_Audétat23) Times'!$C397)/(365.35*24*3600)</f>
        <v>21.062580091293437</v>
      </c>
      <c r="T397" s="2"/>
      <c r="U397" s="2">
        <f>([412]L!V397*'D(Ti_Audétat23) Times'!$F397*0.000001)^2/(4*'D(Ti_Audétat23) Times'!$C397)/(365.35*24*3600)</f>
        <v>9528.5660204862597</v>
      </c>
      <c r="V397" s="2">
        <f>([412]L!W397*'D(Ti_Audétat23) Times'!$F397*0.000001)^2/(4*'D(Ti_Audétat23) Times'!$C397)/(365.35*24*3600)</f>
        <v>7950.0551089458149</v>
      </c>
      <c r="W397" s="2">
        <f>([412]L!X397*'D(Ti_Audétat23) Times'!$F397*0.000001)^2/(4*'D(Ti_Audétat23) Times'!$C397)/(365.35*24*3600)</f>
        <v>9086.1256492852717</v>
      </c>
      <c r="X397" s="2"/>
      <c r="Y397" s="2">
        <f>([412]L!Z397*'D(Ti_Audétat23) Times'!$F397*0.000001)^2/(4*'D(Ti_Audétat23) Times'!$C397)/(365.35*24*3600)</f>
        <v>8222.560168617827</v>
      </c>
      <c r="Z397" s="2">
        <f>([412]L!AB397*'D(Ti_Audétat23) Times'!$F397*0.000001)^2/(4*'D(Ti_Audétat23) Times'!$C397)/(365.35*24*3600)</f>
        <v>8815.7563733365623</v>
      </c>
      <c r="AA397" s="2">
        <f>([412]L!AC397*'D(Ti_Audétat23) Times'!$F397*0.000001)^2/(4*'D(Ti_Audétat23) Times'!$C397)/(365.35*24*3600)</f>
        <v>422.18141121857917</v>
      </c>
      <c r="AB397" s="2">
        <f>([412]L!AD397*'D(Ti_Audétat23) Times'!$F397*0.000001)^2/(4*'D(Ti_Audétat23) Times'!$C397)/(365.35*24*3600)</f>
        <v>31358.610942739837</v>
      </c>
      <c r="AC397" s="2">
        <f t="shared" si="25"/>
        <v>8393.5749621179839</v>
      </c>
      <c r="AD397" s="2">
        <f t="shared" si="26"/>
        <v>22542.854569403273</v>
      </c>
    </row>
    <row r="398" spans="1:30" x14ac:dyDescent="0.2">
      <c r="A398" t="str">
        <f>[412]L!A398</f>
        <v>CGI018-qtz10-CL-fit-5-offset</v>
      </c>
      <c r="B398">
        <v>750</v>
      </c>
      <c r="C398">
        <f t="shared" si="27"/>
        <v>1.1456341375347871E-23</v>
      </c>
      <c r="D398">
        <v>2600</v>
      </c>
      <c r="E398">
        <v>1024</v>
      </c>
      <c r="F398">
        <f t="shared" si="24"/>
        <v>2.5390625</v>
      </c>
      <c r="I398" s="2">
        <f>([412]L!J398*'D(Ti_Audétat23) Times'!$F398*0.000001)^2/(4*'D(Ti_Audétat23) Times'!$C398)/(365.35*24*3600)</f>
        <v>6165.5906487805796</v>
      </c>
      <c r="J398" s="2">
        <f>([412]L!K398*'D(Ti_Audétat23) Times'!$F398*0.000001)^2/(4*'D(Ti_Audétat23) Times'!$C398)/(365.35*24*3600)</f>
        <v>0.72804053702652771</v>
      </c>
      <c r="K398" s="2">
        <f>([412]L!L398*'D(Ti_Audétat23) Times'!$F398*0.000001)^2/(4*'D(Ti_Audétat23) Times'!$C398)/(365.35*24*3600)</f>
        <v>3441.6089211813683</v>
      </c>
      <c r="L398" s="2">
        <f>([412]L!M398*'D(Ti_Audétat23) Times'!$F398*0.000001)^2/(4*'D(Ti_Audétat23) Times'!$C398)/(365.35*24*3600)</f>
        <v>5396.7242676888054</v>
      </c>
      <c r="M398" s="2">
        <f>([412]L!N398*'D(Ti_Audétat23) Times'!$F398*0.000001)^2/(4*'D(Ti_Audétat23) Times'!$C398)/(365.35*24*3600)</f>
        <v>4495.6390721439202</v>
      </c>
      <c r="N398" s="2">
        <f>([412]L!O398*'D(Ti_Audétat23) Times'!$F398*0.000001)^2/(4*'D(Ti_Audétat23) Times'!$C398)/(365.35*24*3600)</f>
        <v>8150.6856450676114</v>
      </c>
      <c r="O398" s="2">
        <f>([412]L!P398*'D(Ti_Audétat23) Times'!$F398*0.000001)^2/(4*'D(Ti_Audétat23) Times'!$C398)/(365.35*24*3600)</f>
        <v>3367.0923314476868</v>
      </c>
      <c r="P398" s="2">
        <f>([412]L!Q398*'D(Ti_Audétat23) Times'!$F398*0.000001)^2/(4*'D(Ti_Audétat23) Times'!$C398)/(365.35*24*3600)</f>
        <v>8087.4520788140926</v>
      </c>
      <c r="Q398" s="2">
        <f>([412]L!R398*'D(Ti_Audétat23) Times'!$F398*0.000001)^2/(4*'D(Ti_Audétat23) Times'!$C398)/(365.35*24*3600)</f>
        <v>1735.5365555143949</v>
      </c>
      <c r="R398" s="2">
        <f>([412]L!S398*'D(Ti_Audétat23) Times'!$F398*0.000001)^2/(4*'D(Ti_Audétat23) Times'!$C398)/(365.35*24*3600)</f>
        <v>7689.983721503394</v>
      </c>
      <c r="S398" s="2">
        <f>([412]L!T398*'D(Ti_Audétat23) Times'!$F398*0.000001)^2/(4*'D(Ti_Audétat23) Times'!$C398)/(365.35*24*3600)</f>
        <v>4769.7787179334027</v>
      </c>
      <c r="T398" s="2"/>
      <c r="U398" s="2">
        <f>([412]L!V398*'D(Ti_Audétat23) Times'!$F398*0.000001)^2/(4*'D(Ti_Audétat23) Times'!$C398)/(365.35*24*3600)</f>
        <v>5460.2582675775266</v>
      </c>
      <c r="V398" s="2">
        <f>([412]L!W398*'D(Ti_Audétat23) Times'!$F398*0.000001)^2/(4*'D(Ti_Audétat23) Times'!$C398)/(365.35*24*3600)</f>
        <v>4227.4307969329611</v>
      </c>
      <c r="W398" s="2">
        <f>([412]L!X398*'D(Ti_Audétat23) Times'!$F398*0.000001)^2/(4*'D(Ti_Audétat23) Times'!$C398)/(365.35*24*3600)</f>
        <v>4769.7787179334027</v>
      </c>
      <c r="X398" s="2"/>
      <c r="Y398" s="2">
        <f>([412]L!Z398*'D(Ti_Audétat23) Times'!$F398*0.000001)^2/(4*'D(Ti_Audétat23) Times'!$C398)/(365.35*24*3600)</f>
        <v>4123.794921830663</v>
      </c>
      <c r="Z398" s="2">
        <f>([412]L!AB398*'D(Ti_Audétat23) Times'!$F398*0.000001)^2/(4*'D(Ti_Audétat23) Times'!$C398)/(365.35*24*3600)</f>
        <v>3489.5730536160281</v>
      </c>
      <c r="AA398" s="2">
        <f>([412]L!AC398*'D(Ti_Audétat23) Times'!$F398*0.000001)^2/(4*'D(Ti_Audétat23) Times'!$C398)/(365.35*24*3600)</f>
        <v>18.284001115196872</v>
      </c>
      <c r="AB398" s="2">
        <f>([412]L!AD398*'D(Ti_Audétat23) Times'!$F398*0.000001)^2/(4*'D(Ti_Audétat23) Times'!$C398)/(365.35*24*3600)</f>
        <v>10742.719675077764</v>
      </c>
      <c r="AC398" s="2">
        <f t="shared" si="25"/>
        <v>3471.2890525008311</v>
      </c>
      <c r="AD398" s="2">
        <f t="shared" si="26"/>
        <v>7253.1466214617358</v>
      </c>
    </row>
    <row r="399" spans="1:30" x14ac:dyDescent="0.2">
      <c r="A399" t="str">
        <f>[412]L!A399</f>
        <v>CGI018-qtz10-CL-fit-6-offset</v>
      </c>
      <c r="B399">
        <v>750</v>
      </c>
      <c r="C399">
        <f t="shared" si="27"/>
        <v>1.1456341375347871E-23</v>
      </c>
      <c r="D399">
        <v>2600</v>
      </c>
      <c r="E399">
        <v>1024</v>
      </c>
      <c r="F399">
        <f t="shared" si="24"/>
        <v>2.5390625</v>
      </c>
      <c r="I399" s="2">
        <f>([412]L!J399*'D(Ti_Audétat23) Times'!$F399*0.000001)^2/(4*'D(Ti_Audétat23) Times'!$C399)/(365.35*24*3600)</f>
        <v>10463.39650958994</v>
      </c>
      <c r="J399" s="2">
        <f>([412]L!K399*'D(Ti_Audétat23) Times'!$F399*0.000001)^2/(4*'D(Ti_Audétat23) Times'!$C399)/(365.35*24*3600)</f>
        <v>7126.8252661791739</v>
      </c>
      <c r="K399" s="2">
        <f>([412]L!L399*'D(Ti_Audétat23) Times'!$F399*0.000001)^2/(4*'D(Ti_Audétat23) Times'!$C399)/(365.35*24*3600)</f>
        <v>6779.3862867053231</v>
      </c>
      <c r="L399" s="2">
        <f>([412]L!M399*'D(Ti_Audétat23) Times'!$F399*0.000001)^2/(4*'D(Ti_Audétat23) Times'!$C399)/(365.35*24*3600)</f>
        <v>11235.897624498644</v>
      </c>
      <c r="M399" s="2">
        <f>([412]L!N399*'D(Ti_Audétat23) Times'!$F399*0.000001)^2/(4*'D(Ti_Audétat23) Times'!$C399)/(365.35*24*3600)</f>
        <v>11608.164454273008</v>
      </c>
      <c r="N399" s="2">
        <f>([412]L!O399*'D(Ti_Audétat23) Times'!$F399*0.000001)^2/(4*'D(Ti_Audétat23) Times'!$C399)/(365.35*24*3600)</f>
        <v>4168.1804360957458</v>
      </c>
      <c r="O399" s="2">
        <f>([412]L!P399*'D(Ti_Audétat23) Times'!$F399*0.000001)^2/(4*'D(Ti_Audétat23) Times'!$C399)/(365.35*24*3600)</f>
        <v>6092.0498954901805</v>
      </c>
      <c r="P399" s="2">
        <f>([412]L!Q399*'D(Ti_Audétat23) Times'!$F399*0.000001)^2/(4*'D(Ti_Audétat23) Times'!$C399)/(365.35*24*3600)</f>
        <v>7742.0292994891097</v>
      </c>
      <c r="Q399" s="2">
        <f>([412]L!R399*'D(Ti_Audétat23) Times'!$F399*0.000001)^2/(4*'D(Ti_Audétat23) Times'!$C399)/(365.35*24*3600)</f>
        <v>16752.002434871014</v>
      </c>
      <c r="R399" s="2">
        <f>([412]L!S399*'D(Ti_Audétat23) Times'!$F399*0.000001)^2/(4*'D(Ti_Audétat23) Times'!$C399)/(365.35*24*3600)</f>
        <v>7749.7572558669272</v>
      </c>
      <c r="S399" s="2">
        <f>([412]L!T399*'D(Ti_Audétat23) Times'!$F399*0.000001)^2/(4*'D(Ti_Audétat23) Times'!$C399)/(365.35*24*3600)</f>
        <v>12317.930783007183</v>
      </c>
      <c r="T399" s="2"/>
      <c r="U399" s="2">
        <f>([412]L!V399*'D(Ti_Audétat23) Times'!$F399*0.000001)^2/(4*'D(Ti_Audétat23) Times'!$C399)/(365.35*24*3600)</f>
        <v>8582.4767325883658</v>
      </c>
      <c r="V399" s="2">
        <f>([412]L!W399*'D(Ti_Audétat23) Times'!$F399*0.000001)^2/(4*'D(Ti_Audétat23) Times'!$C399)/(365.35*24*3600)</f>
        <v>8970.4877809104855</v>
      </c>
      <c r="W399" s="2">
        <f>([412]L!X399*'D(Ti_Audétat23) Times'!$F399*0.000001)^2/(4*'D(Ti_Audétat23) Times'!$C399)/(365.35*24*3600)</f>
        <v>7749.7572558669272</v>
      </c>
      <c r="X399" s="2"/>
      <c r="Y399" s="2">
        <f>([412]L!Z399*'D(Ti_Audétat23) Times'!$F399*0.000001)^2/(4*'D(Ti_Audétat23) Times'!$C399)/(365.35*24*3600)</f>
        <v>8172.9479480238606</v>
      </c>
      <c r="Z399" s="2">
        <f>([412]L!AB399*'D(Ti_Audétat23) Times'!$F399*0.000001)^2/(4*'D(Ti_Audétat23) Times'!$C399)/(365.35*24*3600)</f>
        <v>7392.6862483068817</v>
      </c>
      <c r="AA399" s="2">
        <f>([412]L!AC399*'D(Ti_Audétat23) Times'!$F399*0.000001)^2/(4*'D(Ti_Audétat23) Times'!$C399)/(365.35*24*3600)</f>
        <v>328.02348588741916</v>
      </c>
      <c r="AB399" s="2">
        <f>([412]L!AD399*'D(Ti_Audétat23) Times'!$F399*0.000001)^2/(4*'D(Ti_Audétat23) Times'!$C399)/(365.35*24*3600)</f>
        <v>20411.397286033975</v>
      </c>
      <c r="AC399" s="2">
        <f t="shared" si="25"/>
        <v>7064.6627624194625</v>
      </c>
      <c r="AD399" s="2">
        <f t="shared" si="26"/>
        <v>13018.711037727093</v>
      </c>
    </row>
    <row r="400" spans="1:30" x14ac:dyDescent="0.2">
      <c r="A400" t="str">
        <f>[412]L!A400</f>
        <v>CGI018-qtz11-CL-fit-1-offset</v>
      </c>
      <c r="B400">
        <v>750</v>
      </c>
      <c r="C400">
        <f t="shared" si="27"/>
        <v>1.1456341375347871E-23</v>
      </c>
      <c r="D400">
        <v>1250</v>
      </c>
      <c r="E400">
        <v>1024</v>
      </c>
      <c r="F400">
        <f t="shared" si="24"/>
        <v>1.220703125</v>
      </c>
      <c r="I400" s="2">
        <f>([412]L!J400*'D(Ti_Audétat23) Times'!$F400*0.000001)^2/(4*'D(Ti_Audétat23) Times'!$C400)/(365.35*24*3600)</f>
        <v>23676.602733477223</v>
      </c>
      <c r="J400" s="2">
        <f>([412]L!K400*'D(Ti_Audétat23) Times'!$F400*0.000001)^2/(4*'D(Ti_Audétat23) Times'!$C400)/(365.35*24*3600)</f>
        <v>13968.82864987796</v>
      </c>
      <c r="K400" s="2">
        <f>([412]L!L400*'D(Ti_Audétat23) Times'!$F400*0.000001)^2/(4*'D(Ti_Audétat23) Times'!$C400)/(365.35*24*3600)</f>
        <v>23602.704252803058</v>
      </c>
      <c r="L400" s="2">
        <f>([412]L!M400*'D(Ti_Audétat23) Times'!$F400*0.000001)^2/(4*'D(Ti_Audétat23) Times'!$C400)/(365.35*24*3600)</f>
        <v>28262.273186135997</v>
      </c>
      <c r="M400" s="2">
        <f>([412]L!N400*'D(Ti_Audétat23) Times'!$F400*0.000001)^2/(4*'D(Ti_Audétat23) Times'!$C400)/(365.35*24*3600)</f>
        <v>17738.694099571592</v>
      </c>
      <c r="N400" s="2">
        <f>([412]L!O400*'D(Ti_Audétat23) Times'!$F400*0.000001)^2/(4*'D(Ti_Audétat23) Times'!$C400)/(365.35*24*3600)</f>
        <v>16671.524827833513</v>
      </c>
      <c r="O400" s="2">
        <f>([412]L!P400*'D(Ti_Audétat23) Times'!$F400*0.000001)^2/(4*'D(Ti_Audétat23) Times'!$C400)/(365.35*24*3600)</f>
        <v>18176.732039194434</v>
      </c>
      <c r="P400" s="2">
        <f>([412]L!Q400*'D(Ti_Audétat23) Times'!$F400*0.000001)^2/(4*'D(Ti_Audétat23) Times'!$C400)/(365.35*24*3600)</f>
        <v>20841.991481378576</v>
      </c>
      <c r="Q400" s="2">
        <f>([412]L!R400*'D(Ti_Audétat23) Times'!$F400*0.000001)^2/(4*'D(Ti_Audétat23) Times'!$C400)/(365.35*24*3600)</f>
        <v>20708.579561619325</v>
      </c>
      <c r="R400" s="2">
        <f>([412]L!S400*'D(Ti_Audétat23) Times'!$F400*0.000001)^2/(4*'D(Ti_Audétat23) Times'!$C400)/(365.35*24*3600)</f>
        <v>27778.544139891263</v>
      </c>
      <c r="S400" s="2">
        <f>([412]L!T400*'D(Ti_Audétat23) Times'!$F400*0.000001)^2/(4*'D(Ti_Audétat23) Times'!$C400)/(365.35*24*3600)</f>
        <v>18076.137975215206</v>
      </c>
      <c r="T400" s="2"/>
      <c r="U400" s="2">
        <f>([412]L!V400*'D(Ti_Audétat23) Times'!$F400*0.000001)^2/(4*'D(Ti_Audétat23) Times'!$C400)/(365.35*24*3600)</f>
        <v>20655.460044857518</v>
      </c>
      <c r="V400" s="2">
        <f>([412]L!W400*'D(Ti_Audétat23) Times'!$F400*0.000001)^2/(4*'D(Ti_Audétat23) Times'!$C400)/(365.35*24*3600)</f>
        <v>20639.822597275866</v>
      </c>
      <c r="W400" s="2">
        <f>([412]L!X400*'D(Ti_Audétat23) Times'!$F400*0.000001)^2/(4*'D(Ti_Audétat23) Times'!$C400)/(365.35*24*3600)</f>
        <v>20708.579561619325</v>
      </c>
      <c r="X400" s="2"/>
      <c r="Y400" s="2">
        <f>([412]L!Z400*'D(Ti_Audétat23) Times'!$F400*0.000001)^2/(4*'D(Ti_Audétat23) Times'!$C400)/(365.35*24*3600)</f>
        <v>20596.532599786835</v>
      </c>
      <c r="Z400" s="2">
        <f>([412]L!AB400*'D(Ti_Audétat23) Times'!$F400*0.000001)^2/(4*'D(Ti_Audétat23) Times'!$C400)/(365.35*24*3600)</f>
        <v>20211.379282695681</v>
      </c>
      <c r="AA400" s="2">
        <f>([412]L!AC400*'D(Ti_Audétat23) Times'!$F400*0.000001)^2/(4*'D(Ti_Audétat23) Times'!$C400)/(365.35*24*3600)</f>
        <v>11891.94219905022</v>
      </c>
      <c r="AB400" s="2">
        <f>([412]L!AD400*'D(Ti_Audétat23) Times'!$F400*0.000001)^2/(4*'D(Ti_Audétat23) Times'!$C400)/(365.35*24*3600)</f>
        <v>28904.803631339058</v>
      </c>
      <c r="AC400" s="2">
        <f t="shared" si="25"/>
        <v>8319.4370836454618</v>
      </c>
      <c r="AD400" s="2">
        <f t="shared" si="26"/>
        <v>8693.424348643377</v>
      </c>
    </row>
    <row r="401" spans="1:30" x14ac:dyDescent="0.2">
      <c r="A401" t="str">
        <f>[412]L!A401</f>
        <v>CGI018-qtz11-CL-fit-2-offset</v>
      </c>
      <c r="B401">
        <v>750</v>
      </c>
      <c r="C401">
        <f t="shared" si="27"/>
        <v>1.1456341375347871E-23</v>
      </c>
      <c r="D401">
        <v>1250</v>
      </c>
      <c r="E401">
        <v>1024</v>
      </c>
      <c r="F401">
        <f t="shared" si="24"/>
        <v>1.220703125</v>
      </c>
      <c r="I401" s="2">
        <f>([412]L!J401*'D(Ti_Audétat23) Times'!$F401*0.000001)^2/(4*'D(Ti_Audétat23) Times'!$C401)/(365.35*24*3600)</f>
        <v>3.8594383698754893</v>
      </c>
      <c r="J401" s="2">
        <f>([412]L!K401*'D(Ti_Audétat23) Times'!$F401*0.000001)^2/(4*'D(Ti_Audétat23) Times'!$C401)/(365.35*24*3600)</f>
        <v>6246.8321140035914</v>
      </c>
      <c r="K401" s="2">
        <f>([412]L!L401*'D(Ti_Audétat23) Times'!$F401*0.000001)^2/(4*'D(Ti_Audétat23) Times'!$C401)/(365.35*24*3600)</f>
        <v>43722.611428323478</v>
      </c>
      <c r="L401" s="2">
        <f>([412]L!M401*'D(Ti_Audétat23) Times'!$F401*0.000001)^2/(4*'D(Ti_Audétat23) Times'!$C401)/(365.35*24*3600)</f>
        <v>10724.076816950061</v>
      </c>
      <c r="M401" s="2">
        <f>([412]L!N401*'D(Ti_Audétat23) Times'!$F401*0.000001)^2/(4*'D(Ti_Audétat23) Times'!$C401)/(365.35*24*3600)</f>
        <v>2166.6953217331775</v>
      </c>
      <c r="N401" s="2">
        <f>([412]L!O401*'D(Ti_Audétat23) Times'!$F401*0.000001)^2/(4*'D(Ti_Audétat23) Times'!$C401)/(365.35*24*3600)</f>
        <v>10898.127171635138</v>
      </c>
      <c r="O401" s="2">
        <f>([412]L!P401*'D(Ti_Audétat23) Times'!$F401*0.000001)^2/(4*'D(Ti_Audétat23) Times'!$C401)/(365.35*24*3600)</f>
        <v>39479.966097741053</v>
      </c>
      <c r="P401" s="2">
        <f>([412]L!Q401*'D(Ti_Audétat23) Times'!$F401*0.000001)^2/(4*'D(Ti_Audétat23) Times'!$C401)/(365.35*24*3600)</f>
        <v>30887.846782505541</v>
      </c>
      <c r="Q401" s="2">
        <f>([412]L!R401*'D(Ti_Audétat23) Times'!$F401*0.000001)^2/(4*'D(Ti_Audétat23) Times'!$C401)/(365.35*24*3600)</f>
        <v>12723.824280898416</v>
      </c>
      <c r="R401" s="2">
        <f>([412]L!S401*'D(Ti_Audétat23) Times'!$F401*0.000001)^2/(4*'D(Ti_Audétat23) Times'!$C401)/(365.35*24*3600)</f>
        <v>7347.9599960956994</v>
      </c>
      <c r="S401" s="2">
        <f>([412]L!T401*'D(Ti_Audétat23) Times'!$F401*0.000001)^2/(4*'D(Ti_Audétat23) Times'!$C401)/(365.35*24*3600)</f>
        <v>11092.793213236011</v>
      </c>
      <c r="T401" s="2"/>
      <c r="U401" s="2">
        <f>([412]L!V401*'D(Ti_Audétat23) Times'!$F401*0.000001)^2/(4*'D(Ti_Audétat23) Times'!$C401)/(365.35*24*3600)</f>
        <v>13834.111402970426</v>
      </c>
      <c r="V401" s="2">
        <f>([412]L!W401*'D(Ti_Audétat23) Times'!$F401*0.000001)^2/(4*'D(Ti_Audétat23) Times'!$C401)/(365.35*24*3600)</f>
        <v>12359.122909166232</v>
      </c>
      <c r="W401" s="2">
        <f>([412]L!X401*'D(Ti_Audétat23) Times'!$F401*0.000001)^2/(4*'D(Ti_Audétat23) Times'!$C401)/(365.35*24*3600)</f>
        <v>10898.127171635138</v>
      </c>
      <c r="X401" s="2"/>
      <c r="Y401" s="2">
        <f>([412]L!Z401*'D(Ti_Audétat23) Times'!$F401*0.000001)^2/(4*'D(Ti_Audétat23) Times'!$C401)/(365.35*24*3600)</f>
        <v>12227.960396164219</v>
      </c>
      <c r="Z401" s="2">
        <f>([412]L!AB401*'D(Ti_Audétat23) Times'!$F401*0.000001)^2/(4*'D(Ti_Audétat23) Times'!$C401)/(365.35*24*3600)</f>
        <v>13065.808854627276</v>
      </c>
      <c r="AA401" s="2">
        <f>([412]L!AC401*'D(Ti_Audétat23) Times'!$F401*0.000001)^2/(4*'D(Ti_Audétat23) Times'!$C401)/(365.35*24*3600)</f>
        <v>69.18349262910202</v>
      </c>
      <c r="AB401" s="2">
        <f>([412]L!AD401*'D(Ti_Audétat23) Times'!$F401*0.000001)^2/(4*'D(Ti_Audétat23) Times'!$C401)/(365.35*24*3600)</f>
        <v>70964.577385134864</v>
      </c>
      <c r="AC401" s="2">
        <f t="shared" si="25"/>
        <v>12996.625361998174</v>
      </c>
      <c r="AD401" s="2">
        <f t="shared" si="26"/>
        <v>57898.768530507587</v>
      </c>
    </row>
    <row r="402" spans="1:30" x14ac:dyDescent="0.2">
      <c r="A402" t="str">
        <f>[412]L!A402</f>
        <v>CGI018-qtz11-CL-fit-3-offset</v>
      </c>
      <c r="B402">
        <v>750</v>
      </c>
      <c r="C402">
        <f t="shared" si="27"/>
        <v>1.1456341375347871E-23</v>
      </c>
      <c r="D402">
        <v>1250</v>
      </c>
      <c r="E402">
        <v>1024</v>
      </c>
      <c r="F402">
        <f t="shared" si="24"/>
        <v>1.220703125</v>
      </c>
      <c r="I402" s="2">
        <f>([412]L!J402*'D(Ti_Audétat23) Times'!$F402*0.000001)^2/(4*'D(Ti_Audétat23) Times'!$C402)/(365.35*24*3600)</f>
        <v>4494.016552215794</v>
      </c>
      <c r="J402" s="2">
        <f>([412]L!K402*'D(Ti_Audétat23) Times'!$F402*0.000001)^2/(4*'D(Ti_Audétat23) Times'!$C402)/(365.35*24*3600)</f>
        <v>21370.618480091023</v>
      </c>
      <c r="K402" s="2">
        <f>([412]L!L402*'D(Ti_Audétat23) Times'!$F402*0.000001)^2/(4*'D(Ti_Audétat23) Times'!$C402)/(365.35*24*3600)</f>
        <v>4402.9509544045768</v>
      </c>
      <c r="L402" s="2">
        <f>([412]L!M402*'D(Ti_Audétat23) Times'!$F402*0.000001)^2/(4*'D(Ti_Audétat23) Times'!$C402)/(365.35*24*3600)</f>
        <v>12135.887942774209</v>
      </c>
      <c r="M402" s="2">
        <f>([412]L!N402*'D(Ti_Audétat23) Times'!$F402*0.000001)^2/(4*'D(Ti_Audétat23) Times'!$C402)/(365.35*24*3600)</f>
        <v>91.087064948143833</v>
      </c>
      <c r="N402" s="2">
        <f>([412]L!O402*'D(Ti_Audétat23) Times'!$F402*0.000001)^2/(4*'D(Ti_Audétat23) Times'!$C402)/(365.35*24*3600)</f>
        <v>68.177256812644472</v>
      </c>
      <c r="O402" s="2">
        <f>([412]L!P402*'D(Ti_Audétat23) Times'!$F402*0.000001)^2/(4*'D(Ti_Audétat23) Times'!$C402)/(365.35*24*3600)</f>
        <v>4369.1408003554197</v>
      </c>
      <c r="P402" s="2">
        <f>([412]L!Q402*'D(Ti_Audétat23) Times'!$F402*0.000001)^2/(4*'D(Ti_Audétat23) Times'!$C402)/(365.35*24*3600)</f>
        <v>24333.369433501837</v>
      </c>
      <c r="Q402" s="2">
        <f>([412]L!R402*'D(Ti_Audétat23) Times'!$F402*0.000001)^2/(4*'D(Ti_Audétat23) Times'!$C402)/(365.35*24*3600)</f>
        <v>722.58185574709171</v>
      </c>
      <c r="R402" s="2">
        <f>([412]L!S402*'D(Ti_Audétat23) Times'!$F402*0.000001)^2/(4*'D(Ti_Audétat23) Times'!$C402)/(365.35*24*3600)</f>
        <v>2801.7754525299733</v>
      </c>
      <c r="S402" s="2">
        <f>([412]L!T402*'D(Ti_Audétat23) Times'!$F402*0.000001)^2/(4*'D(Ti_Audétat23) Times'!$C402)/(365.35*24*3600)</f>
        <v>12678.884672444374</v>
      </c>
      <c r="T402" s="2"/>
      <c r="U402" s="2">
        <f>([412]L!V402*'D(Ti_Audétat23) Times'!$F402*0.000001)^2/(4*'D(Ti_Audétat23) Times'!$C402)/(365.35*24*3600)</f>
        <v>6775.1954057320154</v>
      </c>
      <c r="V402" s="2">
        <f>([412]L!W402*'D(Ti_Audétat23) Times'!$F402*0.000001)^2/(4*'D(Ti_Audétat23) Times'!$C402)/(365.35*24*3600)</f>
        <v>5584.807774091606</v>
      </c>
      <c r="W402" s="2">
        <f>([412]L!X402*'D(Ti_Audétat23) Times'!$F402*0.000001)^2/(4*'D(Ti_Audétat23) Times'!$C402)/(365.35*24*3600)</f>
        <v>4402.9509544045768</v>
      </c>
      <c r="X402" s="2"/>
      <c r="Y402" s="2">
        <f>([412]L!Z402*'D(Ti_Audétat23) Times'!$F402*0.000001)^2/(4*'D(Ti_Audétat23) Times'!$C402)/(365.35*24*3600)</f>
        <v>5025.6281110196524</v>
      </c>
      <c r="Z402" s="2">
        <f>([412]L!AB402*'D(Ti_Audétat23) Times'!$F402*0.000001)^2/(4*'D(Ti_Audétat23) Times'!$C402)/(365.35*24*3600)</f>
        <v>5722.9779913597476</v>
      </c>
      <c r="AA402" s="2">
        <f>([412]L!AC402*'D(Ti_Audétat23) Times'!$F402*0.000001)^2/(4*'D(Ti_Audétat23) Times'!$C402)/(365.35*24*3600)</f>
        <v>5.1031868797663334E-11</v>
      </c>
      <c r="AB402" s="2">
        <f>([412]L!AD402*'D(Ti_Audétat23) Times'!$F402*0.000001)^2/(4*'D(Ti_Audétat23) Times'!$C402)/(365.35*24*3600)</f>
        <v>62564.008725689484</v>
      </c>
      <c r="AC402" s="2">
        <f t="shared" si="25"/>
        <v>5722.9779913596967</v>
      </c>
      <c r="AD402" s="2">
        <f t="shared" si="26"/>
        <v>56841.030734329739</v>
      </c>
    </row>
    <row r="403" spans="1:30" x14ac:dyDescent="0.2">
      <c r="A403" t="str">
        <f>[412]L!A403</f>
        <v>CGI018-qtz11-CL-fit-4-offset</v>
      </c>
      <c r="B403">
        <v>750</v>
      </c>
      <c r="C403">
        <f t="shared" si="27"/>
        <v>1.1456341375347871E-23</v>
      </c>
      <c r="D403">
        <v>1250</v>
      </c>
      <c r="E403">
        <v>1024</v>
      </c>
      <c r="F403">
        <f t="shared" si="24"/>
        <v>1.220703125</v>
      </c>
      <c r="I403" s="2">
        <f>([412]L!J403*'D(Ti_Audétat23) Times'!$F403*0.000001)^2/(4*'D(Ti_Audétat23) Times'!$C403)/(365.35*24*3600)</f>
        <v>12221.07532386636</v>
      </c>
      <c r="J403" s="2">
        <f>([412]L!K403*'D(Ti_Audétat23) Times'!$F403*0.000001)^2/(4*'D(Ti_Audétat23) Times'!$C403)/(365.35*24*3600)</f>
        <v>12361.567539110349</v>
      </c>
      <c r="K403" s="2">
        <f>([412]L!L403*'D(Ti_Audétat23) Times'!$F403*0.000001)^2/(4*'D(Ti_Audétat23) Times'!$C403)/(365.35*24*3600)</f>
        <v>32325.332670142267</v>
      </c>
      <c r="L403" s="2">
        <f>([412]L!M403*'D(Ti_Audétat23) Times'!$F403*0.000001)^2/(4*'D(Ti_Audétat23) Times'!$C403)/(365.35*24*3600)</f>
        <v>17077.060399337719</v>
      </c>
      <c r="M403" s="2">
        <f>([412]L!N403*'D(Ti_Audétat23) Times'!$F403*0.000001)^2/(4*'D(Ti_Audétat23) Times'!$C403)/(365.35*24*3600)</f>
        <v>21877.745292455853</v>
      </c>
      <c r="N403" s="2">
        <f>([412]L!O403*'D(Ti_Audétat23) Times'!$F403*0.000001)^2/(4*'D(Ti_Audétat23) Times'!$C403)/(365.35*24*3600)</f>
        <v>1559.4374611757187</v>
      </c>
      <c r="O403" s="2">
        <f>([412]L!P403*'D(Ti_Audétat23) Times'!$F403*0.000001)^2/(4*'D(Ti_Audétat23) Times'!$C403)/(365.35*24*3600)</f>
        <v>9512.0964287697734</v>
      </c>
      <c r="P403" s="2">
        <f>([412]L!Q403*'D(Ti_Audétat23) Times'!$F403*0.000001)^2/(4*'D(Ti_Audétat23) Times'!$C403)/(365.35*24*3600)</f>
        <v>30722.385787663872</v>
      </c>
      <c r="Q403" s="2">
        <f>([412]L!R403*'D(Ti_Audétat23) Times'!$F403*0.000001)^2/(4*'D(Ti_Audétat23) Times'!$C403)/(365.35*24*3600)</f>
        <v>14726.768668510558</v>
      </c>
      <c r="R403" s="2">
        <f>([412]L!S403*'D(Ti_Audétat23) Times'!$F403*0.000001)^2/(4*'D(Ti_Audétat23) Times'!$C403)/(365.35*24*3600)</f>
        <v>9849.5431722409758</v>
      </c>
      <c r="S403" s="2">
        <f>([412]L!T403*'D(Ti_Audétat23) Times'!$F403*0.000001)^2/(4*'D(Ti_Audétat23) Times'!$C403)/(365.35*24*3600)</f>
        <v>27004.443876718349</v>
      </c>
      <c r="T403" s="2"/>
      <c r="U403" s="2">
        <f>([412]L!V403*'D(Ti_Audétat23) Times'!$F403*0.000001)^2/(4*'D(Ti_Audétat23) Times'!$C403)/(365.35*24*3600)</f>
        <v>15660.728999915616</v>
      </c>
      <c r="V403" s="2">
        <f>([412]L!W403*'D(Ti_Audétat23) Times'!$F403*0.000001)^2/(4*'D(Ti_Audétat23) Times'!$C403)/(365.35*24*3600)</f>
        <v>15678.256647346876</v>
      </c>
      <c r="W403" s="2">
        <f>([412]L!X403*'D(Ti_Audétat23) Times'!$F403*0.000001)^2/(4*'D(Ti_Audétat23) Times'!$C403)/(365.35*24*3600)</f>
        <v>14726.768668510558</v>
      </c>
      <c r="X403" s="2"/>
      <c r="Y403" s="2">
        <f>([412]L!Z403*'D(Ti_Audétat23) Times'!$F403*0.000001)^2/(4*'D(Ti_Audétat23) Times'!$C403)/(365.35*24*3600)</f>
        <v>14697.610936212761</v>
      </c>
      <c r="Z403" s="2">
        <f>([412]L!AB403*'D(Ti_Audétat23) Times'!$F403*0.000001)^2/(4*'D(Ti_Audétat23) Times'!$C403)/(365.35*24*3600)</f>
        <v>16907.315324202176</v>
      </c>
      <c r="AA403" s="2">
        <f>([412]L!AC403*'D(Ti_Audétat23) Times'!$F403*0.000001)^2/(4*'D(Ti_Audétat23) Times'!$C403)/(365.35*24*3600)</f>
        <v>5170.217591478814</v>
      </c>
      <c r="AB403" s="2">
        <f>([412]L!AD403*'D(Ti_Audétat23) Times'!$F403*0.000001)^2/(4*'D(Ti_Audétat23) Times'!$C403)/(365.35*24*3600)</f>
        <v>64885.717018657633</v>
      </c>
      <c r="AC403" s="2">
        <f t="shared" si="25"/>
        <v>11737.097732723363</v>
      </c>
      <c r="AD403" s="2">
        <f t="shared" si="26"/>
        <v>47978.401694455461</v>
      </c>
    </row>
    <row r="404" spans="1:30" x14ac:dyDescent="0.2">
      <c r="A404" t="str">
        <f>[412]L!A404</f>
        <v>CGI018-qtz11-CL-fit-5-offset</v>
      </c>
      <c r="B404">
        <v>750</v>
      </c>
      <c r="C404">
        <f t="shared" si="27"/>
        <v>1.1456341375347871E-23</v>
      </c>
      <c r="D404">
        <v>1250</v>
      </c>
      <c r="E404">
        <v>1024</v>
      </c>
      <c r="F404">
        <f t="shared" si="24"/>
        <v>1.220703125</v>
      </c>
      <c r="I404" s="2">
        <f>([412]L!J404*'D(Ti_Audétat23) Times'!$F404*0.000001)^2/(4*'D(Ti_Audétat23) Times'!$C404)/(365.35*24*3600)</f>
        <v>2.2813568757964777E-2</v>
      </c>
      <c r="J404" s="2">
        <f>([412]L!K404*'D(Ti_Audétat23) Times'!$F404*0.000001)^2/(4*'D(Ti_Audétat23) Times'!$C404)/(365.35*24*3600)</f>
        <v>10050.241985639572</v>
      </c>
      <c r="K404" s="2">
        <f>([412]L!L404*'D(Ti_Audétat23) Times'!$F404*0.000001)^2/(4*'D(Ti_Audétat23) Times'!$C404)/(365.35*24*3600)</f>
        <v>14056.384766395211</v>
      </c>
      <c r="L404" s="2">
        <f>([412]L!M404*'D(Ti_Audétat23) Times'!$F404*0.000001)^2/(4*'D(Ti_Audétat23) Times'!$C404)/(365.35*24*3600)</f>
        <v>9922.13634498397</v>
      </c>
      <c r="M404" s="2">
        <f>([412]L!N404*'D(Ti_Audétat23) Times'!$F404*0.000001)^2/(4*'D(Ti_Audétat23) Times'!$C404)/(365.35*24*3600)</f>
        <v>365.74251835527764</v>
      </c>
      <c r="N404" s="2">
        <f>([412]L!O404*'D(Ti_Audétat23) Times'!$F404*0.000001)^2/(4*'D(Ti_Audétat23) Times'!$C404)/(365.35*24*3600)</f>
        <v>5028.2152145312939</v>
      </c>
      <c r="O404" s="2">
        <f>([412]L!P404*'D(Ti_Audétat23) Times'!$F404*0.000001)^2/(4*'D(Ti_Audétat23) Times'!$C404)/(365.35*24*3600)</f>
        <v>7644.8164351387477</v>
      </c>
      <c r="P404" s="2">
        <f>([412]L!Q404*'D(Ti_Audétat23) Times'!$F404*0.000001)^2/(4*'D(Ti_Audétat23) Times'!$C404)/(365.35*24*3600)</f>
        <v>12830.887283591423</v>
      </c>
      <c r="Q404" s="2">
        <f>([412]L!R404*'D(Ti_Audétat23) Times'!$F404*0.000001)^2/(4*'D(Ti_Audétat23) Times'!$C404)/(365.35*24*3600)</f>
        <v>2214.6100166165529</v>
      </c>
      <c r="R404" s="2">
        <f>([412]L!S404*'D(Ti_Audétat23) Times'!$F404*0.000001)^2/(4*'D(Ti_Audétat23) Times'!$C404)/(365.35*24*3600)</f>
        <v>12405.852684086714</v>
      </c>
      <c r="S404" s="2">
        <f>([412]L!T404*'D(Ti_Audétat23) Times'!$F404*0.000001)^2/(4*'D(Ti_Audétat23) Times'!$C404)/(365.35*24*3600)</f>
        <v>16893.878645350142</v>
      </c>
      <c r="T404" s="2"/>
      <c r="U404" s="2">
        <f>([412]L!V404*'D(Ti_Audétat23) Times'!$F404*0.000001)^2/(4*'D(Ti_Audétat23) Times'!$C404)/(365.35*24*3600)</f>
        <v>7608.9305078742927</v>
      </c>
      <c r="V404" s="2">
        <f>([412]L!W404*'D(Ti_Audétat23) Times'!$F404*0.000001)^2/(4*'D(Ti_Audétat23) Times'!$C404)/(365.35*24*3600)</f>
        <v>6660.5125559396702</v>
      </c>
      <c r="W404" s="2">
        <f>([412]L!X404*'D(Ti_Audétat23) Times'!$F404*0.000001)^2/(4*'D(Ti_Audétat23) Times'!$C404)/(365.35*24*3600)</f>
        <v>9922.13634498397</v>
      </c>
      <c r="X404" s="2"/>
      <c r="Y404" s="2">
        <f>([412]L!Z404*'D(Ti_Audétat23) Times'!$F404*0.000001)^2/(4*'D(Ti_Audétat23) Times'!$C404)/(365.35*24*3600)</f>
        <v>7657.2731459382885</v>
      </c>
      <c r="Z404" s="2">
        <f>([412]L!AB404*'D(Ti_Audétat23) Times'!$F404*0.000001)^2/(4*'D(Ti_Audétat23) Times'!$C404)/(365.35*24*3600)</f>
        <v>7288.8209436858542</v>
      </c>
      <c r="AA404" s="2">
        <f>([412]L!AC404*'D(Ti_Audétat23) Times'!$F404*0.000001)^2/(4*'D(Ti_Audétat23) Times'!$C404)/(365.35*24*3600)</f>
        <v>70.645905546431266</v>
      </c>
      <c r="AB404" s="2">
        <f>([412]L!AD404*'D(Ti_Audétat23) Times'!$F404*0.000001)^2/(4*'D(Ti_Audétat23) Times'!$C404)/(365.35*24*3600)</f>
        <v>27802.142184312273</v>
      </c>
      <c r="AC404" s="2">
        <f t="shared" si="25"/>
        <v>7218.1750381394231</v>
      </c>
      <c r="AD404" s="2">
        <f t="shared" si="26"/>
        <v>20513.321240626421</v>
      </c>
    </row>
    <row r="405" spans="1:30" x14ac:dyDescent="0.2">
      <c r="A405" t="str">
        <f>[412]L!A405</f>
        <v>CGI018-qtz11-CL-fit-6-offset</v>
      </c>
      <c r="B405">
        <v>750</v>
      </c>
      <c r="C405">
        <f t="shared" si="27"/>
        <v>1.1456341375347871E-23</v>
      </c>
      <c r="D405">
        <v>1250</v>
      </c>
      <c r="E405">
        <v>1024</v>
      </c>
      <c r="F405">
        <f t="shared" si="24"/>
        <v>1.220703125</v>
      </c>
      <c r="I405" s="2">
        <f>([412]L!J405*'D(Ti_Audétat23) Times'!$F405*0.000001)^2/(4*'D(Ti_Audétat23) Times'!$C405)/(365.35*24*3600)</f>
        <v>62.740541808806739</v>
      </c>
      <c r="J405" s="2">
        <f>([412]L!K405*'D(Ti_Audétat23) Times'!$F405*0.000001)^2/(4*'D(Ti_Audétat23) Times'!$C405)/(365.35*24*3600)</f>
        <v>11220.816484960778</v>
      </c>
      <c r="K405" s="2">
        <f>([412]L!L405*'D(Ti_Audétat23) Times'!$F405*0.000001)^2/(4*'D(Ti_Audétat23) Times'!$C405)/(365.35*24*3600)</f>
        <v>3318.1870416229635</v>
      </c>
      <c r="L405" s="2">
        <f>([412]L!M405*'D(Ti_Audétat23) Times'!$F405*0.000001)^2/(4*'D(Ti_Audétat23) Times'!$C405)/(365.35*24*3600)</f>
        <v>19660.227446367579</v>
      </c>
      <c r="M405" s="2">
        <f>([412]L!N405*'D(Ti_Audétat23) Times'!$F405*0.000001)^2/(4*'D(Ti_Audétat23) Times'!$C405)/(365.35*24*3600)</f>
        <v>1891.8473924187201</v>
      </c>
      <c r="N405" s="2">
        <f>([412]L!O405*'D(Ti_Audétat23) Times'!$F405*0.000001)^2/(4*'D(Ti_Audétat23) Times'!$C405)/(365.35*24*3600)</f>
        <v>39.658373232283687</v>
      </c>
      <c r="O405" s="2">
        <f>([412]L!P405*'D(Ti_Audétat23) Times'!$F405*0.000001)^2/(4*'D(Ti_Audétat23) Times'!$C405)/(365.35*24*3600)</f>
        <v>29.566826529748358</v>
      </c>
      <c r="P405" s="2">
        <f>([412]L!Q405*'D(Ti_Audétat23) Times'!$F405*0.000001)^2/(4*'D(Ti_Audétat23) Times'!$C405)/(365.35*24*3600)</f>
        <v>4003.9642564215601</v>
      </c>
      <c r="Q405" s="2">
        <f>([412]L!R405*'D(Ti_Audétat23) Times'!$F405*0.000001)^2/(4*'D(Ti_Audétat23) Times'!$C405)/(365.35*24*3600)</f>
        <v>2996.3352017568259</v>
      </c>
      <c r="R405" s="2">
        <f>([412]L!S405*'D(Ti_Audétat23) Times'!$F405*0.000001)^2/(4*'D(Ti_Audétat23) Times'!$C405)/(365.35*24*3600)</f>
        <v>2167.3932136232388</v>
      </c>
      <c r="S405" s="2">
        <f>([412]L!T405*'D(Ti_Audétat23) Times'!$F405*0.000001)^2/(4*'D(Ti_Audétat23) Times'!$C405)/(365.35*24*3600)</f>
        <v>6310.8367635811674</v>
      </c>
      <c r="T405" s="2"/>
      <c r="U405" s="2">
        <f>([412]L!V405*'D(Ti_Audétat23) Times'!$F405*0.000001)^2/(4*'D(Ti_Audétat23) Times'!$C405)/(365.35*24*3600)</f>
        <v>2872.8645867774967</v>
      </c>
      <c r="V405" s="2">
        <f>([412]L!W405*'D(Ti_Audétat23) Times'!$F405*0.000001)^2/(4*'D(Ti_Audétat23) Times'!$C405)/(365.35*24*3600)</f>
        <v>3084.3887652404751</v>
      </c>
      <c r="W405" s="2">
        <f>([412]L!X405*'D(Ti_Audétat23) Times'!$F405*0.000001)^2/(4*'D(Ti_Audétat23) Times'!$C405)/(365.35*24*3600)</f>
        <v>2996.3352017568259</v>
      </c>
      <c r="X405" s="2"/>
      <c r="Y405" s="2">
        <f>([412]L!Z405*'D(Ti_Audétat23) Times'!$F405*0.000001)^2/(4*'D(Ti_Audétat23) Times'!$C405)/(365.35*24*3600)</f>
        <v>1929.949435645208</v>
      </c>
      <c r="Z405" s="2">
        <f>([412]L!AB405*'D(Ti_Audétat23) Times'!$F405*0.000001)^2/(4*'D(Ti_Audétat23) Times'!$C405)/(365.35*24*3600)</f>
        <v>5567.5110024317819</v>
      </c>
      <c r="AA405" s="2">
        <f>([412]L!AC405*'D(Ti_Audétat23) Times'!$F405*0.000001)^2/(4*'D(Ti_Audétat23) Times'!$C405)/(365.35*24*3600)</f>
        <v>3.9295435889898958</v>
      </c>
      <c r="AB405" s="2">
        <f>([412]L!AD405*'D(Ti_Audétat23) Times'!$F405*0.000001)^2/(4*'D(Ti_Audétat23) Times'!$C405)/(365.35*24*3600)</f>
        <v>48964.900788026214</v>
      </c>
      <c r="AC405" s="2">
        <f t="shared" si="25"/>
        <v>5563.581458842792</v>
      </c>
      <c r="AD405" s="2">
        <f t="shared" si="26"/>
        <v>43397.389785594431</v>
      </c>
    </row>
    <row r="406" spans="1:30" x14ac:dyDescent="0.2">
      <c r="A406" t="str">
        <f>[412]L!A406</f>
        <v>CGI018-qtz12-CL-fit-1-offset</v>
      </c>
      <c r="B406">
        <v>750</v>
      </c>
      <c r="C406">
        <f t="shared" si="27"/>
        <v>1.1456341375347871E-23</v>
      </c>
      <c r="D406">
        <v>1800</v>
      </c>
      <c r="E406">
        <v>1024</v>
      </c>
      <c r="F406">
        <f t="shared" si="24"/>
        <v>1.7578125</v>
      </c>
      <c r="I406" s="2">
        <f>([412]L!J406*'D(Ti_Audétat23) Times'!$F406*0.000001)^2/(4*'D(Ti_Audétat23) Times'!$C406)/(365.35*24*3600)</f>
        <v>59636.620836024995</v>
      </c>
      <c r="J406" s="2">
        <f>([412]L!K406*'D(Ti_Audétat23) Times'!$F406*0.000001)^2/(4*'D(Ti_Audétat23) Times'!$C406)/(365.35*24*3600)</f>
        <v>77278.507780878543</v>
      </c>
      <c r="K406" s="2">
        <f>([412]L!L406*'D(Ti_Audétat23) Times'!$F406*0.000001)^2/(4*'D(Ti_Audétat23) Times'!$C406)/(365.35*24*3600)</f>
        <v>62964.864620993227</v>
      </c>
      <c r="L406" s="2">
        <f>([412]L!M406*'D(Ti_Audétat23) Times'!$F406*0.000001)^2/(4*'D(Ti_Audétat23) Times'!$C406)/(365.35*24*3600)</f>
        <v>33951.489188777639</v>
      </c>
      <c r="M406" s="2">
        <f>([412]L!N406*'D(Ti_Audétat23) Times'!$F406*0.000001)^2/(4*'D(Ti_Audétat23) Times'!$C406)/(365.35*24*3600)</f>
        <v>50162.570761948475</v>
      </c>
      <c r="N406" s="2">
        <f>([412]L!O406*'D(Ti_Audétat23) Times'!$F406*0.000001)^2/(4*'D(Ti_Audétat23) Times'!$C406)/(365.35*24*3600)</f>
        <v>73736.286214501728</v>
      </c>
      <c r="O406" s="2">
        <f>([412]L!P406*'D(Ti_Audétat23) Times'!$F406*0.000001)^2/(4*'D(Ti_Audétat23) Times'!$C406)/(365.35*24*3600)</f>
        <v>81894.082648242576</v>
      </c>
      <c r="P406" s="2">
        <f>([412]L!Q406*'D(Ti_Audétat23) Times'!$F406*0.000001)^2/(4*'D(Ti_Audétat23) Times'!$C406)/(365.35*24*3600)</f>
        <v>81196.633219863957</v>
      </c>
      <c r="Q406" s="2">
        <f>([412]L!R406*'D(Ti_Audétat23) Times'!$F406*0.000001)^2/(4*'D(Ti_Audétat23) Times'!$C406)/(365.35*24*3600)</f>
        <v>88134.982506044893</v>
      </c>
      <c r="R406" s="2">
        <f>([412]L!S406*'D(Ti_Audétat23) Times'!$F406*0.000001)^2/(4*'D(Ti_Audétat23) Times'!$C406)/(365.35*24*3600)</f>
        <v>87923.545132335785</v>
      </c>
      <c r="S406" s="2">
        <f>([412]L!T406*'D(Ti_Audétat23) Times'!$F406*0.000001)^2/(4*'D(Ti_Audétat23) Times'!$C406)/(365.35*24*3600)</f>
        <v>67170.243467541019</v>
      </c>
      <c r="T406" s="2"/>
      <c r="U406" s="2">
        <f>([412]L!V406*'D(Ti_Audétat23) Times'!$F406*0.000001)^2/(4*'D(Ti_Audétat23) Times'!$C406)/(365.35*24*3600)</f>
        <v>69134.41007909902</v>
      </c>
      <c r="V406" s="2">
        <f>([412]L!W406*'D(Ti_Audétat23) Times'!$F406*0.000001)^2/(4*'D(Ti_Audétat23) Times'!$C406)/(365.35*24*3600)</f>
        <v>68386.343974103991</v>
      </c>
      <c r="W406" s="2">
        <f>([412]L!X406*'D(Ti_Audétat23) Times'!$F406*0.000001)^2/(4*'D(Ti_Audétat23) Times'!$C406)/(365.35*24*3600)</f>
        <v>73736.286214501728</v>
      </c>
      <c r="X406" s="2"/>
      <c r="Y406" s="2">
        <f>([412]L!Z406*'D(Ti_Audétat23) Times'!$F406*0.000001)^2/(4*'D(Ti_Audétat23) Times'!$C406)/(365.35*24*3600)</f>
        <v>68884.259186859927</v>
      </c>
      <c r="Z406" s="2">
        <f>([412]L!AB406*'D(Ti_Audétat23) Times'!$F406*0.000001)^2/(4*'D(Ti_Audétat23) Times'!$C406)/(365.35*24*3600)</f>
        <v>69989.699130738009</v>
      </c>
      <c r="AA406" s="2">
        <f>([412]L!AC406*'D(Ti_Audétat23) Times'!$F406*0.000001)^2/(4*'D(Ti_Audétat23) Times'!$C406)/(365.35*24*3600)</f>
        <v>46459.634915837778</v>
      </c>
      <c r="AB406" s="2">
        <f>([412]L!AD406*'D(Ti_Audétat23) Times'!$F406*0.000001)^2/(4*'D(Ti_Audétat23) Times'!$C406)/(365.35*24*3600)</f>
        <v>113557.85116907518</v>
      </c>
      <c r="AC406" s="2">
        <f t="shared" si="25"/>
        <v>23530.064214900231</v>
      </c>
      <c r="AD406" s="2">
        <f t="shared" si="26"/>
        <v>43568.152038337168</v>
      </c>
    </row>
    <row r="407" spans="1:30" x14ac:dyDescent="0.2">
      <c r="A407" t="str">
        <f>[412]L!A407</f>
        <v>CGI018-qtz12-CL-fit-2-offset</v>
      </c>
      <c r="B407">
        <v>750</v>
      </c>
      <c r="C407">
        <f t="shared" si="27"/>
        <v>1.1456341375347871E-23</v>
      </c>
      <c r="D407">
        <v>1800</v>
      </c>
      <c r="E407">
        <v>1024</v>
      </c>
      <c r="F407">
        <f t="shared" si="24"/>
        <v>1.7578125</v>
      </c>
      <c r="I407" s="2">
        <f>([412]L!J407*'D(Ti_Audétat23) Times'!$F407*0.000001)^2/(4*'D(Ti_Audétat23) Times'!$C407)/(365.35*24*3600)</f>
        <v>49293.071133781275</v>
      </c>
      <c r="J407" s="2">
        <f>([412]L!K407*'D(Ti_Audétat23) Times'!$F407*0.000001)^2/(4*'D(Ti_Audétat23) Times'!$C407)/(365.35*24*3600)</f>
        <v>8794.2429093399642</v>
      </c>
      <c r="K407" s="2">
        <f>([412]L!L407*'D(Ti_Audétat23) Times'!$F407*0.000001)^2/(4*'D(Ti_Audétat23) Times'!$C407)/(365.35*24*3600)</f>
        <v>24571.659734420129</v>
      </c>
      <c r="L407" s="2">
        <f>([412]L!M407*'D(Ti_Audétat23) Times'!$F407*0.000001)^2/(4*'D(Ti_Audétat23) Times'!$C407)/(365.35*24*3600)</f>
        <v>29786.424831006192</v>
      </c>
      <c r="M407" s="2">
        <f>([412]L!N407*'D(Ti_Audétat23) Times'!$F407*0.000001)^2/(4*'D(Ti_Audétat23) Times'!$C407)/(365.35*24*3600)</f>
        <v>33056.601900517555</v>
      </c>
      <c r="N407" s="2">
        <f>([412]L!O407*'D(Ti_Audétat23) Times'!$F407*0.000001)^2/(4*'D(Ti_Audétat23) Times'!$C407)/(365.35*24*3600)</f>
        <v>57561.880725029434</v>
      </c>
      <c r="O407" s="2">
        <f>([412]L!P407*'D(Ti_Audétat23) Times'!$F407*0.000001)^2/(4*'D(Ti_Audétat23) Times'!$C407)/(365.35*24*3600)</f>
        <v>54806.890733166678</v>
      </c>
      <c r="P407" s="2">
        <f>([412]L!Q407*'D(Ti_Audétat23) Times'!$F407*0.000001)^2/(4*'D(Ti_Audétat23) Times'!$C407)/(365.35*24*3600)</f>
        <v>71297.265529973825</v>
      </c>
      <c r="Q407" s="2">
        <f>([412]L!R407*'D(Ti_Audétat23) Times'!$F407*0.000001)^2/(4*'D(Ti_Audétat23) Times'!$C407)/(365.35*24*3600)</f>
        <v>44322.048256683171</v>
      </c>
      <c r="R407" s="2">
        <f>([412]L!S407*'D(Ti_Audétat23) Times'!$F407*0.000001)^2/(4*'D(Ti_Audétat23) Times'!$C407)/(365.35*24*3600)</f>
        <v>31748.939505270617</v>
      </c>
      <c r="S407" s="2">
        <f>([412]L!T407*'D(Ti_Audétat23) Times'!$F407*0.000001)^2/(4*'D(Ti_Audétat23) Times'!$C407)/(365.35*24*3600)</f>
        <v>59884.499443935216</v>
      </c>
      <c r="T407" s="2"/>
      <c r="U407" s="2">
        <f>([412]L!V407*'D(Ti_Audétat23) Times'!$F407*0.000001)^2/(4*'D(Ti_Audétat23) Times'!$C407)/(365.35*24*3600)</f>
        <v>41790.603346046722</v>
      </c>
      <c r="V407" s="2">
        <f>([412]L!W407*'D(Ti_Audétat23) Times'!$F407*0.000001)^2/(4*'D(Ti_Audétat23) Times'!$C407)/(365.35*24*3600)</f>
        <v>40051.723855669348</v>
      </c>
      <c r="W407" s="2">
        <f>([412]L!X407*'D(Ti_Audétat23) Times'!$F407*0.000001)^2/(4*'D(Ti_Audétat23) Times'!$C407)/(365.35*24*3600)</f>
        <v>44322.048256683171</v>
      </c>
      <c r="X407" s="2"/>
      <c r="Y407" s="2">
        <f>([412]L!Z407*'D(Ti_Audétat23) Times'!$F407*0.000001)^2/(4*'D(Ti_Audétat23) Times'!$C407)/(365.35*24*3600)</f>
        <v>41946.516392374542</v>
      </c>
      <c r="Z407" s="2">
        <f>([412]L!AB407*'D(Ti_Audétat23) Times'!$F407*0.000001)^2/(4*'D(Ti_Audétat23) Times'!$C407)/(365.35*24*3600)</f>
        <v>41571.596762134606</v>
      </c>
      <c r="AA407" s="2">
        <f>([412]L!AC407*'D(Ti_Audétat23) Times'!$F407*0.000001)^2/(4*'D(Ti_Audétat23) Times'!$C407)/(365.35*24*3600)</f>
        <v>12537.762442870311</v>
      </c>
      <c r="AB407" s="2">
        <f>([412]L!AD407*'D(Ti_Audétat23) Times'!$F407*0.000001)^2/(4*'D(Ti_Audétat23) Times'!$C407)/(365.35*24*3600)</f>
        <v>95673.122510798319</v>
      </c>
      <c r="AC407" s="2">
        <f t="shared" si="25"/>
        <v>29033.834319264293</v>
      </c>
      <c r="AD407" s="2">
        <f t="shared" si="26"/>
        <v>54101.525748663713</v>
      </c>
    </row>
    <row r="408" spans="1:30" x14ac:dyDescent="0.2">
      <c r="A408" t="str">
        <f>[412]L!A408</f>
        <v>CGI018-qtz12-CL-fit-3-offset</v>
      </c>
      <c r="B408">
        <v>750</v>
      </c>
      <c r="C408">
        <f t="shared" si="27"/>
        <v>1.1456341375347871E-23</v>
      </c>
      <c r="D408">
        <v>1800</v>
      </c>
      <c r="E408">
        <v>1024</v>
      </c>
      <c r="F408">
        <f t="shared" si="24"/>
        <v>1.7578125</v>
      </c>
      <c r="I408" s="2">
        <f>([412]L!J408*'D(Ti_Audétat23) Times'!$F408*0.000001)^2/(4*'D(Ti_Audétat23) Times'!$C408)/(365.35*24*3600)</f>
        <v>20244.332066632265</v>
      </c>
      <c r="J408" s="2">
        <f>([412]L!K408*'D(Ti_Audétat23) Times'!$F408*0.000001)^2/(4*'D(Ti_Audétat23) Times'!$C408)/(365.35*24*3600)</f>
        <v>28960.632416796274</v>
      </c>
      <c r="K408" s="2">
        <f>([412]L!L408*'D(Ti_Audétat23) Times'!$F408*0.000001)^2/(4*'D(Ti_Audétat23) Times'!$C408)/(365.35*24*3600)</f>
        <v>4812.3796313575449</v>
      </c>
      <c r="L408" s="2">
        <f>([412]L!M408*'D(Ti_Audétat23) Times'!$F408*0.000001)^2/(4*'D(Ti_Audétat23) Times'!$C408)/(365.35*24*3600)</f>
        <v>4610.1993051560121</v>
      </c>
      <c r="M408" s="2">
        <f>([412]L!N408*'D(Ti_Audétat23) Times'!$F408*0.000001)^2/(4*'D(Ti_Audétat23) Times'!$C408)/(365.35*24*3600)</f>
        <v>32629.967534851665</v>
      </c>
      <c r="N408" s="2">
        <f>([412]L!O408*'D(Ti_Audétat23) Times'!$F408*0.000001)^2/(4*'D(Ti_Audétat23) Times'!$C408)/(365.35*24*3600)</f>
        <v>3101.0018479912815</v>
      </c>
      <c r="O408" s="2">
        <f>([412]L!P408*'D(Ti_Audétat23) Times'!$F408*0.000001)^2/(4*'D(Ti_Audétat23) Times'!$C408)/(365.35*24*3600)</f>
        <v>2627.2958053274488</v>
      </c>
      <c r="P408" s="2">
        <f>([412]L!Q408*'D(Ti_Audétat23) Times'!$F408*0.000001)^2/(4*'D(Ti_Audétat23) Times'!$C408)/(365.35*24*3600)</f>
        <v>6654.3714059167687</v>
      </c>
      <c r="Q408" s="2">
        <f>([412]L!R408*'D(Ti_Audétat23) Times'!$F408*0.000001)^2/(4*'D(Ti_Audétat23) Times'!$C408)/(365.35*24*3600)</f>
        <v>2107.919371839766</v>
      </c>
      <c r="R408" s="2">
        <f>([412]L!S408*'D(Ti_Audétat23) Times'!$F408*0.000001)^2/(4*'D(Ti_Audétat23) Times'!$C408)/(365.35*24*3600)</f>
        <v>6508.9918760264527</v>
      </c>
      <c r="S408" s="2">
        <f>([412]L!T408*'D(Ti_Audétat23) Times'!$F408*0.000001)^2/(4*'D(Ti_Audétat23) Times'!$C408)/(365.35*24*3600)</f>
        <v>24322.353855225661</v>
      </c>
      <c r="T408" s="2"/>
      <c r="U408" s="2">
        <f>([412]L!V408*'D(Ti_Audétat23) Times'!$F408*0.000001)^2/(4*'D(Ti_Audétat23) Times'!$C408)/(365.35*24*3600)</f>
        <v>11759.057645167954</v>
      </c>
      <c r="V408" s="2">
        <f>([412]L!W408*'D(Ti_Audétat23) Times'!$F408*0.000001)^2/(4*'D(Ti_Audétat23) Times'!$C408)/(365.35*24*3600)</f>
        <v>10026.072188925322</v>
      </c>
      <c r="W408" s="2">
        <f>([412]L!X408*'D(Ti_Audétat23) Times'!$F408*0.000001)^2/(4*'D(Ti_Audétat23) Times'!$C408)/(365.35*24*3600)</f>
        <v>6508.9918760264527</v>
      </c>
      <c r="X408" s="2"/>
      <c r="Y408" s="2">
        <f>([412]L!Z408*'D(Ti_Audétat23) Times'!$F408*0.000001)^2/(4*'D(Ti_Audétat23) Times'!$C408)/(365.35*24*3600)</f>
        <v>9703.6837800397097</v>
      </c>
      <c r="Z408" s="2">
        <f>([412]L!AB408*'D(Ti_Audétat23) Times'!$F408*0.000001)^2/(4*'D(Ti_Audétat23) Times'!$C408)/(365.35*24*3600)</f>
        <v>11157.634678199624</v>
      </c>
      <c r="AA408" s="2">
        <f>([412]L!AC408*'D(Ti_Audétat23) Times'!$F408*0.000001)^2/(4*'D(Ti_Audétat23) Times'!$C408)/(365.35*24*3600)</f>
        <v>109.15984121313423</v>
      </c>
      <c r="AB408" s="2">
        <f>([412]L!AD408*'D(Ti_Audétat23) Times'!$F408*0.000001)^2/(4*'D(Ti_Audétat23) Times'!$C408)/(365.35*24*3600)</f>
        <v>67329.811852565763</v>
      </c>
      <c r="AC408" s="2">
        <f t="shared" si="25"/>
        <v>11048.47483698649</v>
      </c>
      <c r="AD408" s="2">
        <f t="shared" si="26"/>
        <v>56172.177174366137</v>
      </c>
    </row>
    <row r="409" spans="1:30" x14ac:dyDescent="0.2">
      <c r="A409" t="str">
        <f>[412]L!A409</f>
        <v>CGI018-qtz12-CL-fit-4-offset</v>
      </c>
      <c r="B409">
        <v>750</v>
      </c>
      <c r="C409">
        <f t="shared" si="27"/>
        <v>1.1456341375347871E-23</v>
      </c>
      <c r="D409">
        <v>1800</v>
      </c>
      <c r="E409">
        <v>1024</v>
      </c>
      <c r="F409">
        <f t="shared" si="24"/>
        <v>1.7578125</v>
      </c>
      <c r="I409" s="2">
        <f>([412]L!J409*'D(Ti_Audétat23) Times'!$F409*0.000001)^2/(4*'D(Ti_Audétat23) Times'!$C409)/(365.35*24*3600)</f>
        <v>15799.289800904127</v>
      </c>
      <c r="J409" s="2">
        <f>([412]L!K409*'D(Ti_Audétat23) Times'!$F409*0.000001)^2/(4*'D(Ti_Audétat23) Times'!$C409)/(365.35*24*3600)</f>
        <v>12964.092803547373</v>
      </c>
      <c r="K409" s="2">
        <f>([412]L!L409*'D(Ti_Audétat23) Times'!$F409*0.000001)^2/(4*'D(Ti_Audétat23) Times'!$C409)/(365.35*24*3600)</f>
        <v>12425.353997957904</v>
      </c>
      <c r="L409" s="2">
        <f>([412]L!M409*'D(Ti_Audétat23) Times'!$F409*0.000001)^2/(4*'D(Ti_Audétat23) Times'!$C409)/(365.35*24*3600)</f>
        <v>20714.648265355292</v>
      </c>
      <c r="M409" s="2">
        <f>([412]L!N409*'D(Ti_Audétat23) Times'!$F409*0.000001)^2/(4*'D(Ti_Audétat23) Times'!$C409)/(365.35*24*3600)</f>
        <v>16390.786192481832</v>
      </c>
      <c r="N409" s="2">
        <f>([412]L!O409*'D(Ti_Audétat23) Times'!$F409*0.000001)^2/(4*'D(Ti_Audétat23) Times'!$C409)/(365.35*24*3600)</f>
        <v>18745.622794928782</v>
      </c>
      <c r="O409" s="2">
        <f>([412]L!P409*'D(Ti_Audétat23) Times'!$F409*0.000001)^2/(4*'D(Ti_Audétat23) Times'!$C409)/(365.35*24*3600)</f>
        <v>17087.215686823947</v>
      </c>
      <c r="P409" s="2">
        <f>([412]L!Q409*'D(Ti_Audétat23) Times'!$F409*0.000001)^2/(4*'D(Ti_Audétat23) Times'!$C409)/(365.35*24*3600)</f>
        <v>8932.4167146566651</v>
      </c>
      <c r="Q409" s="2">
        <f>([412]L!R409*'D(Ti_Audétat23) Times'!$F409*0.000001)^2/(4*'D(Ti_Audétat23) Times'!$C409)/(365.35*24*3600)</f>
        <v>7329.5170931150342</v>
      </c>
      <c r="R409" s="2">
        <f>([412]L!S409*'D(Ti_Audétat23) Times'!$F409*0.000001)^2/(4*'D(Ti_Audétat23) Times'!$C409)/(365.35*24*3600)</f>
        <v>9001.8237131115056</v>
      </c>
      <c r="S409" s="2">
        <f>([412]L!T409*'D(Ti_Audétat23) Times'!$F409*0.000001)^2/(4*'D(Ti_Audétat23) Times'!$C409)/(365.35*24*3600)</f>
        <v>11717.794330998591</v>
      </c>
      <c r="T409" s="2"/>
      <c r="U409" s="2">
        <f>([412]L!V409*'D(Ti_Audétat23) Times'!$F409*0.000001)^2/(4*'D(Ti_Audétat23) Times'!$C409)/(365.35*24*3600)</f>
        <v>13864.004192493279</v>
      </c>
      <c r="V409" s="2">
        <f>([412]L!W409*'D(Ti_Audétat23) Times'!$F409*0.000001)^2/(4*'D(Ti_Audétat23) Times'!$C409)/(365.35*24*3600)</f>
        <v>13410.905697642509</v>
      </c>
      <c r="W409" s="2">
        <f>([412]L!X409*'D(Ti_Audétat23) Times'!$F409*0.000001)^2/(4*'D(Ti_Audétat23) Times'!$C409)/(365.35*24*3600)</f>
        <v>12964.092803547373</v>
      </c>
      <c r="X409" s="2"/>
      <c r="Y409" s="2">
        <f>([412]L!Z409*'D(Ti_Audétat23) Times'!$F409*0.000001)^2/(4*'D(Ti_Audétat23) Times'!$C409)/(365.35*24*3600)</f>
        <v>13197.016609598029</v>
      </c>
      <c r="Z409" s="2">
        <f>([412]L!AB409*'D(Ti_Audétat23) Times'!$F409*0.000001)^2/(4*'D(Ti_Audétat23) Times'!$C409)/(365.35*24*3600)</f>
        <v>13401.204768825308</v>
      </c>
      <c r="AA409" s="2">
        <f>([412]L!AC409*'D(Ti_Audétat23) Times'!$F409*0.000001)^2/(4*'D(Ti_Audétat23) Times'!$C409)/(365.35*24*3600)</f>
        <v>5638.2590125026454</v>
      </c>
      <c r="AB409" s="2">
        <f>([412]L!AD409*'D(Ti_Audétat23) Times'!$F409*0.000001)^2/(4*'D(Ti_Audétat23) Times'!$C409)/(365.35*24*3600)</f>
        <v>28152.042017398791</v>
      </c>
      <c r="AC409" s="2">
        <f t="shared" si="25"/>
        <v>7762.9457563226624</v>
      </c>
      <c r="AD409" s="2">
        <f t="shared" si="26"/>
        <v>14750.837248573484</v>
      </c>
    </row>
    <row r="410" spans="1:30" x14ac:dyDescent="0.2">
      <c r="A410" t="str">
        <f>[412]L!A410</f>
        <v>CGI018-qtz12-CL-fit-5-offset</v>
      </c>
      <c r="B410">
        <v>750</v>
      </c>
      <c r="C410">
        <f t="shared" si="27"/>
        <v>1.1456341375347871E-23</v>
      </c>
      <c r="D410">
        <v>1800</v>
      </c>
      <c r="E410">
        <v>1024</v>
      </c>
      <c r="F410">
        <f t="shared" si="24"/>
        <v>1.7578125</v>
      </c>
      <c r="I410" s="2">
        <f>([412]L!J410*'D(Ti_Audétat23) Times'!$F410*0.000001)^2/(4*'D(Ti_Audétat23) Times'!$C410)/(365.35*24*3600)</f>
        <v>27400.228680250548</v>
      </c>
      <c r="J410" s="2">
        <f>([412]L!K410*'D(Ti_Audétat23) Times'!$F410*0.000001)^2/(4*'D(Ti_Audétat23) Times'!$C410)/(365.35*24*3600)</f>
        <v>30429.508607296088</v>
      </c>
      <c r="K410" s="2">
        <f>([412]L!L410*'D(Ti_Audétat23) Times'!$F410*0.000001)^2/(4*'D(Ti_Audétat23) Times'!$C410)/(365.35*24*3600)</f>
        <v>49179.970069370822</v>
      </c>
      <c r="L410" s="2">
        <f>([412]L!M410*'D(Ti_Audétat23) Times'!$F410*0.000001)^2/(4*'D(Ti_Audétat23) Times'!$C410)/(365.35*24*3600)</f>
        <v>19209.090084218711</v>
      </c>
      <c r="M410" s="2">
        <f>([412]L!N410*'D(Ti_Audétat23) Times'!$F410*0.000001)^2/(4*'D(Ti_Audétat23) Times'!$C410)/(365.35*24*3600)</f>
        <v>27133.794845696037</v>
      </c>
      <c r="N410" s="2">
        <f>([412]L!O410*'D(Ti_Audétat23) Times'!$F410*0.000001)^2/(4*'D(Ti_Audétat23) Times'!$C410)/(365.35*24*3600)</f>
        <v>23318.482780266386</v>
      </c>
      <c r="O410" s="2">
        <f>([412]L!P410*'D(Ti_Audétat23) Times'!$F410*0.000001)^2/(4*'D(Ti_Audétat23) Times'!$C410)/(365.35*24*3600)</f>
        <v>38754.216345075067</v>
      </c>
      <c r="P410" s="2">
        <f>([412]L!Q410*'D(Ti_Audétat23) Times'!$F410*0.000001)^2/(4*'D(Ti_Audétat23) Times'!$C410)/(365.35*24*3600)</f>
        <v>29641.809126773842</v>
      </c>
      <c r="Q410" s="2">
        <f>([412]L!R410*'D(Ti_Audétat23) Times'!$F410*0.000001)^2/(4*'D(Ti_Audétat23) Times'!$C410)/(365.35*24*3600)</f>
        <v>11893.059009433749</v>
      </c>
      <c r="R410" s="2">
        <f>([412]L!S410*'D(Ti_Audétat23) Times'!$F410*0.000001)^2/(4*'D(Ti_Audétat23) Times'!$C410)/(365.35*24*3600)</f>
        <v>15673.029490077723</v>
      </c>
      <c r="S410" s="2">
        <f>([412]L!T410*'D(Ti_Audétat23) Times'!$F410*0.000001)^2/(4*'D(Ti_Audétat23) Times'!$C410)/(365.35*24*3600)</f>
        <v>20219.290351357384</v>
      </c>
      <c r="T410" s="2"/>
      <c r="U410" s="2">
        <f>([412]L!V410*'D(Ti_Audétat23) Times'!$F410*0.000001)^2/(4*'D(Ti_Audétat23) Times'!$C410)/(365.35*24*3600)</f>
        <v>25900.036718347314</v>
      </c>
      <c r="V410" s="2">
        <f>([412]L!W410*'D(Ti_Audétat23) Times'!$F410*0.000001)^2/(4*'D(Ti_Audétat23) Times'!$C410)/(365.35*24*3600)</f>
        <v>25694.082851838153</v>
      </c>
      <c r="W410" s="2">
        <f>([412]L!X410*'D(Ti_Audétat23) Times'!$F410*0.000001)^2/(4*'D(Ti_Audétat23) Times'!$C410)/(365.35*24*3600)</f>
        <v>27133.794845696037</v>
      </c>
      <c r="X410" s="2"/>
      <c r="Y410" s="2">
        <f>([412]L!Z410*'D(Ti_Audétat23) Times'!$F410*0.000001)^2/(4*'D(Ti_Audétat23) Times'!$C410)/(365.35*24*3600)</f>
        <v>25477.083518862484</v>
      </c>
      <c r="Z410" s="2">
        <f>([412]L!AB410*'D(Ti_Audétat23) Times'!$F410*0.000001)^2/(4*'D(Ti_Audétat23) Times'!$C410)/(365.35*24*3600)</f>
        <v>26174.10991442353</v>
      </c>
      <c r="AA410" s="2">
        <f>([412]L!AC410*'D(Ti_Audétat23) Times'!$F410*0.000001)^2/(4*'D(Ti_Audétat23) Times'!$C410)/(365.35*24*3600)</f>
        <v>13139.580907982961</v>
      </c>
      <c r="AB410" s="2">
        <f>([412]L!AD410*'D(Ti_Audétat23) Times'!$F410*0.000001)^2/(4*'D(Ti_Audétat23) Times'!$C410)/(365.35*24*3600)</f>
        <v>44095.133383314853</v>
      </c>
      <c r="AC410" s="2">
        <f t="shared" si="25"/>
        <v>13034.529006440569</v>
      </c>
      <c r="AD410" s="2">
        <f t="shared" si="26"/>
        <v>17921.023468891322</v>
      </c>
    </row>
    <row r="411" spans="1:30" x14ac:dyDescent="0.2">
      <c r="A411" t="str">
        <f>[412]L!A411</f>
        <v>CGI018-qtz12-CL-fit-6-offset</v>
      </c>
      <c r="B411">
        <v>750</v>
      </c>
      <c r="C411">
        <f t="shared" si="27"/>
        <v>1.1456341375347871E-23</v>
      </c>
      <c r="D411">
        <v>1800</v>
      </c>
      <c r="E411">
        <v>1024</v>
      </c>
      <c r="F411">
        <f t="shared" si="24"/>
        <v>1.7578125</v>
      </c>
      <c r="I411" s="2">
        <f>([412]L!J411*'D(Ti_Audétat23) Times'!$F411*0.000001)^2/(4*'D(Ti_Audétat23) Times'!$C411)/(365.35*24*3600)</f>
        <v>6788.1532076576177</v>
      </c>
      <c r="J411" s="2">
        <f>([412]L!K411*'D(Ti_Audétat23) Times'!$F411*0.000001)^2/(4*'D(Ti_Audétat23) Times'!$C411)/(365.35*24*3600)</f>
        <v>5115.9713389383624</v>
      </c>
      <c r="K411" s="2">
        <f>([412]L!L411*'D(Ti_Audétat23) Times'!$F411*0.000001)^2/(4*'D(Ti_Audétat23) Times'!$C411)/(365.35*24*3600)</f>
        <v>3039.4286365444996</v>
      </c>
      <c r="L411" s="2">
        <f>([412]L!M411*'D(Ti_Audétat23) Times'!$F411*0.000001)^2/(4*'D(Ti_Audétat23) Times'!$C411)/(365.35*24*3600)</f>
        <v>3549.8640211131756</v>
      </c>
      <c r="M411" s="2">
        <f>([412]L!N411*'D(Ti_Audétat23) Times'!$F411*0.000001)^2/(4*'D(Ti_Audétat23) Times'!$C411)/(365.35*24*3600)</f>
        <v>7921.1759121343612</v>
      </c>
      <c r="N411" s="2">
        <f>([412]L!O411*'D(Ti_Audétat23) Times'!$F411*0.000001)^2/(4*'D(Ti_Audétat23) Times'!$C411)/(365.35*24*3600)</f>
        <v>4115.7900559218679</v>
      </c>
      <c r="O411" s="2">
        <f>([412]L!P411*'D(Ti_Audétat23) Times'!$F411*0.000001)^2/(4*'D(Ti_Audétat23) Times'!$C411)/(365.35*24*3600)</f>
        <v>12821.068321330431</v>
      </c>
      <c r="P411" s="2">
        <f>([412]L!Q411*'D(Ti_Audétat23) Times'!$F411*0.000001)^2/(4*'D(Ti_Audétat23) Times'!$C411)/(365.35*24*3600)</f>
        <v>10078.947321949165</v>
      </c>
      <c r="Q411" s="2">
        <f>([412]L!R411*'D(Ti_Audétat23) Times'!$F411*0.000001)^2/(4*'D(Ti_Audétat23) Times'!$C411)/(365.35*24*3600)</f>
        <v>6379.4402264981272</v>
      </c>
      <c r="R411" s="2">
        <f>([412]L!S411*'D(Ti_Audétat23) Times'!$F411*0.000001)^2/(4*'D(Ti_Audétat23) Times'!$C411)/(365.35*24*3600)</f>
        <v>3018.4409459800099</v>
      </c>
      <c r="S411" s="2">
        <f>([412]L!T411*'D(Ti_Audétat23) Times'!$F411*0.000001)^2/(4*'D(Ti_Audétat23) Times'!$C411)/(365.35*24*3600)</f>
        <v>4299.9268026024729</v>
      </c>
      <c r="T411" s="2"/>
      <c r="U411" s="2">
        <f>([412]L!V411*'D(Ti_Audétat23) Times'!$F411*0.000001)^2/(4*'D(Ti_Audétat23) Times'!$C411)/(365.35*24*3600)</f>
        <v>5570.5607800984035</v>
      </c>
      <c r="V411" s="2">
        <f>([412]L!W411*'D(Ti_Audétat23) Times'!$F411*0.000001)^2/(4*'D(Ti_Audétat23) Times'!$C411)/(365.35*24*3600)</f>
        <v>5773.1415184467842</v>
      </c>
      <c r="W411" s="2">
        <f>([412]L!X411*'D(Ti_Audétat23) Times'!$F411*0.000001)^2/(4*'D(Ti_Audétat23) Times'!$C411)/(365.35*24*3600)</f>
        <v>5115.9713389383624</v>
      </c>
      <c r="X411" s="2"/>
      <c r="Y411" s="2">
        <f>([412]L!Z411*'D(Ti_Audétat23) Times'!$F411*0.000001)^2/(4*'D(Ti_Audétat23) Times'!$C411)/(365.35*24*3600)</f>
        <v>4851.7458148258002</v>
      </c>
      <c r="Z411" s="2">
        <f>([412]L!AB411*'D(Ti_Audétat23) Times'!$F411*0.000001)^2/(4*'D(Ti_Audétat23) Times'!$C411)/(365.35*24*3600)</f>
        <v>5181.6242878231733</v>
      </c>
      <c r="AA411" s="2">
        <f>([412]L!AC411*'D(Ti_Audétat23) Times'!$F411*0.000001)^2/(4*'D(Ti_Audétat23) Times'!$C411)/(365.35*24*3600)</f>
        <v>257.106043369117</v>
      </c>
      <c r="AB411" s="2">
        <f>([412]L!AD411*'D(Ti_Audétat23) Times'!$F411*0.000001)^2/(4*'D(Ti_Audétat23) Times'!$C411)/(365.35*24*3600)</f>
        <v>13469.911844367796</v>
      </c>
      <c r="AC411" s="2">
        <f t="shared" si="25"/>
        <v>4924.518244454056</v>
      </c>
      <c r="AD411" s="2">
        <f t="shared" si="26"/>
        <v>8288.2875565446229</v>
      </c>
    </row>
    <row r="412" spans="1:30" x14ac:dyDescent="0.2">
      <c r="A412" t="str">
        <f>[412]L!A412</f>
        <v>CGI018-qtz12-CL-fit-7-offset</v>
      </c>
      <c r="B412">
        <v>750</v>
      </c>
      <c r="C412">
        <f t="shared" si="27"/>
        <v>1.1456341375347871E-23</v>
      </c>
      <c r="D412">
        <v>1800</v>
      </c>
      <c r="E412">
        <v>1024</v>
      </c>
      <c r="F412">
        <f t="shared" si="24"/>
        <v>1.7578125</v>
      </c>
      <c r="I412" s="2">
        <f>([412]L!J412*'D(Ti_Audétat23) Times'!$F412*0.000001)^2/(4*'D(Ti_Audétat23) Times'!$C412)/(365.35*24*3600)</f>
        <v>33.743848940094189</v>
      </c>
      <c r="J412" s="2">
        <f>([412]L!K412*'D(Ti_Audétat23) Times'!$F412*0.000001)^2/(4*'D(Ti_Audétat23) Times'!$C412)/(365.35*24*3600)</f>
        <v>6.0537153796870031</v>
      </c>
      <c r="K412" s="2">
        <f>([412]L!L412*'D(Ti_Audétat23) Times'!$F412*0.000001)^2/(4*'D(Ti_Audétat23) Times'!$C412)/(365.35*24*3600)</f>
        <v>0.16151537369042185</v>
      </c>
      <c r="L412" s="2">
        <f>([412]L!M412*'D(Ti_Audétat23) Times'!$F412*0.000001)^2/(4*'D(Ti_Audétat23) Times'!$C412)/(365.35*24*3600)</f>
        <v>57.201238821719045</v>
      </c>
      <c r="M412" s="2">
        <f>([412]L!N412*'D(Ti_Audétat23) Times'!$F412*0.000001)^2/(4*'D(Ti_Audétat23) Times'!$C412)/(365.35*24*3600)</f>
        <v>1.4231035805546925</v>
      </c>
      <c r="N412" s="2">
        <f>([412]L!O412*'D(Ti_Audétat23) Times'!$F412*0.000001)^2/(4*'D(Ti_Audétat23) Times'!$C412)/(365.35*24*3600)</f>
        <v>38.936852042111724</v>
      </c>
      <c r="O412" s="2">
        <f>([412]L!P412*'D(Ti_Audétat23) Times'!$F412*0.000001)^2/(4*'D(Ti_Audétat23) Times'!$C412)/(365.35*24*3600)</f>
        <v>2.8922680110392247E-2</v>
      </c>
      <c r="P412" s="2">
        <f>([412]L!Q412*'D(Ti_Audétat23) Times'!$F412*0.000001)^2/(4*'D(Ti_Audétat23) Times'!$C412)/(365.35*24*3600)</f>
        <v>2.102976170471142</v>
      </c>
      <c r="Q412" s="2">
        <f>([412]L!R412*'D(Ti_Audétat23) Times'!$F412*0.000001)^2/(4*'D(Ti_Audétat23) Times'!$C412)/(365.35*24*3600)</f>
        <v>50.706176516339511</v>
      </c>
      <c r="R412" s="2">
        <f>([412]L!S412*'D(Ti_Audétat23) Times'!$F412*0.000001)^2/(4*'D(Ti_Audétat23) Times'!$C412)/(365.35*24*3600)</f>
        <v>6826.8580699091417</v>
      </c>
      <c r="S412" s="2">
        <f>([412]L!T412*'D(Ti_Audétat23) Times'!$F412*0.000001)^2/(4*'D(Ti_Audétat23) Times'!$C412)/(365.35*24*3600)</f>
        <v>5.3401851392403765</v>
      </c>
      <c r="T412" s="2"/>
      <c r="U412" s="2">
        <f>([412]L!V412*'D(Ti_Audétat23) Times'!$F412*0.000001)^2/(4*'D(Ti_Audétat23) Times'!$C412)/(365.35*24*3600)</f>
        <v>22.21594239733836</v>
      </c>
      <c r="V412" s="2">
        <f>([412]L!W412*'D(Ti_Audétat23) Times'!$F412*0.000001)^2/(4*'D(Ti_Audétat23) Times'!$C412)/(365.35*24*3600)</f>
        <v>113.79854187982792</v>
      </c>
      <c r="W412" s="2">
        <f>([412]L!X412*'D(Ti_Audétat23) Times'!$F412*0.000001)^2/(4*'D(Ti_Audétat23) Times'!$C412)/(365.35*24*3600)</f>
        <v>6.0537153796870031</v>
      </c>
      <c r="X412" s="2"/>
      <c r="Y412" s="2">
        <f>([412]L!Z412*'D(Ti_Audétat23) Times'!$F412*0.000001)^2/(4*'D(Ti_Audétat23) Times'!$C412)/(365.35*24*3600)</f>
        <v>22.187130890049808</v>
      </c>
      <c r="Z412" s="2">
        <f>([412]L!AB412*'D(Ti_Audétat23) Times'!$F412*0.000001)^2/(4*'D(Ti_Audétat23) Times'!$C412)/(365.35*24*3600)</f>
        <v>26.32083787271274</v>
      </c>
      <c r="AA412" s="2">
        <f>([412]L!AC412*'D(Ti_Audétat23) Times'!$F412*0.000001)^2/(4*'D(Ti_Audétat23) Times'!$C412)/(365.35*24*3600)</f>
        <v>21.439101378946777</v>
      </c>
      <c r="AB412" s="2">
        <f>([412]L!AD412*'D(Ti_Audétat23) Times'!$F412*0.000001)^2/(4*'D(Ti_Audétat23) Times'!$C412)/(365.35*24*3600)</f>
        <v>23.134411705912953</v>
      </c>
      <c r="AC412" s="2">
        <f t="shared" si="25"/>
        <v>4.8817364937659633</v>
      </c>
      <c r="AD412" s="2">
        <f t="shared" si="26"/>
        <v>-3.1864261667997873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H412"/>
  <sheetViews>
    <sheetView zoomScaleNormal="100" workbookViewId="0">
      <pane ySplit="1" topLeftCell="A2" activePane="bottomLeft" state="frozen"/>
      <selection pane="bottomLeft"/>
    </sheetView>
  </sheetViews>
  <sheetFormatPr baseColWidth="10" defaultColWidth="9.1640625" defaultRowHeight="15" x14ac:dyDescent="0.2"/>
  <cols>
    <col min="1" max="1" width="26.1640625" bestFit="1" customWidth="1"/>
    <col min="2" max="2" width="15" customWidth="1"/>
    <col min="3" max="3" width="14.33203125" customWidth="1"/>
    <col min="4" max="4" width="14" customWidth="1"/>
    <col min="5" max="5" width="13.5" customWidth="1"/>
    <col min="6" max="6" width="16.5" customWidth="1"/>
    <col min="7" max="7" width="10.5" customWidth="1"/>
    <col min="8" max="8" width="11.6640625" customWidth="1"/>
    <col min="9" max="19" width="9.5" customWidth="1"/>
    <col min="21" max="21" width="12.1640625" bestFit="1" customWidth="1"/>
    <col min="22" max="23" width="9.5" customWidth="1"/>
    <col min="25" max="25" width="17.6640625" bestFit="1" customWidth="1"/>
    <col min="26" max="26" width="14.1640625" bestFit="1" customWidth="1"/>
    <col min="27" max="27" width="17.83203125" customWidth="1"/>
    <col min="28" max="28" width="19.5" customWidth="1"/>
    <col min="29" max="30" width="17" customWidth="1"/>
    <col min="38" max="38" width="17.1640625" customWidth="1"/>
    <col min="39" max="39" width="13.5" customWidth="1"/>
  </cols>
  <sheetData>
    <row r="1" spans="1:34" s="5" customFormat="1" x14ac:dyDescent="0.2">
      <c r="A1" s="5" t="s">
        <v>439</v>
      </c>
      <c r="B1" s="5" t="s">
        <v>440</v>
      </c>
      <c r="C1" s="5" t="s">
        <v>446</v>
      </c>
      <c r="D1" s="5" t="s">
        <v>442</v>
      </c>
      <c r="E1" s="5" t="s">
        <v>441</v>
      </c>
      <c r="F1" s="5" t="s">
        <v>443</v>
      </c>
      <c r="H1" s="10" t="s">
        <v>863</v>
      </c>
      <c r="I1" s="7" t="s">
        <v>17</v>
      </c>
      <c r="J1" s="7" t="s">
        <v>16</v>
      </c>
      <c r="K1" s="7" t="s">
        <v>15</v>
      </c>
      <c r="L1" s="7" t="s">
        <v>14</v>
      </c>
      <c r="M1" s="7" t="s">
        <v>13</v>
      </c>
      <c r="N1" s="7" t="s">
        <v>12</v>
      </c>
      <c r="O1" s="7" t="s">
        <v>11</v>
      </c>
      <c r="P1" s="7" t="s">
        <v>10</v>
      </c>
      <c r="Q1" s="7" t="s">
        <v>9</v>
      </c>
      <c r="R1" s="7" t="s">
        <v>8</v>
      </c>
      <c r="S1" s="7" t="s">
        <v>7</v>
      </c>
      <c r="T1" s="8"/>
      <c r="U1" s="8" t="s">
        <v>6</v>
      </c>
      <c r="V1" s="8" t="s">
        <v>5</v>
      </c>
      <c r="W1" s="8" t="s">
        <v>4</v>
      </c>
      <c r="Y1" s="8" t="s">
        <v>3</v>
      </c>
      <c r="Z1" s="8" t="s">
        <v>2</v>
      </c>
      <c r="AA1" s="8" t="s">
        <v>444</v>
      </c>
      <c r="AB1" s="8" t="s">
        <v>445</v>
      </c>
      <c r="AC1" s="8" t="s">
        <v>429</v>
      </c>
      <c r="AD1" s="8" t="s">
        <v>430</v>
      </c>
      <c r="AG1" s="8"/>
      <c r="AH1" s="8"/>
    </row>
    <row r="2" spans="1:34" x14ac:dyDescent="0.2">
      <c r="A2" t="str">
        <f>'L-Values'!A2</f>
        <v>CGI001-qtz01-CL-fit-1-offset</v>
      </c>
      <c r="B2">
        <v>750</v>
      </c>
      <c r="C2">
        <f>10^(-8.3-(311/(2.303*0.00831451*(B2+273.15))))</f>
        <v>6.6965312637759184E-25</v>
      </c>
      <c r="D2">
        <v>2100</v>
      </c>
      <c r="E2">
        <v>1024</v>
      </c>
      <c r="F2">
        <f>D2/E2</f>
        <v>2.05078125</v>
      </c>
      <c r="I2" s="2">
        <f>('L-Values'!E2*'D(Ti_Jollands) Times'!$F2*0.000001)^2/(4*'D(Ti_Jollands) Times'!$C2)/(365.35*24*3600)</f>
        <v>1601972.1021100131</v>
      </c>
      <c r="J2" s="2">
        <f>('L-Values'!F2*'D(Ti_Jollands) Times'!$F2*0.000001)^2/(4*'D(Ti_Jollands) Times'!$C2)/(365.35*24*3600)</f>
        <v>1999173.4595941158</v>
      </c>
      <c r="K2" s="2">
        <f>('L-Values'!G2*'D(Ti_Jollands) Times'!$F2*0.000001)^2/(4*'D(Ti_Jollands) Times'!$C2)/(365.35*24*3600)</f>
        <v>3577273.2365316427</v>
      </c>
      <c r="L2" s="2">
        <f>('L-Values'!H2*'D(Ti_Jollands) Times'!$F2*0.000001)^2/(4*'D(Ti_Jollands) Times'!$C2)/(365.35*24*3600)</f>
        <v>3800314.2911605248</v>
      </c>
      <c r="M2" s="2">
        <f>('L-Values'!I2*'D(Ti_Jollands) Times'!$F2*0.000001)^2/(4*'D(Ti_Jollands) Times'!$C2)/(365.35*24*3600)</f>
        <v>3585251.0383178475</v>
      </c>
      <c r="N2" s="2">
        <f>('L-Values'!J2*'D(Ti_Jollands) Times'!$F2*0.000001)^2/(4*'D(Ti_Jollands) Times'!$C2)/(365.35*24*3600)</f>
        <v>1069952.8977906203</v>
      </c>
      <c r="O2" s="2">
        <f>('L-Values'!K2*'D(Ti_Jollands) Times'!$F2*0.000001)^2/(4*'D(Ti_Jollands) Times'!$C2)/(365.35*24*3600)</f>
        <v>1592009.8252235737</v>
      </c>
      <c r="P2" s="2">
        <f>('L-Values'!L2*'D(Ti_Jollands) Times'!$F2*0.000001)^2/(4*'D(Ti_Jollands) Times'!$C2)/(365.35*24*3600)</f>
        <v>1204409.8191005427</v>
      </c>
      <c r="Q2" s="2">
        <f>('L-Values'!M2*'D(Ti_Jollands) Times'!$F2*0.000001)^2/(4*'D(Ti_Jollands) Times'!$C2)/(365.35*24*3600)</f>
        <v>943919.30066671676</v>
      </c>
      <c r="R2" s="2">
        <f>('L-Values'!N2*'D(Ti_Jollands) Times'!$F2*0.000001)^2/(4*'D(Ti_Jollands) Times'!$C2)/(365.35*24*3600)</f>
        <v>1056905.8730391127</v>
      </c>
      <c r="S2" s="2">
        <f>('L-Values'!O2*'D(Ti_Jollands) Times'!$F2*0.000001)^2/(4*'D(Ti_Jollands) Times'!$C2)/(365.35*24*3600)</f>
        <v>943038.67869641411</v>
      </c>
      <c r="T2" s="2"/>
      <c r="U2" s="2">
        <f>('L-Values'!Q2*'D(Ti_Jollands) Times'!$F2*0.000001)^2/(4*'D(Ti_Jollands) Times'!$C2)/(365.35*24*3600)</f>
        <v>1594143.7387560131</v>
      </c>
      <c r="V2" s="2">
        <f>('L-Values'!R2*'D(Ti_Jollands) Times'!$F2*0.000001)^2/(4*'D(Ti_Jollands) Times'!$C2)/(365.35*24*3600)</f>
        <v>1804919.3030714744</v>
      </c>
      <c r="W2" s="2">
        <f>('L-Values'!S2*'D(Ti_Jollands) Times'!$F2*0.000001)^2/(4*'D(Ti_Jollands) Times'!$C2)/(365.35*24*3600)</f>
        <v>1592009.8252235737</v>
      </c>
      <c r="X2" s="2"/>
      <c r="Y2" s="2">
        <f>('L-Values'!U2*'D(Ti_Jollands) Times'!$F2*0.000001)^2/(4*'D(Ti_Jollands) Times'!$C2)/(365.35*24*3600)</f>
        <v>1572323.4671401531</v>
      </c>
      <c r="Z2" s="2">
        <f>('L-Values'!V2*'D(Ti_Jollands) Times'!$F2*0.000001)^2/(4*'D(Ti_Jollands) Times'!$C2)/(365.35*24*3600)</f>
        <v>1602036.1925354754</v>
      </c>
      <c r="AA2" s="2">
        <f>('L-Values'!W2*'D(Ti_Jollands) Times'!$F2*0.000001)^2/(4*'D(Ti_Jollands) Times'!$C2)/(365.35*24*3600)</f>
        <v>461477.54004572664</v>
      </c>
      <c r="AB2" s="2">
        <f>('L-Values'!X2*'D(Ti_Jollands) Times'!$F2*0.000001)^2/(4*'D(Ti_Jollands) Times'!$C2)/(365.35*24*3600)</f>
        <v>3491742.8803976513</v>
      </c>
      <c r="AC2" s="2">
        <f>Z2-AA2</f>
        <v>1140558.6524897488</v>
      </c>
      <c r="AD2" s="2">
        <f>AB2-Z2</f>
        <v>1889706.687862176</v>
      </c>
    </row>
    <row r="3" spans="1:34" x14ac:dyDescent="0.2">
      <c r="A3" t="str">
        <f>'L-Values'!A3</f>
        <v>CGI001-qtz01-CL-fit-2</v>
      </c>
      <c r="B3">
        <v>750</v>
      </c>
      <c r="C3">
        <f t="shared" ref="C3:C66" si="0">10^(-8.3-(311/(2.303*0.00831451*(B3+273.15))))</f>
        <v>6.6965312637759184E-25</v>
      </c>
      <c r="D3">
        <v>2100</v>
      </c>
      <c r="E3">
        <v>1024</v>
      </c>
      <c r="F3">
        <f t="shared" ref="F3:F66" si="1">D3/E3</f>
        <v>2.05078125</v>
      </c>
      <c r="I3" s="2">
        <f>('L-Values'!E3*'D(Ti_Jollands) Times'!$F3*0.000001)^2/(4*'D(Ti_Jollands) Times'!$C3)/(365.35*24*3600)</f>
        <v>6219024.9817774119</v>
      </c>
      <c r="J3" s="2">
        <f>('L-Values'!F3*'D(Ti_Jollands) Times'!$F3*0.000001)^2/(4*'D(Ti_Jollands) Times'!$C3)/(365.35*24*3600)</f>
        <v>5767847.5576855987</v>
      </c>
      <c r="K3" s="2">
        <f>('L-Values'!G3*'D(Ti_Jollands) Times'!$F3*0.000001)^2/(4*'D(Ti_Jollands) Times'!$C3)/(365.35*24*3600)</f>
        <v>5492650.0731862085</v>
      </c>
      <c r="L3" s="2">
        <f>('L-Values'!H3*'D(Ti_Jollands) Times'!$F3*0.000001)^2/(4*'D(Ti_Jollands) Times'!$C3)/(365.35*24*3600)</f>
        <v>4483457.2212657062</v>
      </c>
      <c r="M3" s="2">
        <f>('L-Values'!I3*'D(Ti_Jollands) Times'!$F3*0.000001)^2/(4*'D(Ti_Jollands) Times'!$C3)/(365.35*24*3600)</f>
        <v>6787703.4601240922</v>
      </c>
      <c r="N3" s="2">
        <f>('L-Values'!J3*'D(Ti_Jollands) Times'!$F3*0.000001)^2/(4*'D(Ti_Jollands) Times'!$C3)/(365.35*24*3600)</f>
        <v>6466365.2666550269</v>
      </c>
      <c r="O3" s="2">
        <f>('L-Values'!K3*'D(Ti_Jollands) Times'!$F3*0.000001)^2/(4*'D(Ti_Jollands) Times'!$C3)/(365.35*24*3600)</f>
        <v>7230060.7595257433</v>
      </c>
      <c r="P3" s="2">
        <f>('L-Values'!L3*'D(Ti_Jollands) Times'!$F3*0.000001)^2/(4*'D(Ti_Jollands) Times'!$C3)/(365.35*24*3600)</f>
        <v>6643129.3261783896</v>
      </c>
      <c r="Q3" s="2">
        <f>('L-Values'!M3*'D(Ti_Jollands) Times'!$F3*0.000001)^2/(4*'D(Ti_Jollands) Times'!$C3)/(365.35*24*3600)</f>
        <v>7539987.4268907802</v>
      </c>
      <c r="R3" s="2">
        <f>('L-Values'!N3*'D(Ti_Jollands) Times'!$F3*0.000001)^2/(4*'D(Ti_Jollands) Times'!$C3)/(365.35*24*3600)</f>
        <v>6733192.2090635039</v>
      </c>
      <c r="S3" s="2">
        <f>('L-Values'!O3*'D(Ti_Jollands) Times'!$F3*0.000001)^2/(4*'D(Ti_Jollands) Times'!$C3)/(365.35*24*3600)</f>
        <v>6442195.2375114178</v>
      </c>
      <c r="T3" s="2"/>
      <c r="U3" s="2">
        <f>('L-Values'!Q3*'D(Ti_Jollands) Times'!$F3*0.000001)^2/(4*'D(Ti_Jollands) Times'!$C3)/(365.35*24*3600)</f>
        <v>6310985.0466239098</v>
      </c>
      <c r="V3" s="2">
        <f>('L-Values'!R3*'D(Ti_Jollands) Times'!$F3*0.000001)^2/(4*'D(Ti_Jollands) Times'!$C3)/(365.35*24*3600)</f>
        <v>6318327.552558356</v>
      </c>
      <c r="W3" s="2">
        <f>('L-Values'!S3*'D(Ti_Jollands) Times'!$F3*0.000001)^2/(4*'D(Ti_Jollands) Times'!$C3)/(365.35*24*3600)</f>
        <v>6466365.2666550269</v>
      </c>
      <c r="X3" s="2"/>
      <c r="Y3" s="2">
        <f>('L-Values'!U3*'D(Ti_Jollands) Times'!$F3*0.000001)^2/(4*'D(Ti_Jollands) Times'!$C3)/(365.35*24*3600)</f>
        <v>6117112.2830136875</v>
      </c>
      <c r="Z3" s="2">
        <f>('L-Values'!V3*'D(Ti_Jollands) Times'!$F3*0.000001)^2/(4*'D(Ti_Jollands) Times'!$C3)/(365.35*24*3600)</f>
        <v>6155029.441731316</v>
      </c>
      <c r="AA3" s="2">
        <f>('L-Values'!W3*'D(Ti_Jollands) Times'!$F3*0.000001)^2/(4*'D(Ti_Jollands) Times'!$C3)/(365.35*24*3600)</f>
        <v>4383496.877054533</v>
      </c>
      <c r="AB3" s="2">
        <f>('L-Values'!X3*'D(Ti_Jollands) Times'!$F3*0.000001)^2/(4*'D(Ti_Jollands) Times'!$C3)/(365.35*24*3600)</f>
        <v>8446019.3200140931</v>
      </c>
      <c r="AC3" s="2">
        <f t="shared" ref="AC3:AC66" si="2">Z3-AA3</f>
        <v>1771532.564676783</v>
      </c>
      <c r="AD3" s="2">
        <f t="shared" ref="AD3:AD66" si="3">AB3-Z3</f>
        <v>2290989.878282777</v>
      </c>
    </row>
    <row r="4" spans="1:34" x14ac:dyDescent="0.2">
      <c r="A4" t="str">
        <f>'L-Values'!A4</f>
        <v>CGI001-qtz01-CL-fit-3</v>
      </c>
      <c r="B4">
        <v>750</v>
      </c>
      <c r="C4">
        <f t="shared" si="0"/>
        <v>6.6965312637759184E-25</v>
      </c>
      <c r="D4">
        <v>2100</v>
      </c>
      <c r="E4">
        <v>1024</v>
      </c>
      <c r="F4">
        <f t="shared" si="1"/>
        <v>2.05078125</v>
      </c>
      <c r="I4" s="2">
        <f>('L-Values'!E4*'D(Ti_Jollands) Times'!$F4*0.000001)^2/(4*'D(Ti_Jollands) Times'!$C4)/(365.35*24*3600)</f>
        <v>1079784.4814279319</v>
      </c>
      <c r="J4" s="2">
        <f>('L-Values'!F4*'D(Ti_Jollands) Times'!$F4*0.000001)^2/(4*'D(Ti_Jollands) Times'!$C4)/(365.35*24*3600)</f>
        <v>1499667.3236240586</v>
      </c>
      <c r="K4" s="2">
        <f>('L-Values'!G4*'D(Ti_Jollands) Times'!$F4*0.000001)^2/(4*'D(Ti_Jollands) Times'!$C4)/(365.35*24*3600)</f>
        <v>1349175.2445408388</v>
      </c>
      <c r="L4" s="2">
        <f>('L-Values'!H4*'D(Ti_Jollands) Times'!$F4*0.000001)^2/(4*'D(Ti_Jollands) Times'!$C4)/(365.35*24*3600)</f>
        <v>1243839.6269893944</v>
      </c>
      <c r="M4" s="2">
        <f>('L-Values'!I4*'D(Ti_Jollands) Times'!$F4*0.000001)^2/(4*'D(Ti_Jollands) Times'!$C4)/(365.35*24*3600)</f>
        <v>984300.7700102051</v>
      </c>
      <c r="N4" s="2">
        <f>('L-Values'!J4*'D(Ti_Jollands) Times'!$F4*0.000001)^2/(4*'D(Ti_Jollands) Times'!$C4)/(365.35*24*3600)</f>
        <v>882472.6524494543</v>
      </c>
      <c r="O4" s="2">
        <f>('L-Values'!K4*'D(Ti_Jollands) Times'!$F4*0.000001)^2/(4*'D(Ti_Jollands) Times'!$C4)/(365.35*24*3600)</f>
        <v>1101290.5797815763</v>
      </c>
      <c r="P4" s="2">
        <f>('L-Values'!L4*'D(Ti_Jollands) Times'!$F4*0.000001)^2/(4*'D(Ti_Jollands) Times'!$C4)/(365.35*24*3600)</f>
        <v>1374846.6178215737</v>
      </c>
      <c r="Q4" s="2">
        <f>('L-Values'!M4*'D(Ti_Jollands) Times'!$F4*0.000001)^2/(4*'D(Ti_Jollands) Times'!$C4)/(365.35*24*3600)</f>
        <v>618853.37136076635</v>
      </c>
      <c r="R4" s="2">
        <f>('L-Values'!N4*'D(Ti_Jollands) Times'!$F4*0.000001)^2/(4*'D(Ti_Jollands) Times'!$C4)/(365.35*24*3600)</f>
        <v>1498095.8318087794</v>
      </c>
      <c r="S4" s="2">
        <f>('L-Values'!O4*'D(Ti_Jollands) Times'!$F4*0.000001)^2/(4*'D(Ti_Jollands) Times'!$C4)/(365.35*24*3600)</f>
        <v>748071.50248970196</v>
      </c>
      <c r="T4" s="2"/>
      <c r="U4" s="2">
        <f>('L-Values'!Q4*'D(Ti_Jollands) Times'!$F4*0.000001)^2/(4*'D(Ti_Jollands) Times'!$C4)/(365.35*24*3600)</f>
        <v>1091844.4986629344</v>
      </c>
      <c r="V4" s="2">
        <f>('L-Values'!R4*'D(Ti_Jollands) Times'!$F4*0.000001)^2/(4*'D(Ti_Jollands) Times'!$C4)/(365.35*24*3600)</f>
        <v>1106241.9837826111</v>
      </c>
      <c r="W4" s="2">
        <f>('L-Values'!S4*'D(Ti_Jollands) Times'!$F4*0.000001)^2/(4*'D(Ti_Jollands) Times'!$C4)/(365.35*24*3600)</f>
        <v>1101290.5797815763</v>
      </c>
      <c r="X4" s="2"/>
      <c r="Y4" s="2">
        <f>('L-Values'!U4*'D(Ti_Jollands) Times'!$F4*0.000001)^2/(4*'D(Ti_Jollands) Times'!$C4)/(365.35*24*3600)</f>
        <v>1057055.5251956999</v>
      </c>
      <c r="Z4" s="2">
        <f>('L-Values'!V4*'D(Ti_Jollands) Times'!$F4*0.000001)^2/(4*'D(Ti_Jollands) Times'!$C4)/(365.35*24*3600)</f>
        <v>1101499.6903519358</v>
      </c>
      <c r="AA4" s="2">
        <f>('L-Values'!W4*'D(Ti_Jollands) Times'!$F4*0.000001)^2/(4*'D(Ti_Jollands) Times'!$C4)/(365.35*24*3600)</f>
        <v>432899.48530378641</v>
      </c>
      <c r="AB4" s="2">
        <f>('L-Values'!X4*'D(Ti_Jollands) Times'!$F4*0.000001)^2/(4*'D(Ti_Jollands) Times'!$C4)/(365.35*24*3600)</f>
        <v>2179657.4086880516</v>
      </c>
      <c r="AC4" s="2">
        <f t="shared" si="2"/>
        <v>668600.20504814945</v>
      </c>
      <c r="AD4" s="2">
        <f t="shared" si="3"/>
        <v>1078157.7183361158</v>
      </c>
    </row>
    <row r="5" spans="1:34" x14ac:dyDescent="0.2">
      <c r="A5" t="str">
        <f>'L-Values'!A5</f>
        <v>CGI001-qtz01-CL-fit-4</v>
      </c>
      <c r="B5">
        <v>750</v>
      </c>
      <c r="C5">
        <f t="shared" si="0"/>
        <v>6.6965312637759184E-25</v>
      </c>
      <c r="D5">
        <v>2100</v>
      </c>
      <c r="E5">
        <v>1024</v>
      </c>
      <c r="F5">
        <f t="shared" si="1"/>
        <v>2.05078125</v>
      </c>
      <c r="I5" s="2">
        <f>('L-Values'!E5*'D(Ti_Jollands) Times'!$F5*0.000001)^2/(4*'D(Ti_Jollands) Times'!$C5)/(365.35*24*3600)</f>
        <v>432617.10528905626</v>
      </c>
      <c r="J5" s="2">
        <f>('L-Values'!F5*'D(Ti_Jollands) Times'!$F5*0.000001)^2/(4*'D(Ti_Jollands) Times'!$C5)/(365.35*24*3600)</f>
        <v>388891.2029021362</v>
      </c>
      <c r="K5" s="2">
        <f>('L-Values'!G5*'D(Ti_Jollands) Times'!$F5*0.000001)^2/(4*'D(Ti_Jollands) Times'!$C5)/(365.35*24*3600)</f>
        <v>275709.07454981952</v>
      </c>
      <c r="L5" s="2">
        <f>('L-Values'!H5*'D(Ti_Jollands) Times'!$F5*0.000001)^2/(4*'D(Ti_Jollands) Times'!$C5)/(365.35*24*3600)</f>
        <v>249325.91608423027</v>
      </c>
      <c r="M5" s="2">
        <f>('L-Values'!I5*'D(Ti_Jollands) Times'!$F5*0.000001)^2/(4*'D(Ti_Jollands) Times'!$C5)/(365.35*24*3600)</f>
        <v>250319.76188622226</v>
      </c>
      <c r="N5" s="2">
        <f>('L-Values'!J5*'D(Ti_Jollands) Times'!$F5*0.000001)^2/(4*'D(Ti_Jollands) Times'!$C5)/(365.35*24*3600)</f>
        <v>285969.72199468646</v>
      </c>
      <c r="O5" s="2">
        <f>('L-Values'!K5*'D(Ti_Jollands) Times'!$F5*0.000001)^2/(4*'D(Ti_Jollands) Times'!$C5)/(365.35*24*3600)</f>
        <v>328793.43810663273</v>
      </c>
      <c r="P5" s="2">
        <f>('L-Values'!L5*'D(Ti_Jollands) Times'!$F5*0.000001)^2/(4*'D(Ti_Jollands) Times'!$C5)/(365.35*24*3600)</f>
        <v>305053.19525222713</v>
      </c>
      <c r="Q5" s="2">
        <f>('L-Values'!M5*'D(Ti_Jollands) Times'!$F5*0.000001)^2/(4*'D(Ti_Jollands) Times'!$C5)/(365.35*24*3600)</f>
        <v>292914.2285728709</v>
      </c>
      <c r="R5" s="2">
        <f>('L-Values'!N5*'D(Ti_Jollands) Times'!$F5*0.000001)^2/(4*'D(Ti_Jollands) Times'!$C5)/(365.35*24*3600)</f>
        <v>651005.29392519558</v>
      </c>
      <c r="S5" s="2">
        <f>('L-Values'!O5*'D(Ti_Jollands) Times'!$F5*0.000001)^2/(4*'D(Ti_Jollands) Times'!$C5)/(365.35*24*3600)</f>
        <v>588682.71833992389</v>
      </c>
      <c r="T5" s="2"/>
      <c r="U5" s="2">
        <f>('L-Values'!Q5*'D(Ti_Jollands) Times'!$F5*0.000001)^2/(4*'D(Ti_Jollands) Times'!$C5)/(365.35*24*3600)</f>
        <v>425646.44096998707</v>
      </c>
      <c r="V5" s="2">
        <f>('L-Values'!R5*'D(Ti_Jollands) Times'!$F5*0.000001)^2/(4*'D(Ti_Jollands) Times'!$C5)/(365.35*24*3600)</f>
        <v>358025.63576864934</v>
      </c>
      <c r="W5" s="2">
        <f>('L-Values'!S5*'D(Ti_Jollands) Times'!$F5*0.000001)^2/(4*'D(Ti_Jollands) Times'!$C5)/(365.35*24*3600)</f>
        <v>305053.19525222713</v>
      </c>
      <c r="X5" s="2"/>
      <c r="Y5" s="2">
        <f>('L-Values'!U5*'D(Ti_Jollands) Times'!$F5*0.000001)^2/(4*'D(Ti_Jollands) Times'!$C5)/(365.35*24*3600)</f>
        <v>411241.58501805761</v>
      </c>
      <c r="Z5" s="2">
        <f>('L-Values'!V5*'D(Ti_Jollands) Times'!$F5*0.000001)^2/(4*'D(Ti_Jollands) Times'!$C5)/(365.35*24*3600)</f>
        <v>380195.27740864392</v>
      </c>
      <c r="AA5" s="2">
        <f>('L-Values'!W5*'D(Ti_Jollands) Times'!$F5*0.000001)^2/(4*'D(Ti_Jollands) Times'!$C5)/(365.35*24*3600)</f>
        <v>17105.545754926214</v>
      </c>
      <c r="AB5" s="2">
        <f>('L-Values'!X5*'D(Ti_Jollands) Times'!$F5*0.000001)^2/(4*'D(Ti_Jollands) Times'!$C5)/(365.35*24*3600)</f>
        <v>788988.50870425999</v>
      </c>
      <c r="AC5" s="2">
        <f t="shared" si="2"/>
        <v>363089.7316537177</v>
      </c>
      <c r="AD5" s="2">
        <f t="shared" si="3"/>
        <v>408793.23129561607</v>
      </c>
    </row>
    <row r="6" spans="1:34" x14ac:dyDescent="0.2">
      <c r="A6" t="str">
        <f>'L-Values'!A6</f>
        <v>CGI001-qtz02-CL-fit-1-offset</v>
      </c>
      <c r="B6">
        <v>750</v>
      </c>
      <c r="C6">
        <f t="shared" si="0"/>
        <v>6.6965312637759184E-25</v>
      </c>
      <c r="D6">
        <v>1700</v>
      </c>
      <c r="E6">
        <v>1024</v>
      </c>
      <c r="F6">
        <f t="shared" si="1"/>
        <v>1.66015625</v>
      </c>
      <c r="I6" s="2">
        <f>('L-Values'!E6*'D(Ti_Jollands) Times'!$F6*0.000001)^2/(4*'D(Ti_Jollands) Times'!$C6)/(365.35*24*3600)</f>
        <v>572940.18585851695</v>
      </c>
      <c r="J6" s="2">
        <f>('L-Values'!F6*'D(Ti_Jollands) Times'!$F6*0.000001)^2/(4*'D(Ti_Jollands) Times'!$C6)/(365.35*24*3600)</f>
        <v>417471.40369153587</v>
      </c>
      <c r="K6" s="2">
        <f>('L-Values'!G6*'D(Ti_Jollands) Times'!$F6*0.000001)^2/(4*'D(Ti_Jollands) Times'!$C6)/(365.35*24*3600)</f>
        <v>860314.12104328035</v>
      </c>
      <c r="L6" s="2">
        <f>('L-Values'!H6*'D(Ti_Jollands) Times'!$F6*0.000001)^2/(4*'D(Ti_Jollands) Times'!$C6)/(365.35*24*3600)</f>
        <v>693621.82161753101</v>
      </c>
      <c r="M6" s="2">
        <f>('L-Values'!I6*'D(Ti_Jollands) Times'!$F6*0.000001)^2/(4*'D(Ti_Jollands) Times'!$C6)/(365.35*24*3600)</f>
        <v>289835.19959138084</v>
      </c>
      <c r="N6" s="2">
        <f>('L-Values'!J6*'D(Ti_Jollands) Times'!$F6*0.000001)^2/(4*'D(Ti_Jollands) Times'!$C6)/(365.35*24*3600)</f>
        <v>524728.51948451181</v>
      </c>
      <c r="O6" s="2">
        <f>('L-Values'!K6*'D(Ti_Jollands) Times'!$F6*0.000001)^2/(4*'D(Ti_Jollands) Times'!$C6)/(365.35*24*3600)</f>
        <v>525491.9588103072</v>
      </c>
      <c r="P6" s="2">
        <f>('L-Values'!L6*'D(Ti_Jollands) Times'!$F6*0.000001)^2/(4*'D(Ti_Jollands) Times'!$C6)/(365.35*24*3600)</f>
        <v>383171.76069343463</v>
      </c>
      <c r="Q6" s="2">
        <f>('L-Values'!M6*'D(Ti_Jollands) Times'!$F6*0.000001)^2/(4*'D(Ti_Jollands) Times'!$C6)/(365.35*24*3600)</f>
        <v>552014.44800099288</v>
      </c>
      <c r="R6" s="2">
        <f>('L-Values'!N6*'D(Ti_Jollands) Times'!$F6*0.000001)^2/(4*'D(Ti_Jollands) Times'!$C6)/(365.35*24*3600)</f>
        <v>577495.09069084399</v>
      </c>
      <c r="S6" s="2">
        <f>('L-Values'!O6*'D(Ti_Jollands) Times'!$F6*0.000001)^2/(4*'D(Ti_Jollands) Times'!$C6)/(365.35*24*3600)</f>
        <v>385184.32095546677</v>
      </c>
      <c r="T6" s="2"/>
      <c r="U6" s="2">
        <f>('L-Values'!Q6*'D(Ti_Jollands) Times'!$F6*0.000001)^2/(4*'D(Ti_Jollands) Times'!$C6)/(365.35*24*3600)</f>
        <v>502928.16651872499</v>
      </c>
      <c r="V6" s="2">
        <f>('L-Values'!R6*'D(Ti_Jollands) Times'!$F6*0.000001)^2/(4*'D(Ti_Jollands) Times'!$C6)/(365.35*24*3600)</f>
        <v>514952.49708476948</v>
      </c>
      <c r="W6" s="2">
        <f>('L-Values'!S6*'D(Ti_Jollands) Times'!$F6*0.000001)^2/(4*'D(Ti_Jollands) Times'!$C6)/(365.35*24*3600)</f>
        <v>525491.9588103072</v>
      </c>
      <c r="X6" s="2"/>
      <c r="Y6" s="2">
        <f>('L-Values'!U6*'D(Ti_Jollands) Times'!$F6*0.000001)^2/(4*'D(Ti_Jollands) Times'!$C6)/(365.35*24*3600)</f>
        <v>467667.86611476442</v>
      </c>
      <c r="Z6" s="2">
        <f>('L-Values'!V6*'D(Ti_Jollands) Times'!$F6*0.000001)^2/(4*'D(Ti_Jollands) Times'!$C6)/(365.35*24*3600)</f>
        <v>484515.89087361598</v>
      </c>
      <c r="AA6" s="2">
        <f>('L-Values'!W6*'D(Ti_Jollands) Times'!$F6*0.000001)^2/(4*'D(Ti_Jollands) Times'!$C6)/(365.35*24*3600)</f>
        <v>182574.10487138378</v>
      </c>
      <c r="AB6" s="2">
        <f>('L-Values'!X6*'D(Ti_Jollands) Times'!$F6*0.000001)^2/(4*'D(Ti_Jollands) Times'!$C6)/(365.35*24*3600)</f>
        <v>877873.59864661517</v>
      </c>
      <c r="AC6" s="2">
        <f t="shared" si="2"/>
        <v>301941.78600223223</v>
      </c>
      <c r="AD6" s="2">
        <f t="shared" si="3"/>
        <v>393357.70777299919</v>
      </c>
    </row>
    <row r="7" spans="1:34" x14ac:dyDescent="0.2">
      <c r="A7" t="str">
        <f>'L-Values'!A7</f>
        <v>CGI001-qtz02-CL-fit-2</v>
      </c>
      <c r="B7">
        <v>750</v>
      </c>
      <c r="C7">
        <f t="shared" si="0"/>
        <v>6.6965312637759184E-25</v>
      </c>
      <c r="D7">
        <v>1700</v>
      </c>
      <c r="E7">
        <v>1024</v>
      </c>
      <c r="F7">
        <f t="shared" si="1"/>
        <v>1.66015625</v>
      </c>
      <c r="I7" s="2">
        <f>('L-Values'!E7*'D(Ti_Jollands) Times'!$F7*0.000001)^2/(4*'D(Ti_Jollands) Times'!$C7)/(365.35*24*3600)</f>
        <v>802717.9001966631</v>
      </c>
      <c r="J7" s="2">
        <f>('L-Values'!F7*'D(Ti_Jollands) Times'!$F7*0.000001)^2/(4*'D(Ti_Jollands) Times'!$C7)/(365.35*24*3600)</f>
        <v>760356.75396737608</v>
      </c>
      <c r="K7" s="2">
        <f>('L-Values'!G7*'D(Ti_Jollands) Times'!$F7*0.000001)^2/(4*'D(Ti_Jollands) Times'!$C7)/(365.35*24*3600)</f>
        <v>928195.30059497955</v>
      </c>
      <c r="L7" s="2">
        <f>('L-Values'!H7*'D(Ti_Jollands) Times'!$F7*0.000001)^2/(4*'D(Ti_Jollands) Times'!$C7)/(365.35*24*3600)</f>
        <v>1162467.517766353</v>
      </c>
      <c r="M7" s="2">
        <f>('L-Values'!I7*'D(Ti_Jollands) Times'!$F7*0.000001)^2/(4*'D(Ti_Jollands) Times'!$C7)/(365.35*24*3600)</f>
        <v>1304671.2456918845</v>
      </c>
      <c r="N7" s="2">
        <f>('L-Values'!J7*'D(Ti_Jollands) Times'!$F7*0.000001)^2/(4*'D(Ti_Jollands) Times'!$C7)/(365.35*24*3600)</f>
        <v>1118061.4037783954</v>
      </c>
      <c r="O7" s="2">
        <f>('L-Values'!K7*'D(Ti_Jollands) Times'!$F7*0.000001)^2/(4*'D(Ti_Jollands) Times'!$C7)/(365.35*24*3600)</f>
        <v>1294049.0990025285</v>
      </c>
      <c r="P7" s="2">
        <f>('L-Values'!L7*'D(Ti_Jollands) Times'!$F7*0.000001)^2/(4*'D(Ti_Jollands) Times'!$C7)/(365.35*24*3600)</f>
        <v>1143066.342381337</v>
      </c>
      <c r="Q7" s="2">
        <f>('L-Values'!M7*'D(Ti_Jollands) Times'!$F7*0.000001)^2/(4*'D(Ti_Jollands) Times'!$C7)/(365.35*24*3600)</f>
        <v>1373880.7438380453</v>
      </c>
      <c r="R7" s="2">
        <f>('L-Values'!N7*'D(Ti_Jollands) Times'!$F7*0.000001)^2/(4*'D(Ti_Jollands) Times'!$C7)/(365.35*24*3600)</f>
        <v>971213.41707348323</v>
      </c>
      <c r="S7" s="2">
        <f>('L-Values'!O7*'D(Ti_Jollands) Times'!$F7*0.000001)^2/(4*'D(Ti_Jollands) Times'!$C7)/(365.35*24*3600)</f>
        <v>961112.19394442928</v>
      </c>
      <c r="T7" s="2"/>
      <c r="U7" s="2">
        <f>('L-Values'!Q7*'D(Ti_Jollands) Times'!$F7*0.000001)^2/(4*'D(Ti_Jollands) Times'!$C7)/(365.35*24*3600)</f>
        <v>1099102.8326303926</v>
      </c>
      <c r="V7" s="2">
        <f>('L-Values'!R7*'D(Ti_Jollands) Times'!$F7*0.000001)^2/(4*'D(Ti_Jollands) Times'!$C7)/(365.35*24*3600)</f>
        <v>1065369.2437460134</v>
      </c>
      <c r="W7" s="2">
        <f>('L-Values'!S7*'D(Ti_Jollands) Times'!$F7*0.000001)^2/(4*'D(Ti_Jollands) Times'!$C7)/(365.35*24*3600)</f>
        <v>1118061.4037783954</v>
      </c>
      <c r="X7" s="2"/>
      <c r="Y7" s="2">
        <f>('L-Values'!U7*'D(Ti_Jollands) Times'!$F7*0.000001)^2/(4*'D(Ti_Jollands) Times'!$C7)/(365.35*24*3600)</f>
        <v>1082080.6153576788</v>
      </c>
      <c r="Z7" s="2">
        <f>('L-Values'!V7*'D(Ti_Jollands) Times'!$F7*0.000001)^2/(4*'D(Ti_Jollands) Times'!$C7)/(365.35*24*3600)</f>
        <v>1079051.7299242963</v>
      </c>
      <c r="AA7" s="2">
        <f>('L-Values'!W7*'D(Ti_Jollands) Times'!$F7*0.000001)^2/(4*'D(Ti_Jollands) Times'!$C7)/(365.35*24*3600)</f>
        <v>643367.60208133003</v>
      </c>
      <c r="AB7" s="2">
        <f>('L-Values'!X7*'D(Ti_Jollands) Times'!$F7*0.000001)^2/(4*'D(Ti_Jollands) Times'!$C7)/(365.35*24*3600)</f>
        <v>1636888.0708928891</v>
      </c>
      <c r="AC7" s="2">
        <f t="shared" si="2"/>
        <v>435684.12784296623</v>
      </c>
      <c r="AD7" s="2">
        <f t="shared" si="3"/>
        <v>557836.34096859279</v>
      </c>
    </row>
    <row r="8" spans="1:34" x14ac:dyDescent="0.2">
      <c r="A8" t="str">
        <f>'L-Values'!A8</f>
        <v>CGI001-qtz02-CL-fit-3-offset</v>
      </c>
      <c r="B8">
        <v>750</v>
      </c>
      <c r="C8">
        <f t="shared" si="0"/>
        <v>6.6965312637759184E-25</v>
      </c>
      <c r="D8">
        <v>1700</v>
      </c>
      <c r="E8">
        <v>1024</v>
      </c>
      <c r="F8">
        <f t="shared" si="1"/>
        <v>1.66015625</v>
      </c>
      <c r="I8" s="2">
        <f>('L-Values'!E8*'D(Ti_Jollands) Times'!$F8*0.000001)^2/(4*'D(Ti_Jollands) Times'!$C8)/(365.35*24*3600)</f>
        <v>357836.44856249983</v>
      </c>
      <c r="J8" s="2">
        <f>('L-Values'!F8*'D(Ti_Jollands) Times'!$F8*0.000001)^2/(4*'D(Ti_Jollands) Times'!$C8)/(365.35*24*3600)</f>
        <v>377019.12584269576</v>
      </c>
      <c r="K8" s="2">
        <f>('L-Values'!G8*'D(Ti_Jollands) Times'!$F8*0.000001)^2/(4*'D(Ti_Jollands) Times'!$C8)/(365.35*24*3600)</f>
        <v>346812.18772262125</v>
      </c>
      <c r="L8" s="2">
        <f>('L-Values'!H8*'D(Ti_Jollands) Times'!$F8*0.000001)^2/(4*'D(Ti_Jollands) Times'!$C8)/(365.35*24*3600)</f>
        <v>424898.6340721164</v>
      </c>
      <c r="M8" s="2">
        <f>('L-Values'!I8*'D(Ti_Jollands) Times'!$F8*0.000001)^2/(4*'D(Ti_Jollands) Times'!$C8)/(365.35*24*3600)</f>
        <v>313186.298855684</v>
      </c>
      <c r="N8" s="2">
        <f>('L-Values'!J8*'D(Ti_Jollands) Times'!$F8*0.000001)^2/(4*'D(Ti_Jollands) Times'!$C8)/(365.35*24*3600)</f>
        <v>422949.57750677853</v>
      </c>
      <c r="O8" s="2">
        <f>('L-Values'!K8*'D(Ti_Jollands) Times'!$F8*0.000001)^2/(4*'D(Ti_Jollands) Times'!$C8)/(365.35*24*3600)</f>
        <v>376820.55005257874</v>
      </c>
      <c r="P8" s="2">
        <f>('L-Values'!L8*'D(Ti_Jollands) Times'!$F8*0.000001)^2/(4*'D(Ti_Jollands) Times'!$C8)/(365.35*24*3600)</f>
        <v>452547.35543153831</v>
      </c>
      <c r="Q8" s="2">
        <f>('L-Values'!M8*'D(Ti_Jollands) Times'!$F8*0.000001)^2/(4*'D(Ti_Jollands) Times'!$C8)/(365.35*24*3600)</f>
        <v>413089.59595147322</v>
      </c>
      <c r="R8" s="2">
        <f>('L-Values'!N8*'D(Ti_Jollands) Times'!$F8*0.000001)^2/(4*'D(Ti_Jollands) Times'!$C8)/(365.35*24*3600)</f>
        <v>335419.71272644738</v>
      </c>
      <c r="S8" s="2">
        <f>('L-Values'!O8*'D(Ti_Jollands) Times'!$F8*0.000001)^2/(4*'D(Ti_Jollands) Times'!$C8)/(365.35*24*3600)</f>
        <v>301959.42639187368</v>
      </c>
      <c r="T8" s="2"/>
      <c r="U8" s="2">
        <f>('L-Values'!Q8*'D(Ti_Jollands) Times'!$F8*0.000001)^2/(4*'D(Ti_Jollands) Times'!$C8)/(365.35*24*3600)</f>
        <v>396693.46854559105</v>
      </c>
      <c r="V8" s="2">
        <f>('L-Values'!R8*'D(Ti_Jollands) Times'!$F8*0.000001)^2/(4*'D(Ti_Jollands) Times'!$C8)/(365.35*24*3600)</f>
        <v>373309.46223636431</v>
      </c>
      <c r="W8" s="2">
        <f>('L-Values'!S8*'D(Ti_Jollands) Times'!$F8*0.000001)^2/(4*'D(Ti_Jollands) Times'!$C8)/(365.35*24*3600)</f>
        <v>376820.55005257874</v>
      </c>
      <c r="X8" s="2"/>
      <c r="Y8" s="2">
        <f>('L-Values'!U8*'D(Ti_Jollands) Times'!$F8*0.000001)^2/(4*'D(Ti_Jollands) Times'!$C8)/(365.35*24*3600)</f>
        <v>364475.47697651148</v>
      </c>
      <c r="Z8" s="2">
        <f>('L-Values'!V8*'D(Ti_Jollands) Times'!$F8*0.000001)^2/(4*'D(Ti_Jollands) Times'!$C8)/(365.35*24*3600)</f>
        <v>346527.51781772956</v>
      </c>
      <c r="AA8" s="2">
        <f>('L-Values'!W8*'D(Ti_Jollands) Times'!$F8*0.000001)^2/(4*'D(Ti_Jollands) Times'!$C8)/(365.35*24*3600)</f>
        <v>18736.765247914482</v>
      </c>
      <c r="AB8" s="2">
        <f>('L-Values'!X8*'D(Ti_Jollands) Times'!$F8*0.000001)^2/(4*'D(Ti_Jollands) Times'!$C8)/(365.35*24*3600)</f>
        <v>833677.52571016422</v>
      </c>
      <c r="AC8" s="2">
        <f t="shared" si="2"/>
        <v>327790.75256981509</v>
      </c>
      <c r="AD8" s="2">
        <f t="shared" si="3"/>
        <v>487150.00789243466</v>
      </c>
    </row>
    <row r="9" spans="1:34" x14ac:dyDescent="0.2">
      <c r="A9" t="str">
        <f>'L-Values'!A9</f>
        <v>CGI001-qtz02-CL-fit-4-offset</v>
      </c>
      <c r="B9">
        <v>750</v>
      </c>
      <c r="C9">
        <f t="shared" si="0"/>
        <v>6.6965312637759184E-25</v>
      </c>
      <c r="D9">
        <v>1700</v>
      </c>
      <c r="E9">
        <v>1024</v>
      </c>
      <c r="F9">
        <f t="shared" si="1"/>
        <v>1.66015625</v>
      </c>
      <c r="I9" s="2">
        <f>('L-Values'!E9*'D(Ti_Jollands) Times'!$F9*0.000001)^2/(4*'D(Ti_Jollands) Times'!$C9)/(365.35*24*3600)</f>
        <v>1368.9445220664727</v>
      </c>
      <c r="J9" s="2">
        <f>('L-Values'!F9*'D(Ti_Jollands) Times'!$F9*0.000001)^2/(4*'D(Ti_Jollands) Times'!$C9)/(365.35*24*3600)</f>
        <v>307.1802905744712</v>
      </c>
      <c r="K9" s="2">
        <f>('L-Values'!G9*'D(Ti_Jollands) Times'!$F9*0.000001)^2/(4*'D(Ti_Jollands) Times'!$C9)/(365.35*24*3600)</f>
        <v>776.05273461993124</v>
      </c>
      <c r="L9" s="2">
        <f>('L-Values'!H9*'D(Ti_Jollands) Times'!$F9*0.000001)^2/(4*'D(Ti_Jollands) Times'!$C9)/(365.35*24*3600)</f>
        <v>101.14779787641515</v>
      </c>
      <c r="M9" s="2">
        <f>('L-Values'!I9*'D(Ti_Jollands) Times'!$F9*0.000001)^2/(4*'D(Ti_Jollands) Times'!$C9)/(365.35*24*3600)</f>
        <v>783.58098555423192</v>
      </c>
      <c r="N9" s="2">
        <f>('L-Values'!J9*'D(Ti_Jollands) Times'!$F9*0.000001)^2/(4*'D(Ti_Jollands) Times'!$C9)/(365.35*24*3600)</f>
        <v>163.98825876091772</v>
      </c>
      <c r="O9" s="2">
        <f>('L-Values'!K9*'D(Ti_Jollands) Times'!$F9*0.000001)^2/(4*'D(Ti_Jollands) Times'!$C9)/(365.35*24*3600)</f>
        <v>2.5788514124649131</v>
      </c>
      <c r="P9" s="2">
        <f>('L-Values'!L9*'D(Ti_Jollands) Times'!$F9*0.000001)^2/(4*'D(Ti_Jollands) Times'!$C9)/(365.35*24*3600)</f>
        <v>1115.1506725367874</v>
      </c>
      <c r="Q9" s="2">
        <f>('L-Values'!M9*'D(Ti_Jollands) Times'!$F9*0.000001)^2/(4*'D(Ti_Jollands) Times'!$C9)/(365.35*24*3600)</f>
        <v>1308.1111556849412</v>
      </c>
      <c r="R9" s="2">
        <f>('L-Values'!N9*'D(Ti_Jollands) Times'!$F9*0.000001)^2/(4*'D(Ti_Jollands) Times'!$C9)/(365.35*24*3600)</f>
        <v>7.7982747778157595</v>
      </c>
      <c r="S9" s="2">
        <f>('L-Values'!O9*'D(Ti_Jollands) Times'!$F9*0.000001)^2/(4*'D(Ti_Jollands) Times'!$C9)/(365.35*24*3600)</f>
        <v>388.07524921701156</v>
      </c>
      <c r="T9" s="2"/>
      <c r="U9" s="2">
        <f>('L-Values'!Q9*'D(Ti_Jollands) Times'!$F9*0.000001)^2/(4*'D(Ti_Jollands) Times'!$C9)/(365.35*24*3600)</f>
        <v>182.60289484127443</v>
      </c>
      <c r="V9" s="2">
        <f>('L-Values'!R9*'D(Ti_Jollands) Times'!$F9*0.000001)^2/(4*'D(Ti_Jollands) Times'!$C9)/(365.35*24*3600)</f>
        <v>425.47988663717689</v>
      </c>
      <c r="W9" s="2">
        <f>('L-Values'!S9*'D(Ti_Jollands) Times'!$F9*0.000001)^2/(4*'D(Ti_Jollands) Times'!$C9)/(365.35*24*3600)</f>
        <v>388.07524921701156</v>
      </c>
      <c r="X9" s="2"/>
      <c r="Y9" s="2">
        <f>('L-Values'!U9*'D(Ti_Jollands) Times'!$F9*0.000001)^2/(4*'D(Ti_Jollands) Times'!$C9)/(365.35*24*3600)</f>
        <v>1324.0130242653358</v>
      </c>
      <c r="Z9" s="2">
        <f>('L-Values'!V9*'D(Ti_Jollands) Times'!$F9*0.000001)^2/(4*'D(Ti_Jollands) Times'!$C9)/(365.35*24*3600)</f>
        <v>2529.5202414306577</v>
      </c>
      <c r="AA9" s="2">
        <f>('L-Values'!W9*'D(Ti_Jollands) Times'!$F9*0.000001)^2/(4*'D(Ti_Jollands) Times'!$C9)/(365.35*24*3600)</f>
        <v>1.4005265424058234E-10</v>
      </c>
      <c r="AB9" s="2">
        <f>('L-Values'!X9*'D(Ti_Jollands) Times'!$F9*0.000001)^2/(4*'D(Ti_Jollands) Times'!$C9)/(365.35*24*3600)</f>
        <v>40943.496199167093</v>
      </c>
      <c r="AC9" s="2">
        <f t="shared" si="2"/>
        <v>2529.5202414305177</v>
      </c>
      <c r="AD9" s="2">
        <f t="shared" si="3"/>
        <v>38413.975957736438</v>
      </c>
    </row>
    <row r="10" spans="1:34" x14ac:dyDescent="0.2">
      <c r="A10" t="str">
        <f>'L-Values'!A10</f>
        <v>CGI001-qtz03-CL-fit-1</v>
      </c>
      <c r="B10">
        <v>750</v>
      </c>
      <c r="C10">
        <f t="shared" si="0"/>
        <v>6.6965312637759184E-25</v>
      </c>
      <c r="D10">
        <v>1900</v>
      </c>
      <c r="E10">
        <v>1024</v>
      </c>
      <c r="F10">
        <f t="shared" si="1"/>
        <v>1.85546875</v>
      </c>
      <c r="I10" s="2">
        <f>('L-Values'!E10*'D(Ti_Jollands) Times'!$F10*0.000001)^2/(4*'D(Ti_Jollands) Times'!$C10)/(365.35*24*3600)</f>
        <v>4299339.7977954047</v>
      </c>
      <c r="J10" s="2">
        <f>('L-Values'!F10*'D(Ti_Jollands) Times'!$F10*0.000001)^2/(4*'D(Ti_Jollands) Times'!$C10)/(365.35*24*3600)</f>
        <v>2271858.9995931438</v>
      </c>
      <c r="K10" s="2">
        <f>('L-Values'!G10*'D(Ti_Jollands) Times'!$F10*0.000001)^2/(4*'D(Ti_Jollands) Times'!$C10)/(365.35*24*3600)</f>
        <v>2168883.0383288004</v>
      </c>
      <c r="L10" s="2">
        <f>('L-Values'!H10*'D(Ti_Jollands) Times'!$F10*0.000001)^2/(4*'D(Ti_Jollands) Times'!$C10)/(365.35*24*3600)</f>
        <v>2570416.7241767622</v>
      </c>
      <c r="M10" s="2">
        <f>('L-Values'!I10*'D(Ti_Jollands) Times'!$F10*0.000001)^2/(4*'D(Ti_Jollands) Times'!$C10)/(365.35*24*3600)</f>
        <v>2432930.9162711566</v>
      </c>
      <c r="N10" s="2">
        <f>('L-Values'!J10*'D(Ti_Jollands) Times'!$F10*0.000001)^2/(4*'D(Ti_Jollands) Times'!$C10)/(365.35*24*3600)</f>
        <v>3880946.2698874376</v>
      </c>
      <c r="O10" s="2">
        <f>('L-Values'!K10*'D(Ti_Jollands) Times'!$F10*0.000001)^2/(4*'D(Ti_Jollands) Times'!$C10)/(365.35*24*3600)</f>
        <v>3703112.766702028</v>
      </c>
      <c r="P10" s="2">
        <f>('L-Values'!L10*'D(Ti_Jollands) Times'!$F10*0.000001)^2/(4*'D(Ti_Jollands) Times'!$C10)/(365.35*24*3600)</f>
        <v>3135942.0412104125</v>
      </c>
      <c r="Q10" s="2">
        <f>('L-Values'!M10*'D(Ti_Jollands) Times'!$F10*0.000001)^2/(4*'D(Ti_Jollands) Times'!$C10)/(365.35*24*3600)</f>
        <v>2159473.5753492392</v>
      </c>
      <c r="R10" s="2">
        <f>('L-Values'!N10*'D(Ti_Jollands) Times'!$F10*0.000001)^2/(4*'D(Ti_Jollands) Times'!$C10)/(365.35*24*3600)</f>
        <v>3007315.5263883681</v>
      </c>
      <c r="S10" s="2">
        <f>('L-Values'!O10*'D(Ti_Jollands) Times'!$F10*0.000001)^2/(4*'D(Ti_Jollands) Times'!$C10)/(365.35*24*3600)</f>
        <v>2877029.0620381255</v>
      </c>
      <c r="T10" s="2"/>
      <c r="U10" s="2">
        <f>('L-Values'!Q10*'D(Ti_Jollands) Times'!$F10*0.000001)^2/(4*'D(Ti_Jollands) Times'!$C10)/(365.35*24*3600)</f>
        <v>2893879.9260398359</v>
      </c>
      <c r="V10" s="2">
        <f>('L-Values'!R10*'D(Ti_Jollands) Times'!$F10*0.000001)^2/(4*'D(Ti_Jollands) Times'!$C10)/(365.35*24*3600)</f>
        <v>2915270.3180580297</v>
      </c>
      <c r="W10" s="2">
        <f>('L-Values'!S10*'D(Ti_Jollands) Times'!$F10*0.000001)^2/(4*'D(Ti_Jollands) Times'!$C10)/(365.35*24*3600)</f>
        <v>2877029.0620381255</v>
      </c>
      <c r="X10" s="2"/>
      <c r="Y10" s="2">
        <f>('L-Values'!U10*'D(Ti_Jollands) Times'!$F10*0.000001)^2/(4*'D(Ti_Jollands) Times'!$C10)/(365.35*24*3600)</f>
        <v>2905915.1859149132</v>
      </c>
      <c r="Z10" s="2">
        <f>('L-Values'!V10*'D(Ti_Jollands) Times'!$F10*0.000001)^2/(4*'D(Ti_Jollands) Times'!$C10)/(365.35*24*3600)</f>
        <v>2835208.746333445</v>
      </c>
      <c r="AA10" s="2">
        <f>('L-Values'!W10*'D(Ti_Jollands) Times'!$F10*0.000001)^2/(4*'D(Ti_Jollands) Times'!$C10)/(365.35*24*3600)</f>
        <v>1619433.7337613876</v>
      </c>
      <c r="AB10" s="2">
        <f>('L-Values'!X10*'D(Ti_Jollands) Times'!$F10*0.000001)^2/(4*'D(Ti_Jollands) Times'!$C10)/(365.35*24*3600)</f>
        <v>4086058.1961641195</v>
      </c>
      <c r="AC10" s="2">
        <f t="shared" si="2"/>
        <v>1215775.0125720573</v>
      </c>
      <c r="AD10" s="2">
        <f t="shared" si="3"/>
        <v>1250849.4498306746</v>
      </c>
    </row>
    <row r="11" spans="1:34" x14ac:dyDescent="0.2">
      <c r="A11" t="str">
        <f>'L-Values'!A11</f>
        <v>CGI001-qtz03-CL-fit-2</v>
      </c>
      <c r="B11">
        <v>750</v>
      </c>
      <c r="C11">
        <f t="shared" si="0"/>
        <v>6.6965312637759184E-25</v>
      </c>
      <c r="D11">
        <v>1900</v>
      </c>
      <c r="E11">
        <v>1024</v>
      </c>
      <c r="F11">
        <f t="shared" si="1"/>
        <v>1.85546875</v>
      </c>
      <c r="I11" s="2">
        <f>('L-Values'!E11*'D(Ti_Jollands) Times'!$F11*0.000001)^2/(4*'D(Ti_Jollands) Times'!$C11)/(365.35*24*3600)</f>
        <v>842844.30560550734</v>
      </c>
      <c r="J11" s="2">
        <f>('L-Values'!F11*'D(Ti_Jollands) Times'!$F11*0.000001)^2/(4*'D(Ti_Jollands) Times'!$C11)/(365.35*24*3600)</f>
        <v>554750.46143601532</v>
      </c>
      <c r="K11" s="2">
        <f>('L-Values'!G11*'D(Ti_Jollands) Times'!$F11*0.000001)^2/(4*'D(Ti_Jollands) Times'!$C11)/(365.35*24*3600)</f>
        <v>379639.96712874417</v>
      </c>
      <c r="L11" s="2">
        <f>('L-Values'!H11*'D(Ti_Jollands) Times'!$F11*0.000001)^2/(4*'D(Ti_Jollands) Times'!$C11)/(365.35*24*3600)</f>
        <v>235062.80008382129</v>
      </c>
      <c r="M11" s="2">
        <f>('L-Values'!I11*'D(Ti_Jollands) Times'!$F11*0.000001)^2/(4*'D(Ti_Jollands) Times'!$C11)/(365.35*24*3600)</f>
        <v>244655.46754001291</v>
      </c>
      <c r="N11" s="2">
        <f>('L-Values'!J11*'D(Ti_Jollands) Times'!$F11*0.000001)^2/(4*'D(Ti_Jollands) Times'!$C11)/(365.35*24*3600)</f>
        <v>231438.57975333298</v>
      </c>
      <c r="O11" s="2">
        <f>('L-Values'!K11*'D(Ti_Jollands) Times'!$F11*0.000001)^2/(4*'D(Ti_Jollands) Times'!$C11)/(365.35*24*3600)</f>
        <v>212036.55162011803</v>
      </c>
      <c r="P11" s="2">
        <f>('L-Values'!L11*'D(Ti_Jollands) Times'!$F11*0.000001)^2/(4*'D(Ti_Jollands) Times'!$C11)/(365.35*24*3600)</f>
        <v>374914.56511557038</v>
      </c>
      <c r="Q11" s="2">
        <f>('L-Values'!M11*'D(Ti_Jollands) Times'!$F11*0.000001)^2/(4*'D(Ti_Jollands) Times'!$C11)/(365.35*24*3600)</f>
        <v>387409.5697071855</v>
      </c>
      <c r="R11" s="2">
        <f>('L-Values'!N11*'D(Ti_Jollands) Times'!$F11*0.000001)^2/(4*'D(Ti_Jollands) Times'!$C11)/(365.35*24*3600)</f>
        <v>414586.14624596469</v>
      </c>
      <c r="S11" s="2">
        <f>('L-Values'!O11*'D(Ti_Jollands) Times'!$F11*0.000001)^2/(4*'D(Ti_Jollands) Times'!$C11)/(365.35*24*3600)</f>
        <v>389200.23342179199</v>
      </c>
      <c r="T11" s="2"/>
      <c r="U11" s="2">
        <f>('L-Values'!Q11*'D(Ti_Jollands) Times'!$F11*0.000001)^2/(4*'D(Ti_Jollands) Times'!$C11)/(365.35*24*3600)</f>
        <v>367556.32671096013</v>
      </c>
      <c r="V11" s="2">
        <f>('L-Values'!R11*'D(Ti_Jollands) Times'!$F11*0.000001)^2/(4*'D(Ti_Jollands) Times'!$C11)/(365.35*24*3600)</f>
        <v>371270.04376925278</v>
      </c>
      <c r="W11" s="2">
        <f>('L-Values'!S11*'D(Ti_Jollands) Times'!$F11*0.000001)^2/(4*'D(Ti_Jollands) Times'!$C11)/(365.35*24*3600)</f>
        <v>379639.96712874417</v>
      </c>
      <c r="X11" s="2"/>
      <c r="Y11" s="2">
        <f>('L-Values'!U11*'D(Ti_Jollands) Times'!$F11*0.000001)^2/(4*'D(Ti_Jollands) Times'!$C11)/(365.35*24*3600)</f>
        <v>367101.74845717481</v>
      </c>
      <c r="Z11" s="2">
        <f>('L-Values'!V11*'D(Ti_Jollands) Times'!$F11*0.000001)^2/(4*'D(Ti_Jollands) Times'!$C11)/(365.35*24*3600)</f>
        <v>365058.94144718826</v>
      </c>
      <c r="AA11" s="2">
        <f>('L-Values'!W11*'D(Ti_Jollands) Times'!$F11*0.000001)^2/(4*'D(Ti_Jollands) Times'!$C11)/(365.35*24*3600)</f>
        <v>199804.24759021003</v>
      </c>
      <c r="AB11" s="2">
        <f>('L-Values'!X11*'D(Ti_Jollands) Times'!$F11*0.000001)^2/(4*'D(Ti_Jollands) Times'!$C11)/(365.35*24*3600)</f>
        <v>626350.55363661004</v>
      </c>
      <c r="AC11" s="2">
        <f t="shared" si="2"/>
        <v>165254.69385697824</v>
      </c>
      <c r="AD11" s="2">
        <f t="shared" si="3"/>
        <v>261291.61218942178</v>
      </c>
    </row>
    <row r="12" spans="1:34" x14ac:dyDescent="0.2">
      <c r="A12" t="str">
        <f>'L-Values'!A12</f>
        <v>CGI001-qtz03-CL-fit-3</v>
      </c>
      <c r="B12">
        <v>750</v>
      </c>
      <c r="C12">
        <f t="shared" si="0"/>
        <v>6.6965312637759184E-25</v>
      </c>
      <c r="D12">
        <v>1900</v>
      </c>
      <c r="E12">
        <v>1024</v>
      </c>
      <c r="F12">
        <f t="shared" si="1"/>
        <v>1.85546875</v>
      </c>
      <c r="I12" s="2">
        <f>('L-Values'!E12*'D(Ti_Jollands) Times'!$F12*0.000001)^2/(4*'D(Ti_Jollands) Times'!$C12)/(365.35*24*3600)</f>
        <v>1526911.3679461142</v>
      </c>
      <c r="J12" s="2">
        <f>('L-Values'!F12*'D(Ti_Jollands) Times'!$F12*0.000001)^2/(4*'D(Ti_Jollands) Times'!$C12)/(365.35*24*3600)</f>
        <v>218227.10290361545</v>
      </c>
      <c r="K12" s="2">
        <f>('L-Values'!G12*'D(Ti_Jollands) Times'!$F12*0.000001)^2/(4*'D(Ti_Jollands) Times'!$C12)/(365.35*24*3600)</f>
        <v>237549.59539241265</v>
      </c>
      <c r="L12" s="2">
        <f>('L-Values'!H12*'D(Ti_Jollands) Times'!$F12*0.000001)^2/(4*'D(Ti_Jollands) Times'!$C12)/(365.35*24*3600)</f>
        <v>502853.37629406177</v>
      </c>
      <c r="M12" s="2">
        <f>('L-Values'!I12*'D(Ti_Jollands) Times'!$F12*0.000001)^2/(4*'D(Ti_Jollands) Times'!$C12)/(365.35*24*3600)</f>
        <v>53266.982306895719</v>
      </c>
      <c r="N12" s="2">
        <f>('L-Values'!J12*'D(Ti_Jollands) Times'!$F12*0.000001)^2/(4*'D(Ti_Jollands) Times'!$C12)/(365.35*24*3600)</f>
        <v>127383.74963258636</v>
      </c>
      <c r="O12" s="2">
        <f>('L-Values'!K12*'D(Ti_Jollands) Times'!$F12*0.000001)^2/(4*'D(Ti_Jollands) Times'!$C12)/(365.35*24*3600)</f>
        <v>1441.6708801276282</v>
      </c>
      <c r="P12" s="2">
        <f>('L-Values'!L12*'D(Ti_Jollands) Times'!$F12*0.000001)^2/(4*'D(Ti_Jollands) Times'!$C12)/(365.35*24*3600)</f>
        <v>6833.8433930282963</v>
      </c>
      <c r="Q12" s="2">
        <f>('L-Values'!M12*'D(Ti_Jollands) Times'!$F12*0.000001)^2/(4*'D(Ti_Jollands) Times'!$C12)/(365.35*24*3600)</f>
        <v>213488.24088953776</v>
      </c>
      <c r="R12" s="2">
        <f>('L-Values'!N12*'D(Ti_Jollands) Times'!$F12*0.000001)^2/(4*'D(Ti_Jollands) Times'!$C12)/(365.35*24*3600)</f>
        <v>384421.48065247823</v>
      </c>
      <c r="S12" s="2">
        <f>('L-Values'!O12*'D(Ti_Jollands) Times'!$F12*0.000001)^2/(4*'D(Ti_Jollands) Times'!$C12)/(365.35*24*3600)</f>
        <v>176775.43029692781</v>
      </c>
      <c r="T12" s="2"/>
      <c r="U12" s="2">
        <f>('L-Values'!Q12*'D(Ti_Jollands) Times'!$F12*0.000001)^2/(4*'D(Ti_Jollands) Times'!$C12)/(365.35*24*3600)</f>
        <v>260252.04899503812</v>
      </c>
      <c r="V12" s="2">
        <f>('L-Values'!R12*'D(Ti_Jollands) Times'!$F12*0.000001)^2/(4*'D(Ti_Jollands) Times'!$C12)/(365.35*24*3600)</f>
        <v>215819.02246048543</v>
      </c>
      <c r="W12" s="2">
        <f>('L-Values'!S12*'D(Ti_Jollands) Times'!$F12*0.000001)^2/(4*'D(Ti_Jollands) Times'!$C12)/(365.35*24*3600)</f>
        <v>213488.24088953776</v>
      </c>
      <c r="X12" s="2"/>
      <c r="Y12" s="2">
        <f>('L-Values'!U12*'D(Ti_Jollands) Times'!$F12*0.000001)^2/(4*'D(Ti_Jollands) Times'!$C12)/(365.35*24*3600)</f>
        <v>213360.82634805763</v>
      </c>
      <c r="Z12" s="2">
        <f>('L-Values'!V12*'D(Ti_Jollands) Times'!$F12*0.000001)^2/(4*'D(Ti_Jollands) Times'!$C12)/(365.35*24*3600)</f>
        <v>239029.00436801315</v>
      </c>
      <c r="AA12" s="2">
        <f>('L-Values'!W12*'D(Ti_Jollands) Times'!$F12*0.000001)^2/(4*'D(Ti_Jollands) Times'!$C12)/(365.35*24*3600)</f>
        <v>1786.4773062729246</v>
      </c>
      <c r="AB12" s="2">
        <f>('L-Values'!X12*'D(Ti_Jollands) Times'!$F12*0.000001)^2/(4*'D(Ti_Jollands) Times'!$C12)/(365.35*24*3600)</f>
        <v>1977597.8096243346</v>
      </c>
      <c r="AC12" s="2">
        <f t="shared" si="2"/>
        <v>237242.52706174023</v>
      </c>
      <c r="AD12" s="2">
        <f t="shared" si="3"/>
        <v>1738568.8052563213</v>
      </c>
    </row>
    <row r="13" spans="1:34" x14ac:dyDescent="0.2">
      <c r="A13" t="str">
        <f>'L-Values'!A13</f>
        <v>CGI001-qtz03-CL-fit-4-offset</v>
      </c>
      <c r="B13">
        <v>750</v>
      </c>
      <c r="C13">
        <f t="shared" si="0"/>
        <v>6.6965312637759184E-25</v>
      </c>
      <c r="D13">
        <v>1900</v>
      </c>
      <c r="E13">
        <v>1024</v>
      </c>
      <c r="F13">
        <f t="shared" si="1"/>
        <v>1.85546875</v>
      </c>
      <c r="I13" s="2">
        <f>('L-Values'!E13*'D(Ti_Jollands) Times'!$F13*0.000001)^2/(4*'D(Ti_Jollands) Times'!$C13)/(365.35*24*3600)</f>
        <v>2765.8945372258845</v>
      </c>
      <c r="J13" s="2">
        <f>('L-Values'!F13*'D(Ti_Jollands) Times'!$F13*0.000001)^2/(4*'D(Ti_Jollands) Times'!$C13)/(365.35*24*3600)</f>
        <v>330.14482412885695</v>
      </c>
      <c r="K13" s="2">
        <f>('L-Values'!G13*'D(Ti_Jollands) Times'!$F13*0.000001)^2/(4*'D(Ti_Jollands) Times'!$C13)/(365.35*24*3600)</f>
        <v>22100.198939268183</v>
      </c>
      <c r="L13" s="2">
        <f>('L-Values'!H13*'D(Ti_Jollands) Times'!$F13*0.000001)^2/(4*'D(Ti_Jollands) Times'!$C13)/(365.35*24*3600)</f>
        <v>10897.408022720952</v>
      </c>
      <c r="M13" s="2">
        <f>('L-Values'!I13*'D(Ti_Jollands) Times'!$F13*0.000001)^2/(4*'D(Ti_Jollands) Times'!$C13)/(365.35*24*3600)</f>
        <v>2546.522244246481</v>
      </c>
      <c r="N13" s="2">
        <f>('L-Values'!J13*'D(Ti_Jollands) Times'!$F13*0.000001)^2/(4*'D(Ti_Jollands) Times'!$C13)/(365.35*24*3600)</f>
        <v>2282.041975447712</v>
      </c>
      <c r="O13" s="2">
        <f>('L-Values'!K13*'D(Ti_Jollands) Times'!$F13*0.000001)^2/(4*'D(Ti_Jollands) Times'!$C13)/(365.35*24*3600)</f>
        <v>31959.235139831493</v>
      </c>
      <c r="P13" s="2">
        <f>('L-Values'!L13*'D(Ti_Jollands) Times'!$F13*0.000001)^2/(4*'D(Ti_Jollands) Times'!$C13)/(365.35*24*3600)</f>
        <v>2655.3188297335264</v>
      </c>
      <c r="Q13" s="2">
        <f>('L-Values'!M13*'D(Ti_Jollands) Times'!$F13*0.000001)^2/(4*'D(Ti_Jollands) Times'!$C13)/(365.35*24*3600)</f>
        <v>2026.3319503680375</v>
      </c>
      <c r="R13" s="2">
        <f>('L-Values'!N13*'D(Ti_Jollands) Times'!$F13*0.000001)^2/(4*'D(Ti_Jollands) Times'!$C13)/(365.35*24*3600)</f>
        <v>21592.414235110427</v>
      </c>
      <c r="S13" s="2">
        <f>('L-Values'!O13*'D(Ti_Jollands) Times'!$F13*0.000001)^2/(4*'D(Ti_Jollands) Times'!$C13)/(365.35*24*3600)</f>
        <v>23.49036444937245</v>
      </c>
      <c r="T13" s="2"/>
      <c r="U13" s="2">
        <f>('L-Values'!Q13*'D(Ti_Jollands) Times'!$F13*0.000001)^2/(4*'D(Ti_Jollands) Times'!$C13)/(365.35*24*3600)</f>
        <v>2781.5076516412364</v>
      </c>
      <c r="V13" s="2">
        <f>('L-Values'!R13*'D(Ti_Jollands) Times'!$F13*0.000001)^2/(4*'D(Ti_Jollands) Times'!$C13)/(365.35*24*3600)</f>
        <v>5959.1911647551888</v>
      </c>
      <c r="W13" s="2">
        <f>('L-Values'!S13*'D(Ti_Jollands) Times'!$F13*0.000001)^2/(4*'D(Ti_Jollands) Times'!$C13)/(365.35*24*3600)</f>
        <v>2655.3188297335264</v>
      </c>
      <c r="X13" s="2"/>
      <c r="Y13" s="2">
        <f>('L-Values'!U13*'D(Ti_Jollands) Times'!$F13*0.000001)^2/(4*'D(Ti_Jollands) Times'!$C13)/(365.35*24*3600)</f>
        <v>2614.4424777247755</v>
      </c>
      <c r="Z13" s="2">
        <f>('L-Values'!V13*'D(Ti_Jollands) Times'!$F13*0.000001)^2/(4*'D(Ti_Jollands) Times'!$C13)/(365.35*24*3600)</f>
        <v>4306.6845278629844</v>
      </c>
      <c r="AA13" s="2">
        <f>('L-Values'!W13*'D(Ti_Jollands) Times'!$F13*0.000001)^2/(4*'D(Ti_Jollands) Times'!$C13)/(365.35*24*3600)</f>
        <v>2.1140619178426208E-6</v>
      </c>
      <c r="AB13" s="2">
        <f>('L-Values'!X13*'D(Ti_Jollands) Times'!$F13*0.000001)^2/(4*'D(Ti_Jollands) Times'!$C13)/(365.35*24*3600)</f>
        <v>33945.468720536592</v>
      </c>
      <c r="AC13" s="2">
        <f t="shared" si="2"/>
        <v>4306.6845257489222</v>
      </c>
      <c r="AD13" s="2">
        <f t="shared" si="3"/>
        <v>29638.784192673607</v>
      </c>
    </row>
    <row r="14" spans="1:34" x14ac:dyDescent="0.2">
      <c r="A14" t="str">
        <f>'L-Values'!A14</f>
        <v>CGI001-qtz04-CL-fit-1-offset</v>
      </c>
      <c r="B14">
        <v>750</v>
      </c>
      <c r="C14">
        <f t="shared" si="0"/>
        <v>6.6965312637759184E-25</v>
      </c>
      <c r="D14">
        <v>2050</v>
      </c>
      <c r="E14">
        <v>1024</v>
      </c>
      <c r="F14">
        <f t="shared" si="1"/>
        <v>2.001953125</v>
      </c>
      <c r="I14" s="2">
        <f>('L-Values'!E14*'D(Ti_Jollands) Times'!$F14*0.000001)^2/(4*'D(Ti_Jollands) Times'!$C14)/(365.35*24*3600)</f>
        <v>1109185.8722233595</v>
      </c>
      <c r="J14" s="2">
        <f>('L-Values'!F14*'D(Ti_Jollands) Times'!$F14*0.000001)^2/(4*'D(Ti_Jollands) Times'!$C14)/(365.35*24*3600)</f>
        <v>824820.70821429638</v>
      </c>
      <c r="K14" s="2">
        <f>('L-Values'!G14*'D(Ti_Jollands) Times'!$F14*0.000001)^2/(4*'D(Ti_Jollands) Times'!$C14)/(365.35*24*3600)</f>
        <v>2851499.4490835993</v>
      </c>
      <c r="L14" s="2">
        <f>('L-Values'!H14*'D(Ti_Jollands) Times'!$F14*0.000001)^2/(4*'D(Ti_Jollands) Times'!$C14)/(365.35*24*3600)</f>
        <v>145860.209056716</v>
      </c>
      <c r="M14" s="2">
        <f>('L-Values'!I14*'D(Ti_Jollands) Times'!$F14*0.000001)^2/(4*'D(Ti_Jollands) Times'!$C14)/(365.35*24*3600)</f>
        <v>1410199.647801595</v>
      </c>
      <c r="N14" s="2">
        <f>('L-Values'!J14*'D(Ti_Jollands) Times'!$F14*0.000001)^2/(4*'D(Ti_Jollands) Times'!$C14)/(365.35*24*3600)</f>
        <v>48.550248443502603</v>
      </c>
      <c r="O14" s="2">
        <f>('L-Values'!K14*'D(Ti_Jollands) Times'!$F14*0.000001)^2/(4*'D(Ti_Jollands) Times'!$C14)/(365.35*24*3600)</f>
        <v>879383.75913506653</v>
      </c>
      <c r="P14" s="2">
        <f>('L-Values'!L14*'D(Ti_Jollands) Times'!$F14*0.000001)^2/(4*'D(Ti_Jollands) Times'!$C14)/(365.35*24*3600)</f>
        <v>2231753.7490231283</v>
      </c>
      <c r="Q14" s="2">
        <f>('L-Values'!M14*'D(Ti_Jollands) Times'!$F14*0.000001)^2/(4*'D(Ti_Jollands) Times'!$C14)/(365.35*24*3600)</f>
        <v>295584.5501200803</v>
      </c>
      <c r="R14" s="2">
        <f>('L-Values'!N14*'D(Ti_Jollands) Times'!$F14*0.000001)^2/(4*'D(Ti_Jollands) Times'!$C14)/(365.35*24*3600)</f>
        <v>498560.82488213247</v>
      </c>
      <c r="S14" s="2">
        <f>('L-Values'!O14*'D(Ti_Jollands) Times'!$F14*0.000001)^2/(4*'D(Ti_Jollands) Times'!$C14)/(365.35*24*3600)</f>
        <v>763205.65337287704</v>
      </c>
      <c r="T14" s="2"/>
      <c r="U14" s="2">
        <f>('L-Values'!Q14*'D(Ti_Jollands) Times'!$F14*0.000001)^2/(4*'D(Ti_Jollands) Times'!$C14)/(365.35*24*3600)</f>
        <v>902359.15393348073</v>
      </c>
      <c r="V14" s="2">
        <f>('L-Values'!R14*'D(Ti_Jollands) Times'!$F14*0.000001)^2/(4*'D(Ti_Jollands) Times'!$C14)/(365.35*24*3600)</f>
        <v>790718.37198339403</v>
      </c>
      <c r="W14" s="2">
        <f>('L-Values'!S14*'D(Ti_Jollands) Times'!$F14*0.000001)^2/(4*'D(Ti_Jollands) Times'!$C14)/(365.35*24*3600)</f>
        <v>824820.70821429638</v>
      </c>
      <c r="X14" s="2"/>
      <c r="Y14" s="2">
        <f>('L-Values'!U14*'D(Ti_Jollands) Times'!$F14*0.000001)^2/(4*'D(Ti_Jollands) Times'!$C14)/(365.35*24*3600)</f>
        <v>695271.55830705422</v>
      </c>
      <c r="Z14" s="2">
        <f>('L-Values'!V14*'D(Ti_Jollands) Times'!$F14*0.000001)^2/(4*'D(Ti_Jollands) Times'!$C14)/(365.35*24*3600)</f>
        <v>790408.03775581426</v>
      </c>
      <c r="AA14" s="2">
        <f>('L-Values'!W14*'D(Ti_Jollands) Times'!$F14*0.000001)^2/(4*'D(Ti_Jollands) Times'!$C14)/(365.35*24*3600)</f>
        <v>1937.6883581714233</v>
      </c>
      <c r="AB14" s="2">
        <f>('L-Values'!X14*'D(Ti_Jollands) Times'!$F14*0.000001)^2/(4*'D(Ti_Jollands) Times'!$C14)/(365.35*24*3600)</f>
        <v>6637077.6742494553</v>
      </c>
      <c r="AC14" s="2">
        <f t="shared" si="2"/>
        <v>788470.34939764289</v>
      </c>
      <c r="AD14" s="2">
        <f t="shared" si="3"/>
        <v>5846669.636493641</v>
      </c>
    </row>
    <row r="15" spans="1:34" x14ac:dyDescent="0.2">
      <c r="A15" t="str">
        <f>'L-Values'!A15</f>
        <v>CGI001-qtz04-CL-fit-2-offset</v>
      </c>
      <c r="B15">
        <v>750</v>
      </c>
      <c r="C15">
        <f t="shared" si="0"/>
        <v>6.6965312637759184E-25</v>
      </c>
      <c r="D15">
        <v>2050</v>
      </c>
      <c r="E15">
        <v>1024</v>
      </c>
      <c r="F15">
        <f t="shared" si="1"/>
        <v>2.001953125</v>
      </c>
      <c r="I15" s="2">
        <f>('L-Values'!E15*'D(Ti_Jollands) Times'!$F15*0.000001)^2/(4*'D(Ti_Jollands) Times'!$C15)/(365.35*24*3600)</f>
        <v>828994.24179269874</v>
      </c>
      <c r="J15" s="2">
        <f>('L-Values'!F15*'D(Ti_Jollands) Times'!$F15*0.000001)^2/(4*'D(Ti_Jollands) Times'!$C15)/(365.35*24*3600)</f>
        <v>1332988.3301254599</v>
      </c>
      <c r="K15" s="2">
        <f>('L-Values'!G15*'D(Ti_Jollands) Times'!$F15*0.000001)^2/(4*'D(Ti_Jollands) Times'!$C15)/(365.35*24*3600)</f>
        <v>536197.1142158102</v>
      </c>
      <c r="L15" s="2">
        <f>('L-Values'!H15*'D(Ti_Jollands) Times'!$F15*0.000001)^2/(4*'D(Ti_Jollands) Times'!$C15)/(365.35*24*3600)</f>
        <v>820277.25182161829</v>
      </c>
      <c r="M15" s="2">
        <f>('L-Values'!I15*'D(Ti_Jollands) Times'!$F15*0.000001)^2/(4*'D(Ti_Jollands) Times'!$C15)/(365.35*24*3600)</f>
        <v>604105.7154827771</v>
      </c>
      <c r="N15" s="2">
        <f>('L-Values'!J15*'D(Ti_Jollands) Times'!$F15*0.000001)^2/(4*'D(Ti_Jollands) Times'!$C15)/(365.35*24*3600)</f>
        <v>675280.40619874489</v>
      </c>
      <c r="O15" s="2">
        <f>('L-Values'!K15*'D(Ti_Jollands) Times'!$F15*0.000001)^2/(4*'D(Ti_Jollands) Times'!$C15)/(365.35*24*3600)</f>
        <v>305470.85898246331</v>
      </c>
      <c r="P15" s="2">
        <f>('L-Values'!L15*'D(Ti_Jollands) Times'!$F15*0.000001)^2/(4*'D(Ti_Jollands) Times'!$C15)/(365.35*24*3600)</f>
        <v>713419.988732117</v>
      </c>
      <c r="Q15" s="2">
        <f>('L-Values'!M15*'D(Ti_Jollands) Times'!$F15*0.000001)^2/(4*'D(Ti_Jollands) Times'!$C15)/(365.35*24*3600)</f>
        <v>678693.50092624244</v>
      </c>
      <c r="R15" s="2">
        <f>('L-Values'!N15*'D(Ti_Jollands) Times'!$F15*0.000001)^2/(4*'D(Ti_Jollands) Times'!$C15)/(365.35*24*3600)</f>
        <v>1092519.014538374</v>
      </c>
      <c r="S15" s="2">
        <f>('L-Values'!O15*'D(Ti_Jollands) Times'!$F15*0.000001)^2/(4*'D(Ti_Jollands) Times'!$C15)/(365.35*24*3600)</f>
        <v>775616.52073232143</v>
      </c>
      <c r="T15" s="2"/>
      <c r="U15" s="2">
        <f>('L-Values'!Q15*'D(Ti_Jollands) Times'!$F15*0.000001)^2/(4*'D(Ti_Jollands) Times'!$C15)/(365.35*24*3600)</f>
        <v>733542.89650882571</v>
      </c>
      <c r="V15" s="2">
        <f>('L-Values'!R15*'D(Ti_Jollands) Times'!$F15*0.000001)^2/(4*'D(Ti_Jollands) Times'!$C15)/(365.35*24*3600)</f>
        <v>737893.11174818571</v>
      </c>
      <c r="W15" s="2">
        <f>('L-Values'!S15*'D(Ti_Jollands) Times'!$F15*0.000001)^2/(4*'D(Ti_Jollands) Times'!$C15)/(365.35*24*3600)</f>
        <v>713419.988732117</v>
      </c>
      <c r="X15" s="2"/>
      <c r="Y15" s="2">
        <f>('L-Values'!U15*'D(Ti_Jollands) Times'!$F15*0.000001)^2/(4*'D(Ti_Jollands) Times'!$C15)/(365.35*24*3600)</f>
        <v>735117.28924255306</v>
      </c>
      <c r="Z15" s="2">
        <f>('L-Values'!V15*'D(Ti_Jollands) Times'!$F15*0.000001)^2/(4*'D(Ti_Jollands) Times'!$C15)/(365.35*24*3600)</f>
        <v>750090.83905517962</v>
      </c>
      <c r="AA15" s="2">
        <f>('L-Values'!W15*'D(Ti_Jollands) Times'!$F15*0.000001)^2/(4*'D(Ti_Jollands) Times'!$C15)/(365.35*24*3600)</f>
        <v>297642.67372007394</v>
      </c>
      <c r="AB15" s="2">
        <f>('L-Values'!X15*'D(Ti_Jollands) Times'!$F15*0.000001)^2/(4*'D(Ti_Jollands) Times'!$C15)/(365.35*24*3600)</f>
        <v>1366498.0813408906</v>
      </c>
      <c r="AC15" s="2">
        <f t="shared" si="2"/>
        <v>452448.16533510567</v>
      </c>
      <c r="AD15" s="2">
        <f t="shared" si="3"/>
        <v>616407.24228571099</v>
      </c>
    </row>
    <row r="16" spans="1:34" x14ac:dyDescent="0.2">
      <c r="A16" t="str">
        <f>'L-Values'!A16</f>
        <v>CGI001-qtz04-CL-fit-3-offset</v>
      </c>
      <c r="B16">
        <v>750</v>
      </c>
      <c r="C16">
        <f t="shared" si="0"/>
        <v>6.6965312637759184E-25</v>
      </c>
      <c r="D16">
        <v>2050</v>
      </c>
      <c r="E16">
        <v>1024</v>
      </c>
      <c r="F16">
        <f t="shared" si="1"/>
        <v>2.001953125</v>
      </c>
      <c r="I16" s="2">
        <f>('L-Values'!E16*'D(Ti_Jollands) Times'!$F16*0.000001)^2/(4*'D(Ti_Jollands) Times'!$C16)/(365.35*24*3600)</f>
        <v>745386.85657608567</v>
      </c>
      <c r="J16" s="2">
        <f>('L-Values'!F16*'D(Ti_Jollands) Times'!$F16*0.000001)^2/(4*'D(Ti_Jollands) Times'!$C16)/(365.35*24*3600)</f>
        <v>960699.85040415602</v>
      </c>
      <c r="K16" s="2">
        <f>('L-Values'!G16*'D(Ti_Jollands) Times'!$F16*0.000001)^2/(4*'D(Ti_Jollands) Times'!$C16)/(365.35*24*3600)</f>
        <v>991388.72225601564</v>
      </c>
      <c r="L16" s="2">
        <f>('L-Values'!H16*'D(Ti_Jollands) Times'!$F16*0.000001)^2/(4*'D(Ti_Jollands) Times'!$C16)/(365.35*24*3600)</f>
        <v>1235754.7679461788</v>
      </c>
      <c r="M16" s="2">
        <f>('L-Values'!I16*'D(Ti_Jollands) Times'!$F16*0.000001)^2/(4*'D(Ti_Jollands) Times'!$C16)/(365.35*24*3600)</f>
        <v>1096984.7753813581</v>
      </c>
      <c r="N16" s="2">
        <f>('L-Values'!J16*'D(Ti_Jollands) Times'!$F16*0.000001)^2/(4*'D(Ti_Jollands) Times'!$C16)/(365.35*24*3600)</f>
        <v>603066.08351147547</v>
      </c>
      <c r="O16" s="2">
        <f>('L-Values'!K16*'D(Ti_Jollands) Times'!$F16*0.000001)^2/(4*'D(Ti_Jollands) Times'!$C16)/(365.35*24*3600)</f>
        <v>654406.47378860426</v>
      </c>
      <c r="P16" s="2">
        <f>('L-Values'!L16*'D(Ti_Jollands) Times'!$F16*0.000001)^2/(4*'D(Ti_Jollands) Times'!$C16)/(365.35*24*3600)</f>
        <v>728530.19874160981</v>
      </c>
      <c r="Q16" s="2">
        <f>('L-Values'!M16*'D(Ti_Jollands) Times'!$F16*0.000001)^2/(4*'D(Ti_Jollands) Times'!$C16)/(365.35*24*3600)</f>
        <v>850245.50361273682</v>
      </c>
      <c r="R16" s="2">
        <f>('L-Values'!N16*'D(Ti_Jollands) Times'!$F16*0.000001)^2/(4*'D(Ti_Jollands) Times'!$C16)/(365.35*24*3600)</f>
        <v>654787.8628487594</v>
      </c>
      <c r="S16" s="2">
        <f>('L-Values'!O16*'D(Ti_Jollands) Times'!$F16*0.000001)^2/(4*'D(Ti_Jollands) Times'!$C16)/(365.35*24*3600)</f>
        <v>675146.03354037181</v>
      </c>
      <c r="T16" s="2"/>
      <c r="U16" s="2">
        <f>('L-Values'!Q16*'D(Ti_Jollands) Times'!$F16*0.000001)^2/(4*'D(Ti_Jollands) Times'!$C16)/(365.35*24*3600)</f>
        <v>827624.69112740725</v>
      </c>
      <c r="V16" s="2">
        <f>('L-Values'!R16*'D(Ti_Jollands) Times'!$F16*0.000001)^2/(4*'D(Ti_Jollands) Times'!$C16)/(365.35*24*3600)</f>
        <v>824831.92288519535</v>
      </c>
      <c r="W16" s="2">
        <f>('L-Values'!S16*'D(Ti_Jollands) Times'!$F16*0.000001)^2/(4*'D(Ti_Jollands) Times'!$C16)/(365.35*24*3600)</f>
        <v>745386.85657608567</v>
      </c>
      <c r="X16" s="2"/>
      <c r="Y16" s="2">
        <f>('L-Values'!U16*'D(Ti_Jollands) Times'!$F16*0.000001)^2/(4*'D(Ti_Jollands) Times'!$C16)/(365.35*24*3600)</f>
        <v>818562.38059296762</v>
      </c>
      <c r="Z16" s="2">
        <f>('L-Values'!V16*'D(Ti_Jollands) Times'!$F16*0.000001)^2/(4*'D(Ti_Jollands) Times'!$C16)/(365.35*24*3600)</f>
        <v>821309.78719417821</v>
      </c>
      <c r="AA16" s="2">
        <f>('L-Values'!W16*'D(Ti_Jollands) Times'!$F16*0.000001)^2/(4*'D(Ti_Jollands) Times'!$C16)/(365.35*24*3600)</f>
        <v>539568.340930484</v>
      </c>
      <c r="AB16" s="2">
        <f>('L-Values'!X16*'D(Ti_Jollands) Times'!$F16*0.000001)^2/(4*'D(Ti_Jollands) Times'!$C16)/(365.35*24*3600)</f>
        <v>1127823.5266439642</v>
      </c>
      <c r="AC16" s="2">
        <f t="shared" si="2"/>
        <v>281741.4462636942</v>
      </c>
      <c r="AD16" s="2">
        <f t="shared" si="3"/>
        <v>306513.73944978602</v>
      </c>
    </row>
    <row r="17" spans="1:30" x14ac:dyDescent="0.2">
      <c r="A17" t="str">
        <f>'L-Values'!A17</f>
        <v>CGI001-qtz04-CL-fit-4-offset</v>
      </c>
      <c r="B17">
        <v>750</v>
      </c>
      <c r="C17">
        <f t="shared" si="0"/>
        <v>6.6965312637759184E-25</v>
      </c>
      <c r="D17">
        <v>2050</v>
      </c>
      <c r="E17">
        <v>1024</v>
      </c>
      <c r="F17">
        <f t="shared" si="1"/>
        <v>2.001953125</v>
      </c>
      <c r="I17" s="2">
        <f>('L-Values'!E17*'D(Ti_Jollands) Times'!$F17*0.000001)^2/(4*'D(Ti_Jollands) Times'!$C17)/(365.35*24*3600)</f>
        <v>4495.6025801710703</v>
      </c>
      <c r="J17" s="2">
        <f>('L-Values'!F17*'D(Ti_Jollands) Times'!$F17*0.000001)^2/(4*'D(Ti_Jollands) Times'!$C17)/(365.35*24*3600)</f>
        <v>25502.093452368626</v>
      </c>
      <c r="K17" s="2">
        <f>('L-Values'!G17*'D(Ti_Jollands) Times'!$F17*0.000001)^2/(4*'D(Ti_Jollands) Times'!$C17)/(365.35*24*3600)</f>
        <v>4541.4486778743112</v>
      </c>
      <c r="L17" s="2">
        <f>('L-Values'!H17*'D(Ti_Jollands) Times'!$F17*0.000001)^2/(4*'D(Ti_Jollands) Times'!$C17)/(365.35*24*3600)</f>
        <v>4334.1123233845901</v>
      </c>
      <c r="M17" s="2">
        <f>('L-Values'!I17*'D(Ti_Jollands) Times'!$F17*0.000001)^2/(4*'D(Ti_Jollands) Times'!$C17)/(365.35*24*3600)</f>
        <v>676.67767170886236</v>
      </c>
      <c r="N17" s="2">
        <f>('L-Values'!J17*'D(Ti_Jollands) Times'!$F17*0.000001)^2/(4*'D(Ti_Jollands) Times'!$C17)/(365.35*24*3600)</f>
        <v>1547.7117589173481</v>
      </c>
      <c r="O17" s="2">
        <f>('L-Values'!K17*'D(Ti_Jollands) Times'!$F17*0.000001)^2/(4*'D(Ti_Jollands) Times'!$C17)/(365.35*24*3600)</f>
        <v>2983.2491866414111</v>
      </c>
      <c r="P17" s="2">
        <f>('L-Values'!L17*'D(Ti_Jollands) Times'!$F17*0.000001)^2/(4*'D(Ti_Jollands) Times'!$C17)/(365.35*24*3600)</f>
        <v>18585.981368033612</v>
      </c>
      <c r="Q17" s="2">
        <f>('L-Values'!M17*'D(Ti_Jollands) Times'!$F17*0.000001)^2/(4*'D(Ti_Jollands) Times'!$C17)/(365.35*24*3600)</f>
        <v>1565.8785534095359</v>
      </c>
      <c r="R17" s="2">
        <f>('L-Values'!N17*'D(Ti_Jollands) Times'!$F17*0.000001)^2/(4*'D(Ti_Jollands) Times'!$C17)/(365.35*24*3600)</f>
        <v>131.83972249269772</v>
      </c>
      <c r="S17" s="2">
        <f>('L-Values'!O17*'D(Ti_Jollands) Times'!$F17*0.000001)^2/(4*'D(Ti_Jollands) Times'!$C17)/(365.35*24*3600)</f>
        <v>348.31748602384812</v>
      </c>
      <c r="T17" s="2"/>
      <c r="U17" s="2">
        <f>('L-Values'!Q17*'D(Ti_Jollands) Times'!$F17*0.000001)^2/(4*'D(Ti_Jollands) Times'!$C17)/(365.35*24*3600)</f>
        <v>4707.9061502072345</v>
      </c>
      <c r="V17" s="2">
        <f>('L-Values'!R17*'D(Ti_Jollands) Times'!$F17*0.000001)^2/(4*'D(Ti_Jollands) Times'!$C17)/(365.35*24*3600)</f>
        <v>3889.0801070823736</v>
      </c>
      <c r="W17" s="2">
        <f>('L-Values'!S17*'D(Ti_Jollands) Times'!$F17*0.000001)^2/(4*'D(Ti_Jollands) Times'!$C17)/(365.35*24*3600)</f>
        <v>2983.2491866414111</v>
      </c>
      <c r="X17" s="2"/>
      <c r="Y17" s="2">
        <f>('L-Values'!U17*'D(Ti_Jollands) Times'!$F17*0.000001)^2/(4*'D(Ti_Jollands) Times'!$C17)/(365.35*24*3600)</f>
        <v>3668.6834085447608</v>
      </c>
      <c r="Z17" s="2">
        <f>('L-Values'!V17*'D(Ti_Jollands) Times'!$F17*0.000001)^2/(4*'D(Ti_Jollands) Times'!$C17)/(365.35*24*3600)</f>
        <v>4113.1320408179299</v>
      </c>
      <c r="AA17" s="2">
        <f>('L-Values'!W17*'D(Ti_Jollands) Times'!$F17*0.000001)^2/(4*'D(Ti_Jollands) Times'!$C17)/(365.35*24*3600)</f>
        <v>31.647307553494532</v>
      </c>
      <c r="AB17" s="2">
        <f>('L-Values'!X17*'D(Ti_Jollands) Times'!$F17*0.000001)^2/(4*'D(Ti_Jollands) Times'!$C17)/(365.35*24*3600)</f>
        <v>37515.623615402139</v>
      </c>
      <c r="AC17" s="2">
        <f t="shared" si="2"/>
        <v>4081.4847332644354</v>
      </c>
      <c r="AD17" s="2">
        <f t="shared" si="3"/>
        <v>33402.491574584208</v>
      </c>
    </row>
    <row r="18" spans="1:30" x14ac:dyDescent="0.2">
      <c r="A18" t="str">
        <f>'L-Values'!A18</f>
        <v>CGI001-qtz05-CL-fit-1-offset</v>
      </c>
      <c r="B18">
        <v>750</v>
      </c>
      <c r="C18">
        <f t="shared" si="0"/>
        <v>6.6965312637759184E-25</v>
      </c>
      <c r="D18">
        <v>1800</v>
      </c>
      <c r="E18">
        <v>1024</v>
      </c>
      <c r="F18">
        <f t="shared" si="1"/>
        <v>1.7578125</v>
      </c>
      <c r="I18" s="2">
        <f>('L-Values'!E18*'D(Ti_Jollands) Times'!$F18*0.000001)^2/(4*'D(Ti_Jollands) Times'!$C18)/(365.35*24*3600)</f>
        <v>7577091.576120615</v>
      </c>
      <c r="J18" s="2">
        <f>('L-Values'!F18*'D(Ti_Jollands) Times'!$F18*0.000001)^2/(4*'D(Ti_Jollands) Times'!$C18)/(365.35*24*3600)</f>
        <v>4559827.223695782</v>
      </c>
      <c r="K18" s="2">
        <f>('L-Values'!G18*'D(Ti_Jollands) Times'!$F18*0.000001)^2/(4*'D(Ti_Jollands) Times'!$C18)/(365.35*24*3600)</f>
        <v>4143896.3033892522</v>
      </c>
      <c r="L18" s="2">
        <f>('L-Values'!H18*'D(Ti_Jollands) Times'!$F18*0.000001)^2/(4*'D(Ti_Jollands) Times'!$C18)/(365.35*24*3600)</f>
        <v>3674615.7888568025</v>
      </c>
      <c r="M18" s="2">
        <f>('L-Values'!I18*'D(Ti_Jollands) Times'!$F18*0.000001)^2/(4*'D(Ti_Jollands) Times'!$C18)/(365.35*24*3600)</f>
        <v>434085.07205015415</v>
      </c>
      <c r="N18" s="2">
        <f>('L-Values'!J18*'D(Ti_Jollands) Times'!$F18*0.000001)^2/(4*'D(Ti_Jollands) Times'!$C18)/(365.35*24*3600)</f>
        <v>6995585.0355177755</v>
      </c>
      <c r="O18" s="2">
        <f>('L-Values'!K18*'D(Ti_Jollands) Times'!$F18*0.000001)^2/(4*'D(Ti_Jollands) Times'!$C18)/(365.35*24*3600)</f>
        <v>2543898.6663850686</v>
      </c>
      <c r="P18" s="2">
        <f>('L-Values'!L18*'D(Ti_Jollands) Times'!$F18*0.000001)^2/(4*'D(Ti_Jollands) Times'!$C18)/(365.35*24*3600)</f>
        <v>6393945.1167455977</v>
      </c>
      <c r="Q18" s="2">
        <f>('L-Values'!M18*'D(Ti_Jollands) Times'!$F18*0.000001)^2/(4*'D(Ti_Jollands) Times'!$C18)/(365.35*24*3600)</f>
        <v>9303126.5577054564</v>
      </c>
      <c r="R18" s="2">
        <f>('L-Values'!N18*'D(Ti_Jollands) Times'!$F18*0.000001)^2/(4*'D(Ti_Jollands) Times'!$C18)/(365.35*24*3600)</f>
        <v>12751728.519792518</v>
      </c>
      <c r="S18" s="2">
        <f>('L-Values'!O18*'D(Ti_Jollands) Times'!$F18*0.000001)^2/(4*'D(Ti_Jollands) Times'!$C18)/(365.35*24*3600)</f>
        <v>10491985.00550855</v>
      </c>
      <c r="T18" s="2"/>
      <c r="U18" s="2">
        <f>('L-Values'!Q18*'D(Ti_Jollands) Times'!$F18*0.000001)^2/(4*'D(Ti_Jollands) Times'!$C18)/(365.35*24*3600)</f>
        <v>5522196.8719982384</v>
      </c>
      <c r="V18" s="2">
        <f>('L-Values'!R18*'D(Ti_Jollands) Times'!$F18*0.000001)^2/(4*'D(Ti_Jollands) Times'!$C18)/(365.35*24*3600)</f>
        <v>5641988.7353083435</v>
      </c>
      <c r="W18" s="2">
        <f>('L-Values'!S18*'D(Ti_Jollands) Times'!$F18*0.000001)^2/(4*'D(Ti_Jollands) Times'!$C18)/(365.35*24*3600)</f>
        <v>6393945.1167455977</v>
      </c>
      <c r="X18" s="2"/>
      <c r="Y18" s="2">
        <f>('L-Values'!U18*'D(Ti_Jollands) Times'!$F18*0.000001)^2/(4*'D(Ti_Jollands) Times'!$C18)/(365.35*24*3600)</f>
        <v>5497008.7764713271</v>
      </c>
      <c r="Z18" s="2">
        <f>('L-Values'!V18*'D(Ti_Jollands) Times'!$F18*0.000001)^2/(4*'D(Ti_Jollands) Times'!$C18)/(365.35*24*3600)</f>
        <v>5750204.2859532144</v>
      </c>
      <c r="AA18" s="2">
        <f>('L-Values'!W18*'D(Ti_Jollands) Times'!$F18*0.000001)^2/(4*'D(Ti_Jollands) Times'!$C18)/(365.35*24*3600)</f>
        <v>842859.49809110991</v>
      </c>
      <c r="AB18" s="2">
        <f>('L-Values'!X18*'D(Ti_Jollands) Times'!$F18*0.000001)^2/(4*'D(Ti_Jollands) Times'!$C18)/(365.35*24*3600)</f>
        <v>14533498.703496868</v>
      </c>
      <c r="AC18" s="2">
        <f t="shared" si="2"/>
        <v>4907344.7878621044</v>
      </c>
      <c r="AD18" s="2">
        <f t="shared" si="3"/>
        <v>8783294.4175436534</v>
      </c>
    </row>
    <row r="19" spans="1:30" x14ac:dyDescent="0.2">
      <c r="A19" t="str">
        <f>'L-Values'!A19</f>
        <v>CGI001-qtz05-CL-fit-2-offset</v>
      </c>
      <c r="B19">
        <v>750</v>
      </c>
      <c r="C19">
        <f t="shared" si="0"/>
        <v>6.6965312637759184E-25</v>
      </c>
      <c r="D19">
        <v>1800</v>
      </c>
      <c r="E19">
        <v>1024</v>
      </c>
      <c r="F19">
        <f t="shared" si="1"/>
        <v>1.7578125</v>
      </c>
      <c r="I19" s="2">
        <f>('L-Values'!E19*'D(Ti_Jollands) Times'!$F19*0.000001)^2/(4*'D(Ti_Jollands) Times'!$C19)/(365.35*24*3600)</f>
        <v>735043.64578000514</v>
      </c>
      <c r="J19" s="2">
        <f>('L-Values'!F19*'D(Ti_Jollands) Times'!$F19*0.000001)^2/(4*'D(Ti_Jollands) Times'!$C19)/(365.35*24*3600)</f>
        <v>1444415.3935952436</v>
      </c>
      <c r="K19" s="2">
        <f>('L-Values'!G19*'D(Ti_Jollands) Times'!$F19*0.000001)^2/(4*'D(Ti_Jollands) Times'!$C19)/(365.35*24*3600)</f>
        <v>734042.04222922004</v>
      </c>
      <c r="L19" s="2">
        <f>('L-Values'!H19*'D(Ti_Jollands) Times'!$F19*0.000001)^2/(4*'D(Ti_Jollands) Times'!$C19)/(365.35*24*3600)</f>
        <v>566260.32447281154</v>
      </c>
      <c r="M19" s="2">
        <f>('L-Values'!I19*'D(Ti_Jollands) Times'!$F19*0.000001)^2/(4*'D(Ti_Jollands) Times'!$C19)/(365.35*24*3600)</f>
        <v>635294.4851944088</v>
      </c>
      <c r="N19" s="2">
        <f>('L-Values'!J19*'D(Ti_Jollands) Times'!$F19*0.000001)^2/(4*'D(Ti_Jollands) Times'!$C19)/(365.35*24*3600)</f>
        <v>1623994.4370487514</v>
      </c>
      <c r="O19" s="2">
        <f>('L-Values'!K19*'D(Ti_Jollands) Times'!$F19*0.000001)^2/(4*'D(Ti_Jollands) Times'!$C19)/(365.35*24*3600)</f>
        <v>867354.44353928848</v>
      </c>
      <c r="P19" s="2">
        <f>('L-Values'!L19*'D(Ti_Jollands) Times'!$F19*0.000001)^2/(4*'D(Ti_Jollands) Times'!$C19)/(365.35*24*3600)</f>
        <v>767135.88378035172</v>
      </c>
      <c r="Q19" s="2">
        <f>('L-Values'!M19*'D(Ti_Jollands) Times'!$F19*0.000001)^2/(4*'D(Ti_Jollands) Times'!$C19)/(365.35*24*3600)</f>
        <v>739692.17133737158</v>
      </c>
      <c r="R19" s="2">
        <f>('L-Values'!N19*'D(Ti_Jollands) Times'!$F19*0.000001)^2/(4*'D(Ti_Jollands) Times'!$C19)/(365.35*24*3600)</f>
        <v>863393.97995867603</v>
      </c>
      <c r="S19" s="2">
        <f>('L-Values'!O19*'D(Ti_Jollands) Times'!$F19*0.000001)^2/(4*'D(Ti_Jollands) Times'!$C19)/(365.35*24*3600)</f>
        <v>777008.16927643109</v>
      </c>
      <c r="T19" s="2"/>
      <c r="U19" s="2">
        <f>('L-Values'!Q19*'D(Ti_Jollands) Times'!$F19*0.000001)^2/(4*'D(Ti_Jollands) Times'!$C19)/(365.35*24*3600)</f>
        <v>837172.4955118763</v>
      </c>
      <c r="V19" s="2">
        <f>('L-Values'!R19*'D(Ti_Jollands) Times'!$F19*0.000001)^2/(4*'D(Ti_Jollands) Times'!$C19)/(365.35*24*3600)</f>
        <v>862833.30264167779</v>
      </c>
      <c r="W19" s="2">
        <f>('L-Values'!S19*'D(Ti_Jollands) Times'!$F19*0.000001)^2/(4*'D(Ti_Jollands) Times'!$C19)/(365.35*24*3600)</f>
        <v>767135.88378035172</v>
      </c>
      <c r="X19" s="2"/>
      <c r="Y19" s="2">
        <f>('L-Values'!U19*'D(Ti_Jollands) Times'!$F19*0.000001)^2/(4*'D(Ti_Jollands) Times'!$C19)/(365.35*24*3600)</f>
        <v>796254.391411633</v>
      </c>
      <c r="Z19" s="2">
        <f>('L-Values'!V19*'D(Ti_Jollands) Times'!$F19*0.000001)^2/(4*'D(Ti_Jollands) Times'!$C19)/(365.35*24*3600)</f>
        <v>824118.99388009438</v>
      </c>
      <c r="AA19" s="2">
        <f>('L-Values'!W19*'D(Ti_Jollands) Times'!$F19*0.000001)^2/(4*'D(Ti_Jollands) Times'!$C19)/(365.35*24*3600)</f>
        <v>379712.51886615565</v>
      </c>
      <c r="AB19" s="2">
        <f>('L-Values'!X19*'D(Ti_Jollands) Times'!$F19*0.000001)^2/(4*'D(Ti_Jollands) Times'!$C19)/(365.35*24*3600)</f>
        <v>1563791.4849913253</v>
      </c>
      <c r="AC19" s="2">
        <f t="shared" si="2"/>
        <v>444406.47501393873</v>
      </c>
      <c r="AD19" s="2">
        <f t="shared" si="3"/>
        <v>739672.49111123092</v>
      </c>
    </row>
    <row r="20" spans="1:30" x14ac:dyDescent="0.2">
      <c r="A20" t="str">
        <f>'L-Values'!A20</f>
        <v>CGI001-qtz05-CL-fit-3-offset</v>
      </c>
      <c r="B20">
        <v>750</v>
      </c>
      <c r="C20">
        <f t="shared" si="0"/>
        <v>6.6965312637759184E-25</v>
      </c>
      <c r="D20">
        <v>1800</v>
      </c>
      <c r="E20">
        <v>1024</v>
      </c>
      <c r="F20">
        <f t="shared" si="1"/>
        <v>1.7578125</v>
      </c>
      <c r="I20" s="2">
        <f>('L-Values'!E20*'D(Ti_Jollands) Times'!$F20*0.000001)^2/(4*'D(Ti_Jollands) Times'!$C20)/(365.35*24*3600)</f>
        <v>185599.39065071076</v>
      </c>
      <c r="J20" s="2">
        <f>('L-Values'!F20*'D(Ti_Jollands) Times'!$F20*0.000001)^2/(4*'D(Ti_Jollands) Times'!$C20)/(365.35*24*3600)</f>
        <v>290779.3905457597</v>
      </c>
      <c r="K20" s="2">
        <f>('L-Values'!G20*'D(Ti_Jollands) Times'!$F20*0.000001)^2/(4*'D(Ti_Jollands) Times'!$C20)/(365.35*24*3600)</f>
        <v>495667.64608043624</v>
      </c>
      <c r="L20" s="2">
        <f>('L-Values'!H20*'D(Ti_Jollands) Times'!$F20*0.000001)^2/(4*'D(Ti_Jollands) Times'!$C20)/(365.35*24*3600)</f>
        <v>200332.49208164332</v>
      </c>
      <c r="M20" s="2">
        <f>('L-Values'!I20*'D(Ti_Jollands) Times'!$F20*0.000001)^2/(4*'D(Ti_Jollands) Times'!$C20)/(365.35*24*3600)</f>
        <v>520137.59241045726</v>
      </c>
      <c r="N20" s="2">
        <f>('L-Values'!J20*'D(Ti_Jollands) Times'!$F20*0.000001)^2/(4*'D(Ti_Jollands) Times'!$C20)/(365.35*24*3600)</f>
        <v>567554.18991731177</v>
      </c>
      <c r="O20" s="2">
        <f>('L-Values'!K20*'D(Ti_Jollands) Times'!$F20*0.000001)^2/(4*'D(Ti_Jollands) Times'!$C20)/(365.35*24*3600)</f>
        <v>963214.0509168175</v>
      </c>
      <c r="P20" s="2">
        <f>('L-Values'!L20*'D(Ti_Jollands) Times'!$F20*0.000001)^2/(4*'D(Ti_Jollands) Times'!$C20)/(365.35*24*3600)</f>
        <v>434457.88032893225</v>
      </c>
      <c r="Q20" s="2">
        <f>('L-Values'!M20*'D(Ti_Jollands) Times'!$F20*0.000001)^2/(4*'D(Ti_Jollands) Times'!$C20)/(365.35*24*3600)</f>
        <v>882891.82698401879</v>
      </c>
      <c r="R20" s="2">
        <f>('L-Values'!N20*'D(Ti_Jollands) Times'!$F20*0.000001)^2/(4*'D(Ti_Jollands) Times'!$C20)/(365.35*24*3600)</f>
        <v>422744.20436006068</v>
      </c>
      <c r="S20" s="2">
        <f>('L-Values'!O20*'D(Ti_Jollands) Times'!$F20*0.000001)^2/(4*'D(Ti_Jollands) Times'!$C20)/(365.35*24*3600)</f>
        <v>159904.88514583212</v>
      </c>
      <c r="T20" s="2"/>
      <c r="U20" s="2">
        <f>('L-Values'!Q20*'D(Ti_Jollands) Times'!$F20*0.000001)^2/(4*'D(Ti_Jollands) Times'!$C20)/(365.35*24*3600)</f>
        <v>405536.06356766599</v>
      </c>
      <c r="V20" s="2">
        <f>('L-Values'!R20*'D(Ti_Jollands) Times'!$F20*0.000001)^2/(4*'D(Ti_Jollands) Times'!$C20)/(365.35*24*3600)</f>
        <v>431589.58311880467</v>
      </c>
      <c r="W20" s="2">
        <f>('L-Values'!S20*'D(Ti_Jollands) Times'!$F20*0.000001)^2/(4*'D(Ti_Jollands) Times'!$C20)/(365.35*24*3600)</f>
        <v>434457.88032893225</v>
      </c>
      <c r="X20" s="2"/>
      <c r="Y20" s="2">
        <f>('L-Values'!U20*'D(Ti_Jollands) Times'!$F20*0.000001)^2/(4*'D(Ti_Jollands) Times'!$C20)/(365.35*24*3600)</f>
        <v>341206.0715779913</v>
      </c>
      <c r="Z20" s="2">
        <f>('L-Values'!V20*'D(Ti_Jollands) Times'!$F20*0.000001)^2/(4*'D(Ti_Jollands) Times'!$C20)/(365.35*24*3600)</f>
        <v>333667.55115705606</v>
      </c>
      <c r="AA20" s="2">
        <f>('L-Values'!W20*'D(Ti_Jollands) Times'!$F20*0.000001)^2/(4*'D(Ti_Jollands) Times'!$C20)/(365.35*24*3600)</f>
        <v>5046.9116007786342</v>
      </c>
      <c r="AB20" s="2">
        <f>('L-Values'!X20*'D(Ti_Jollands) Times'!$F20*0.000001)^2/(4*'D(Ti_Jollands) Times'!$C20)/(365.35*24*3600)</f>
        <v>1335168.2423674907</v>
      </c>
      <c r="AC20" s="2">
        <f t="shared" si="2"/>
        <v>328620.63955627743</v>
      </c>
      <c r="AD20" s="2">
        <f t="shared" si="3"/>
        <v>1001500.6912104345</v>
      </c>
    </row>
    <row r="21" spans="1:30" x14ac:dyDescent="0.2">
      <c r="A21" t="str">
        <f>'L-Values'!A21</f>
        <v>CGI001-qtz05-CL-fit-4-offset</v>
      </c>
      <c r="B21">
        <v>750</v>
      </c>
      <c r="C21">
        <f t="shared" si="0"/>
        <v>6.6965312637759184E-25</v>
      </c>
      <c r="D21">
        <v>1800</v>
      </c>
      <c r="E21">
        <v>1024</v>
      </c>
      <c r="F21">
        <f t="shared" si="1"/>
        <v>1.7578125</v>
      </c>
      <c r="I21" s="2">
        <f>('L-Values'!E21*'D(Ti_Jollands) Times'!$F21*0.000001)^2/(4*'D(Ti_Jollands) Times'!$C21)/(365.35*24*3600)</f>
        <v>1.4617551147602075</v>
      </c>
      <c r="J21" s="2">
        <f>('L-Values'!F21*'D(Ti_Jollands) Times'!$F21*0.000001)^2/(4*'D(Ti_Jollands) Times'!$C21)/(365.35*24*3600)</f>
        <v>137.63601887270164</v>
      </c>
      <c r="K21" s="2">
        <f>('L-Values'!G21*'D(Ti_Jollands) Times'!$F21*0.000001)^2/(4*'D(Ti_Jollands) Times'!$C21)/(365.35*24*3600)</f>
        <v>1545.7490546960737</v>
      </c>
      <c r="L21" s="2">
        <f>('L-Values'!H21*'D(Ti_Jollands) Times'!$F21*0.000001)^2/(4*'D(Ti_Jollands) Times'!$C21)/(365.35*24*3600)</f>
        <v>9685.2588974936752</v>
      </c>
      <c r="M21" s="2">
        <f>('L-Values'!I21*'D(Ti_Jollands) Times'!$F21*0.000001)^2/(4*'D(Ti_Jollands) Times'!$C21)/(365.35*24*3600)</f>
        <v>70.710065186953173</v>
      </c>
      <c r="N21" s="2">
        <f>('L-Values'!J21*'D(Ti_Jollands) Times'!$F21*0.000001)^2/(4*'D(Ti_Jollands) Times'!$C21)/(365.35*24*3600)</f>
        <v>8791.1562576085653</v>
      </c>
      <c r="O21" s="2">
        <f>('L-Values'!K21*'D(Ti_Jollands) Times'!$F21*0.000001)^2/(4*'D(Ti_Jollands) Times'!$C21)/(365.35*24*3600)</f>
        <v>2134.8847360202908</v>
      </c>
      <c r="P21" s="2">
        <f>('L-Values'!L21*'D(Ti_Jollands) Times'!$F21*0.000001)^2/(4*'D(Ti_Jollands) Times'!$C21)/(365.35*24*3600)</f>
        <v>1.6095190787427027</v>
      </c>
      <c r="Q21" s="2">
        <f>('L-Values'!M21*'D(Ti_Jollands) Times'!$F21*0.000001)^2/(4*'D(Ti_Jollands) Times'!$C21)/(365.35*24*3600)</f>
        <v>1834.0008441241746</v>
      </c>
      <c r="R21" s="2">
        <f>('L-Values'!N21*'D(Ti_Jollands) Times'!$F21*0.000001)^2/(4*'D(Ti_Jollands) Times'!$C21)/(365.35*24*3600)</f>
        <v>20.224893149541501</v>
      </c>
      <c r="S21" s="2">
        <f>('L-Values'!O21*'D(Ti_Jollands) Times'!$F21*0.000001)^2/(4*'D(Ti_Jollands) Times'!$C21)/(365.35*24*3600)</f>
        <v>1705.1104722681855</v>
      </c>
      <c r="T21" s="2"/>
      <c r="U21" s="2">
        <f>('L-Values'!Q21*'D(Ti_Jollands) Times'!$F21*0.000001)^2/(4*'D(Ti_Jollands) Times'!$C21)/(365.35*24*3600)</f>
        <v>1475.9734397881909</v>
      </c>
      <c r="V21" s="2">
        <f>('L-Values'!R21*'D(Ti_Jollands) Times'!$F21*0.000001)^2/(4*'D(Ti_Jollands) Times'!$C21)/(365.35*24*3600)</f>
        <v>1250.1341661682384</v>
      </c>
      <c r="W21" s="2">
        <f>('L-Values'!S21*'D(Ti_Jollands) Times'!$F21*0.000001)^2/(4*'D(Ti_Jollands) Times'!$C21)/(365.35*24*3600)</f>
        <v>1545.7490546960737</v>
      </c>
      <c r="X21" s="2"/>
      <c r="Y21" s="2">
        <f>('L-Values'!U21*'D(Ti_Jollands) Times'!$F21*0.000001)^2/(4*'D(Ti_Jollands) Times'!$C21)/(365.35*24*3600)</f>
        <v>1762.306659289246</v>
      </c>
      <c r="Z21" s="2">
        <f>('L-Values'!V21*'D(Ti_Jollands) Times'!$F21*0.000001)^2/(4*'D(Ti_Jollands) Times'!$C21)/(365.35*24*3600)</f>
        <v>2536.072108736038</v>
      </c>
      <c r="AA21" s="2">
        <f>('L-Values'!W21*'D(Ti_Jollands) Times'!$F21*0.000001)^2/(4*'D(Ti_Jollands) Times'!$C21)/(365.35*24*3600)</f>
        <v>7.6415939785673448</v>
      </c>
      <c r="AB21" s="2">
        <f>('L-Values'!X21*'D(Ti_Jollands) Times'!$F21*0.000001)^2/(4*'D(Ti_Jollands) Times'!$C21)/(365.35*24*3600)</f>
        <v>18000.233773433749</v>
      </c>
      <c r="AC21" s="2">
        <f t="shared" si="2"/>
        <v>2528.4305147574705</v>
      </c>
      <c r="AD21" s="2">
        <f t="shared" si="3"/>
        <v>15464.161664697711</v>
      </c>
    </row>
    <row r="22" spans="1:30" x14ac:dyDescent="0.2">
      <c r="A22" t="str">
        <f>'L-Values'!A22</f>
        <v>CGI001-qtz06-CL-fit-1-offset</v>
      </c>
      <c r="B22">
        <v>750</v>
      </c>
      <c r="C22">
        <f t="shared" si="0"/>
        <v>6.6965312637759184E-25</v>
      </c>
      <c r="D22">
        <v>1500</v>
      </c>
      <c r="E22">
        <v>1024</v>
      </c>
      <c r="F22">
        <f t="shared" si="1"/>
        <v>1.46484375</v>
      </c>
      <c r="I22" s="2">
        <f>('L-Values'!E22*'D(Ti_Jollands) Times'!$F22*0.000001)^2/(4*'D(Ti_Jollands) Times'!$C22)/(365.35*24*3600)</f>
        <v>4337594.9424091233</v>
      </c>
      <c r="J22" s="2">
        <f>('L-Values'!F22*'D(Ti_Jollands) Times'!$F22*0.000001)^2/(4*'D(Ti_Jollands) Times'!$C22)/(365.35*24*3600)</f>
        <v>3193765.8070133054</v>
      </c>
      <c r="K22" s="2">
        <f>('L-Values'!G22*'D(Ti_Jollands) Times'!$F22*0.000001)^2/(4*'D(Ti_Jollands) Times'!$C22)/(365.35*24*3600)</f>
        <v>3696676.284159814</v>
      </c>
      <c r="L22" s="2">
        <f>('L-Values'!H22*'D(Ti_Jollands) Times'!$F22*0.000001)^2/(4*'D(Ti_Jollands) Times'!$C22)/(365.35*24*3600)</f>
        <v>4003106.4904069649</v>
      </c>
      <c r="M22" s="2">
        <f>('L-Values'!I22*'D(Ti_Jollands) Times'!$F22*0.000001)^2/(4*'D(Ti_Jollands) Times'!$C22)/(365.35*24*3600)</f>
        <v>3372728.6133111552</v>
      </c>
      <c r="N22" s="2">
        <f>('L-Values'!J22*'D(Ti_Jollands) Times'!$F22*0.000001)^2/(4*'D(Ti_Jollands) Times'!$C22)/(365.35*24*3600)</f>
        <v>3857832.8284622659</v>
      </c>
      <c r="O22" s="2">
        <f>('L-Values'!K22*'D(Ti_Jollands) Times'!$F22*0.000001)^2/(4*'D(Ti_Jollands) Times'!$C22)/(365.35*24*3600)</f>
        <v>4435051.7519355789</v>
      </c>
      <c r="P22" s="2">
        <f>('L-Values'!L22*'D(Ti_Jollands) Times'!$F22*0.000001)^2/(4*'D(Ti_Jollands) Times'!$C22)/(365.35*24*3600)</f>
        <v>3059670.003936538</v>
      </c>
      <c r="Q22" s="2">
        <f>('L-Values'!M22*'D(Ti_Jollands) Times'!$F22*0.000001)^2/(4*'D(Ti_Jollands) Times'!$C22)/(365.35*24*3600)</f>
        <v>3792303.8029708085</v>
      </c>
      <c r="R22" s="2">
        <f>('L-Values'!N22*'D(Ti_Jollands) Times'!$F22*0.000001)^2/(4*'D(Ti_Jollands) Times'!$C22)/(365.35*24*3600)</f>
        <v>3250025.3967791577</v>
      </c>
      <c r="S22" s="2">
        <f>('L-Values'!O22*'D(Ti_Jollands) Times'!$F22*0.000001)^2/(4*'D(Ti_Jollands) Times'!$C22)/(365.35*24*3600)</f>
        <v>3075421.9702461562</v>
      </c>
      <c r="T22" s="2"/>
      <c r="U22" s="2">
        <f>('L-Values'!Q22*'D(Ti_Jollands) Times'!$F22*0.000001)^2/(4*'D(Ti_Jollands) Times'!$C22)/(365.35*24*3600)</f>
        <v>3607717.7977272822</v>
      </c>
      <c r="V22" s="2">
        <f>('L-Values'!R22*'D(Ti_Jollands) Times'!$F22*0.000001)^2/(4*'D(Ti_Jollands) Times'!$C22)/(365.35*24*3600)</f>
        <v>3628293.826580951</v>
      </c>
      <c r="W22" s="2">
        <f>('L-Values'!S22*'D(Ti_Jollands) Times'!$F22*0.000001)^2/(4*'D(Ti_Jollands) Times'!$C22)/(365.35*24*3600)</f>
        <v>3696676.284159814</v>
      </c>
      <c r="X22" s="2"/>
      <c r="Y22" s="2">
        <f>('L-Values'!U22*'D(Ti_Jollands) Times'!$F22*0.000001)^2/(4*'D(Ti_Jollands) Times'!$C22)/(365.35*24*3600)</f>
        <v>3555339.5662473724</v>
      </c>
      <c r="Z22" s="2">
        <f>('L-Values'!V22*'D(Ti_Jollands) Times'!$F22*0.000001)^2/(4*'D(Ti_Jollands) Times'!$C22)/(365.35*24*3600)</f>
        <v>3605391.8650640356</v>
      </c>
      <c r="AA22" s="2">
        <f>('L-Values'!W22*'D(Ti_Jollands) Times'!$F22*0.000001)^2/(4*'D(Ti_Jollands) Times'!$C22)/(365.35*24*3600)</f>
        <v>2748613.4739405308</v>
      </c>
      <c r="AB22" s="2">
        <f>('L-Values'!X22*'D(Ti_Jollands) Times'!$F22*0.000001)^2/(4*'D(Ti_Jollands) Times'!$C22)/(365.35*24*3600)</f>
        <v>4683279.8375400929</v>
      </c>
      <c r="AC22" s="2">
        <f t="shared" si="2"/>
        <v>856778.39112350484</v>
      </c>
      <c r="AD22" s="2">
        <f t="shared" si="3"/>
        <v>1077887.9724760572</v>
      </c>
    </row>
    <row r="23" spans="1:30" x14ac:dyDescent="0.2">
      <c r="A23" t="str">
        <f>'L-Values'!A23</f>
        <v>CGI001-qtz06-CL-fit-2-offset</v>
      </c>
      <c r="B23">
        <v>750</v>
      </c>
      <c r="C23">
        <f t="shared" si="0"/>
        <v>6.6965312637759184E-25</v>
      </c>
      <c r="D23">
        <v>1500</v>
      </c>
      <c r="E23">
        <v>1024</v>
      </c>
      <c r="F23">
        <f t="shared" si="1"/>
        <v>1.46484375</v>
      </c>
      <c r="I23" s="2">
        <f>('L-Values'!E23*'D(Ti_Jollands) Times'!$F23*0.000001)^2/(4*'D(Ti_Jollands) Times'!$C23)/(365.35*24*3600)</f>
        <v>402702.4416822429</v>
      </c>
      <c r="J23" s="2">
        <f>('L-Values'!F23*'D(Ti_Jollands) Times'!$F23*0.000001)^2/(4*'D(Ti_Jollands) Times'!$C23)/(365.35*24*3600)</f>
        <v>222904.35548244789</v>
      </c>
      <c r="K23" s="2">
        <f>('L-Values'!G23*'D(Ti_Jollands) Times'!$F23*0.000001)^2/(4*'D(Ti_Jollands) Times'!$C23)/(365.35*24*3600)</f>
        <v>137153.92894889807</v>
      </c>
      <c r="L23" s="2">
        <f>('L-Values'!H23*'D(Ti_Jollands) Times'!$F23*0.000001)^2/(4*'D(Ti_Jollands) Times'!$C23)/(365.35*24*3600)</f>
        <v>72960.087684768077</v>
      </c>
      <c r="M23" s="2">
        <f>('L-Values'!I23*'D(Ti_Jollands) Times'!$F23*0.000001)^2/(4*'D(Ti_Jollands) Times'!$C23)/(365.35*24*3600)</f>
        <v>382092.21930236788</v>
      </c>
      <c r="N23" s="2">
        <f>('L-Values'!J23*'D(Ti_Jollands) Times'!$F23*0.000001)^2/(4*'D(Ti_Jollands) Times'!$C23)/(365.35*24*3600)</f>
        <v>230217.75079650673</v>
      </c>
      <c r="O23" s="2">
        <f>('L-Values'!K23*'D(Ti_Jollands) Times'!$F23*0.000001)^2/(4*'D(Ti_Jollands) Times'!$C23)/(365.35*24*3600)</f>
        <v>310034.19644161139</v>
      </c>
      <c r="P23" s="2">
        <f>('L-Values'!L23*'D(Ti_Jollands) Times'!$F23*0.000001)^2/(4*'D(Ti_Jollands) Times'!$C23)/(365.35*24*3600)</f>
        <v>299172.31500269147</v>
      </c>
      <c r="Q23" s="2">
        <f>('L-Values'!M23*'D(Ti_Jollands) Times'!$F23*0.000001)^2/(4*'D(Ti_Jollands) Times'!$C23)/(365.35*24*3600)</f>
        <v>119323.53874176925</v>
      </c>
      <c r="R23" s="2">
        <f>('L-Values'!N23*'D(Ti_Jollands) Times'!$F23*0.000001)^2/(4*'D(Ti_Jollands) Times'!$C23)/(365.35*24*3600)</f>
        <v>261682.60737985797</v>
      </c>
      <c r="S23" s="2">
        <f>('L-Values'!O23*'D(Ti_Jollands) Times'!$F23*0.000001)^2/(4*'D(Ti_Jollands) Times'!$C23)/(365.35*24*3600)</f>
        <v>128754.35299979888</v>
      </c>
      <c r="T23" s="2"/>
      <c r="U23" s="2">
        <f>('L-Values'!Q23*'D(Ti_Jollands) Times'!$F23*0.000001)^2/(4*'D(Ti_Jollands) Times'!$C23)/(365.35*24*3600)</f>
        <v>250712.13967344217</v>
      </c>
      <c r="V23" s="2">
        <f>('L-Values'!R23*'D(Ti_Jollands) Times'!$F23*0.000001)^2/(4*'D(Ti_Jollands) Times'!$C23)/(365.35*24*3600)</f>
        <v>220446.90647412586</v>
      </c>
      <c r="W23" s="2">
        <f>('L-Values'!S23*'D(Ti_Jollands) Times'!$F23*0.000001)^2/(4*'D(Ti_Jollands) Times'!$C23)/(365.35*24*3600)</f>
        <v>230217.75079650673</v>
      </c>
      <c r="X23" s="2"/>
      <c r="Y23" s="2">
        <f>('L-Values'!U23*'D(Ti_Jollands) Times'!$F23*0.000001)^2/(4*'D(Ti_Jollands) Times'!$C23)/(365.35*24*3600)</f>
        <v>213512.03607331039</v>
      </c>
      <c r="Z23" s="2">
        <f>('L-Values'!V23*'D(Ti_Jollands) Times'!$F23*0.000001)^2/(4*'D(Ti_Jollands) Times'!$C23)/(365.35*24*3600)</f>
        <v>197625.41471361279</v>
      </c>
      <c r="AA23" s="2">
        <f>('L-Values'!W23*'D(Ti_Jollands) Times'!$F23*0.000001)^2/(4*'D(Ti_Jollands) Times'!$C23)/(365.35*24*3600)</f>
        <v>2941.1245412501939</v>
      </c>
      <c r="AB23" s="2">
        <f>('L-Values'!X23*'D(Ti_Jollands) Times'!$F23*0.000001)^2/(4*'D(Ti_Jollands) Times'!$C23)/(365.35*24*3600)</f>
        <v>650367.46050016047</v>
      </c>
      <c r="AC23" s="2">
        <f t="shared" si="2"/>
        <v>194684.29017236258</v>
      </c>
      <c r="AD23" s="2">
        <f t="shared" si="3"/>
        <v>452742.04578654771</v>
      </c>
    </row>
    <row r="24" spans="1:30" x14ac:dyDescent="0.2">
      <c r="A24" t="str">
        <f>'L-Values'!A24</f>
        <v>CGI001-qtz06-CL-fit-3-offset</v>
      </c>
      <c r="B24">
        <v>750</v>
      </c>
      <c r="C24">
        <f t="shared" si="0"/>
        <v>6.6965312637759184E-25</v>
      </c>
      <c r="D24">
        <v>1500</v>
      </c>
      <c r="E24">
        <v>1024</v>
      </c>
      <c r="F24">
        <f t="shared" si="1"/>
        <v>1.46484375</v>
      </c>
      <c r="I24" s="2">
        <f>('L-Values'!E24*'D(Ti_Jollands) Times'!$F24*0.000001)^2/(4*'D(Ti_Jollands) Times'!$C24)/(365.35*24*3600)</f>
        <v>114442.38924974989</v>
      </c>
      <c r="J24" s="2">
        <f>('L-Values'!F24*'D(Ti_Jollands) Times'!$F24*0.000001)^2/(4*'D(Ti_Jollands) Times'!$C24)/(365.35*24*3600)</f>
        <v>124867.20440906262</v>
      </c>
      <c r="K24" s="2">
        <f>('L-Values'!G24*'D(Ti_Jollands) Times'!$F24*0.000001)^2/(4*'D(Ti_Jollands) Times'!$C24)/(365.35*24*3600)</f>
        <v>350730.56069737067</v>
      </c>
      <c r="L24" s="2">
        <f>('L-Values'!H24*'D(Ti_Jollands) Times'!$F24*0.000001)^2/(4*'D(Ti_Jollands) Times'!$C24)/(365.35*24*3600)</f>
        <v>128129.91001982076</v>
      </c>
      <c r="M24" s="2">
        <f>('L-Values'!I24*'D(Ti_Jollands) Times'!$F24*0.000001)^2/(4*'D(Ti_Jollands) Times'!$C24)/(365.35*24*3600)</f>
        <v>243515.07386766595</v>
      </c>
      <c r="N24" s="2">
        <f>('L-Values'!J24*'D(Ti_Jollands) Times'!$F24*0.000001)^2/(4*'D(Ti_Jollands) Times'!$C24)/(365.35*24*3600)</f>
        <v>102242.51997575433</v>
      </c>
      <c r="O24" s="2">
        <f>('L-Values'!K24*'D(Ti_Jollands) Times'!$F24*0.000001)^2/(4*'D(Ti_Jollands) Times'!$C24)/(365.35*24*3600)</f>
        <v>239918.12922958858</v>
      </c>
      <c r="P24" s="2">
        <f>('L-Values'!L24*'D(Ti_Jollands) Times'!$F24*0.000001)^2/(4*'D(Ti_Jollands) Times'!$C24)/(365.35*24*3600)</f>
        <v>212902.91082230999</v>
      </c>
      <c r="Q24" s="2">
        <f>('L-Values'!M24*'D(Ti_Jollands) Times'!$F24*0.000001)^2/(4*'D(Ti_Jollands) Times'!$C24)/(365.35*24*3600)</f>
        <v>290287.7094169794</v>
      </c>
      <c r="R24" s="2">
        <f>('L-Values'!N24*'D(Ti_Jollands) Times'!$F24*0.000001)^2/(4*'D(Ti_Jollands) Times'!$C24)/(365.35*24*3600)</f>
        <v>74462.104251940924</v>
      </c>
      <c r="S24" s="2">
        <f>('L-Values'!O24*'D(Ti_Jollands) Times'!$F24*0.000001)^2/(4*'D(Ti_Jollands) Times'!$C24)/(365.35*24*3600)</f>
        <v>142101.72866280607</v>
      </c>
      <c r="T24" s="2"/>
      <c r="U24" s="2">
        <f>('L-Values'!Q24*'D(Ti_Jollands) Times'!$F24*0.000001)^2/(4*'D(Ti_Jollands) Times'!$C24)/(365.35*24*3600)</f>
        <v>172535.29805753319</v>
      </c>
      <c r="V24" s="2">
        <f>('L-Values'!R24*'D(Ti_Jollands) Times'!$F24*0.000001)^2/(4*'D(Ti_Jollands) Times'!$C24)/(365.35*24*3600)</f>
        <v>174489.68837125279</v>
      </c>
      <c r="W24" s="2">
        <f>('L-Values'!S24*'D(Ti_Jollands) Times'!$F24*0.000001)^2/(4*'D(Ti_Jollands) Times'!$C24)/(365.35*24*3600)</f>
        <v>142101.72866280607</v>
      </c>
      <c r="X24" s="2"/>
      <c r="Y24" s="2">
        <f>('L-Values'!U24*'D(Ti_Jollands) Times'!$F24*0.000001)^2/(4*'D(Ti_Jollands) Times'!$C24)/(365.35*24*3600)</f>
        <v>163542.00575797723</v>
      </c>
      <c r="Z24" s="2">
        <f>('L-Values'!V24*'D(Ti_Jollands) Times'!$F24*0.000001)^2/(4*'D(Ti_Jollands) Times'!$C24)/(365.35*24*3600)</f>
        <v>166171.67287000225</v>
      </c>
      <c r="AA24" s="2">
        <f>('L-Values'!W24*'D(Ti_Jollands) Times'!$F24*0.000001)^2/(4*'D(Ti_Jollands) Times'!$C24)/(365.35*24*3600)</f>
        <v>55160.195375998155</v>
      </c>
      <c r="AB24" s="2">
        <f>('L-Values'!X24*'D(Ti_Jollands) Times'!$F24*0.000001)^2/(4*'D(Ti_Jollands) Times'!$C24)/(365.35*24*3600)</f>
        <v>368794.96419584821</v>
      </c>
      <c r="AC24" s="2">
        <f t="shared" si="2"/>
        <v>111011.4774940041</v>
      </c>
      <c r="AD24" s="2">
        <f t="shared" si="3"/>
        <v>202623.29132584596</v>
      </c>
    </row>
    <row r="25" spans="1:30" x14ac:dyDescent="0.2">
      <c r="A25" t="str">
        <f>'L-Values'!A25</f>
        <v>CGI001-qtz06-CL-fit-4-offset</v>
      </c>
      <c r="B25">
        <v>750</v>
      </c>
      <c r="C25">
        <f t="shared" si="0"/>
        <v>6.6965312637759184E-25</v>
      </c>
      <c r="D25">
        <v>1500</v>
      </c>
      <c r="E25">
        <v>1024</v>
      </c>
      <c r="F25">
        <f t="shared" si="1"/>
        <v>1.46484375</v>
      </c>
      <c r="I25" s="2">
        <f>('L-Values'!E25*'D(Ti_Jollands) Times'!$F25*0.000001)^2/(4*'D(Ti_Jollands) Times'!$C25)/(365.35*24*3600)</f>
        <v>80865.28814145067</v>
      </c>
      <c r="J25" s="2">
        <f>('L-Values'!F25*'D(Ti_Jollands) Times'!$F25*0.000001)^2/(4*'D(Ti_Jollands) Times'!$C25)/(365.35*24*3600)</f>
        <v>131705.0439925064</v>
      </c>
      <c r="K25" s="2">
        <f>('L-Values'!G25*'D(Ti_Jollands) Times'!$F25*0.000001)^2/(4*'D(Ti_Jollands) Times'!$C25)/(365.35*24*3600)</f>
        <v>123931.89408241828</v>
      </c>
      <c r="L25" s="2">
        <f>('L-Values'!H25*'D(Ti_Jollands) Times'!$F25*0.000001)^2/(4*'D(Ti_Jollands) Times'!$C25)/(365.35*24*3600)</f>
        <v>115671.85892286293</v>
      </c>
      <c r="M25" s="2">
        <f>('L-Values'!I25*'D(Ti_Jollands) Times'!$F25*0.000001)^2/(4*'D(Ti_Jollands) Times'!$C25)/(365.35*24*3600)</f>
        <v>100569.77941331123</v>
      </c>
      <c r="N25" s="2">
        <f>('L-Values'!J25*'D(Ti_Jollands) Times'!$F25*0.000001)^2/(4*'D(Ti_Jollands) Times'!$C25)/(365.35*24*3600)</f>
        <v>96942.218883672424</v>
      </c>
      <c r="O25" s="2">
        <f>('L-Values'!K25*'D(Ti_Jollands) Times'!$F25*0.000001)^2/(4*'D(Ti_Jollands) Times'!$C25)/(365.35*24*3600)</f>
        <v>104157.11756851879</v>
      </c>
      <c r="P25" s="2">
        <f>('L-Values'!L25*'D(Ti_Jollands) Times'!$F25*0.000001)^2/(4*'D(Ti_Jollands) Times'!$C25)/(365.35*24*3600)</f>
        <v>92996.830218289149</v>
      </c>
      <c r="Q25" s="2">
        <f>('L-Values'!M25*'D(Ti_Jollands) Times'!$F25*0.000001)^2/(4*'D(Ti_Jollands) Times'!$C25)/(365.35*24*3600)</f>
        <v>125222.86729615329</v>
      </c>
      <c r="R25" s="2">
        <f>('L-Values'!N25*'D(Ti_Jollands) Times'!$F25*0.000001)^2/(4*'D(Ti_Jollands) Times'!$C25)/(365.35*24*3600)</f>
        <v>100568.34414059779</v>
      </c>
      <c r="S25" s="2">
        <f>('L-Values'!O25*'D(Ti_Jollands) Times'!$F25*0.000001)^2/(4*'D(Ti_Jollands) Times'!$C25)/(365.35*24*3600)</f>
        <v>114357.76072771884</v>
      </c>
      <c r="T25" s="2"/>
      <c r="U25" s="2">
        <f>('L-Values'!Q25*'D(Ti_Jollands) Times'!$F25*0.000001)^2/(4*'D(Ti_Jollands) Times'!$C25)/(365.35*24*3600)</f>
        <v>109902.63952732433</v>
      </c>
      <c r="V25" s="2">
        <f>('L-Values'!R25*'D(Ti_Jollands) Times'!$F25*0.000001)^2/(4*'D(Ti_Jollands) Times'!$C25)/(365.35*24*3600)</f>
        <v>107390.7264458655</v>
      </c>
      <c r="W25" s="2">
        <f>('L-Values'!S25*'D(Ti_Jollands) Times'!$F25*0.000001)^2/(4*'D(Ti_Jollands) Times'!$C25)/(365.35*24*3600)</f>
        <v>104157.11756851879</v>
      </c>
      <c r="X25" s="2"/>
      <c r="Y25" s="2">
        <f>('L-Values'!U25*'D(Ti_Jollands) Times'!$F25*0.000001)^2/(4*'D(Ti_Jollands) Times'!$C25)/(365.35*24*3600)</f>
        <v>108575.26531055954</v>
      </c>
      <c r="Z25" s="2">
        <f>('L-Values'!V25*'D(Ti_Jollands) Times'!$F25*0.000001)^2/(4*'D(Ti_Jollands) Times'!$C25)/(365.35*24*3600)</f>
        <v>107013.86133148834</v>
      </c>
      <c r="AA25" s="2">
        <f>('L-Values'!W25*'D(Ti_Jollands) Times'!$F25*0.000001)^2/(4*'D(Ti_Jollands) Times'!$C25)/(365.35*24*3600)</f>
        <v>66611.512547549224</v>
      </c>
      <c r="AB25" s="2">
        <f>('L-Values'!X25*'D(Ti_Jollands) Times'!$F25*0.000001)^2/(4*'D(Ti_Jollands) Times'!$C25)/(365.35*24*3600)</f>
        <v>161115.8360512022</v>
      </c>
      <c r="AC25" s="2">
        <f t="shared" si="2"/>
        <v>40402.348783939116</v>
      </c>
      <c r="AD25" s="2">
        <f t="shared" si="3"/>
        <v>54101.974719713864</v>
      </c>
    </row>
    <row r="26" spans="1:30" x14ac:dyDescent="0.2">
      <c r="A26" t="str">
        <f>'L-Values'!A26</f>
        <v>CGI001-qtz07-CL-fit-1</v>
      </c>
      <c r="B26">
        <v>750</v>
      </c>
      <c r="C26">
        <f t="shared" si="0"/>
        <v>6.6965312637759184E-25</v>
      </c>
      <c r="D26">
        <v>1850</v>
      </c>
      <c r="E26">
        <v>1024</v>
      </c>
      <c r="F26">
        <f t="shared" si="1"/>
        <v>1.806640625</v>
      </c>
      <c r="I26" s="2">
        <f>('L-Values'!E26*'D(Ti_Jollands) Times'!$F26*0.000001)^2/(4*'D(Ti_Jollands) Times'!$C26)/(365.35*24*3600)</f>
        <v>5422771.4377056621</v>
      </c>
      <c r="J26" s="2">
        <f>('L-Values'!F26*'D(Ti_Jollands) Times'!$F26*0.000001)^2/(4*'D(Ti_Jollands) Times'!$C26)/(365.35*24*3600)</f>
        <v>3747879.0106920502</v>
      </c>
      <c r="K26" s="2">
        <f>('L-Values'!G26*'D(Ti_Jollands) Times'!$F26*0.000001)^2/(4*'D(Ti_Jollands) Times'!$C26)/(365.35*24*3600)</f>
        <v>6024486.1153454222</v>
      </c>
      <c r="L26" s="2">
        <f>('L-Values'!H26*'D(Ti_Jollands) Times'!$F26*0.000001)^2/(4*'D(Ti_Jollands) Times'!$C26)/(365.35*24*3600)</f>
        <v>5632231.9443563279</v>
      </c>
      <c r="M26" s="2">
        <f>('L-Values'!I26*'D(Ti_Jollands) Times'!$F26*0.000001)^2/(4*'D(Ti_Jollands) Times'!$C26)/(365.35*24*3600)</f>
        <v>5280229.3098428855</v>
      </c>
      <c r="N26" s="2">
        <f>('L-Values'!J26*'D(Ti_Jollands) Times'!$F26*0.000001)^2/(4*'D(Ti_Jollands) Times'!$C26)/(365.35*24*3600)</f>
        <v>5539746.018596191</v>
      </c>
      <c r="O26" s="2">
        <f>('L-Values'!K26*'D(Ti_Jollands) Times'!$F26*0.000001)^2/(4*'D(Ti_Jollands) Times'!$C26)/(365.35*24*3600)</f>
        <v>6181331.7745129401</v>
      </c>
      <c r="P26" s="2">
        <f>('L-Values'!L26*'D(Ti_Jollands) Times'!$F26*0.000001)^2/(4*'D(Ti_Jollands) Times'!$C26)/(365.35*24*3600)</f>
        <v>6428688.9573473716</v>
      </c>
      <c r="Q26" s="2">
        <f>('L-Values'!M26*'D(Ti_Jollands) Times'!$F26*0.000001)^2/(4*'D(Ti_Jollands) Times'!$C26)/(365.35*24*3600)</f>
        <v>6270943.0274880426</v>
      </c>
      <c r="R26" s="2">
        <f>('L-Values'!N26*'D(Ti_Jollands) Times'!$F26*0.000001)^2/(4*'D(Ti_Jollands) Times'!$C26)/(365.35*24*3600)</f>
        <v>7026879.0531145213</v>
      </c>
      <c r="S26" s="2">
        <f>('L-Values'!O26*'D(Ti_Jollands) Times'!$F26*0.000001)^2/(4*'D(Ti_Jollands) Times'!$C26)/(365.35*24*3600)</f>
        <v>3215794.3517935835</v>
      </c>
      <c r="T26" s="2"/>
      <c r="U26" s="2">
        <f>('L-Values'!Q26*'D(Ti_Jollands) Times'!$F26*0.000001)^2/(4*'D(Ti_Jollands) Times'!$C26)/(365.35*24*3600)</f>
        <v>5444933.9862324698</v>
      </c>
      <c r="V26" s="2">
        <f>('L-Values'!R26*'D(Ti_Jollands) Times'!$F26*0.000001)^2/(4*'D(Ti_Jollands) Times'!$C26)/(365.35*24*3600)</f>
        <v>5464490.3551384313</v>
      </c>
      <c r="W26" s="2">
        <f>('L-Values'!S26*'D(Ti_Jollands) Times'!$F26*0.000001)^2/(4*'D(Ti_Jollands) Times'!$C26)/(365.35*24*3600)</f>
        <v>5632231.9443563279</v>
      </c>
      <c r="X26" s="2"/>
      <c r="Y26" s="2">
        <f>('L-Values'!U26*'D(Ti_Jollands) Times'!$F26*0.000001)^2/(4*'D(Ti_Jollands) Times'!$C26)/(365.35*24*3600)</f>
        <v>5497180.770655469</v>
      </c>
      <c r="Z26" s="2">
        <f>('L-Values'!V26*'D(Ti_Jollands) Times'!$F26*0.000001)^2/(4*'D(Ti_Jollands) Times'!$C26)/(365.35*24*3600)</f>
        <v>5606446.808706197</v>
      </c>
      <c r="AA26" s="2">
        <f>('L-Values'!W26*'D(Ti_Jollands) Times'!$F26*0.000001)^2/(4*'D(Ti_Jollands) Times'!$C26)/(365.35*24*3600)</f>
        <v>3765174.7133677416</v>
      </c>
      <c r="AB26" s="2">
        <f>('L-Values'!X26*'D(Ti_Jollands) Times'!$F26*0.000001)^2/(4*'D(Ti_Jollands) Times'!$C26)/(365.35*24*3600)</f>
        <v>8390861.5703696311</v>
      </c>
      <c r="AC26" s="2">
        <f t="shared" si="2"/>
        <v>1841272.0953384554</v>
      </c>
      <c r="AD26" s="2">
        <f t="shared" si="3"/>
        <v>2784414.7616634341</v>
      </c>
    </row>
    <row r="27" spans="1:30" x14ac:dyDescent="0.2">
      <c r="A27" t="str">
        <f>'L-Values'!A27</f>
        <v>CGI001-qtz07-CL-fit-2-offset</v>
      </c>
      <c r="B27">
        <v>750</v>
      </c>
      <c r="C27">
        <f t="shared" si="0"/>
        <v>6.6965312637759184E-25</v>
      </c>
      <c r="D27">
        <v>1850</v>
      </c>
      <c r="E27">
        <v>1024</v>
      </c>
      <c r="F27">
        <f t="shared" si="1"/>
        <v>1.806640625</v>
      </c>
      <c r="I27" s="2">
        <f>('L-Values'!E27*'D(Ti_Jollands) Times'!$F27*0.000001)^2/(4*'D(Ti_Jollands) Times'!$C27)/(365.35*24*3600)</f>
        <v>472316.959865332</v>
      </c>
      <c r="J27" s="2">
        <f>('L-Values'!F27*'D(Ti_Jollands) Times'!$F27*0.000001)^2/(4*'D(Ti_Jollands) Times'!$C27)/(365.35*24*3600)</f>
        <v>551232.07238193299</v>
      </c>
      <c r="K27" s="2">
        <f>('L-Values'!G27*'D(Ti_Jollands) Times'!$F27*0.000001)^2/(4*'D(Ti_Jollands) Times'!$C27)/(365.35*24*3600)</f>
        <v>608785.28299713507</v>
      </c>
      <c r="L27" s="2">
        <f>('L-Values'!H27*'D(Ti_Jollands) Times'!$F27*0.000001)^2/(4*'D(Ti_Jollands) Times'!$C27)/(365.35*24*3600)</f>
        <v>312025.71105478512</v>
      </c>
      <c r="M27" s="2">
        <f>('L-Values'!I27*'D(Ti_Jollands) Times'!$F27*0.000001)^2/(4*'D(Ti_Jollands) Times'!$C27)/(365.35*24*3600)</f>
        <v>425495.4052192659</v>
      </c>
      <c r="N27" s="2">
        <f>('L-Values'!J27*'D(Ti_Jollands) Times'!$F27*0.000001)^2/(4*'D(Ti_Jollands) Times'!$C27)/(365.35*24*3600)</f>
        <v>480187.00088896794</v>
      </c>
      <c r="O27" s="2">
        <f>('L-Values'!K27*'D(Ti_Jollands) Times'!$F27*0.000001)^2/(4*'D(Ti_Jollands) Times'!$C27)/(365.35*24*3600)</f>
        <v>508562.97901620727</v>
      </c>
      <c r="P27" s="2">
        <f>('L-Values'!L27*'D(Ti_Jollands) Times'!$F27*0.000001)^2/(4*'D(Ti_Jollands) Times'!$C27)/(365.35*24*3600)</f>
        <v>242655.25055767526</v>
      </c>
      <c r="Q27" s="2">
        <f>('L-Values'!M27*'D(Ti_Jollands) Times'!$F27*0.000001)^2/(4*'D(Ti_Jollands) Times'!$C27)/(365.35*24*3600)</f>
        <v>234944.67660383665</v>
      </c>
      <c r="R27" s="2">
        <f>('L-Values'!N27*'D(Ti_Jollands) Times'!$F27*0.000001)^2/(4*'D(Ti_Jollands) Times'!$C27)/(365.35*24*3600)</f>
        <v>334144.3133364956</v>
      </c>
      <c r="S27" s="2">
        <f>('L-Values'!O27*'D(Ti_Jollands) Times'!$F27*0.000001)^2/(4*'D(Ti_Jollands) Times'!$C27)/(365.35*24*3600)</f>
        <v>321877.57965719322</v>
      </c>
      <c r="T27" s="2"/>
      <c r="U27" s="2">
        <f>('L-Values'!Q27*'D(Ti_Jollands) Times'!$F27*0.000001)^2/(4*'D(Ti_Jollands) Times'!$C27)/(365.35*24*3600)</f>
        <v>408481.89396258298</v>
      </c>
      <c r="V27" s="2">
        <f>('L-Values'!R27*'D(Ti_Jollands) Times'!$F27*0.000001)^2/(4*'D(Ti_Jollands) Times'!$C27)/(365.35*24*3600)</f>
        <v>399152.89747952565</v>
      </c>
      <c r="W27" s="2">
        <f>('L-Values'!S27*'D(Ti_Jollands) Times'!$F27*0.000001)^2/(4*'D(Ti_Jollands) Times'!$C27)/(365.35*24*3600)</f>
        <v>425495.4052192659</v>
      </c>
      <c r="X27" s="2"/>
      <c r="Y27" s="2">
        <f>('L-Values'!U27*'D(Ti_Jollands) Times'!$F27*0.000001)^2/(4*'D(Ti_Jollands) Times'!$C27)/(365.35*24*3600)</f>
        <v>429858.92575457221</v>
      </c>
      <c r="Z27" s="2">
        <f>('L-Values'!V27*'D(Ti_Jollands) Times'!$F27*0.000001)^2/(4*'D(Ti_Jollands) Times'!$C27)/(365.35*24*3600)</f>
        <v>429846.64620443492</v>
      </c>
      <c r="AA27" s="2">
        <f>('L-Values'!W27*'D(Ti_Jollands) Times'!$F27*0.000001)^2/(4*'D(Ti_Jollands) Times'!$C27)/(365.35*24*3600)</f>
        <v>193607.65140607281</v>
      </c>
      <c r="AB27" s="2">
        <f>('L-Values'!X27*'D(Ti_Jollands) Times'!$F27*0.000001)^2/(4*'D(Ti_Jollands) Times'!$C27)/(365.35*24*3600)</f>
        <v>737218.05565598281</v>
      </c>
      <c r="AC27" s="2">
        <f t="shared" si="2"/>
        <v>236238.99479836211</v>
      </c>
      <c r="AD27" s="2">
        <f t="shared" si="3"/>
        <v>307371.40945154789</v>
      </c>
    </row>
    <row r="28" spans="1:30" x14ac:dyDescent="0.2">
      <c r="A28" t="str">
        <f>'L-Values'!A28</f>
        <v>CGI001-qtz07-CL-fit-3-offset</v>
      </c>
      <c r="B28">
        <v>750</v>
      </c>
      <c r="C28">
        <f t="shared" si="0"/>
        <v>6.6965312637759184E-25</v>
      </c>
      <c r="D28">
        <v>1850</v>
      </c>
      <c r="E28">
        <v>1024</v>
      </c>
      <c r="F28">
        <f t="shared" si="1"/>
        <v>1.806640625</v>
      </c>
      <c r="I28" s="2">
        <f>('L-Values'!E28*'D(Ti_Jollands) Times'!$F28*0.000001)^2/(4*'D(Ti_Jollands) Times'!$C28)/(365.35*24*3600)</f>
        <v>261322.02502055527</v>
      </c>
      <c r="J28" s="2">
        <f>('L-Values'!F28*'D(Ti_Jollands) Times'!$F28*0.000001)^2/(4*'D(Ti_Jollands) Times'!$C28)/(365.35*24*3600)</f>
        <v>201039.52885765504</v>
      </c>
      <c r="K28" s="2">
        <f>('L-Values'!G28*'D(Ti_Jollands) Times'!$F28*0.000001)^2/(4*'D(Ti_Jollands) Times'!$C28)/(365.35*24*3600)</f>
        <v>130068.63148042164</v>
      </c>
      <c r="L28" s="2">
        <f>('L-Values'!H28*'D(Ti_Jollands) Times'!$F28*0.000001)^2/(4*'D(Ti_Jollands) Times'!$C28)/(365.35*24*3600)</f>
        <v>176922.65339251934</v>
      </c>
      <c r="M28" s="2">
        <f>('L-Values'!I28*'D(Ti_Jollands) Times'!$F28*0.000001)^2/(4*'D(Ti_Jollands) Times'!$C28)/(365.35*24*3600)</f>
        <v>242251.39764921056</v>
      </c>
      <c r="N28" s="2">
        <f>('L-Values'!J28*'D(Ti_Jollands) Times'!$F28*0.000001)^2/(4*'D(Ti_Jollands) Times'!$C28)/(365.35*24*3600)</f>
        <v>177725.66766826663</v>
      </c>
      <c r="O28" s="2">
        <f>('L-Values'!K28*'D(Ti_Jollands) Times'!$F28*0.000001)^2/(4*'D(Ti_Jollands) Times'!$C28)/(365.35*24*3600)</f>
        <v>155003.68098348728</v>
      </c>
      <c r="P28" s="2">
        <f>('L-Values'!L28*'D(Ti_Jollands) Times'!$F28*0.000001)^2/(4*'D(Ti_Jollands) Times'!$C28)/(365.35*24*3600)</f>
        <v>132006.8636518275</v>
      </c>
      <c r="Q28" s="2">
        <f>('L-Values'!M28*'D(Ti_Jollands) Times'!$F28*0.000001)^2/(4*'D(Ti_Jollands) Times'!$C28)/(365.35*24*3600)</f>
        <v>186846.40359993032</v>
      </c>
      <c r="R28" s="2">
        <f>('L-Values'!N28*'D(Ti_Jollands) Times'!$F28*0.000001)^2/(4*'D(Ti_Jollands) Times'!$C28)/(365.35*24*3600)</f>
        <v>274697.06514370377</v>
      </c>
      <c r="S28" s="2">
        <f>('L-Values'!O28*'D(Ti_Jollands) Times'!$F28*0.000001)^2/(4*'D(Ti_Jollands) Times'!$C28)/(365.35*24*3600)</f>
        <v>200435.57619367164</v>
      </c>
      <c r="T28" s="2"/>
      <c r="U28" s="2">
        <f>('L-Values'!Q28*'D(Ti_Jollands) Times'!$F28*0.000001)^2/(4*'D(Ti_Jollands) Times'!$C28)/(365.35*24*3600)</f>
        <v>193125.46596973095</v>
      </c>
      <c r="V28" s="2">
        <f>('L-Values'!R28*'D(Ti_Jollands) Times'!$F28*0.000001)^2/(4*'D(Ti_Jollands) Times'!$C28)/(365.35*24*3600)</f>
        <v>191662.0232770014</v>
      </c>
      <c r="W28" s="2">
        <f>('L-Values'!S28*'D(Ti_Jollands) Times'!$F28*0.000001)^2/(4*'D(Ti_Jollands) Times'!$C28)/(365.35*24*3600)</f>
        <v>186846.40359993032</v>
      </c>
      <c r="X28" s="2"/>
      <c r="Y28" s="2">
        <f>('L-Values'!U28*'D(Ti_Jollands) Times'!$F28*0.000001)^2/(4*'D(Ti_Jollands) Times'!$C28)/(365.35*24*3600)</f>
        <v>195402.0349535305</v>
      </c>
      <c r="Z28" s="2">
        <f>('L-Values'!V28*'D(Ti_Jollands) Times'!$F28*0.000001)^2/(4*'D(Ti_Jollands) Times'!$C28)/(365.35*24*3600)</f>
        <v>190109.72265721261</v>
      </c>
      <c r="AA28" s="2">
        <f>('L-Values'!W28*'D(Ti_Jollands) Times'!$F28*0.000001)^2/(4*'D(Ti_Jollands) Times'!$C28)/(365.35*24*3600)</f>
        <v>77226.064770832672</v>
      </c>
      <c r="AB28" s="2">
        <f>('L-Values'!X28*'D(Ti_Jollands) Times'!$F28*0.000001)^2/(4*'D(Ti_Jollands) Times'!$C28)/(365.35*24*3600)</f>
        <v>332463.85495987436</v>
      </c>
      <c r="AC28" s="2">
        <f t="shared" si="2"/>
        <v>112883.65788637994</v>
      </c>
      <c r="AD28" s="2">
        <f t="shared" si="3"/>
        <v>142354.13230266175</v>
      </c>
    </row>
    <row r="29" spans="1:30" x14ac:dyDescent="0.2">
      <c r="A29" t="str">
        <f>'L-Values'!A29</f>
        <v>CGI001-qtz08-CL-fit-1-offset</v>
      </c>
      <c r="B29">
        <v>750</v>
      </c>
      <c r="C29">
        <f t="shared" si="0"/>
        <v>6.6965312637759184E-25</v>
      </c>
      <c r="D29">
        <v>1500</v>
      </c>
      <c r="E29">
        <v>1024</v>
      </c>
      <c r="F29">
        <f t="shared" si="1"/>
        <v>1.46484375</v>
      </c>
      <c r="I29" s="2">
        <f>('L-Values'!E29*'D(Ti_Jollands) Times'!$F29*0.000001)^2/(4*'D(Ti_Jollands) Times'!$C29)/(365.35*24*3600)</f>
        <v>5347300.121595853</v>
      </c>
      <c r="J29" s="2">
        <f>('L-Values'!F29*'D(Ti_Jollands) Times'!$F29*0.000001)^2/(4*'D(Ti_Jollands) Times'!$C29)/(365.35*24*3600)</f>
        <v>4906360.7510771686</v>
      </c>
      <c r="K29" s="2">
        <f>('L-Values'!G29*'D(Ti_Jollands) Times'!$F29*0.000001)^2/(4*'D(Ti_Jollands) Times'!$C29)/(365.35*24*3600)</f>
        <v>7022770.593146746</v>
      </c>
      <c r="L29" s="2">
        <f>('L-Values'!H29*'D(Ti_Jollands) Times'!$F29*0.000001)^2/(4*'D(Ti_Jollands) Times'!$C29)/(365.35*24*3600)</f>
        <v>7556292.3333227215</v>
      </c>
      <c r="M29" s="2">
        <f>('L-Values'!I29*'D(Ti_Jollands) Times'!$F29*0.000001)^2/(4*'D(Ti_Jollands) Times'!$C29)/(365.35*24*3600)</f>
        <v>4123336.287205975</v>
      </c>
      <c r="N29" s="2">
        <f>('L-Values'!J29*'D(Ti_Jollands) Times'!$F29*0.000001)^2/(4*'D(Ti_Jollands) Times'!$C29)/(365.35*24*3600)</f>
        <v>5323377.3466405151</v>
      </c>
      <c r="O29" s="2">
        <f>('L-Values'!K29*'D(Ti_Jollands) Times'!$F29*0.000001)^2/(4*'D(Ti_Jollands) Times'!$C29)/(365.35*24*3600)</f>
        <v>5293864.7994443532</v>
      </c>
      <c r="P29" s="2">
        <f>('L-Values'!L29*'D(Ti_Jollands) Times'!$F29*0.000001)^2/(4*'D(Ti_Jollands) Times'!$C29)/(365.35*24*3600)</f>
        <v>5537380.7964273738</v>
      </c>
      <c r="Q29" s="2">
        <f>('L-Values'!M29*'D(Ti_Jollands) Times'!$F29*0.000001)^2/(4*'D(Ti_Jollands) Times'!$C29)/(365.35*24*3600)</f>
        <v>6116762.4112639083</v>
      </c>
      <c r="R29" s="2">
        <f>('L-Values'!N29*'D(Ti_Jollands) Times'!$F29*0.000001)^2/(4*'D(Ti_Jollands) Times'!$C29)/(365.35*24*3600)</f>
        <v>4456548.1178399622</v>
      </c>
      <c r="S29" s="2">
        <f>('L-Values'!O29*'D(Ti_Jollands) Times'!$F29*0.000001)^2/(4*'D(Ti_Jollands) Times'!$C29)/(365.35*24*3600)</f>
        <v>3908347.9481949713</v>
      </c>
      <c r="T29" s="2"/>
      <c r="U29" s="2">
        <f>('L-Values'!Q29*'D(Ti_Jollands) Times'!$F29*0.000001)^2/(4*'D(Ti_Jollands) Times'!$C29)/(365.35*24*3600)</f>
        <v>5306454.1021038508</v>
      </c>
      <c r="V29" s="2">
        <f>('L-Values'!R29*'D(Ti_Jollands) Times'!$F29*0.000001)^2/(4*'D(Ti_Jollands) Times'!$C29)/(365.35*24*3600)</f>
        <v>5365305.1836212827</v>
      </c>
      <c r="W29" s="2">
        <f>('L-Values'!S29*'D(Ti_Jollands) Times'!$F29*0.000001)^2/(4*'D(Ti_Jollands) Times'!$C29)/(365.35*24*3600)</f>
        <v>5323377.3466405151</v>
      </c>
      <c r="X29" s="2"/>
      <c r="Y29" s="2">
        <f>('L-Values'!U29*'D(Ti_Jollands) Times'!$F29*0.000001)^2/(4*'D(Ti_Jollands) Times'!$C29)/(365.35*24*3600)</f>
        <v>5314477.372123885</v>
      </c>
      <c r="Z29" s="2">
        <f>('L-Values'!V29*'D(Ti_Jollands) Times'!$F29*0.000001)^2/(4*'D(Ti_Jollands) Times'!$C29)/(365.35*24*3600)</f>
        <v>5374318.8431164194</v>
      </c>
      <c r="AA29" s="2">
        <f>('L-Values'!W29*'D(Ti_Jollands) Times'!$F29*0.000001)^2/(4*'D(Ti_Jollands) Times'!$C29)/(365.35*24*3600)</f>
        <v>3152536.0570393917</v>
      </c>
      <c r="AB29" s="2">
        <f>('L-Values'!X29*'D(Ti_Jollands) Times'!$F29*0.000001)^2/(4*'D(Ti_Jollands) Times'!$C29)/(365.35*24*3600)</f>
        <v>8048994.4377982812</v>
      </c>
      <c r="AC29" s="2">
        <f t="shared" si="2"/>
        <v>2221782.7860770277</v>
      </c>
      <c r="AD29" s="2">
        <f t="shared" si="3"/>
        <v>2674675.5946818618</v>
      </c>
    </row>
    <row r="30" spans="1:30" x14ac:dyDescent="0.2">
      <c r="A30" t="str">
        <f>'L-Values'!A30</f>
        <v>CGI001-qtz08-CL-fit-2-offset</v>
      </c>
      <c r="B30">
        <v>750</v>
      </c>
      <c r="C30">
        <f t="shared" si="0"/>
        <v>6.6965312637759184E-25</v>
      </c>
      <c r="D30">
        <v>1500</v>
      </c>
      <c r="E30">
        <v>1024</v>
      </c>
      <c r="F30">
        <f t="shared" si="1"/>
        <v>1.46484375</v>
      </c>
      <c r="I30" s="2">
        <f>('L-Values'!E30*'D(Ti_Jollands) Times'!$F30*0.000001)^2/(4*'D(Ti_Jollands) Times'!$C30)/(365.35*24*3600)</f>
        <v>477477.25473575864</v>
      </c>
      <c r="J30" s="2">
        <f>('L-Values'!F30*'D(Ti_Jollands) Times'!$F30*0.000001)^2/(4*'D(Ti_Jollands) Times'!$C30)/(365.35*24*3600)</f>
        <v>649877.01253054943</v>
      </c>
      <c r="K30" s="2">
        <f>('L-Values'!G30*'D(Ti_Jollands) Times'!$F30*0.000001)^2/(4*'D(Ti_Jollands) Times'!$C30)/(365.35*24*3600)</f>
        <v>508531.43246145285</v>
      </c>
      <c r="L30" s="2">
        <f>('L-Values'!H30*'D(Ti_Jollands) Times'!$F30*0.000001)^2/(4*'D(Ti_Jollands) Times'!$C30)/(365.35*24*3600)</f>
        <v>542640.62907550309</v>
      </c>
      <c r="M30" s="2">
        <f>('L-Values'!I30*'D(Ti_Jollands) Times'!$F30*0.000001)^2/(4*'D(Ti_Jollands) Times'!$C30)/(365.35*24*3600)</f>
        <v>377514.57913913269</v>
      </c>
      <c r="N30" s="2">
        <f>('L-Values'!J30*'D(Ti_Jollands) Times'!$F30*0.000001)^2/(4*'D(Ti_Jollands) Times'!$C30)/(365.35*24*3600)</f>
        <v>331467.8462256628</v>
      </c>
      <c r="O30" s="2">
        <f>('L-Values'!K30*'D(Ti_Jollands) Times'!$F30*0.000001)^2/(4*'D(Ti_Jollands) Times'!$C30)/(365.35*24*3600)</f>
        <v>789382.92033574602</v>
      </c>
      <c r="P30" s="2">
        <f>('L-Values'!L30*'D(Ti_Jollands) Times'!$F30*0.000001)^2/(4*'D(Ti_Jollands) Times'!$C30)/(365.35*24*3600)</f>
        <v>1335550.5951717889</v>
      </c>
      <c r="Q30" s="2">
        <f>('L-Values'!M30*'D(Ti_Jollands) Times'!$F30*0.000001)^2/(4*'D(Ti_Jollands) Times'!$C30)/(365.35*24*3600)</f>
        <v>509510.49896757113</v>
      </c>
      <c r="R30" s="2">
        <f>('L-Values'!N30*'D(Ti_Jollands) Times'!$F30*0.000001)^2/(4*'D(Ti_Jollands) Times'!$C30)/(365.35*24*3600)</f>
        <v>907796.03364305885</v>
      </c>
      <c r="S30" s="2">
        <f>('L-Values'!O30*'D(Ti_Jollands) Times'!$F30*0.000001)^2/(4*'D(Ti_Jollands) Times'!$C30)/(365.35*24*3600)</f>
        <v>758300.25910456362</v>
      </c>
      <c r="T30" s="2"/>
      <c r="U30" s="2">
        <f>('L-Values'!Q30*'D(Ti_Jollands) Times'!$F30*0.000001)^2/(4*'D(Ti_Jollands) Times'!$C30)/(365.35*24*3600)</f>
        <v>683841.13664254243</v>
      </c>
      <c r="V30" s="2">
        <f>('L-Values'!R30*'D(Ti_Jollands) Times'!$F30*0.000001)^2/(4*'D(Ti_Jollands) Times'!$C30)/(365.35*24*3600)</f>
        <v>628211.4366767382</v>
      </c>
      <c r="W30" s="2">
        <f>('L-Values'!S30*'D(Ti_Jollands) Times'!$F30*0.000001)^2/(4*'D(Ti_Jollands) Times'!$C30)/(365.35*24*3600)</f>
        <v>542640.62907550309</v>
      </c>
      <c r="X30" s="2"/>
      <c r="Y30" s="2">
        <f>('L-Values'!U30*'D(Ti_Jollands) Times'!$F30*0.000001)^2/(4*'D(Ti_Jollands) Times'!$C30)/(365.35*24*3600)</f>
        <v>663073.53265508951</v>
      </c>
      <c r="Z30" s="2">
        <f>('L-Values'!V30*'D(Ti_Jollands) Times'!$F30*0.000001)^2/(4*'D(Ti_Jollands) Times'!$C30)/(365.35*24*3600)</f>
        <v>648973.39969496825</v>
      </c>
      <c r="AA30" s="2">
        <f>('L-Values'!W30*'D(Ti_Jollands) Times'!$F30*0.000001)^2/(4*'D(Ti_Jollands) Times'!$C30)/(365.35*24*3600)</f>
        <v>233147.837005521</v>
      </c>
      <c r="AB30" s="2">
        <f>('L-Values'!X30*'D(Ti_Jollands) Times'!$F30*0.000001)^2/(4*'D(Ti_Jollands) Times'!$C30)/(365.35*24*3600)</f>
        <v>1238657.9858310672</v>
      </c>
      <c r="AC30" s="2">
        <f t="shared" si="2"/>
        <v>415825.56268944725</v>
      </c>
      <c r="AD30" s="2">
        <f t="shared" si="3"/>
        <v>589684.58613609895</v>
      </c>
    </row>
    <row r="31" spans="1:30" x14ac:dyDescent="0.2">
      <c r="A31" t="str">
        <f>'L-Values'!A31</f>
        <v>CGI001-qtz08-CL-fit-3</v>
      </c>
      <c r="B31">
        <v>750</v>
      </c>
      <c r="C31">
        <f t="shared" si="0"/>
        <v>6.6965312637759184E-25</v>
      </c>
      <c r="D31">
        <v>1500</v>
      </c>
      <c r="E31">
        <v>1024</v>
      </c>
      <c r="F31">
        <f t="shared" si="1"/>
        <v>1.46484375</v>
      </c>
      <c r="I31" s="2">
        <f>('L-Values'!E31*'D(Ti_Jollands) Times'!$F31*0.000001)^2/(4*'D(Ti_Jollands) Times'!$C31)/(365.35*24*3600)</f>
        <v>474014.20053683763</v>
      </c>
      <c r="J31" s="2">
        <f>('L-Values'!F31*'D(Ti_Jollands) Times'!$F31*0.000001)^2/(4*'D(Ti_Jollands) Times'!$C31)/(365.35*24*3600)</f>
        <v>876140.47307147959</v>
      </c>
      <c r="K31" s="2">
        <f>('L-Values'!G31*'D(Ti_Jollands) Times'!$F31*0.000001)^2/(4*'D(Ti_Jollands) Times'!$C31)/(365.35*24*3600)</f>
        <v>696879.39583080728</v>
      </c>
      <c r="L31" s="2">
        <f>('L-Values'!H31*'D(Ti_Jollands) Times'!$F31*0.000001)^2/(4*'D(Ti_Jollands) Times'!$C31)/(365.35*24*3600)</f>
        <v>349898.16724102071</v>
      </c>
      <c r="M31" s="2">
        <f>('L-Values'!I31*'D(Ti_Jollands) Times'!$F31*0.000001)^2/(4*'D(Ti_Jollands) Times'!$C31)/(365.35*24*3600)</f>
        <v>714752.25197088835</v>
      </c>
      <c r="N31" s="2">
        <f>('L-Values'!J31*'D(Ti_Jollands) Times'!$F31*0.000001)^2/(4*'D(Ti_Jollands) Times'!$C31)/(365.35*24*3600)</f>
        <v>95054.852244896247</v>
      </c>
      <c r="O31" s="2">
        <f>('L-Values'!K31*'D(Ti_Jollands) Times'!$F31*0.000001)^2/(4*'D(Ti_Jollands) Times'!$C31)/(365.35*24*3600)</f>
        <v>412849.29473356239</v>
      </c>
      <c r="P31" s="2">
        <f>('L-Values'!L31*'D(Ti_Jollands) Times'!$F31*0.000001)^2/(4*'D(Ti_Jollands) Times'!$C31)/(365.35*24*3600)</f>
        <v>0</v>
      </c>
      <c r="Q31" s="2">
        <f>('L-Values'!M31*'D(Ti_Jollands) Times'!$F31*0.000001)^2/(4*'D(Ti_Jollands) Times'!$C31)/(365.35*24*3600)</f>
        <v>88280.042737349766</v>
      </c>
      <c r="R31" s="2">
        <f>('L-Values'!N31*'D(Ti_Jollands) Times'!$F31*0.000001)^2/(4*'D(Ti_Jollands) Times'!$C31)/(365.35*24*3600)</f>
        <v>166877.08414145102</v>
      </c>
      <c r="S31" s="2">
        <f>('L-Values'!O31*'D(Ti_Jollands) Times'!$F31*0.000001)^2/(4*'D(Ti_Jollands) Times'!$C31)/(365.35*24*3600)</f>
        <v>112949.29887588766</v>
      </c>
      <c r="T31" s="2"/>
      <c r="U31" s="2">
        <f>('L-Values'!Q31*'D(Ti_Jollands) Times'!$F31*0.000001)^2/(4*'D(Ti_Jollands) Times'!$C31)/(365.35*24*3600)</f>
        <v>538774.2427292947</v>
      </c>
      <c r="V31" s="2">
        <f>('L-Values'!R31*'D(Ti_Jollands) Times'!$F31*0.000001)^2/(4*'D(Ti_Jollands) Times'!$C31)/(365.35*24*3600)</f>
        <v>346780.09764390311</v>
      </c>
      <c r="W31" s="2">
        <f>('L-Values'!S31*'D(Ti_Jollands) Times'!$F31*0.000001)^2/(4*'D(Ti_Jollands) Times'!$C31)/(365.35*24*3600)</f>
        <v>380723.18542619271</v>
      </c>
      <c r="X31" s="2"/>
      <c r="Y31" s="2">
        <f>('L-Values'!U31*'D(Ti_Jollands) Times'!$F31*0.000001)^2/(4*'D(Ti_Jollands) Times'!$C31)/(365.35*24*3600)</f>
        <v>299164.81570187799</v>
      </c>
      <c r="Z31" s="2">
        <f>('L-Values'!V31*'D(Ti_Jollands) Times'!$F31*0.000001)^2/(4*'D(Ti_Jollands) Times'!$C31)/(365.35*24*3600)</f>
        <v>405802.19917027827</v>
      </c>
      <c r="AA31" s="2">
        <f>('L-Values'!W31*'D(Ti_Jollands) Times'!$F31*0.000001)^2/(4*'D(Ti_Jollands) Times'!$C31)/(365.35*24*3600)</f>
        <v>214.07552914833357</v>
      </c>
      <c r="AB31" s="2">
        <f>('L-Values'!X31*'D(Ti_Jollands) Times'!$F31*0.000001)^2/(4*'D(Ti_Jollands) Times'!$C31)/(365.35*24*3600)</f>
        <v>4557327.0567723438</v>
      </c>
      <c r="AC31" s="2">
        <f t="shared" si="2"/>
        <v>405588.12364112993</v>
      </c>
      <c r="AD31" s="2">
        <f t="shared" si="3"/>
        <v>4151524.8576020654</v>
      </c>
    </row>
    <row r="32" spans="1:30" x14ac:dyDescent="0.2">
      <c r="A32" t="str">
        <f>'L-Values'!A32</f>
        <v>CGI001-qtz08-CL-fit-4-offset</v>
      </c>
      <c r="B32">
        <v>750</v>
      </c>
      <c r="C32">
        <f t="shared" si="0"/>
        <v>6.6965312637759184E-25</v>
      </c>
      <c r="D32">
        <v>1500</v>
      </c>
      <c r="E32">
        <v>1024</v>
      </c>
      <c r="F32">
        <f t="shared" si="1"/>
        <v>1.46484375</v>
      </c>
      <c r="I32" s="2">
        <f>('L-Values'!E32*'D(Ti_Jollands) Times'!$F32*0.000001)^2/(4*'D(Ti_Jollands) Times'!$C32)/(365.35*24*3600)</f>
        <v>87291.483438858588</v>
      </c>
      <c r="J32" s="2">
        <f>('L-Values'!F32*'D(Ti_Jollands) Times'!$F32*0.000001)^2/(4*'D(Ti_Jollands) Times'!$C32)/(365.35*24*3600)</f>
        <v>39363.604887281756</v>
      </c>
      <c r="K32" s="2">
        <f>('L-Values'!G32*'D(Ti_Jollands) Times'!$F32*0.000001)^2/(4*'D(Ti_Jollands) Times'!$C32)/(365.35*24*3600)</f>
        <v>86193.122756583398</v>
      </c>
      <c r="L32" s="2">
        <f>('L-Values'!H32*'D(Ti_Jollands) Times'!$F32*0.000001)^2/(4*'D(Ti_Jollands) Times'!$C32)/(365.35*24*3600)</f>
        <v>32047.425156449481</v>
      </c>
      <c r="M32" s="2">
        <f>('L-Values'!I32*'D(Ti_Jollands) Times'!$F32*0.000001)^2/(4*'D(Ti_Jollands) Times'!$C32)/(365.35*24*3600)</f>
        <v>34606.621682445562</v>
      </c>
      <c r="N32" s="2">
        <f>('L-Values'!J32*'D(Ti_Jollands) Times'!$F32*0.000001)^2/(4*'D(Ti_Jollands) Times'!$C32)/(365.35*24*3600)</f>
        <v>81551.720899572436</v>
      </c>
      <c r="O32" s="2">
        <f>('L-Values'!K32*'D(Ti_Jollands) Times'!$F32*0.000001)^2/(4*'D(Ti_Jollands) Times'!$C32)/(365.35*24*3600)</f>
        <v>31567.927918844242</v>
      </c>
      <c r="P32" s="2">
        <f>('L-Values'!L32*'D(Ti_Jollands) Times'!$F32*0.000001)^2/(4*'D(Ti_Jollands) Times'!$C32)/(365.35*24*3600)</f>
        <v>76231.464297414626</v>
      </c>
      <c r="Q32" s="2">
        <f>('L-Values'!M32*'D(Ti_Jollands) Times'!$F32*0.000001)^2/(4*'D(Ti_Jollands) Times'!$C32)/(365.35*24*3600)</f>
        <v>21314.467215604305</v>
      </c>
      <c r="R32" s="2">
        <f>('L-Values'!N32*'D(Ti_Jollands) Times'!$F32*0.000001)^2/(4*'D(Ti_Jollands) Times'!$C32)/(365.35*24*3600)</f>
        <v>32992.931227331232</v>
      </c>
      <c r="S32" s="2">
        <f>('L-Values'!O32*'D(Ti_Jollands) Times'!$F32*0.000001)^2/(4*'D(Ti_Jollands) Times'!$C32)/(365.35*24*3600)</f>
        <v>22402.469165578332</v>
      </c>
      <c r="T32" s="2"/>
      <c r="U32" s="2">
        <f>('L-Values'!Q32*'D(Ti_Jollands) Times'!$F32*0.000001)^2/(4*'D(Ti_Jollands) Times'!$C32)/(365.35*24*3600)</f>
        <v>69103.392327570211</v>
      </c>
      <c r="V32" s="2">
        <f>('L-Values'!R32*'D(Ti_Jollands) Times'!$F32*0.000001)^2/(4*'D(Ti_Jollands) Times'!$C32)/(365.35*24*3600)</f>
        <v>46387.083715416207</v>
      </c>
      <c r="W32" s="2">
        <f>('L-Values'!S32*'D(Ti_Jollands) Times'!$F32*0.000001)^2/(4*'D(Ti_Jollands) Times'!$C32)/(365.35*24*3600)</f>
        <v>34606.621682445562</v>
      </c>
      <c r="X32" s="2"/>
      <c r="Y32" s="2">
        <f>('L-Values'!U32*'D(Ti_Jollands) Times'!$F32*0.000001)^2/(4*'D(Ti_Jollands) Times'!$C32)/(365.35*24*3600)</f>
        <v>65814.185618449686</v>
      </c>
      <c r="Z32" s="2">
        <f>('L-Values'!V32*'D(Ti_Jollands) Times'!$F32*0.000001)^2/(4*'D(Ti_Jollands) Times'!$C32)/(365.35*24*3600)</f>
        <v>58015.422701994656</v>
      </c>
      <c r="AA32" s="2">
        <f>('L-Values'!W32*'D(Ti_Jollands) Times'!$F32*0.000001)^2/(4*'D(Ti_Jollands) Times'!$C32)/(365.35*24*3600)</f>
        <v>2051.2794104904133</v>
      </c>
      <c r="AB32" s="2">
        <f>('L-Values'!X32*'D(Ti_Jollands) Times'!$F32*0.000001)^2/(4*'D(Ti_Jollands) Times'!$C32)/(365.35*24*3600)</f>
        <v>174696.95791068758</v>
      </c>
      <c r="AC32" s="2">
        <f t="shared" si="2"/>
        <v>55964.143291504239</v>
      </c>
      <c r="AD32" s="2">
        <f t="shared" si="3"/>
        <v>116681.53520869292</v>
      </c>
    </row>
    <row r="33" spans="1:30" x14ac:dyDescent="0.2">
      <c r="A33" t="str">
        <f>'L-Values'!A33</f>
        <v>CGI001-qtz09-CL-fit-1-offset</v>
      </c>
      <c r="B33">
        <v>750</v>
      </c>
      <c r="C33">
        <f t="shared" si="0"/>
        <v>6.6965312637759184E-25</v>
      </c>
      <c r="D33">
        <v>1500</v>
      </c>
      <c r="E33">
        <v>1024</v>
      </c>
      <c r="F33">
        <f t="shared" si="1"/>
        <v>1.46484375</v>
      </c>
      <c r="I33" s="2">
        <f>('L-Values'!E33*'D(Ti_Jollands) Times'!$F33*0.000001)^2/(4*'D(Ti_Jollands) Times'!$C33)/(365.35*24*3600)</f>
        <v>691287.23201493733</v>
      </c>
      <c r="J33" s="2">
        <f>('L-Values'!F33*'D(Ti_Jollands) Times'!$F33*0.000001)^2/(4*'D(Ti_Jollands) Times'!$C33)/(365.35*24*3600)</f>
        <v>640194.08138260932</v>
      </c>
      <c r="K33" s="2">
        <f>('L-Values'!G33*'D(Ti_Jollands) Times'!$F33*0.000001)^2/(4*'D(Ti_Jollands) Times'!$C33)/(365.35*24*3600)</f>
        <v>535204.72443516133</v>
      </c>
      <c r="L33" s="2">
        <f>('L-Values'!H33*'D(Ti_Jollands) Times'!$F33*0.000001)^2/(4*'D(Ti_Jollands) Times'!$C33)/(365.35*24*3600)</f>
        <v>999453.51613259921</v>
      </c>
      <c r="M33" s="2">
        <f>('L-Values'!I33*'D(Ti_Jollands) Times'!$F33*0.000001)^2/(4*'D(Ti_Jollands) Times'!$C33)/(365.35*24*3600)</f>
        <v>531820.6430784039</v>
      </c>
      <c r="N33" s="2">
        <f>('L-Values'!J33*'D(Ti_Jollands) Times'!$F33*0.000001)^2/(4*'D(Ti_Jollands) Times'!$C33)/(365.35*24*3600)</f>
        <v>1281220.3825441294</v>
      </c>
      <c r="O33" s="2">
        <f>('L-Values'!K33*'D(Ti_Jollands) Times'!$F33*0.000001)^2/(4*'D(Ti_Jollands) Times'!$C33)/(365.35*24*3600)</f>
        <v>459705.17110936029</v>
      </c>
      <c r="P33" s="2">
        <f>('L-Values'!L33*'D(Ti_Jollands) Times'!$F33*0.000001)^2/(4*'D(Ti_Jollands) Times'!$C33)/(365.35*24*3600)</f>
        <v>624478.64618172403</v>
      </c>
      <c r="Q33" s="2">
        <f>('L-Values'!M33*'D(Ti_Jollands) Times'!$F33*0.000001)^2/(4*'D(Ti_Jollands) Times'!$C33)/(365.35*24*3600)</f>
        <v>1032297.2896773299</v>
      </c>
      <c r="R33" s="2">
        <f>('L-Values'!N33*'D(Ti_Jollands) Times'!$F33*0.000001)^2/(4*'D(Ti_Jollands) Times'!$C33)/(365.35*24*3600)</f>
        <v>432434.22575662151</v>
      </c>
      <c r="S33" s="2">
        <f>('L-Values'!O33*'D(Ti_Jollands) Times'!$F33*0.000001)^2/(4*'D(Ti_Jollands) Times'!$C33)/(365.35*24*3600)</f>
        <v>655753.36552172969</v>
      </c>
      <c r="T33" s="2"/>
      <c r="U33" s="2">
        <f>('L-Values'!Q33*'D(Ti_Jollands) Times'!$F33*0.000001)^2/(4*'D(Ti_Jollands) Times'!$C33)/(365.35*24*3600)</f>
        <v>693965.11612014635</v>
      </c>
      <c r="V33" s="2">
        <f>('L-Values'!R33*'D(Ti_Jollands) Times'!$F33*0.000001)^2/(4*'D(Ti_Jollands) Times'!$C33)/(365.35*24*3600)</f>
        <v>695812.43960733013</v>
      </c>
      <c r="W33" s="2">
        <f>('L-Values'!S33*'D(Ti_Jollands) Times'!$F33*0.000001)^2/(4*'D(Ti_Jollands) Times'!$C33)/(365.35*24*3600)</f>
        <v>640194.08138260932</v>
      </c>
      <c r="X33" s="2"/>
      <c r="Y33" s="2">
        <f>('L-Values'!U33*'D(Ti_Jollands) Times'!$F33*0.000001)^2/(4*'D(Ti_Jollands) Times'!$C33)/(365.35*24*3600)</f>
        <v>720771.56843754533</v>
      </c>
      <c r="Z33" s="2">
        <f>('L-Values'!V33*'D(Ti_Jollands) Times'!$F33*0.000001)^2/(4*'D(Ti_Jollands) Times'!$C33)/(365.35*24*3600)</f>
        <v>707244.46361081139</v>
      </c>
      <c r="AA33" s="2">
        <f>('L-Values'!W33*'D(Ti_Jollands) Times'!$F33*0.000001)^2/(4*'D(Ti_Jollands) Times'!$C33)/(365.35*24*3600)</f>
        <v>328412.35911469639</v>
      </c>
      <c r="AB33" s="2">
        <f>('L-Values'!X33*'D(Ti_Jollands) Times'!$F33*0.000001)^2/(4*'D(Ti_Jollands) Times'!$C33)/(365.35*24*3600)</f>
        <v>1297431.0253471364</v>
      </c>
      <c r="AC33" s="2">
        <f t="shared" si="2"/>
        <v>378832.104496115</v>
      </c>
      <c r="AD33" s="2">
        <f t="shared" si="3"/>
        <v>590186.56173632503</v>
      </c>
    </row>
    <row r="34" spans="1:30" x14ac:dyDescent="0.2">
      <c r="A34" t="str">
        <f>'L-Values'!A34</f>
        <v>CGI001-qtz09-CL-fit-2-offset</v>
      </c>
      <c r="B34">
        <v>750</v>
      </c>
      <c r="C34">
        <f t="shared" si="0"/>
        <v>6.6965312637759184E-25</v>
      </c>
      <c r="D34">
        <v>1500</v>
      </c>
      <c r="E34">
        <v>1024</v>
      </c>
      <c r="F34">
        <f t="shared" si="1"/>
        <v>1.46484375</v>
      </c>
      <c r="I34" s="2">
        <f>('L-Values'!E34*'D(Ti_Jollands) Times'!$F34*0.000001)^2/(4*'D(Ti_Jollands) Times'!$C34)/(365.35*24*3600)</f>
        <v>241238.44206056945</v>
      </c>
      <c r="J34" s="2">
        <f>('L-Values'!F34*'D(Ti_Jollands) Times'!$F34*0.000001)^2/(4*'D(Ti_Jollands) Times'!$C34)/(365.35*24*3600)</f>
        <v>30875.420561180072</v>
      </c>
      <c r="K34" s="2">
        <f>('L-Values'!G34*'D(Ti_Jollands) Times'!$F34*0.000001)^2/(4*'D(Ti_Jollands) Times'!$C34)/(365.35*24*3600)</f>
        <v>216795.86562219152</v>
      </c>
      <c r="L34" s="2">
        <f>('L-Values'!H34*'D(Ti_Jollands) Times'!$F34*0.000001)^2/(4*'D(Ti_Jollands) Times'!$C34)/(365.35*24*3600)</f>
        <v>214236.6344192453</v>
      </c>
      <c r="M34" s="2">
        <f>('L-Values'!I34*'D(Ti_Jollands) Times'!$F34*0.000001)^2/(4*'D(Ti_Jollands) Times'!$C34)/(365.35*24*3600)</f>
        <v>141479.6147378156</v>
      </c>
      <c r="N34" s="2">
        <f>('L-Values'!J34*'D(Ti_Jollands) Times'!$F34*0.000001)^2/(4*'D(Ti_Jollands) Times'!$C34)/(365.35*24*3600)</f>
        <v>61273.125752201166</v>
      </c>
      <c r="O34" s="2">
        <f>('L-Values'!K34*'D(Ti_Jollands) Times'!$F34*0.000001)^2/(4*'D(Ti_Jollands) Times'!$C34)/(365.35*24*3600)</f>
        <v>365026.45994802017</v>
      </c>
      <c r="P34" s="2">
        <f>('L-Values'!L34*'D(Ti_Jollands) Times'!$F34*0.000001)^2/(4*'D(Ti_Jollands) Times'!$C34)/(365.35*24*3600)</f>
        <v>140355.17105926466</v>
      </c>
      <c r="Q34" s="2">
        <f>('L-Values'!M34*'D(Ti_Jollands) Times'!$F34*0.000001)^2/(4*'D(Ti_Jollands) Times'!$C34)/(365.35*24*3600)</f>
        <v>20938.849569288752</v>
      </c>
      <c r="R34" s="2">
        <f>('L-Values'!N34*'D(Ti_Jollands) Times'!$F34*0.000001)^2/(4*'D(Ti_Jollands) Times'!$C34)/(365.35*24*3600)</f>
        <v>46668.294516147762</v>
      </c>
      <c r="S34" s="2">
        <f>('L-Values'!O34*'D(Ti_Jollands) Times'!$F34*0.000001)^2/(4*'D(Ti_Jollands) Times'!$C34)/(365.35*24*3600)</f>
        <v>313178.22975470254</v>
      </c>
      <c r="T34" s="2"/>
      <c r="U34" s="2">
        <f>('L-Values'!Q34*'D(Ti_Jollands) Times'!$F34*0.000001)^2/(4*'D(Ti_Jollands) Times'!$C34)/(365.35*24*3600)</f>
        <v>168962.00782437922</v>
      </c>
      <c r="V34" s="2">
        <f>('L-Values'!R34*'D(Ti_Jollands) Times'!$F34*0.000001)^2/(4*'D(Ti_Jollands) Times'!$C34)/(365.35*24*3600)</f>
        <v>140160.74338002171</v>
      </c>
      <c r="W34" s="2">
        <f>('L-Values'!S34*'D(Ti_Jollands) Times'!$F34*0.000001)^2/(4*'D(Ti_Jollands) Times'!$C34)/(365.35*24*3600)</f>
        <v>141479.6147378156</v>
      </c>
      <c r="X34" s="2"/>
      <c r="Y34" s="2">
        <f>('L-Values'!U34*'D(Ti_Jollands) Times'!$F34*0.000001)^2/(4*'D(Ti_Jollands) Times'!$C34)/(365.35*24*3600)</f>
        <v>144617.42478032978</v>
      </c>
      <c r="Z34" s="2">
        <f>('L-Values'!V34*'D(Ti_Jollands) Times'!$F34*0.000001)^2/(4*'D(Ti_Jollands) Times'!$C34)/(365.35*24*3600)</f>
        <v>134653.40864731424</v>
      </c>
      <c r="AA34" s="2">
        <f>('L-Values'!W34*'D(Ti_Jollands) Times'!$F34*0.000001)^2/(4*'D(Ti_Jollands) Times'!$C34)/(365.35*24*3600)</f>
        <v>666.03769337873905</v>
      </c>
      <c r="AB34" s="2">
        <f>('L-Values'!X34*'D(Ti_Jollands) Times'!$F34*0.000001)^2/(4*'D(Ti_Jollands) Times'!$C34)/(365.35*24*3600)</f>
        <v>592892.16732080828</v>
      </c>
      <c r="AC34" s="2">
        <f t="shared" si="2"/>
        <v>133987.37095393549</v>
      </c>
      <c r="AD34" s="2">
        <f t="shared" si="3"/>
        <v>458238.75867349404</v>
      </c>
    </row>
    <row r="35" spans="1:30" x14ac:dyDescent="0.2">
      <c r="A35" t="str">
        <f>'L-Values'!A35</f>
        <v>CGI001-qtz09-CL-fit-3-offset</v>
      </c>
      <c r="B35">
        <v>750</v>
      </c>
      <c r="C35">
        <f t="shared" si="0"/>
        <v>6.6965312637759184E-25</v>
      </c>
      <c r="D35">
        <v>1500</v>
      </c>
      <c r="E35">
        <v>1024</v>
      </c>
      <c r="F35">
        <f t="shared" si="1"/>
        <v>1.46484375</v>
      </c>
      <c r="I35" s="2">
        <f>('L-Values'!E35*'D(Ti_Jollands) Times'!$F35*0.000001)^2/(4*'D(Ti_Jollands) Times'!$C35)/(365.35*24*3600)</f>
        <v>169733.19133392427</v>
      </c>
      <c r="J35" s="2">
        <f>('L-Values'!F35*'D(Ti_Jollands) Times'!$F35*0.000001)^2/(4*'D(Ti_Jollands) Times'!$C35)/(365.35*24*3600)</f>
        <v>287288.3703983954</v>
      </c>
      <c r="K35" s="2">
        <f>('L-Values'!G35*'D(Ti_Jollands) Times'!$F35*0.000001)^2/(4*'D(Ti_Jollands) Times'!$C35)/(365.35*24*3600)</f>
        <v>65237.523402769388</v>
      </c>
      <c r="L35" s="2">
        <f>('L-Values'!H35*'D(Ti_Jollands) Times'!$F35*0.000001)^2/(4*'D(Ti_Jollands) Times'!$C35)/(365.35*24*3600)</f>
        <v>122313.17300389661</v>
      </c>
      <c r="M35" s="2">
        <f>('L-Values'!I35*'D(Ti_Jollands) Times'!$F35*0.000001)^2/(4*'D(Ti_Jollands) Times'!$C35)/(365.35*24*3600)</f>
        <v>133908.42527290285</v>
      </c>
      <c r="N35" s="2">
        <f>('L-Values'!J35*'D(Ti_Jollands) Times'!$F35*0.000001)^2/(4*'D(Ti_Jollands) Times'!$C35)/(365.35*24*3600)</f>
        <v>49678.816195430903</v>
      </c>
      <c r="O35" s="2">
        <f>('L-Values'!K35*'D(Ti_Jollands) Times'!$F35*0.000001)^2/(4*'D(Ti_Jollands) Times'!$C35)/(365.35*24*3600)</f>
        <v>67157.885707659269</v>
      </c>
      <c r="P35" s="2">
        <f>('L-Values'!L35*'D(Ti_Jollands) Times'!$F35*0.000001)^2/(4*'D(Ti_Jollands) Times'!$C35)/(365.35*24*3600)</f>
        <v>88451.139457645229</v>
      </c>
      <c r="Q35" s="2">
        <f>('L-Values'!M35*'D(Ti_Jollands) Times'!$F35*0.000001)^2/(4*'D(Ti_Jollands) Times'!$C35)/(365.35*24*3600)</f>
        <v>150511.68486091107</v>
      </c>
      <c r="R35" s="2">
        <f>('L-Values'!N35*'D(Ti_Jollands) Times'!$F35*0.000001)^2/(4*'D(Ti_Jollands) Times'!$C35)/(365.35*24*3600)</f>
        <v>72494.719080922077</v>
      </c>
      <c r="S35" s="2">
        <f>('L-Values'!O35*'D(Ti_Jollands) Times'!$F35*0.000001)^2/(4*'D(Ti_Jollands) Times'!$C35)/(365.35*24*3600)</f>
        <v>1202.4966966410188</v>
      </c>
      <c r="T35" s="2"/>
      <c r="U35" s="2">
        <f>('L-Values'!Q35*'D(Ti_Jollands) Times'!$F35*0.000001)^2/(4*'D(Ti_Jollands) Times'!$C35)/(365.35*24*3600)</f>
        <v>72924.532058326935</v>
      </c>
      <c r="V35" s="2">
        <f>('L-Values'!R35*'D(Ti_Jollands) Times'!$F35*0.000001)^2/(4*'D(Ti_Jollands) Times'!$C35)/(365.35*24*3600)</f>
        <v>94997.952459000226</v>
      </c>
      <c r="W35" s="2">
        <f>('L-Values'!S35*'D(Ti_Jollands) Times'!$F35*0.000001)^2/(4*'D(Ti_Jollands) Times'!$C35)/(365.35*24*3600)</f>
        <v>88451.139457645229</v>
      </c>
      <c r="X35" s="2"/>
      <c r="Y35" s="2">
        <f>('L-Values'!U35*'D(Ti_Jollands) Times'!$F35*0.000001)^2/(4*'D(Ti_Jollands) Times'!$C35)/(365.35*24*3600)</f>
        <v>80416.874399865337</v>
      </c>
      <c r="Z35" s="2">
        <f>('L-Values'!V35*'D(Ti_Jollands) Times'!$F35*0.000001)^2/(4*'D(Ti_Jollands) Times'!$C35)/(365.35*24*3600)</f>
        <v>102069.66825861575</v>
      </c>
      <c r="AA35" s="2">
        <f>('L-Values'!W35*'D(Ti_Jollands) Times'!$F35*0.000001)^2/(4*'D(Ti_Jollands) Times'!$C35)/(365.35*24*3600)</f>
        <v>1456.1841283586375</v>
      </c>
      <c r="AB35" s="2">
        <f>('L-Values'!X35*'D(Ti_Jollands) Times'!$F35*0.000001)^2/(4*'D(Ti_Jollands) Times'!$C35)/(365.35*24*3600)</f>
        <v>737533.93798548065</v>
      </c>
      <c r="AC35" s="2">
        <f t="shared" si="2"/>
        <v>100613.48413025711</v>
      </c>
      <c r="AD35" s="2">
        <f t="shared" si="3"/>
        <v>635464.26972686488</v>
      </c>
    </row>
    <row r="36" spans="1:30" x14ac:dyDescent="0.2">
      <c r="A36" t="str">
        <f>'L-Values'!A36</f>
        <v>CGI001-qtz10-CL-fit-1-offset</v>
      </c>
      <c r="B36">
        <v>750</v>
      </c>
      <c r="C36">
        <f t="shared" si="0"/>
        <v>6.6965312637759184E-25</v>
      </c>
      <c r="D36">
        <v>2000</v>
      </c>
      <c r="E36">
        <v>1024</v>
      </c>
      <c r="F36">
        <f t="shared" si="1"/>
        <v>1.953125</v>
      </c>
      <c r="I36" s="2">
        <f>('L-Values'!E36*'D(Ti_Jollands) Times'!$F36*0.000001)^2/(4*'D(Ti_Jollands) Times'!$C36)/(365.35*24*3600)</f>
        <v>1065267.389968707</v>
      </c>
      <c r="J36" s="2">
        <f>('L-Values'!F36*'D(Ti_Jollands) Times'!$F36*0.000001)^2/(4*'D(Ti_Jollands) Times'!$C36)/(365.35*24*3600)</f>
        <v>934036.53021278407</v>
      </c>
      <c r="K36" s="2">
        <f>('L-Values'!G36*'D(Ti_Jollands) Times'!$F36*0.000001)^2/(4*'D(Ti_Jollands) Times'!$C36)/(365.35*24*3600)</f>
        <v>702355.61932261137</v>
      </c>
      <c r="L36" s="2">
        <f>('L-Values'!H36*'D(Ti_Jollands) Times'!$F36*0.000001)^2/(4*'D(Ti_Jollands) Times'!$C36)/(365.35*24*3600)</f>
        <v>1013121.6137238538</v>
      </c>
      <c r="M36" s="2">
        <f>('L-Values'!I36*'D(Ti_Jollands) Times'!$F36*0.000001)^2/(4*'D(Ti_Jollands) Times'!$C36)/(365.35*24*3600)</f>
        <v>557622.96063696092</v>
      </c>
      <c r="N36" s="2">
        <f>('L-Values'!J36*'D(Ti_Jollands) Times'!$F36*0.000001)^2/(4*'D(Ti_Jollands) Times'!$C36)/(365.35*24*3600)</f>
        <v>1035224.2605257006</v>
      </c>
      <c r="O36" s="2">
        <f>('L-Values'!K36*'D(Ti_Jollands) Times'!$F36*0.000001)^2/(4*'D(Ti_Jollands) Times'!$C36)/(365.35*24*3600)</f>
        <v>834261.48676404601</v>
      </c>
      <c r="P36" s="2">
        <f>('L-Values'!L36*'D(Ti_Jollands) Times'!$F36*0.000001)^2/(4*'D(Ti_Jollands) Times'!$C36)/(365.35*24*3600)</f>
        <v>983526.55770289572</v>
      </c>
      <c r="Q36" s="2">
        <f>('L-Values'!M36*'D(Ti_Jollands) Times'!$F36*0.000001)^2/(4*'D(Ti_Jollands) Times'!$C36)/(365.35*24*3600)</f>
        <v>1473305.3140739661</v>
      </c>
      <c r="R36" s="2">
        <f>('L-Values'!N36*'D(Ti_Jollands) Times'!$F36*0.000001)^2/(4*'D(Ti_Jollands) Times'!$C36)/(365.35*24*3600)</f>
        <v>1392287.1495967989</v>
      </c>
      <c r="S36" s="2">
        <f>('L-Values'!O36*'D(Ti_Jollands) Times'!$F36*0.000001)^2/(4*'D(Ti_Jollands) Times'!$C36)/(365.35*24*3600)</f>
        <v>1050663.0856998868</v>
      </c>
      <c r="T36" s="2"/>
      <c r="U36" s="2">
        <f>('L-Values'!Q36*'D(Ti_Jollands) Times'!$F36*0.000001)^2/(4*'D(Ti_Jollands) Times'!$C36)/(365.35*24*3600)</f>
        <v>1002039.8421297492</v>
      </c>
      <c r="V36" s="2">
        <f>('L-Values'!R36*'D(Ti_Jollands) Times'!$F36*0.000001)^2/(4*'D(Ti_Jollands) Times'!$C36)/(365.35*24*3600)</f>
        <v>987540.46125945915</v>
      </c>
      <c r="W36" s="2">
        <f>('L-Values'!S36*'D(Ti_Jollands) Times'!$F36*0.000001)^2/(4*'D(Ti_Jollands) Times'!$C36)/(365.35*24*3600)</f>
        <v>1013121.6137238538</v>
      </c>
      <c r="X36" s="2"/>
      <c r="Y36" s="2">
        <f>('L-Values'!U36*'D(Ti_Jollands) Times'!$F36*0.000001)^2/(4*'D(Ti_Jollands) Times'!$C36)/(365.35*24*3600)</f>
        <v>985081.13240335404</v>
      </c>
      <c r="Z36" s="2">
        <f>('L-Values'!V36*'D(Ti_Jollands) Times'!$F36*0.000001)^2/(4*'D(Ti_Jollands) Times'!$C36)/(365.35*24*3600)</f>
        <v>987984.30680071691</v>
      </c>
      <c r="AA36" s="2">
        <f>('L-Values'!W36*'D(Ti_Jollands) Times'!$F36*0.000001)^2/(4*'D(Ti_Jollands) Times'!$C36)/(365.35*24*3600)</f>
        <v>501725.63154742884</v>
      </c>
      <c r="AB36" s="2">
        <f>('L-Values'!X36*'D(Ti_Jollands) Times'!$F36*0.000001)^2/(4*'D(Ti_Jollands) Times'!$C36)/(365.35*24*3600)</f>
        <v>1636191.9373581114</v>
      </c>
      <c r="AC36" s="2">
        <f t="shared" si="2"/>
        <v>486258.67525328806</v>
      </c>
      <c r="AD36" s="2">
        <f t="shared" si="3"/>
        <v>648207.63055739447</v>
      </c>
    </row>
    <row r="37" spans="1:30" x14ac:dyDescent="0.2">
      <c r="A37" t="str">
        <f>'L-Values'!A37</f>
        <v>CGI001-qtz10-CL-fit-2</v>
      </c>
      <c r="B37">
        <v>750</v>
      </c>
      <c r="C37">
        <f t="shared" si="0"/>
        <v>6.6965312637759184E-25</v>
      </c>
      <c r="D37">
        <v>2000</v>
      </c>
      <c r="E37">
        <v>1024</v>
      </c>
      <c r="F37">
        <f t="shared" si="1"/>
        <v>1.953125</v>
      </c>
      <c r="I37" s="2">
        <f>('L-Values'!E37*'D(Ti_Jollands) Times'!$F37*0.000001)^2/(4*'D(Ti_Jollands) Times'!$C37)/(365.35*24*3600)</f>
        <v>489086.29603292438</v>
      </c>
      <c r="J37" s="2">
        <f>('L-Values'!F37*'D(Ti_Jollands) Times'!$F37*0.000001)^2/(4*'D(Ti_Jollands) Times'!$C37)/(365.35*24*3600)</f>
        <v>240287.80164782473</v>
      </c>
      <c r="K37" s="2">
        <f>('L-Values'!G37*'D(Ti_Jollands) Times'!$F37*0.000001)^2/(4*'D(Ti_Jollands) Times'!$C37)/(365.35*24*3600)</f>
        <v>634119.702341864</v>
      </c>
      <c r="L37" s="2">
        <f>('L-Values'!H37*'D(Ti_Jollands) Times'!$F37*0.000001)^2/(4*'D(Ti_Jollands) Times'!$C37)/(365.35*24*3600)</f>
        <v>280424.09992978646</v>
      </c>
      <c r="M37" s="2">
        <f>('L-Values'!I37*'D(Ti_Jollands) Times'!$F37*0.000001)^2/(4*'D(Ti_Jollands) Times'!$C37)/(365.35*24*3600)</f>
        <v>281592.00995836296</v>
      </c>
      <c r="N37" s="2">
        <f>('L-Values'!J37*'D(Ti_Jollands) Times'!$F37*0.000001)^2/(4*'D(Ti_Jollands) Times'!$C37)/(365.35*24*3600)</f>
        <v>378258.18284593453</v>
      </c>
      <c r="O37" s="2">
        <f>('L-Values'!K37*'D(Ti_Jollands) Times'!$F37*0.000001)^2/(4*'D(Ti_Jollands) Times'!$C37)/(365.35*24*3600)</f>
        <v>339513.90774647251</v>
      </c>
      <c r="P37" s="2">
        <f>('L-Values'!L37*'D(Ti_Jollands) Times'!$F37*0.000001)^2/(4*'D(Ti_Jollands) Times'!$C37)/(365.35*24*3600)</f>
        <v>465464.27652097307</v>
      </c>
      <c r="Q37" s="2">
        <f>('L-Values'!M37*'D(Ti_Jollands) Times'!$F37*0.000001)^2/(4*'D(Ti_Jollands) Times'!$C37)/(365.35*24*3600)</f>
        <v>360193.62875042582</v>
      </c>
      <c r="R37" s="2">
        <f>('L-Values'!N37*'D(Ti_Jollands) Times'!$F37*0.000001)^2/(4*'D(Ti_Jollands) Times'!$C37)/(365.35*24*3600)</f>
        <v>209508.8200083916</v>
      </c>
      <c r="S37" s="2">
        <f>('L-Values'!O37*'D(Ti_Jollands) Times'!$F37*0.000001)^2/(4*'D(Ti_Jollands) Times'!$C37)/(365.35*24*3600)</f>
        <v>207350.42617738221</v>
      </c>
      <c r="T37" s="2"/>
      <c r="U37" s="2">
        <f>('L-Values'!Q37*'D(Ti_Jollands) Times'!$F37*0.000001)^2/(4*'D(Ti_Jollands) Times'!$C37)/(365.35*24*3600)</f>
        <v>324674.61589878332</v>
      </c>
      <c r="V37" s="2">
        <f>('L-Values'!R37*'D(Ti_Jollands) Times'!$F37*0.000001)^2/(4*'D(Ti_Jollands) Times'!$C37)/(365.35*24*3600)</f>
        <v>342677.51690093818</v>
      </c>
      <c r="W37" s="2">
        <f>('L-Values'!S37*'D(Ti_Jollands) Times'!$F37*0.000001)^2/(4*'D(Ti_Jollands) Times'!$C37)/(365.35*24*3600)</f>
        <v>339513.90774647251</v>
      </c>
      <c r="X37" s="2"/>
      <c r="Y37" s="2">
        <f>('L-Values'!U37*'D(Ti_Jollands) Times'!$F37*0.000001)^2/(4*'D(Ti_Jollands) Times'!$C37)/(365.35*24*3600)</f>
        <v>323965.31788806483</v>
      </c>
      <c r="Z37" s="2">
        <f>('L-Values'!V37*'D(Ti_Jollands) Times'!$F37*0.000001)^2/(4*'D(Ti_Jollands) Times'!$C37)/(365.35*24*3600)</f>
        <v>327573.09435740591</v>
      </c>
      <c r="AA37" s="2">
        <f>('L-Values'!W37*'D(Ti_Jollands) Times'!$F37*0.000001)^2/(4*'D(Ti_Jollands) Times'!$C37)/(365.35*24*3600)</f>
        <v>170919.41626400227</v>
      </c>
      <c r="AB37" s="2">
        <f>('L-Values'!X37*'D(Ti_Jollands) Times'!$F37*0.000001)^2/(4*'D(Ti_Jollands) Times'!$C37)/(365.35*24*3600)</f>
        <v>566910.51289599447</v>
      </c>
      <c r="AC37" s="2">
        <f t="shared" si="2"/>
        <v>156653.67809340364</v>
      </c>
      <c r="AD37" s="2">
        <f t="shared" si="3"/>
        <v>239337.41853858856</v>
      </c>
    </row>
    <row r="38" spans="1:30" x14ac:dyDescent="0.2">
      <c r="A38" t="str">
        <f>'L-Values'!A38</f>
        <v>CGI001-qtz10-CL-fit-3-offset</v>
      </c>
      <c r="B38">
        <v>750</v>
      </c>
      <c r="C38">
        <f t="shared" si="0"/>
        <v>6.6965312637759184E-25</v>
      </c>
      <c r="D38">
        <v>2000</v>
      </c>
      <c r="E38">
        <v>1024</v>
      </c>
      <c r="F38">
        <f t="shared" si="1"/>
        <v>1.953125</v>
      </c>
      <c r="I38" s="2">
        <f>('L-Values'!E38*'D(Ti_Jollands) Times'!$F38*0.000001)^2/(4*'D(Ti_Jollands) Times'!$C38)/(365.35*24*3600)</f>
        <v>9134869.2331267148</v>
      </c>
      <c r="J38" s="2">
        <f>('L-Values'!F38*'D(Ti_Jollands) Times'!$F38*0.000001)^2/(4*'D(Ti_Jollands) Times'!$C38)/(365.35*24*3600)</f>
        <v>11040024.051888563</v>
      </c>
      <c r="K38" s="2">
        <f>('L-Values'!G38*'D(Ti_Jollands) Times'!$F38*0.000001)^2/(4*'D(Ti_Jollands) Times'!$C38)/(365.35*24*3600)</f>
        <v>11016746.481502876</v>
      </c>
      <c r="L38" s="2">
        <f>('L-Values'!H38*'D(Ti_Jollands) Times'!$F38*0.000001)^2/(4*'D(Ti_Jollands) Times'!$C38)/(365.35*24*3600)</f>
        <v>9586240.0005624238</v>
      </c>
      <c r="M38" s="2">
        <f>('L-Values'!I38*'D(Ti_Jollands) Times'!$F38*0.000001)^2/(4*'D(Ti_Jollands) Times'!$C38)/(365.35*24*3600)</f>
        <v>8594162.5329806283</v>
      </c>
      <c r="N38" s="2">
        <f>('L-Values'!J38*'D(Ti_Jollands) Times'!$F38*0.000001)^2/(4*'D(Ti_Jollands) Times'!$C38)/(365.35*24*3600)</f>
        <v>8705747.6006236821</v>
      </c>
      <c r="O38" s="2">
        <f>('L-Values'!K38*'D(Ti_Jollands) Times'!$F38*0.000001)^2/(4*'D(Ti_Jollands) Times'!$C38)/(365.35*24*3600)</f>
        <v>7398998.8985879803</v>
      </c>
      <c r="P38" s="2">
        <f>('L-Values'!L38*'D(Ti_Jollands) Times'!$F38*0.000001)^2/(4*'D(Ti_Jollands) Times'!$C38)/(365.35*24*3600)</f>
        <v>9209075.2540109269</v>
      </c>
      <c r="Q38" s="2">
        <f>('L-Values'!M38*'D(Ti_Jollands) Times'!$F38*0.000001)^2/(4*'D(Ti_Jollands) Times'!$C38)/(365.35*24*3600)</f>
        <v>8236697.6074921926</v>
      </c>
      <c r="R38" s="2">
        <f>('L-Values'!N38*'D(Ti_Jollands) Times'!$F38*0.000001)^2/(4*'D(Ti_Jollands) Times'!$C38)/(365.35*24*3600)</f>
        <v>7367455.1591366855</v>
      </c>
      <c r="S38" s="2">
        <f>('L-Values'!O38*'D(Ti_Jollands) Times'!$F38*0.000001)^2/(4*'D(Ti_Jollands) Times'!$C38)/(365.35*24*3600)</f>
        <v>5248361.5349384695</v>
      </c>
      <c r="T38" s="2"/>
      <c r="U38" s="2">
        <f>('L-Values'!Q38*'D(Ti_Jollands) Times'!$F38*0.000001)^2/(4*'D(Ti_Jollands) Times'!$C38)/(365.35*24*3600)</f>
        <v>8561217.9221706707</v>
      </c>
      <c r="V38" s="2">
        <f>('L-Values'!R38*'D(Ti_Jollands) Times'!$F38*0.000001)^2/(4*'D(Ti_Jollands) Times'!$C38)/(365.35*24*3600)</f>
        <v>8607528.5186193176</v>
      </c>
      <c r="W38" s="2">
        <f>('L-Values'!S38*'D(Ti_Jollands) Times'!$F38*0.000001)^2/(4*'D(Ti_Jollands) Times'!$C38)/(365.35*24*3600)</f>
        <v>8705747.6006236821</v>
      </c>
      <c r="X38" s="2"/>
      <c r="Y38" s="2">
        <f>('L-Values'!U38*'D(Ti_Jollands) Times'!$F38*0.000001)^2/(4*'D(Ti_Jollands) Times'!$C38)/(365.35*24*3600)</f>
        <v>8418636.1514329873</v>
      </c>
      <c r="Z38" s="2">
        <f>('L-Values'!V38*'D(Ti_Jollands) Times'!$F38*0.000001)^2/(4*'D(Ti_Jollands) Times'!$C38)/(365.35*24*3600)</f>
        <v>8583381.886169428</v>
      </c>
      <c r="AA38" s="2">
        <f>('L-Values'!W38*'D(Ti_Jollands) Times'!$F38*0.000001)^2/(4*'D(Ti_Jollands) Times'!$C38)/(365.35*24*3600)</f>
        <v>5948246.3338400526</v>
      </c>
      <c r="AB38" s="2">
        <f>('L-Values'!X38*'D(Ti_Jollands) Times'!$F38*0.000001)^2/(4*'D(Ti_Jollands) Times'!$C38)/(365.35*24*3600)</f>
        <v>11841335.720155846</v>
      </c>
      <c r="AC38" s="2">
        <f t="shared" si="2"/>
        <v>2635135.5523293754</v>
      </c>
      <c r="AD38" s="2">
        <f t="shared" si="3"/>
        <v>3257953.8339864183</v>
      </c>
    </row>
    <row r="39" spans="1:30" x14ac:dyDescent="0.2">
      <c r="A39" t="str">
        <f>'L-Values'!A39</f>
        <v>CGI001-qtz10-CL-fit-4</v>
      </c>
      <c r="B39">
        <v>750</v>
      </c>
      <c r="C39">
        <f t="shared" si="0"/>
        <v>6.6965312637759184E-25</v>
      </c>
      <c r="D39">
        <v>2000</v>
      </c>
      <c r="E39">
        <v>1024</v>
      </c>
      <c r="F39">
        <f t="shared" si="1"/>
        <v>1.953125</v>
      </c>
      <c r="I39" s="2">
        <f>('L-Values'!E39*'D(Ti_Jollands) Times'!$F39*0.000001)^2/(4*'D(Ti_Jollands) Times'!$C39)/(365.35*24*3600)</f>
        <v>190622.72570359427</v>
      </c>
      <c r="J39" s="2">
        <f>('L-Values'!F39*'D(Ti_Jollands) Times'!$F39*0.000001)^2/(4*'D(Ti_Jollands) Times'!$C39)/(365.35*24*3600)</f>
        <v>213275.4839687678</v>
      </c>
      <c r="K39" s="2">
        <f>('L-Values'!G39*'D(Ti_Jollands) Times'!$F39*0.000001)^2/(4*'D(Ti_Jollands) Times'!$C39)/(365.35*24*3600)</f>
        <v>239470.4358070211</v>
      </c>
      <c r="L39" s="2">
        <f>('L-Values'!H39*'D(Ti_Jollands) Times'!$F39*0.000001)^2/(4*'D(Ti_Jollands) Times'!$C39)/(365.35*24*3600)</f>
        <v>161944.49997894742</v>
      </c>
      <c r="M39" s="2">
        <f>('L-Values'!I39*'D(Ti_Jollands) Times'!$F39*0.000001)^2/(4*'D(Ti_Jollands) Times'!$C39)/(365.35*24*3600)</f>
        <v>105590.10376268557</v>
      </c>
      <c r="N39" s="2">
        <f>('L-Values'!J39*'D(Ti_Jollands) Times'!$F39*0.000001)^2/(4*'D(Ti_Jollands) Times'!$C39)/(365.35*24*3600)</f>
        <v>151678.43026287545</v>
      </c>
      <c r="O39" s="2">
        <f>('L-Values'!K39*'D(Ti_Jollands) Times'!$F39*0.000001)^2/(4*'D(Ti_Jollands) Times'!$C39)/(365.35*24*3600)</f>
        <v>239901.71742547446</v>
      </c>
      <c r="P39" s="2">
        <f>('L-Values'!L39*'D(Ti_Jollands) Times'!$F39*0.000001)^2/(4*'D(Ti_Jollands) Times'!$C39)/(365.35*24*3600)</f>
        <v>222729.31364644336</v>
      </c>
      <c r="Q39" s="2">
        <f>('L-Values'!M39*'D(Ti_Jollands) Times'!$F39*0.000001)^2/(4*'D(Ti_Jollands) Times'!$C39)/(365.35*24*3600)</f>
        <v>203196.04912132563</v>
      </c>
      <c r="R39" s="2">
        <f>('L-Values'!N39*'D(Ti_Jollands) Times'!$F39*0.000001)^2/(4*'D(Ti_Jollands) Times'!$C39)/(365.35*24*3600)</f>
        <v>166250.3332424612</v>
      </c>
      <c r="S39" s="2">
        <f>('L-Values'!O39*'D(Ti_Jollands) Times'!$F39*0.000001)^2/(4*'D(Ti_Jollands) Times'!$C39)/(365.35*24*3600)</f>
        <v>84683.741752320333</v>
      </c>
      <c r="T39" s="2"/>
      <c r="U39" s="2">
        <f>('L-Values'!Q39*'D(Ti_Jollands) Times'!$F39*0.000001)^2/(4*'D(Ti_Jollands) Times'!$C39)/(365.35*24*3600)</f>
        <v>177948.36361350786</v>
      </c>
      <c r="V39" s="2">
        <f>('L-Values'!R39*'D(Ti_Jollands) Times'!$F39*0.000001)^2/(4*'D(Ti_Jollands) Times'!$C39)/(365.35*24*3600)</f>
        <v>176084.17342769989</v>
      </c>
      <c r="W39" s="2">
        <f>('L-Values'!S39*'D(Ti_Jollands) Times'!$F39*0.000001)^2/(4*'D(Ti_Jollands) Times'!$C39)/(365.35*24*3600)</f>
        <v>190622.72570359427</v>
      </c>
      <c r="X39" s="2"/>
      <c r="Y39" s="2">
        <f>('L-Values'!U39*'D(Ti_Jollands) Times'!$F39*0.000001)^2/(4*'D(Ti_Jollands) Times'!$C39)/(365.35*24*3600)</f>
        <v>175195.22810525697</v>
      </c>
      <c r="Z39" s="2">
        <f>('L-Values'!V39*'D(Ti_Jollands) Times'!$F39*0.000001)^2/(4*'D(Ti_Jollands) Times'!$C39)/(365.35*24*3600)</f>
        <v>175264.17727805945</v>
      </c>
      <c r="AA39" s="2">
        <f>('L-Values'!W39*'D(Ti_Jollands) Times'!$F39*0.000001)^2/(4*'D(Ti_Jollands) Times'!$C39)/(365.35*24*3600)</f>
        <v>73929.497859923678</v>
      </c>
      <c r="AB39" s="2">
        <f>('L-Values'!X39*'D(Ti_Jollands) Times'!$F39*0.000001)^2/(4*'D(Ti_Jollands) Times'!$C39)/(365.35*24*3600)</f>
        <v>332659.01590274594</v>
      </c>
      <c r="AC39" s="2">
        <f t="shared" si="2"/>
        <v>101334.67941813577</v>
      </c>
      <c r="AD39" s="2">
        <f t="shared" si="3"/>
        <v>157394.8386246865</v>
      </c>
    </row>
    <row r="40" spans="1:30" x14ac:dyDescent="0.2">
      <c r="A40" t="str">
        <f>'L-Values'!A40</f>
        <v>CGI001-qtz10-CL-fit-5-offset</v>
      </c>
      <c r="B40">
        <v>750</v>
      </c>
      <c r="C40">
        <f t="shared" si="0"/>
        <v>6.6965312637759184E-25</v>
      </c>
      <c r="D40">
        <v>2000</v>
      </c>
      <c r="E40">
        <v>1024</v>
      </c>
      <c r="F40">
        <f t="shared" si="1"/>
        <v>1.953125</v>
      </c>
      <c r="I40" s="2">
        <f>('L-Values'!E40*'D(Ti_Jollands) Times'!$F40*0.000001)^2/(4*'D(Ti_Jollands) Times'!$C40)/(365.35*24*3600)</f>
        <v>41238.070279621526</v>
      </c>
      <c r="J40" s="2">
        <f>('L-Values'!F40*'D(Ti_Jollands) Times'!$F40*0.000001)^2/(4*'D(Ti_Jollands) Times'!$C40)/(365.35*24*3600)</f>
        <v>65970.199331463475</v>
      </c>
      <c r="K40" s="2">
        <f>('L-Values'!G40*'D(Ti_Jollands) Times'!$F40*0.000001)^2/(4*'D(Ti_Jollands) Times'!$C40)/(365.35*24*3600)</f>
        <v>51724.333112700871</v>
      </c>
      <c r="L40" s="2">
        <f>('L-Values'!H40*'D(Ti_Jollands) Times'!$F40*0.000001)^2/(4*'D(Ti_Jollands) Times'!$C40)/(365.35*24*3600)</f>
        <v>63319.040327744733</v>
      </c>
      <c r="M40" s="2">
        <f>('L-Values'!I40*'D(Ti_Jollands) Times'!$F40*0.000001)^2/(4*'D(Ti_Jollands) Times'!$C40)/(365.35*24*3600)</f>
        <v>44867.823384328418</v>
      </c>
      <c r="N40" s="2">
        <f>('L-Values'!J40*'D(Ti_Jollands) Times'!$F40*0.000001)^2/(4*'D(Ti_Jollands) Times'!$C40)/(365.35*24*3600)</f>
        <v>48224.147908426821</v>
      </c>
      <c r="O40" s="2">
        <f>('L-Values'!K40*'D(Ti_Jollands) Times'!$F40*0.000001)^2/(4*'D(Ti_Jollands) Times'!$C40)/(365.35*24*3600)</f>
        <v>19518.517049822723</v>
      </c>
      <c r="P40" s="2">
        <f>('L-Values'!L40*'D(Ti_Jollands) Times'!$F40*0.000001)^2/(4*'D(Ti_Jollands) Times'!$C40)/(365.35*24*3600)</f>
        <v>24584.976117299269</v>
      </c>
      <c r="Q40" s="2">
        <f>('L-Values'!M40*'D(Ti_Jollands) Times'!$F40*0.000001)^2/(4*'D(Ti_Jollands) Times'!$C40)/(365.35*24*3600)</f>
        <v>30151.045624730992</v>
      </c>
      <c r="R40" s="2">
        <f>('L-Values'!N40*'D(Ti_Jollands) Times'!$F40*0.000001)^2/(4*'D(Ti_Jollands) Times'!$C40)/(365.35*24*3600)</f>
        <v>35621.546560668059</v>
      </c>
      <c r="S40" s="2">
        <f>('L-Values'!O40*'D(Ti_Jollands) Times'!$F40*0.000001)^2/(4*'D(Ti_Jollands) Times'!$C40)/(365.35*24*3600)</f>
        <v>56633.143203927946</v>
      </c>
      <c r="T40" s="2"/>
      <c r="U40" s="2">
        <f>('L-Values'!Q40*'D(Ti_Jollands) Times'!$F40*0.000001)^2/(4*'D(Ti_Jollands) Times'!$C40)/(365.35*24*3600)</f>
        <v>56431.198879770673</v>
      </c>
      <c r="V40" s="2">
        <f>('L-Values'!R40*'D(Ti_Jollands) Times'!$F40*0.000001)^2/(4*'D(Ti_Jollands) Times'!$C40)/(365.35*24*3600)</f>
        <v>42483.212723833145</v>
      </c>
      <c r="W40" s="2">
        <f>('L-Values'!S40*'D(Ti_Jollands) Times'!$F40*0.000001)^2/(4*'D(Ti_Jollands) Times'!$C40)/(365.35*24*3600)</f>
        <v>44867.823384328418</v>
      </c>
      <c r="X40" s="2"/>
      <c r="Y40" s="2">
        <f>('L-Values'!U40*'D(Ti_Jollands) Times'!$F40*0.000001)^2/(4*'D(Ti_Jollands) Times'!$C40)/(365.35*24*3600)</f>
        <v>39158.434945240268</v>
      </c>
      <c r="Z40" s="2">
        <f>('L-Values'!V40*'D(Ti_Jollands) Times'!$F40*0.000001)^2/(4*'D(Ti_Jollands) Times'!$C40)/(365.35*24*3600)</f>
        <v>35973.051374097253</v>
      </c>
      <c r="AA40" s="2">
        <f>('L-Values'!W40*'D(Ti_Jollands) Times'!$F40*0.000001)^2/(4*'D(Ti_Jollands) Times'!$C40)/(365.35*24*3600)</f>
        <v>1642.5202314594906</v>
      </c>
      <c r="AB40" s="2">
        <f>('L-Values'!X40*'D(Ti_Jollands) Times'!$F40*0.000001)^2/(4*'D(Ti_Jollands) Times'!$C40)/(365.35*24*3600)</f>
        <v>121476.93957348225</v>
      </c>
      <c r="AC40" s="2">
        <f t="shared" si="2"/>
        <v>34330.531142637759</v>
      </c>
      <c r="AD40" s="2">
        <f t="shared" si="3"/>
        <v>85503.888199384994</v>
      </c>
    </row>
    <row r="41" spans="1:30" x14ac:dyDescent="0.2">
      <c r="A41" t="str">
        <f>'L-Values'!A41</f>
        <v>CGI001-qtz11-CL-fit-1</v>
      </c>
      <c r="B41">
        <v>750</v>
      </c>
      <c r="C41">
        <f t="shared" si="0"/>
        <v>6.6965312637759184E-25</v>
      </c>
      <c r="D41">
        <v>1500</v>
      </c>
      <c r="E41">
        <v>1024</v>
      </c>
      <c r="F41">
        <f t="shared" si="1"/>
        <v>1.46484375</v>
      </c>
      <c r="I41" s="2">
        <f>('L-Values'!E41*'D(Ti_Jollands) Times'!$F41*0.000001)^2/(4*'D(Ti_Jollands) Times'!$C41)/(365.35*24*3600)</f>
        <v>2853150.221093805</v>
      </c>
      <c r="J41" s="2">
        <f>('L-Values'!F41*'D(Ti_Jollands) Times'!$F41*0.000001)^2/(4*'D(Ti_Jollands) Times'!$C41)/(365.35*24*3600)</f>
        <v>2012604.5485593304</v>
      </c>
      <c r="K41" s="2">
        <f>('L-Values'!G41*'D(Ti_Jollands) Times'!$F41*0.000001)^2/(4*'D(Ti_Jollands) Times'!$C41)/(365.35*24*3600)</f>
        <v>2770339.993470544</v>
      </c>
      <c r="L41" s="2">
        <f>('L-Values'!H41*'D(Ti_Jollands) Times'!$F41*0.000001)^2/(4*'D(Ti_Jollands) Times'!$C41)/(365.35*24*3600)</f>
        <v>2383435.8296778062</v>
      </c>
      <c r="M41" s="2">
        <f>('L-Values'!I41*'D(Ti_Jollands) Times'!$F41*0.000001)^2/(4*'D(Ti_Jollands) Times'!$C41)/(365.35*24*3600)</f>
        <v>4478580.0862563085</v>
      </c>
      <c r="N41" s="2">
        <f>('L-Values'!J41*'D(Ti_Jollands) Times'!$F41*0.000001)^2/(4*'D(Ti_Jollands) Times'!$C41)/(365.35*24*3600)</f>
        <v>2775413.7979736743</v>
      </c>
      <c r="O41" s="2">
        <f>('L-Values'!K41*'D(Ti_Jollands) Times'!$F41*0.000001)^2/(4*'D(Ti_Jollands) Times'!$C41)/(365.35*24*3600)</f>
        <v>3336890.6836119019</v>
      </c>
      <c r="P41" s="2">
        <f>('L-Values'!L41*'D(Ti_Jollands) Times'!$F41*0.000001)^2/(4*'D(Ti_Jollands) Times'!$C41)/(365.35*24*3600)</f>
        <v>2885222.4635036294</v>
      </c>
      <c r="Q41" s="2">
        <f>('L-Values'!M41*'D(Ti_Jollands) Times'!$F41*0.000001)^2/(4*'D(Ti_Jollands) Times'!$C41)/(365.35*24*3600)</f>
        <v>2000157.7523011479</v>
      </c>
      <c r="R41" s="2">
        <f>('L-Values'!N41*'D(Ti_Jollands) Times'!$F41*0.000001)^2/(4*'D(Ti_Jollands) Times'!$C41)/(365.35*24*3600)</f>
        <v>3134992.7214448373</v>
      </c>
      <c r="S41" s="2">
        <f>('L-Values'!O41*'D(Ti_Jollands) Times'!$F41*0.000001)^2/(4*'D(Ti_Jollands) Times'!$C41)/(365.35*24*3600)</f>
        <v>2396253.6489929087</v>
      </c>
      <c r="T41" s="2"/>
      <c r="U41" s="2">
        <f>('L-Values'!Q41*'D(Ti_Jollands) Times'!$F41*0.000001)^2/(4*'D(Ti_Jollands) Times'!$C41)/(365.35*24*3600)</f>
        <v>2724613.4323652363</v>
      </c>
      <c r="V41" s="2">
        <f>('L-Values'!R41*'D(Ti_Jollands) Times'!$F41*0.000001)^2/(4*'D(Ti_Jollands) Times'!$C41)/(365.35*24*3600)</f>
        <v>2784783.9059587712</v>
      </c>
      <c r="W41" s="2">
        <f>('L-Values'!S41*'D(Ti_Jollands) Times'!$F41*0.000001)^2/(4*'D(Ti_Jollands) Times'!$C41)/(365.35*24*3600)</f>
        <v>2775413.7979736743</v>
      </c>
      <c r="X41" s="2"/>
      <c r="Y41" s="2">
        <f>('L-Values'!U41*'D(Ti_Jollands) Times'!$F41*0.000001)^2/(4*'D(Ti_Jollands) Times'!$C41)/(365.35*24*3600)</f>
        <v>2745644.1815492031</v>
      </c>
      <c r="Z41" s="2">
        <f>('L-Values'!V41*'D(Ti_Jollands) Times'!$F41*0.000001)^2/(4*'D(Ti_Jollands) Times'!$C41)/(365.35*24*3600)</f>
        <v>2829947.2610691353</v>
      </c>
      <c r="AA41" s="2">
        <f>('L-Values'!W41*'D(Ti_Jollands) Times'!$F41*0.000001)^2/(4*'D(Ti_Jollands) Times'!$C41)/(365.35*24*3600)</f>
        <v>1033060.0622556665</v>
      </c>
      <c r="AB41" s="2">
        <f>('L-Values'!X41*'D(Ti_Jollands) Times'!$F41*0.000001)^2/(4*'D(Ti_Jollands) Times'!$C41)/(365.35*24*3600)</f>
        <v>6718599.7507942142</v>
      </c>
      <c r="AC41" s="2">
        <f t="shared" si="2"/>
        <v>1796887.1988134687</v>
      </c>
      <c r="AD41" s="2">
        <f t="shared" si="3"/>
        <v>3888652.4897250789</v>
      </c>
    </row>
    <row r="42" spans="1:30" x14ac:dyDescent="0.2">
      <c r="A42" t="str">
        <f>'L-Values'!A42</f>
        <v>CGI001-qtz11-CL-fit-2-offset</v>
      </c>
      <c r="B42">
        <v>750</v>
      </c>
      <c r="C42">
        <f t="shared" si="0"/>
        <v>6.6965312637759184E-25</v>
      </c>
      <c r="D42">
        <v>1500</v>
      </c>
      <c r="E42">
        <v>1024</v>
      </c>
      <c r="F42">
        <f t="shared" si="1"/>
        <v>1.46484375</v>
      </c>
      <c r="I42" s="2">
        <f>('L-Values'!E42*'D(Ti_Jollands) Times'!$F42*0.000001)^2/(4*'D(Ti_Jollands) Times'!$C42)/(365.35*24*3600)</f>
        <v>33039.736521841274</v>
      </c>
      <c r="J42" s="2">
        <f>('L-Values'!F42*'D(Ti_Jollands) Times'!$F42*0.000001)^2/(4*'D(Ti_Jollands) Times'!$C42)/(365.35*24*3600)</f>
        <v>44708.033352332175</v>
      </c>
      <c r="K42" s="2">
        <f>('L-Values'!G42*'D(Ti_Jollands) Times'!$F42*0.000001)^2/(4*'D(Ti_Jollands) Times'!$C42)/(365.35*24*3600)</f>
        <v>14560.15596858249</v>
      </c>
      <c r="L42" s="2">
        <f>('L-Values'!H42*'D(Ti_Jollands) Times'!$F42*0.000001)^2/(4*'D(Ti_Jollands) Times'!$C42)/(365.35*24*3600)</f>
        <v>69909.980528578599</v>
      </c>
      <c r="M42" s="2">
        <f>('L-Values'!I42*'D(Ti_Jollands) Times'!$F42*0.000001)^2/(4*'D(Ti_Jollands) Times'!$C42)/(365.35*24*3600)</f>
        <v>39785.176327169575</v>
      </c>
      <c r="N42" s="2">
        <f>('L-Values'!J42*'D(Ti_Jollands) Times'!$F42*0.000001)^2/(4*'D(Ti_Jollands) Times'!$C42)/(365.35*24*3600)</f>
        <v>38844.586987332237</v>
      </c>
      <c r="O42" s="2">
        <f>('L-Values'!K42*'D(Ti_Jollands) Times'!$F42*0.000001)^2/(4*'D(Ti_Jollands) Times'!$C42)/(365.35*24*3600)</f>
        <v>40755.767430321663</v>
      </c>
      <c r="P42" s="2">
        <f>('L-Values'!L42*'D(Ti_Jollands) Times'!$F42*0.000001)^2/(4*'D(Ti_Jollands) Times'!$C42)/(365.35*24*3600)</f>
        <v>73269.119485793606</v>
      </c>
      <c r="Q42" s="2">
        <f>('L-Values'!M42*'D(Ti_Jollands) Times'!$F42*0.000001)^2/(4*'D(Ti_Jollands) Times'!$C42)/(365.35*24*3600)</f>
        <v>19976.4673505227</v>
      </c>
      <c r="R42" s="2">
        <f>('L-Values'!N42*'D(Ti_Jollands) Times'!$F42*0.000001)^2/(4*'D(Ti_Jollands) Times'!$C42)/(365.35*24*3600)</f>
        <v>53427.092667420104</v>
      </c>
      <c r="S42" s="2">
        <f>('L-Values'!O42*'D(Ti_Jollands) Times'!$F42*0.000001)^2/(4*'D(Ti_Jollands) Times'!$C42)/(365.35*24*3600)</f>
        <v>123203.146734646</v>
      </c>
      <c r="T42" s="2"/>
      <c r="U42" s="2">
        <f>('L-Values'!Q42*'D(Ti_Jollands) Times'!$F42*0.000001)^2/(4*'D(Ti_Jollands) Times'!$C42)/(365.35*24*3600)</f>
        <v>54302.378647805432</v>
      </c>
      <c r="V42" s="2">
        <f>('L-Values'!R42*'D(Ti_Jollands) Times'!$F42*0.000001)^2/(4*'D(Ti_Jollands) Times'!$C42)/(365.35*24*3600)</f>
        <v>46455.199838230059</v>
      </c>
      <c r="W42" s="2">
        <f>('L-Values'!S42*'D(Ti_Jollands) Times'!$F42*0.000001)^2/(4*'D(Ti_Jollands) Times'!$C42)/(365.35*24*3600)</f>
        <v>40755.767430321663</v>
      </c>
      <c r="X42" s="2"/>
      <c r="Y42" s="2">
        <f>('L-Values'!U42*'D(Ti_Jollands) Times'!$F42*0.000001)^2/(4*'D(Ti_Jollands) Times'!$C42)/(365.35*24*3600)</f>
        <v>47688.725766147152</v>
      </c>
      <c r="Z42" s="2">
        <f>('L-Values'!V42*'D(Ti_Jollands) Times'!$F42*0.000001)^2/(4*'D(Ti_Jollands) Times'!$C42)/(365.35*24*3600)</f>
        <v>42760.212438459916</v>
      </c>
      <c r="AA42" s="2">
        <f>('L-Values'!W42*'D(Ti_Jollands) Times'!$F42*0.000001)^2/(4*'D(Ti_Jollands) Times'!$C42)/(365.35*24*3600)</f>
        <v>1484.6113849298695</v>
      </c>
      <c r="AB42" s="2">
        <f>('L-Values'!X42*'D(Ti_Jollands) Times'!$F42*0.000001)^2/(4*'D(Ti_Jollands) Times'!$C42)/(365.35*24*3600)</f>
        <v>129777.38725806864</v>
      </c>
      <c r="AC42" s="2">
        <f t="shared" si="2"/>
        <v>41275.601053530045</v>
      </c>
      <c r="AD42" s="2">
        <f t="shared" si="3"/>
        <v>87017.174819608728</v>
      </c>
    </row>
    <row r="43" spans="1:30" x14ac:dyDescent="0.2">
      <c r="A43" t="str">
        <f>'L-Values'!A43</f>
        <v>CGI001-qtz12-CL-fit-1</v>
      </c>
      <c r="B43">
        <v>750</v>
      </c>
      <c r="C43">
        <f t="shared" si="0"/>
        <v>6.6965312637759184E-25</v>
      </c>
      <c r="D43">
        <v>2100</v>
      </c>
      <c r="E43">
        <v>1024</v>
      </c>
      <c r="F43">
        <f t="shared" si="1"/>
        <v>2.05078125</v>
      </c>
      <c r="I43" s="2">
        <f>('L-Values'!E43*'D(Ti_Jollands) Times'!$F43*0.000001)^2/(4*'D(Ti_Jollands) Times'!$C43)/(365.35*24*3600)</f>
        <v>2044642.8836316236</v>
      </c>
      <c r="J43" s="2">
        <f>('L-Values'!F43*'D(Ti_Jollands) Times'!$F43*0.000001)^2/(4*'D(Ti_Jollands) Times'!$C43)/(365.35*24*3600)</f>
        <v>357882.5664320417</v>
      </c>
      <c r="K43" s="2">
        <f>('L-Values'!G43*'D(Ti_Jollands) Times'!$F43*0.000001)^2/(4*'D(Ti_Jollands) Times'!$C43)/(365.35*24*3600)</f>
        <v>2494984.8997749174</v>
      </c>
      <c r="L43" s="2">
        <f>('L-Values'!H43*'D(Ti_Jollands) Times'!$F43*0.000001)^2/(4*'D(Ti_Jollands) Times'!$C43)/(365.35*24*3600)</f>
        <v>1291451.9168386569</v>
      </c>
      <c r="M43" s="2">
        <f>('L-Values'!I43*'D(Ti_Jollands) Times'!$F43*0.000001)^2/(4*'D(Ti_Jollands) Times'!$C43)/(365.35*24*3600)</f>
        <v>1494540.7287347151</v>
      </c>
      <c r="N43" s="2">
        <f>('L-Values'!J43*'D(Ti_Jollands) Times'!$F43*0.000001)^2/(4*'D(Ti_Jollands) Times'!$C43)/(365.35*24*3600)</f>
        <v>468238.75427211251</v>
      </c>
      <c r="O43" s="2">
        <f>('L-Values'!K43*'D(Ti_Jollands) Times'!$F43*0.000001)^2/(4*'D(Ti_Jollands) Times'!$C43)/(365.35*24*3600)</f>
        <v>1021296.9087592093</v>
      </c>
      <c r="P43" s="2">
        <f>('L-Values'!L43*'D(Ti_Jollands) Times'!$F43*0.000001)^2/(4*'D(Ti_Jollands) Times'!$C43)/(365.35*24*3600)</f>
        <v>2860812.6958325626</v>
      </c>
      <c r="Q43" s="2">
        <f>('L-Values'!M43*'D(Ti_Jollands) Times'!$F43*0.000001)^2/(4*'D(Ti_Jollands) Times'!$C43)/(365.35*24*3600)</f>
        <v>4012219.4662390877</v>
      </c>
      <c r="R43" s="2">
        <f>('L-Values'!N43*'D(Ti_Jollands) Times'!$F43*0.000001)^2/(4*'D(Ti_Jollands) Times'!$C43)/(365.35*24*3600)</f>
        <v>82112.621180742135</v>
      </c>
      <c r="S43" s="2">
        <f>('L-Values'!O43*'D(Ti_Jollands) Times'!$F43*0.000001)^2/(4*'D(Ti_Jollands) Times'!$C43)/(365.35*24*3600)</f>
        <v>435635.08218914777</v>
      </c>
      <c r="T43" s="2"/>
      <c r="U43" s="2">
        <f>('L-Values'!Q43*'D(Ti_Jollands) Times'!$F43*0.000001)^2/(4*'D(Ti_Jollands) Times'!$C43)/(365.35*24*3600)</f>
        <v>2003137.747352897</v>
      </c>
      <c r="V43" s="2">
        <f>('L-Values'!R43*'D(Ti_Jollands) Times'!$F43*0.000001)^2/(4*'D(Ti_Jollands) Times'!$C43)/(365.35*24*3600)</f>
        <v>1250844.5403783515</v>
      </c>
      <c r="W43" s="2">
        <f>('L-Values'!S43*'D(Ti_Jollands) Times'!$F43*0.000001)^2/(4*'D(Ti_Jollands) Times'!$C43)/(365.35*24*3600)</f>
        <v>1291451.9168386569</v>
      </c>
      <c r="X43" s="2"/>
      <c r="Y43" s="2">
        <f>('L-Values'!U43*'D(Ti_Jollands) Times'!$F43*0.000001)^2/(4*'D(Ti_Jollands) Times'!$C43)/(365.35*24*3600)</f>
        <v>1861441.3340248452</v>
      </c>
      <c r="Z43" s="2">
        <f>('L-Values'!V43*'D(Ti_Jollands) Times'!$F43*0.000001)^2/(4*'D(Ti_Jollands) Times'!$C43)/(365.35*24*3600)</f>
        <v>2170083.2054752191</v>
      </c>
      <c r="AA43" s="2">
        <f>('L-Values'!W43*'D(Ti_Jollands) Times'!$F43*0.000001)^2/(4*'D(Ti_Jollands) Times'!$C43)/(365.35*24*3600)</f>
        <v>16512.197714708869</v>
      </c>
      <c r="AB43" s="2">
        <f>('L-Values'!X43*'D(Ti_Jollands) Times'!$F43*0.000001)^2/(4*'D(Ti_Jollands) Times'!$C43)/(365.35*24*3600)</f>
        <v>11932141.723825797</v>
      </c>
      <c r="AC43" s="2">
        <f t="shared" si="2"/>
        <v>2153571.0077605103</v>
      </c>
      <c r="AD43" s="2">
        <f t="shared" si="3"/>
        <v>9762058.5183505788</v>
      </c>
    </row>
    <row r="44" spans="1:30" x14ac:dyDescent="0.2">
      <c r="A44" t="str">
        <f>'L-Values'!A44</f>
        <v>CGI001-qtz12-CL-fit-2-offset</v>
      </c>
      <c r="B44">
        <v>750</v>
      </c>
      <c r="C44">
        <f t="shared" si="0"/>
        <v>6.6965312637759184E-25</v>
      </c>
      <c r="D44">
        <v>2100</v>
      </c>
      <c r="E44">
        <v>1024</v>
      </c>
      <c r="F44">
        <f t="shared" si="1"/>
        <v>2.05078125</v>
      </c>
      <c r="I44" s="2">
        <f>('L-Values'!E44*'D(Ti_Jollands) Times'!$F44*0.000001)^2/(4*'D(Ti_Jollands) Times'!$C44)/(365.35*24*3600)</f>
        <v>3771560.3362333998</v>
      </c>
      <c r="J44" s="2">
        <f>('L-Values'!F44*'D(Ti_Jollands) Times'!$F44*0.000001)^2/(4*'D(Ti_Jollands) Times'!$C44)/(365.35*24*3600)</f>
        <v>3301941.5633326531</v>
      </c>
      <c r="K44" s="2">
        <f>('L-Values'!G44*'D(Ti_Jollands) Times'!$F44*0.000001)^2/(4*'D(Ti_Jollands) Times'!$C44)/(365.35*24*3600)</f>
        <v>2137487.8362113014</v>
      </c>
      <c r="L44" s="2">
        <f>('L-Values'!H44*'D(Ti_Jollands) Times'!$F44*0.000001)^2/(4*'D(Ti_Jollands) Times'!$C44)/(365.35*24*3600)</f>
        <v>1689608.9425901526</v>
      </c>
      <c r="M44" s="2">
        <f>('L-Values'!I44*'D(Ti_Jollands) Times'!$F44*0.000001)^2/(4*'D(Ti_Jollands) Times'!$C44)/(365.35*24*3600)</f>
        <v>2560258.9119594386</v>
      </c>
      <c r="N44" s="2">
        <f>('L-Values'!J44*'D(Ti_Jollands) Times'!$F44*0.000001)^2/(4*'D(Ti_Jollands) Times'!$C44)/(365.35*24*3600)</f>
        <v>3038034.2563097496</v>
      </c>
      <c r="O44" s="2">
        <f>('L-Values'!K44*'D(Ti_Jollands) Times'!$F44*0.000001)^2/(4*'D(Ti_Jollands) Times'!$C44)/(365.35*24*3600)</f>
        <v>2315373.5418001749</v>
      </c>
      <c r="P44" s="2">
        <f>('L-Values'!L44*'D(Ti_Jollands) Times'!$F44*0.000001)^2/(4*'D(Ti_Jollands) Times'!$C44)/(365.35*24*3600)</f>
        <v>2540987.4518921576</v>
      </c>
      <c r="Q44" s="2">
        <f>('L-Values'!M44*'D(Ti_Jollands) Times'!$F44*0.000001)^2/(4*'D(Ti_Jollands) Times'!$C44)/(365.35*24*3600)</f>
        <v>2531787.7434198926</v>
      </c>
      <c r="R44" s="2">
        <f>('L-Values'!N44*'D(Ti_Jollands) Times'!$F44*0.000001)^2/(4*'D(Ti_Jollands) Times'!$C44)/(365.35*24*3600)</f>
        <v>4101202.5013617985</v>
      </c>
      <c r="S44" s="2">
        <f>('L-Values'!O44*'D(Ti_Jollands) Times'!$F44*0.000001)^2/(4*'D(Ti_Jollands) Times'!$C44)/(365.35*24*3600)</f>
        <v>2593211.9030363257</v>
      </c>
      <c r="T44" s="2"/>
      <c r="U44" s="2">
        <f>('L-Values'!Q44*'D(Ti_Jollands) Times'!$F44*0.000001)^2/(4*'D(Ti_Jollands) Times'!$C44)/(365.35*24*3600)</f>
        <v>2829696.8234035214</v>
      </c>
      <c r="V44" s="2">
        <f>('L-Values'!R44*'D(Ti_Jollands) Times'!$F44*0.000001)^2/(4*'D(Ti_Jollands) Times'!$C44)/(365.35*24*3600)</f>
        <v>2739460.1629841113</v>
      </c>
      <c r="W44" s="2">
        <f>('L-Values'!S44*'D(Ti_Jollands) Times'!$F44*0.000001)^2/(4*'D(Ti_Jollands) Times'!$C44)/(365.35*24*3600)</f>
        <v>2560258.9119594386</v>
      </c>
      <c r="X44" s="2"/>
      <c r="Y44" s="2">
        <f>('L-Values'!U44*'D(Ti_Jollands) Times'!$F44*0.000001)^2/(4*'D(Ti_Jollands) Times'!$C44)/(365.35*24*3600)</f>
        <v>2722528.1126499316</v>
      </c>
      <c r="Z44" s="2">
        <f>('L-Values'!V44*'D(Ti_Jollands) Times'!$F44*0.000001)^2/(4*'D(Ti_Jollands) Times'!$C44)/(365.35*24*3600)</f>
        <v>2745142.3200376015</v>
      </c>
      <c r="AA44" s="2">
        <f>('L-Values'!W44*'D(Ti_Jollands) Times'!$F44*0.000001)^2/(4*'D(Ti_Jollands) Times'!$C44)/(365.35*24*3600)</f>
        <v>1372878.4251667941</v>
      </c>
      <c r="AB44" s="2">
        <f>('L-Values'!X44*'D(Ti_Jollands) Times'!$F44*0.000001)^2/(4*'D(Ti_Jollands) Times'!$C44)/(365.35*24*3600)</f>
        <v>4676724.4255487937</v>
      </c>
      <c r="AC44" s="2">
        <f t="shared" si="2"/>
        <v>1372263.8948708074</v>
      </c>
      <c r="AD44" s="2">
        <f t="shared" si="3"/>
        <v>1931582.1055111922</v>
      </c>
    </row>
    <row r="45" spans="1:30" x14ac:dyDescent="0.2">
      <c r="A45" t="str">
        <f>'L-Values'!A45</f>
        <v>CGI001-qtz12-CL-fit-3-offset</v>
      </c>
      <c r="B45">
        <v>750</v>
      </c>
      <c r="C45">
        <f t="shared" si="0"/>
        <v>6.6965312637759184E-25</v>
      </c>
      <c r="D45">
        <v>2100</v>
      </c>
      <c r="E45">
        <v>1024</v>
      </c>
      <c r="F45">
        <f t="shared" si="1"/>
        <v>2.05078125</v>
      </c>
      <c r="I45" s="2">
        <f>('L-Values'!E45*'D(Ti_Jollands) Times'!$F45*0.000001)^2/(4*'D(Ti_Jollands) Times'!$C45)/(365.35*24*3600)</f>
        <v>41972.001825640487</v>
      </c>
      <c r="J45" s="2">
        <f>('L-Values'!F45*'D(Ti_Jollands) Times'!$F45*0.000001)^2/(4*'D(Ti_Jollands) Times'!$C45)/(365.35*24*3600)</f>
        <v>904.88191452141211</v>
      </c>
      <c r="K45" s="2">
        <f>('L-Values'!G45*'D(Ti_Jollands) Times'!$F45*0.000001)^2/(4*'D(Ti_Jollands) Times'!$C45)/(365.35*24*3600)</f>
        <v>117.11241966352142</v>
      </c>
      <c r="L45" s="2">
        <f>('L-Values'!H45*'D(Ti_Jollands) Times'!$F45*0.000001)^2/(4*'D(Ti_Jollands) Times'!$C45)/(365.35*24*3600)</f>
        <v>145336.95256089934</v>
      </c>
      <c r="M45" s="2">
        <f>('L-Values'!I45*'D(Ti_Jollands) Times'!$F45*0.000001)^2/(4*'D(Ti_Jollands) Times'!$C45)/(365.35*24*3600)</f>
        <v>200972.63240777195</v>
      </c>
      <c r="N45" s="2">
        <f>('L-Values'!J45*'D(Ti_Jollands) Times'!$F45*0.000001)^2/(4*'D(Ti_Jollands) Times'!$C45)/(365.35*24*3600)</f>
        <v>356495.10397133272</v>
      </c>
      <c r="O45" s="2">
        <f>('L-Values'!K45*'D(Ti_Jollands) Times'!$F45*0.000001)^2/(4*'D(Ti_Jollands) Times'!$C45)/(365.35*24*3600)</f>
        <v>200716.90354381411</v>
      </c>
      <c r="P45" s="2">
        <f>('L-Values'!L45*'D(Ti_Jollands) Times'!$F45*0.000001)^2/(4*'D(Ti_Jollands) Times'!$C45)/(365.35*24*3600)</f>
        <v>406854.77661342296</v>
      </c>
      <c r="Q45" s="2">
        <f>('L-Values'!M45*'D(Ti_Jollands) Times'!$F45*0.000001)^2/(4*'D(Ti_Jollands) Times'!$C45)/(365.35*24*3600)</f>
        <v>476953.32128112018</v>
      </c>
      <c r="R45" s="2">
        <f>('L-Values'!N45*'D(Ti_Jollands) Times'!$F45*0.000001)^2/(4*'D(Ti_Jollands) Times'!$C45)/(365.35*24*3600)</f>
        <v>845798.2902751402</v>
      </c>
      <c r="S45" s="2">
        <f>('L-Values'!O45*'D(Ti_Jollands) Times'!$F45*0.000001)^2/(4*'D(Ti_Jollands) Times'!$C45)/(365.35*24*3600)</f>
        <v>955323.57346946036</v>
      </c>
      <c r="T45" s="2"/>
      <c r="U45" s="2">
        <f>('L-Values'!Q45*'D(Ti_Jollands) Times'!$F45*0.000001)^2/(4*'D(Ti_Jollands) Times'!$C45)/(365.35*24*3600)</f>
        <v>56354.364504499717</v>
      </c>
      <c r="V45" s="2">
        <f>('L-Values'!R45*'D(Ti_Jollands) Times'!$F45*0.000001)^2/(4*'D(Ti_Jollands) Times'!$C45)/(365.35*24*3600)</f>
        <v>236190.70731622784</v>
      </c>
      <c r="W45" s="2">
        <f>('L-Values'!S45*'D(Ti_Jollands) Times'!$F45*0.000001)^2/(4*'D(Ti_Jollands) Times'!$C45)/(365.35*24*3600)</f>
        <v>200972.63240777195</v>
      </c>
      <c r="X45" s="2"/>
      <c r="Y45" s="2">
        <f>('L-Values'!U45*'D(Ti_Jollands) Times'!$F45*0.000001)^2/(4*'D(Ti_Jollands) Times'!$C45)/(365.35*24*3600)</f>
        <v>47913.753825472908</v>
      </c>
      <c r="Z45" s="2">
        <f>('L-Values'!V45*'D(Ti_Jollands) Times'!$F45*0.000001)^2/(4*'D(Ti_Jollands) Times'!$C45)/(365.35*24*3600)</f>
        <v>90400.091941594874</v>
      </c>
      <c r="AA45" s="2">
        <f>('L-Values'!W45*'D(Ti_Jollands) Times'!$F45*0.000001)^2/(4*'D(Ti_Jollands) Times'!$C45)/(365.35*24*3600)</f>
        <v>1.3724830168706067E-6</v>
      </c>
      <c r="AB45" s="2">
        <f>('L-Values'!X45*'D(Ti_Jollands) Times'!$F45*0.000001)^2/(4*'D(Ti_Jollands) Times'!$C45)/(365.35*24*3600)</f>
        <v>681360.05547211925</v>
      </c>
      <c r="AC45" s="2">
        <f t="shared" si="2"/>
        <v>90400.091940222395</v>
      </c>
      <c r="AD45" s="2">
        <f t="shared" si="3"/>
        <v>590959.9635305244</v>
      </c>
    </row>
    <row r="46" spans="1:30" x14ac:dyDescent="0.2">
      <c r="A46" t="str">
        <f>'L-Values'!A46</f>
        <v>CGI001-qtz12-CL-fit-4-offset</v>
      </c>
      <c r="B46">
        <v>750</v>
      </c>
      <c r="C46">
        <f t="shared" si="0"/>
        <v>6.6965312637759184E-25</v>
      </c>
      <c r="D46">
        <v>2100</v>
      </c>
      <c r="E46">
        <v>1024</v>
      </c>
      <c r="F46">
        <f t="shared" si="1"/>
        <v>2.05078125</v>
      </c>
      <c r="I46" s="2">
        <f>('L-Values'!E46*'D(Ti_Jollands) Times'!$F46*0.000001)^2/(4*'D(Ti_Jollands) Times'!$C46)/(365.35*24*3600)</f>
        <v>6280.2192239346268</v>
      </c>
      <c r="J46" s="2">
        <f>('L-Values'!F46*'D(Ti_Jollands) Times'!$F46*0.000001)^2/(4*'D(Ti_Jollands) Times'!$C46)/(365.35*24*3600)</f>
        <v>41406.158931935293</v>
      </c>
      <c r="K46" s="2">
        <f>('L-Values'!G46*'D(Ti_Jollands) Times'!$F46*0.000001)^2/(4*'D(Ti_Jollands) Times'!$C46)/(365.35*24*3600)</f>
        <v>110153.60202367508</v>
      </c>
      <c r="L46" s="2">
        <f>('L-Values'!H46*'D(Ti_Jollands) Times'!$F46*0.000001)^2/(4*'D(Ti_Jollands) Times'!$C46)/(365.35*24*3600)</f>
        <v>89273.098014943971</v>
      </c>
      <c r="M46" s="2">
        <f>('L-Values'!I46*'D(Ti_Jollands) Times'!$F46*0.000001)^2/(4*'D(Ti_Jollands) Times'!$C46)/(365.35*24*3600)</f>
        <v>29425.335439461258</v>
      </c>
      <c r="N46" s="2">
        <f>('L-Values'!J46*'D(Ti_Jollands) Times'!$F46*0.000001)^2/(4*'D(Ti_Jollands) Times'!$C46)/(365.35*24*3600)</f>
        <v>22328.954597888849</v>
      </c>
      <c r="O46" s="2">
        <f>('L-Values'!K46*'D(Ti_Jollands) Times'!$F46*0.000001)^2/(4*'D(Ti_Jollands) Times'!$C46)/(365.35*24*3600)</f>
        <v>70062.333734081738</v>
      </c>
      <c r="P46" s="2">
        <f>('L-Values'!L46*'D(Ti_Jollands) Times'!$F46*0.000001)^2/(4*'D(Ti_Jollands) Times'!$C46)/(365.35*24*3600)</f>
        <v>3494.5765294015146</v>
      </c>
      <c r="Q46" s="2">
        <f>('L-Values'!M46*'D(Ti_Jollands) Times'!$F46*0.000001)^2/(4*'D(Ti_Jollands) Times'!$C46)/(365.35*24*3600)</f>
        <v>19815.072591422424</v>
      </c>
      <c r="R46" s="2">
        <f>('L-Values'!N46*'D(Ti_Jollands) Times'!$F46*0.000001)^2/(4*'D(Ti_Jollands) Times'!$C46)/(365.35*24*3600)</f>
        <v>2876.4454558231</v>
      </c>
      <c r="S46" s="2">
        <f>('L-Values'!O46*'D(Ti_Jollands) Times'!$F46*0.000001)^2/(4*'D(Ti_Jollands) Times'!$C46)/(365.35*24*3600)</f>
        <v>4587.169760940641</v>
      </c>
      <c r="T46" s="2"/>
      <c r="U46" s="2">
        <f>('L-Values'!Q46*'D(Ti_Jollands) Times'!$F46*0.000001)^2/(4*'D(Ti_Jollands) Times'!$C46)/(365.35*24*3600)</f>
        <v>53846.707172183211</v>
      </c>
      <c r="V46" s="2">
        <f>('L-Values'!R46*'D(Ti_Jollands) Times'!$F46*0.000001)^2/(4*'D(Ti_Jollands) Times'!$C46)/(365.35*24*3600)</f>
        <v>27384.677371794944</v>
      </c>
      <c r="W46" s="2">
        <f>('L-Values'!S46*'D(Ti_Jollands) Times'!$F46*0.000001)^2/(4*'D(Ti_Jollands) Times'!$C46)/(365.35*24*3600)</f>
        <v>22328.954597888849</v>
      </c>
      <c r="X46" s="2"/>
      <c r="Y46" s="2">
        <f>('L-Values'!U46*'D(Ti_Jollands) Times'!$F46*0.000001)^2/(4*'D(Ti_Jollands) Times'!$C46)/(365.35*24*3600)</f>
        <v>35921.395367288125</v>
      </c>
      <c r="Z46" s="2">
        <f>('L-Values'!V46*'D(Ti_Jollands) Times'!$F46*0.000001)^2/(4*'D(Ti_Jollands) Times'!$C46)/(365.35*24*3600)</f>
        <v>32485.721390944527</v>
      </c>
      <c r="AA46" s="2">
        <f>('L-Values'!W46*'D(Ti_Jollands) Times'!$F46*0.000001)^2/(4*'D(Ti_Jollands) Times'!$C46)/(365.35*24*3600)</f>
        <v>5.5597846706577064E-3</v>
      </c>
      <c r="AB46" s="2">
        <f>('L-Values'!X46*'D(Ti_Jollands) Times'!$F46*0.000001)^2/(4*'D(Ti_Jollands) Times'!$C46)/(365.35*24*3600)</f>
        <v>145895.47016934556</v>
      </c>
      <c r="AC46" s="2">
        <f t="shared" si="2"/>
        <v>32485.715831159858</v>
      </c>
      <c r="AD46" s="2">
        <f t="shared" si="3"/>
        <v>113409.74877840103</v>
      </c>
    </row>
    <row r="47" spans="1:30" x14ac:dyDescent="0.2">
      <c r="A47" t="str">
        <f>'L-Values'!A47</f>
        <v>CGI005-qtz01-CL-fit-1-offset</v>
      </c>
      <c r="B47">
        <v>750</v>
      </c>
      <c r="C47">
        <f t="shared" si="0"/>
        <v>6.6965312637759184E-25</v>
      </c>
      <c r="D47">
        <v>1700</v>
      </c>
      <c r="E47">
        <v>1024</v>
      </c>
      <c r="F47">
        <f t="shared" si="1"/>
        <v>1.66015625</v>
      </c>
      <c r="I47" s="2">
        <f>('L-Values'!E47*'D(Ti_Jollands) Times'!$F47*0.000001)^2/(4*'D(Ti_Jollands) Times'!$C47)/(365.35*24*3600)</f>
        <v>1640226.643850354</v>
      </c>
      <c r="J47" s="2">
        <f>('L-Values'!F47*'D(Ti_Jollands) Times'!$F47*0.000001)^2/(4*'D(Ti_Jollands) Times'!$C47)/(365.35*24*3600)</f>
        <v>2555052.7769364631</v>
      </c>
      <c r="K47" s="2">
        <f>('L-Values'!G47*'D(Ti_Jollands) Times'!$F47*0.000001)^2/(4*'D(Ti_Jollands) Times'!$C47)/(365.35*24*3600)</f>
        <v>1920467.1353847156</v>
      </c>
      <c r="L47" s="2">
        <f>('L-Values'!H47*'D(Ti_Jollands) Times'!$F47*0.000001)^2/(4*'D(Ti_Jollands) Times'!$C47)/(365.35*24*3600)</f>
        <v>1625368.5146035352</v>
      </c>
      <c r="M47" s="2">
        <f>('L-Values'!I47*'D(Ti_Jollands) Times'!$F47*0.000001)^2/(4*'D(Ti_Jollands) Times'!$C47)/(365.35*24*3600)</f>
        <v>357605.5274364365</v>
      </c>
      <c r="N47" s="2">
        <f>('L-Values'!J47*'D(Ti_Jollands) Times'!$F47*0.000001)^2/(4*'D(Ti_Jollands) Times'!$C47)/(365.35*24*3600)</f>
        <v>728665.2235929186</v>
      </c>
      <c r="O47" s="2">
        <f>('L-Values'!K47*'D(Ti_Jollands) Times'!$F47*0.000001)^2/(4*'D(Ti_Jollands) Times'!$C47)/(365.35*24*3600)</f>
        <v>1504327.4475585839</v>
      </c>
      <c r="P47" s="2">
        <f>('L-Values'!L47*'D(Ti_Jollands) Times'!$F47*0.000001)^2/(4*'D(Ti_Jollands) Times'!$C47)/(365.35*24*3600)</f>
        <v>2341634.9415238691</v>
      </c>
      <c r="Q47" s="2">
        <f>('L-Values'!M47*'D(Ti_Jollands) Times'!$F47*0.000001)^2/(4*'D(Ti_Jollands) Times'!$C47)/(365.35*24*3600)</f>
        <v>3678200.5368279959</v>
      </c>
      <c r="R47" s="2">
        <f>('L-Values'!N47*'D(Ti_Jollands) Times'!$F47*0.000001)^2/(4*'D(Ti_Jollands) Times'!$C47)/(365.35*24*3600)</f>
        <v>2037723.2766521377</v>
      </c>
      <c r="S47" s="2">
        <f>('L-Values'!O47*'D(Ti_Jollands) Times'!$F47*0.000001)^2/(4*'D(Ti_Jollands) Times'!$C47)/(365.35*24*3600)</f>
        <v>2061228.2701124479</v>
      </c>
      <c r="T47" s="2"/>
      <c r="U47" s="2">
        <f>('L-Values'!Q47*'D(Ti_Jollands) Times'!$F47*0.000001)^2/(4*'D(Ti_Jollands) Times'!$C47)/(365.35*24*3600)</f>
        <v>1720066.3355989982</v>
      </c>
      <c r="V47" s="2">
        <f>('L-Values'!R47*'D(Ti_Jollands) Times'!$F47*0.000001)^2/(4*'D(Ti_Jollands) Times'!$C47)/(365.35*24*3600)</f>
        <v>1744631.6619666268</v>
      </c>
      <c r="W47" s="2">
        <f>('L-Values'!S47*'D(Ti_Jollands) Times'!$F47*0.000001)^2/(4*'D(Ti_Jollands) Times'!$C47)/(365.35*24*3600)</f>
        <v>1920467.1353847156</v>
      </c>
      <c r="X47" s="2"/>
      <c r="Y47" s="2">
        <f>('L-Values'!U47*'D(Ti_Jollands) Times'!$F47*0.000001)^2/(4*'D(Ti_Jollands) Times'!$C47)/(365.35*24*3600)</f>
        <v>1450893.863173912</v>
      </c>
      <c r="Z47" s="2">
        <f>('L-Values'!V47*'D(Ti_Jollands) Times'!$F47*0.000001)^2/(4*'D(Ti_Jollands) Times'!$C47)/(365.35*24*3600)</f>
        <v>1571854.0421597429</v>
      </c>
      <c r="AA47" s="2">
        <f>('L-Values'!W47*'D(Ti_Jollands) Times'!$F47*0.000001)^2/(4*'D(Ti_Jollands) Times'!$C47)/(365.35*24*3600)</f>
        <v>51295.229478545334</v>
      </c>
      <c r="AB47" s="2">
        <f>('L-Values'!X47*'D(Ti_Jollands) Times'!$F47*0.000001)^2/(4*'D(Ti_Jollands) Times'!$C47)/(365.35*24*3600)</f>
        <v>5509346.3849325068</v>
      </c>
      <c r="AC47" s="2">
        <f t="shared" si="2"/>
        <v>1520558.8126811977</v>
      </c>
      <c r="AD47" s="2">
        <f t="shared" si="3"/>
        <v>3937492.3427727642</v>
      </c>
    </row>
    <row r="48" spans="1:30" x14ac:dyDescent="0.2">
      <c r="A48" t="str">
        <f>'L-Values'!A48</f>
        <v>CGI005-qtz01-CL-fit-2</v>
      </c>
      <c r="B48">
        <v>750</v>
      </c>
      <c r="C48">
        <f t="shared" si="0"/>
        <v>6.6965312637759184E-25</v>
      </c>
      <c r="D48">
        <v>1700</v>
      </c>
      <c r="E48">
        <v>1024</v>
      </c>
      <c r="F48">
        <f t="shared" si="1"/>
        <v>1.66015625</v>
      </c>
      <c r="I48" s="2">
        <f>('L-Values'!E48*'D(Ti_Jollands) Times'!$F48*0.000001)^2/(4*'D(Ti_Jollands) Times'!$C48)/(365.35*24*3600)</f>
        <v>2372597.7161719082</v>
      </c>
      <c r="J48" s="2">
        <f>('L-Values'!F48*'D(Ti_Jollands) Times'!$F48*0.000001)^2/(4*'D(Ti_Jollands) Times'!$C48)/(365.35*24*3600)</f>
        <v>2789088.3631315744</v>
      </c>
      <c r="K48" s="2">
        <f>('L-Values'!G48*'D(Ti_Jollands) Times'!$F48*0.000001)^2/(4*'D(Ti_Jollands) Times'!$C48)/(365.35*24*3600)</f>
        <v>2480842.226492906</v>
      </c>
      <c r="L48" s="2">
        <f>('L-Values'!H48*'D(Ti_Jollands) Times'!$F48*0.000001)^2/(4*'D(Ti_Jollands) Times'!$C48)/(365.35*24*3600)</f>
        <v>1209962.9439351577</v>
      </c>
      <c r="M48" s="2">
        <f>('L-Values'!I48*'D(Ti_Jollands) Times'!$F48*0.000001)^2/(4*'D(Ti_Jollands) Times'!$C48)/(365.35*24*3600)</f>
        <v>1459319.9534239725</v>
      </c>
      <c r="N48" s="2">
        <f>('L-Values'!J48*'D(Ti_Jollands) Times'!$F48*0.000001)^2/(4*'D(Ti_Jollands) Times'!$C48)/(365.35*24*3600)</f>
        <v>2896946.8750112788</v>
      </c>
      <c r="O48" s="2">
        <f>('L-Values'!K48*'D(Ti_Jollands) Times'!$F48*0.000001)^2/(4*'D(Ti_Jollands) Times'!$C48)/(365.35*24*3600)</f>
        <v>2141033.3615067294</v>
      </c>
      <c r="P48" s="2">
        <f>('L-Values'!L48*'D(Ti_Jollands) Times'!$F48*0.000001)^2/(4*'D(Ti_Jollands) Times'!$C48)/(365.35*24*3600)</f>
        <v>3307775.0483274171</v>
      </c>
      <c r="Q48" s="2">
        <f>('L-Values'!M48*'D(Ti_Jollands) Times'!$F48*0.000001)^2/(4*'D(Ti_Jollands) Times'!$C48)/(365.35*24*3600)</f>
        <v>3596028.2964908038</v>
      </c>
      <c r="R48" s="2">
        <f>('L-Values'!N48*'D(Ti_Jollands) Times'!$F48*0.000001)^2/(4*'D(Ti_Jollands) Times'!$C48)/(365.35*24*3600)</f>
        <v>2628334.2093918417</v>
      </c>
      <c r="S48" s="2">
        <f>('L-Values'!O48*'D(Ti_Jollands) Times'!$F48*0.000001)^2/(4*'D(Ti_Jollands) Times'!$C48)/(365.35*24*3600)</f>
        <v>3471180.2539483472</v>
      </c>
      <c r="T48" s="2"/>
      <c r="U48" s="2">
        <f>('L-Values'!Q48*'D(Ti_Jollands) Times'!$F48*0.000001)^2/(4*'D(Ti_Jollands) Times'!$C48)/(365.35*24*3600)</f>
        <v>2449916.7751701176</v>
      </c>
      <c r="V48" s="2">
        <f>('L-Values'!R48*'D(Ti_Jollands) Times'!$F48*0.000001)^2/(4*'D(Ti_Jollands) Times'!$C48)/(365.35*24*3600)</f>
        <v>2518885.6578965792</v>
      </c>
      <c r="W48" s="2">
        <f>('L-Values'!S48*'D(Ti_Jollands) Times'!$F48*0.000001)^2/(4*'D(Ti_Jollands) Times'!$C48)/(365.35*24*3600)</f>
        <v>2628334.2093918417</v>
      </c>
      <c r="X48" s="2"/>
      <c r="Y48" s="2">
        <f>('L-Values'!U48*'D(Ti_Jollands) Times'!$F48*0.000001)^2/(4*'D(Ti_Jollands) Times'!$C48)/(365.35*24*3600)</f>
        <v>2222463.1953793424</v>
      </c>
      <c r="Z48" s="2">
        <f>('L-Values'!V48*'D(Ti_Jollands) Times'!$F48*0.000001)^2/(4*'D(Ti_Jollands) Times'!$C48)/(365.35*24*3600)</f>
        <v>2284367.8642938025</v>
      </c>
      <c r="AA48" s="2">
        <f>('L-Values'!W48*'D(Ti_Jollands) Times'!$F48*0.000001)^2/(4*'D(Ti_Jollands) Times'!$C48)/(365.35*24*3600)</f>
        <v>1102486.871254419</v>
      </c>
      <c r="AB48" s="2">
        <f>('L-Values'!X48*'D(Ti_Jollands) Times'!$F48*0.000001)^2/(4*'D(Ti_Jollands) Times'!$C48)/(365.35*24*3600)</f>
        <v>4614339.354679212</v>
      </c>
      <c r="AC48" s="2">
        <f t="shared" si="2"/>
        <v>1181880.9930393836</v>
      </c>
      <c r="AD48" s="2">
        <f t="shared" si="3"/>
        <v>2329971.4903854094</v>
      </c>
    </row>
    <row r="49" spans="1:30" x14ac:dyDescent="0.2">
      <c r="A49" t="str">
        <f>'L-Values'!A49</f>
        <v>CGI005-qtz01-CL-fit-3-offset</v>
      </c>
      <c r="B49">
        <v>750</v>
      </c>
      <c r="C49">
        <f t="shared" si="0"/>
        <v>6.6965312637759184E-25</v>
      </c>
      <c r="D49">
        <v>1700</v>
      </c>
      <c r="E49">
        <v>1024</v>
      </c>
      <c r="F49">
        <f t="shared" si="1"/>
        <v>1.66015625</v>
      </c>
      <c r="I49" s="2">
        <f>('L-Values'!E49*'D(Ti_Jollands) Times'!$F49*0.000001)^2/(4*'D(Ti_Jollands) Times'!$C49)/(365.35*24*3600)</f>
        <v>1704653.088851596</v>
      </c>
      <c r="J49" s="2">
        <f>('L-Values'!F49*'D(Ti_Jollands) Times'!$F49*0.000001)^2/(4*'D(Ti_Jollands) Times'!$C49)/(365.35*24*3600)</f>
        <v>1412219.8178047582</v>
      </c>
      <c r="K49" s="2">
        <f>('L-Values'!G49*'D(Ti_Jollands) Times'!$F49*0.000001)^2/(4*'D(Ti_Jollands) Times'!$C49)/(365.35*24*3600)</f>
        <v>1005114.284290891</v>
      </c>
      <c r="L49" s="2">
        <f>('L-Values'!H49*'D(Ti_Jollands) Times'!$F49*0.000001)^2/(4*'D(Ti_Jollands) Times'!$C49)/(365.35*24*3600)</f>
        <v>1565910.968960068</v>
      </c>
      <c r="M49" s="2">
        <f>('L-Values'!I49*'D(Ti_Jollands) Times'!$F49*0.000001)^2/(4*'D(Ti_Jollands) Times'!$C49)/(365.35*24*3600)</f>
        <v>326515.67137050797</v>
      </c>
      <c r="N49" s="2">
        <f>('L-Values'!J49*'D(Ti_Jollands) Times'!$F49*0.000001)^2/(4*'D(Ti_Jollands) Times'!$C49)/(365.35*24*3600)</f>
        <v>1205637.9359541642</v>
      </c>
      <c r="O49" s="2">
        <f>('L-Values'!K49*'D(Ti_Jollands) Times'!$F49*0.000001)^2/(4*'D(Ti_Jollands) Times'!$C49)/(365.35*24*3600)</f>
        <v>1368607.004428413</v>
      </c>
      <c r="P49" s="2">
        <f>('L-Values'!L49*'D(Ti_Jollands) Times'!$F49*0.000001)^2/(4*'D(Ti_Jollands) Times'!$C49)/(365.35*24*3600)</f>
        <v>1416636.1898981722</v>
      </c>
      <c r="Q49" s="2">
        <f>('L-Values'!M49*'D(Ti_Jollands) Times'!$F49*0.000001)^2/(4*'D(Ti_Jollands) Times'!$C49)/(365.35*24*3600)</f>
        <v>1332500.341610682</v>
      </c>
      <c r="R49" s="2">
        <f>('L-Values'!N49*'D(Ti_Jollands) Times'!$F49*0.000001)^2/(4*'D(Ti_Jollands) Times'!$C49)/(365.35*24*3600)</f>
        <v>1657958.1305756548</v>
      </c>
      <c r="S49" s="2">
        <f>('L-Values'!O49*'D(Ti_Jollands) Times'!$F49*0.000001)^2/(4*'D(Ti_Jollands) Times'!$C49)/(365.35*24*3600)</f>
        <v>1063904.0958471328</v>
      </c>
      <c r="T49" s="2"/>
      <c r="U49" s="2">
        <f>('L-Values'!Q49*'D(Ti_Jollands) Times'!$F49*0.000001)^2/(4*'D(Ti_Jollands) Times'!$C49)/(365.35*24*3600)</f>
        <v>1295085.9709134181</v>
      </c>
      <c r="V49" s="2">
        <f>('L-Values'!R49*'D(Ti_Jollands) Times'!$F49*0.000001)^2/(4*'D(Ti_Jollands) Times'!$C49)/(365.35*24*3600)</f>
        <v>1240359.076905228</v>
      </c>
      <c r="W49" s="2">
        <f>('L-Values'!S49*'D(Ti_Jollands) Times'!$F49*0.000001)^2/(4*'D(Ti_Jollands) Times'!$C49)/(365.35*24*3600)</f>
        <v>1368607.004428413</v>
      </c>
      <c r="X49" s="2"/>
      <c r="Y49" s="2">
        <f>('L-Values'!U49*'D(Ti_Jollands) Times'!$F49*0.000001)^2/(4*'D(Ti_Jollands) Times'!$C49)/(365.35*24*3600)</f>
        <v>1284045.5094565661</v>
      </c>
      <c r="Z49" s="2">
        <f>('L-Values'!V49*'D(Ti_Jollands) Times'!$F49*0.000001)^2/(4*'D(Ti_Jollands) Times'!$C49)/(365.35*24*3600)</f>
        <v>1269330.5082272217</v>
      </c>
      <c r="AA49" s="2">
        <f>('L-Values'!W49*'D(Ti_Jollands) Times'!$F49*0.000001)^2/(4*'D(Ti_Jollands) Times'!$C49)/(365.35*24*3600)</f>
        <v>616774.22655468783</v>
      </c>
      <c r="AB49" s="2">
        <f>('L-Values'!X49*'D(Ti_Jollands) Times'!$F49*0.000001)^2/(4*'D(Ti_Jollands) Times'!$C49)/(365.35*24*3600)</f>
        <v>2098159.2481046924</v>
      </c>
      <c r="AC49" s="2">
        <f t="shared" si="2"/>
        <v>652556.28167253383</v>
      </c>
      <c r="AD49" s="2">
        <f t="shared" si="3"/>
        <v>828828.73987747077</v>
      </c>
    </row>
    <row r="50" spans="1:30" x14ac:dyDescent="0.2">
      <c r="A50" t="str">
        <f>'L-Values'!A50</f>
        <v>CGI005-qtz01-CL-fit-4-offset</v>
      </c>
      <c r="B50">
        <v>750</v>
      </c>
      <c r="C50">
        <f t="shared" si="0"/>
        <v>6.6965312637759184E-25</v>
      </c>
      <c r="D50">
        <v>1700</v>
      </c>
      <c r="E50">
        <v>1024</v>
      </c>
      <c r="F50">
        <f t="shared" si="1"/>
        <v>1.66015625</v>
      </c>
      <c r="I50" s="2">
        <f>('L-Values'!E50*'D(Ti_Jollands) Times'!$F50*0.000001)^2/(4*'D(Ti_Jollands) Times'!$C50)/(365.35*24*3600)</f>
        <v>71877.698243201536</v>
      </c>
      <c r="J50" s="2">
        <f>('L-Values'!F50*'D(Ti_Jollands) Times'!$F50*0.000001)^2/(4*'D(Ti_Jollands) Times'!$C50)/(365.35*24*3600)</f>
        <v>70141.00613799291</v>
      </c>
      <c r="K50" s="2">
        <f>('L-Values'!G50*'D(Ti_Jollands) Times'!$F50*0.000001)^2/(4*'D(Ti_Jollands) Times'!$C50)/(365.35*24*3600)</f>
        <v>107670.03466895637</v>
      </c>
      <c r="L50" s="2">
        <f>('L-Values'!H50*'D(Ti_Jollands) Times'!$F50*0.000001)^2/(4*'D(Ti_Jollands) Times'!$C50)/(365.35*24*3600)</f>
        <v>110072.00759570049</v>
      </c>
      <c r="M50" s="2">
        <f>('L-Values'!I50*'D(Ti_Jollands) Times'!$F50*0.000001)^2/(4*'D(Ti_Jollands) Times'!$C50)/(365.35*24*3600)</f>
        <v>164355.19156226306</v>
      </c>
      <c r="N50" s="2">
        <f>('L-Values'!J50*'D(Ti_Jollands) Times'!$F50*0.000001)^2/(4*'D(Ti_Jollands) Times'!$C50)/(365.35*24*3600)</f>
        <v>104059.51514618627</v>
      </c>
      <c r="O50" s="2">
        <f>('L-Values'!K50*'D(Ti_Jollands) Times'!$F50*0.000001)^2/(4*'D(Ti_Jollands) Times'!$C50)/(365.35*24*3600)</f>
        <v>128169.05800080046</v>
      </c>
      <c r="P50" s="2">
        <f>('L-Values'!L50*'D(Ti_Jollands) Times'!$F50*0.000001)^2/(4*'D(Ti_Jollands) Times'!$C50)/(365.35*24*3600)</f>
        <v>109742.87613992902</v>
      </c>
      <c r="Q50" s="2">
        <f>('L-Values'!M50*'D(Ti_Jollands) Times'!$F50*0.000001)^2/(4*'D(Ti_Jollands) Times'!$C50)/(365.35*24*3600)</f>
        <v>127008.41339068282</v>
      </c>
      <c r="R50" s="2">
        <f>('L-Values'!N50*'D(Ti_Jollands) Times'!$F50*0.000001)^2/(4*'D(Ti_Jollands) Times'!$C50)/(365.35*24*3600)</f>
        <v>143203.30168731284</v>
      </c>
      <c r="S50" s="2">
        <f>('L-Values'!O50*'D(Ti_Jollands) Times'!$F50*0.000001)^2/(4*'D(Ti_Jollands) Times'!$C50)/(365.35*24*3600)</f>
        <v>108303.95401569226</v>
      </c>
      <c r="T50" s="2"/>
      <c r="U50" s="2">
        <f>('L-Values'!Q50*'D(Ti_Jollands) Times'!$F50*0.000001)^2/(4*'D(Ti_Jollands) Times'!$C50)/(365.35*24*3600)</f>
        <v>113485.36026999995</v>
      </c>
      <c r="V50" s="2">
        <f>('L-Values'!R50*'D(Ti_Jollands) Times'!$F50*0.000001)^2/(4*'D(Ti_Jollands) Times'!$C50)/(365.35*24*3600)</f>
        <v>111556.95077474513</v>
      </c>
      <c r="W50" s="2">
        <f>('L-Values'!S50*'D(Ti_Jollands) Times'!$F50*0.000001)^2/(4*'D(Ti_Jollands) Times'!$C50)/(365.35*24*3600)</f>
        <v>109742.87613992902</v>
      </c>
      <c r="X50" s="2"/>
      <c r="Y50" s="2">
        <f>('L-Values'!U50*'D(Ti_Jollands) Times'!$F50*0.000001)^2/(4*'D(Ti_Jollands) Times'!$C50)/(365.35*24*3600)</f>
        <v>113663.07721446881</v>
      </c>
      <c r="Z50" s="2">
        <f>('L-Values'!V50*'D(Ti_Jollands) Times'!$F50*0.000001)^2/(4*'D(Ti_Jollands) Times'!$C50)/(365.35*24*3600)</f>
        <v>109895.05655573217</v>
      </c>
      <c r="AA50" s="2">
        <f>('L-Values'!W50*'D(Ti_Jollands) Times'!$F50*0.000001)^2/(4*'D(Ti_Jollands) Times'!$C50)/(365.35*24*3600)</f>
        <v>27445.033439993516</v>
      </c>
      <c r="AB50" s="2">
        <f>('L-Values'!X50*'D(Ti_Jollands) Times'!$F50*0.000001)^2/(4*'D(Ti_Jollands) Times'!$C50)/(365.35*24*3600)</f>
        <v>205246.44920797279</v>
      </c>
      <c r="AC50" s="2">
        <f t="shared" si="2"/>
        <v>82450.023115738644</v>
      </c>
      <c r="AD50" s="2">
        <f t="shared" si="3"/>
        <v>95351.392652240625</v>
      </c>
    </row>
    <row r="51" spans="1:30" x14ac:dyDescent="0.2">
      <c r="A51" t="str">
        <f>'L-Values'!A51</f>
        <v>CGI005-qtz01-CL-fit-5-offset</v>
      </c>
      <c r="B51">
        <v>750</v>
      </c>
      <c r="C51">
        <f t="shared" si="0"/>
        <v>6.6965312637759184E-25</v>
      </c>
      <c r="D51">
        <v>1700</v>
      </c>
      <c r="E51">
        <v>1024</v>
      </c>
      <c r="F51">
        <f t="shared" si="1"/>
        <v>1.66015625</v>
      </c>
      <c r="I51" s="2">
        <f>('L-Values'!E51*'D(Ti_Jollands) Times'!$F51*0.000001)^2/(4*'D(Ti_Jollands) Times'!$C51)/(365.35*24*3600)</f>
        <v>624121.96080870635</v>
      </c>
      <c r="J51" s="2">
        <f>('L-Values'!F51*'D(Ti_Jollands) Times'!$F51*0.000001)^2/(4*'D(Ti_Jollands) Times'!$C51)/(365.35*24*3600)</f>
        <v>310789.80329636519</v>
      </c>
      <c r="K51" s="2">
        <f>('L-Values'!G51*'D(Ti_Jollands) Times'!$F51*0.000001)^2/(4*'D(Ti_Jollands) Times'!$C51)/(365.35*24*3600)</f>
        <v>403502.37458695297</v>
      </c>
      <c r="L51" s="2">
        <f>('L-Values'!H51*'D(Ti_Jollands) Times'!$F51*0.000001)^2/(4*'D(Ti_Jollands) Times'!$C51)/(365.35*24*3600)</f>
        <v>442163.42801945255</v>
      </c>
      <c r="M51" s="2">
        <f>('L-Values'!I51*'D(Ti_Jollands) Times'!$F51*0.000001)^2/(4*'D(Ti_Jollands) Times'!$C51)/(365.35*24*3600)</f>
        <v>397019.8599947925</v>
      </c>
      <c r="N51" s="2">
        <f>('L-Values'!J51*'D(Ti_Jollands) Times'!$F51*0.000001)^2/(4*'D(Ti_Jollands) Times'!$C51)/(365.35*24*3600)</f>
        <v>527703.28241813718</v>
      </c>
      <c r="O51" s="2">
        <f>('L-Values'!K51*'D(Ti_Jollands) Times'!$F51*0.000001)^2/(4*'D(Ti_Jollands) Times'!$C51)/(365.35*24*3600)</f>
        <v>559377.28743955516</v>
      </c>
      <c r="P51" s="2">
        <f>('L-Values'!L51*'D(Ti_Jollands) Times'!$F51*0.000001)^2/(4*'D(Ti_Jollands) Times'!$C51)/(365.35*24*3600)</f>
        <v>353974.4915180282</v>
      </c>
      <c r="Q51" s="2">
        <f>('L-Values'!M51*'D(Ti_Jollands) Times'!$F51*0.000001)^2/(4*'D(Ti_Jollands) Times'!$C51)/(365.35*24*3600)</f>
        <v>698391.04443257127</v>
      </c>
      <c r="R51" s="2">
        <f>('L-Values'!N51*'D(Ti_Jollands) Times'!$F51*0.000001)^2/(4*'D(Ti_Jollands) Times'!$C51)/(365.35*24*3600)</f>
        <v>542800.20150749269</v>
      </c>
      <c r="S51" s="2">
        <f>('L-Values'!O51*'D(Ti_Jollands) Times'!$F51*0.000001)^2/(4*'D(Ti_Jollands) Times'!$C51)/(365.35*24*3600)</f>
        <v>1333599.4912964513</v>
      </c>
      <c r="T51" s="2"/>
      <c r="U51" s="2">
        <f>('L-Values'!Q51*'D(Ti_Jollands) Times'!$F51*0.000001)^2/(4*'D(Ti_Jollands) Times'!$C51)/(365.35*24*3600)</f>
        <v>515145.86026111449</v>
      </c>
      <c r="V51" s="2">
        <f>('L-Values'!R51*'D(Ti_Jollands) Times'!$F51*0.000001)^2/(4*'D(Ti_Jollands) Times'!$C51)/(365.35*24*3600)</f>
        <v>538800.64793743321</v>
      </c>
      <c r="W51" s="2">
        <f>('L-Values'!S51*'D(Ti_Jollands) Times'!$F51*0.000001)^2/(4*'D(Ti_Jollands) Times'!$C51)/(365.35*24*3600)</f>
        <v>527703.28241813718</v>
      </c>
      <c r="X51" s="2"/>
      <c r="Y51" s="2">
        <f>('L-Values'!U51*'D(Ti_Jollands) Times'!$F51*0.000001)^2/(4*'D(Ti_Jollands) Times'!$C51)/(365.35*24*3600)</f>
        <v>471690.58779082494</v>
      </c>
      <c r="Z51" s="2">
        <f>('L-Values'!V51*'D(Ti_Jollands) Times'!$F51*0.000001)^2/(4*'D(Ti_Jollands) Times'!$C51)/(365.35*24*3600)</f>
        <v>504835.67885835766</v>
      </c>
      <c r="AA51" s="2">
        <f>('L-Values'!W51*'D(Ti_Jollands) Times'!$F51*0.000001)^2/(4*'D(Ti_Jollands) Times'!$C51)/(365.35*24*3600)</f>
        <v>214454.1868333114</v>
      </c>
      <c r="AB51" s="2">
        <f>('L-Values'!X51*'D(Ti_Jollands) Times'!$F51*0.000001)^2/(4*'D(Ti_Jollands) Times'!$C51)/(365.35*24*3600)</f>
        <v>1064539.3463289246</v>
      </c>
      <c r="AC51" s="2">
        <f t="shared" si="2"/>
        <v>290381.49202504626</v>
      </c>
      <c r="AD51" s="2">
        <f t="shared" si="3"/>
        <v>559703.66747056693</v>
      </c>
    </row>
    <row r="52" spans="1:30" x14ac:dyDescent="0.2">
      <c r="A52" t="str">
        <f>'L-Values'!A52</f>
        <v>CGI005-qtz03-CL-fit-1-offset</v>
      </c>
      <c r="B52">
        <v>750</v>
      </c>
      <c r="C52">
        <f t="shared" si="0"/>
        <v>6.6965312637759184E-25</v>
      </c>
      <c r="D52">
        <v>1400</v>
      </c>
      <c r="E52">
        <v>1024</v>
      </c>
      <c r="F52">
        <f t="shared" si="1"/>
        <v>1.3671875</v>
      </c>
      <c r="I52" s="2">
        <f>('L-Values'!E52*'D(Ti_Jollands) Times'!$F52*0.000001)^2/(4*'D(Ti_Jollands) Times'!$C52)/(365.35*24*3600)</f>
        <v>4407755.7454060242</v>
      </c>
      <c r="J52" s="2">
        <f>('L-Values'!F52*'D(Ti_Jollands) Times'!$F52*0.000001)^2/(4*'D(Ti_Jollands) Times'!$C52)/(365.35*24*3600)</f>
        <v>3011261.1558062807</v>
      </c>
      <c r="K52" s="2">
        <f>('L-Values'!G52*'D(Ti_Jollands) Times'!$F52*0.000001)^2/(4*'D(Ti_Jollands) Times'!$C52)/(365.35*24*3600)</f>
        <v>5495080.2662116168</v>
      </c>
      <c r="L52" s="2">
        <f>('L-Values'!H52*'D(Ti_Jollands) Times'!$F52*0.000001)^2/(4*'D(Ti_Jollands) Times'!$C52)/(365.35*24*3600)</f>
        <v>2163725.989779925</v>
      </c>
      <c r="M52" s="2">
        <f>('L-Values'!I52*'D(Ti_Jollands) Times'!$F52*0.000001)^2/(4*'D(Ti_Jollands) Times'!$C52)/(365.35*24*3600)</f>
        <v>4511805.0266311904</v>
      </c>
      <c r="N52" s="2">
        <f>('L-Values'!J52*'D(Ti_Jollands) Times'!$F52*0.000001)^2/(4*'D(Ti_Jollands) Times'!$C52)/(365.35*24*3600)</f>
        <v>4032818.8966289135</v>
      </c>
      <c r="O52" s="2">
        <f>('L-Values'!K52*'D(Ti_Jollands) Times'!$F52*0.000001)^2/(4*'D(Ti_Jollands) Times'!$C52)/(365.35*24*3600)</f>
        <v>5517426.5808521565</v>
      </c>
      <c r="P52" s="2">
        <f>('L-Values'!L52*'D(Ti_Jollands) Times'!$F52*0.000001)^2/(4*'D(Ti_Jollands) Times'!$C52)/(365.35*24*3600)</f>
        <v>1665217.2070151432</v>
      </c>
      <c r="Q52" s="2">
        <f>('L-Values'!M52*'D(Ti_Jollands) Times'!$F52*0.000001)^2/(4*'D(Ti_Jollands) Times'!$C52)/(365.35*24*3600)</f>
        <v>2299916.4762136922</v>
      </c>
      <c r="R52" s="2">
        <f>('L-Values'!N52*'D(Ti_Jollands) Times'!$F52*0.000001)^2/(4*'D(Ti_Jollands) Times'!$C52)/(365.35*24*3600)</f>
        <v>2031467.118962524</v>
      </c>
      <c r="S52" s="2">
        <f>('L-Values'!O52*'D(Ti_Jollands) Times'!$F52*0.000001)^2/(4*'D(Ti_Jollands) Times'!$C52)/(365.35*24*3600)</f>
        <v>3469266.5387504674</v>
      </c>
      <c r="T52" s="2"/>
      <c r="U52" s="2">
        <f>('L-Values'!Q52*'D(Ti_Jollands) Times'!$F52*0.000001)^2/(4*'D(Ti_Jollands) Times'!$C52)/(365.35*24*3600)</f>
        <v>3346596.9838594212</v>
      </c>
      <c r="V52" s="2">
        <f>('L-Values'!R52*'D(Ti_Jollands) Times'!$F52*0.000001)^2/(4*'D(Ti_Jollands) Times'!$C52)/(365.35*24*3600)</f>
        <v>3380906.5353735485</v>
      </c>
      <c r="W52" s="2">
        <f>('L-Values'!S52*'D(Ti_Jollands) Times'!$F52*0.000001)^2/(4*'D(Ti_Jollands) Times'!$C52)/(365.35*24*3600)</f>
        <v>3469266.5387504674</v>
      </c>
      <c r="X52" s="2"/>
      <c r="Y52" s="2">
        <f>('L-Values'!U52*'D(Ti_Jollands) Times'!$F52*0.000001)^2/(4*'D(Ti_Jollands) Times'!$C52)/(365.35*24*3600)</f>
        <v>3291370.5068604811</v>
      </c>
      <c r="Z52" s="2">
        <f>('L-Values'!V52*'D(Ti_Jollands) Times'!$F52*0.000001)^2/(4*'D(Ti_Jollands) Times'!$C52)/(365.35*24*3600)</f>
        <v>3426327.5420961748</v>
      </c>
      <c r="AA52" s="2">
        <f>('L-Values'!W52*'D(Ti_Jollands) Times'!$F52*0.000001)^2/(4*'D(Ti_Jollands) Times'!$C52)/(365.35*24*3600)</f>
        <v>1570615.6770961643</v>
      </c>
      <c r="AB52" s="2">
        <f>('L-Values'!X52*'D(Ti_Jollands) Times'!$F52*0.000001)^2/(4*'D(Ti_Jollands) Times'!$C52)/(365.35*24*3600)</f>
        <v>6712661.094804124</v>
      </c>
      <c r="AC52" s="2">
        <f t="shared" si="2"/>
        <v>1855711.8650000105</v>
      </c>
      <c r="AD52" s="2">
        <f t="shared" si="3"/>
        <v>3286333.5527079492</v>
      </c>
    </row>
    <row r="53" spans="1:30" x14ac:dyDescent="0.2">
      <c r="A53" t="str">
        <f>'L-Values'!A53</f>
        <v>CGI005-qtz03-CL-fit-2-offset</v>
      </c>
      <c r="B53">
        <v>750</v>
      </c>
      <c r="C53">
        <f t="shared" si="0"/>
        <v>6.6965312637759184E-25</v>
      </c>
      <c r="D53">
        <v>1400</v>
      </c>
      <c r="E53">
        <v>1024</v>
      </c>
      <c r="F53">
        <f t="shared" si="1"/>
        <v>1.3671875</v>
      </c>
      <c r="I53" s="2">
        <f>('L-Values'!E53*'D(Ti_Jollands) Times'!$F53*0.000001)^2/(4*'D(Ti_Jollands) Times'!$C53)/(365.35*24*3600)</f>
        <v>1809254.6476761654</v>
      </c>
      <c r="J53" s="2">
        <f>('L-Values'!F53*'D(Ti_Jollands) Times'!$F53*0.000001)^2/(4*'D(Ti_Jollands) Times'!$C53)/(365.35*24*3600)</f>
        <v>1461427.5063940776</v>
      </c>
      <c r="K53" s="2">
        <f>('L-Values'!G53*'D(Ti_Jollands) Times'!$F53*0.000001)^2/(4*'D(Ti_Jollands) Times'!$C53)/(365.35*24*3600)</f>
        <v>1562876.3467314069</v>
      </c>
      <c r="L53" s="2">
        <f>('L-Values'!H53*'D(Ti_Jollands) Times'!$F53*0.000001)^2/(4*'D(Ti_Jollands) Times'!$C53)/(365.35*24*3600)</f>
        <v>1646359.1226399911</v>
      </c>
      <c r="M53" s="2">
        <f>('L-Values'!I53*'D(Ti_Jollands) Times'!$F53*0.000001)^2/(4*'D(Ti_Jollands) Times'!$C53)/(365.35*24*3600)</f>
        <v>1275905.7633069973</v>
      </c>
      <c r="N53" s="2">
        <f>('L-Values'!J53*'D(Ti_Jollands) Times'!$F53*0.000001)^2/(4*'D(Ti_Jollands) Times'!$C53)/(365.35*24*3600)</f>
        <v>1837503.7016946506</v>
      </c>
      <c r="O53" s="2">
        <f>('L-Values'!K53*'D(Ti_Jollands) Times'!$F53*0.000001)^2/(4*'D(Ti_Jollands) Times'!$C53)/(365.35*24*3600)</f>
        <v>1474907.9567589262</v>
      </c>
      <c r="P53" s="2">
        <f>('L-Values'!L53*'D(Ti_Jollands) Times'!$F53*0.000001)^2/(4*'D(Ti_Jollands) Times'!$C53)/(365.35*24*3600)</f>
        <v>1407294.17556587</v>
      </c>
      <c r="Q53" s="2">
        <f>('L-Values'!M53*'D(Ti_Jollands) Times'!$F53*0.000001)^2/(4*'D(Ti_Jollands) Times'!$C53)/(365.35*24*3600)</f>
        <v>1525389.0561888251</v>
      </c>
      <c r="R53" s="2">
        <f>('L-Values'!N53*'D(Ti_Jollands) Times'!$F53*0.000001)^2/(4*'D(Ti_Jollands) Times'!$C53)/(365.35*24*3600)</f>
        <v>1218721.3438797737</v>
      </c>
      <c r="S53" s="2">
        <f>('L-Values'!O53*'D(Ti_Jollands) Times'!$F53*0.000001)^2/(4*'D(Ti_Jollands) Times'!$C53)/(365.35*24*3600)</f>
        <v>1483805.4314700379</v>
      </c>
      <c r="T53" s="2"/>
      <c r="U53" s="2">
        <f>('L-Values'!Q53*'D(Ti_Jollands) Times'!$F53*0.000001)^2/(4*'D(Ti_Jollands) Times'!$C53)/(365.35*24*3600)</f>
        <v>1525936.4142993218</v>
      </c>
      <c r="V53" s="2">
        <f>('L-Values'!R53*'D(Ti_Jollands) Times'!$F53*0.000001)^2/(4*'D(Ti_Jollands) Times'!$C53)/(365.35*24*3600)</f>
        <v>1512952.1318314944</v>
      </c>
      <c r="W53" s="2">
        <f>('L-Values'!S53*'D(Ti_Jollands) Times'!$F53*0.000001)^2/(4*'D(Ti_Jollands) Times'!$C53)/(365.35*24*3600)</f>
        <v>1483805.4314700379</v>
      </c>
      <c r="X53" s="2"/>
      <c r="Y53" s="2">
        <f>('L-Values'!U53*'D(Ti_Jollands) Times'!$F53*0.000001)^2/(4*'D(Ti_Jollands) Times'!$C53)/(365.35*24*3600)</f>
        <v>1519079.2553688462</v>
      </c>
      <c r="Z53" s="2">
        <f>('L-Values'!V53*'D(Ti_Jollands) Times'!$F53*0.000001)^2/(4*'D(Ti_Jollands) Times'!$C53)/(365.35*24*3600)</f>
        <v>1520511.3288352836</v>
      </c>
      <c r="AA53" s="2">
        <f>('L-Values'!W53*'D(Ti_Jollands) Times'!$F53*0.000001)^2/(4*'D(Ti_Jollands) Times'!$C53)/(365.35*24*3600)</f>
        <v>1157526.049422438</v>
      </c>
      <c r="AB53" s="2">
        <f>('L-Values'!X53*'D(Ti_Jollands) Times'!$F53*0.000001)^2/(4*'D(Ti_Jollands) Times'!$C53)/(365.35*24*3600)</f>
        <v>1972476.7020917076</v>
      </c>
      <c r="AC53" s="2">
        <f t="shared" si="2"/>
        <v>362985.27941284562</v>
      </c>
      <c r="AD53" s="2">
        <f t="shared" si="3"/>
        <v>451965.37325642398</v>
      </c>
    </row>
    <row r="54" spans="1:30" x14ac:dyDescent="0.2">
      <c r="A54" t="str">
        <f>'L-Values'!A54</f>
        <v>CGI005-qtz03-CL-fit-3</v>
      </c>
      <c r="B54">
        <v>750</v>
      </c>
      <c r="C54">
        <f t="shared" si="0"/>
        <v>6.6965312637759184E-25</v>
      </c>
      <c r="D54">
        <v>1400</v>
      </c>
      <c r="E54">
        <v>1024</v>
      </c>
      <c r="F54">
        <f t="shared" si="1"/>
        <v>1.3671875</v>
      </c>
      <c r="I54" s="2">
        <f>('L-Values'!E54*'D(Ti_Jollands) Times'!$F54*0.000001)^2/(4*'D(Ti_Jollands) Times'!$C54)/(365.35*24*3600)</f>
        <v>2240670.9149380624</v>
      </c>
      <c r="J54" s="2">
        <f>('L-Values'!F54*'D(Ti_Jollands) Times'!$F54*0.000001)^2/(4*'D(Ti_Jollands) Times'!$C54)/(365.35*24*3600)</f>
        <v>1760388.7523879404</v>
      </c>
      <c r="K54" s="2">
        <f>('L-Values'!G54*'D(Ti_Jollands) Times'!$F54*0.000001)^2/(4*'D(Ti_Jollands) Times'!$C54)/(365.35*24*3600)</f>
        <v>1481461.7668697517</v>
      </c>
      <c r="L54" s="2">
        <f>('L-Values'!H54*'D(Ti_Jollands) Times'!$F54*0.000001)^2/(4*'D(Ti_Jollands) Times'!$C54)/(365.35*24*3600)</f>
        <v>1526917.8383898987</v>
      </c>
      <c r="M54" s="2">
        <f>('L-Values'!I54*'D(Ti_Jollands) Times'!$F54*0.000001)^2/(4*'D(Ti_Jollands) Times'!$C54)/(365.35*24*3600)</f>
        <v>2104598.2115104445</v>
      </c>
      <c r="N54" s="2">
        <f>('L-Values'!J54*'D(Ti_Jollands) Times'!$F54*0.000001)^2/(4*'D(Ti_Jollands) Times'!$C54)/(365.35*24*3600)</f>
        <v>1718395.1848227896</v>
      </c>
      <c r="O54" s="2">
        <f>('L-Values'!K54*'D(Ti_Jollands) Times'!$F54*0.000001)^2/(4*'D(Ti_Jollands) Times'!$C54)/(365.35*24*3600)</f>
        <v>2245287.888474355</v>
      </c>
      <c r="P54" s="2">
        <f>('L-Values'!L54*'D(Ti_Jollands) Times'!$F54*0.000001)^2/(4*'D(Ti_Jollands) Times'!$C54)/(365.35*24*3600)</f>
        <v>1814358.7158154498</v>
      </c>
      <c r="Q54" s="2">
        <f>('L-Values'!M54*'D(Ti_Jollands) Times'!$F54*0.000001)^2/(4*'D(Ti_Jollands) Times'!$C54)/(365.35*24*3600)</f>
        <v>1453691.4899329802</v>
      </c>
      <c r="R54" s="2">
        <f>('L-Values'!N54*'D(Ti_Jollands) Times'!$F54*0.000001)^2/(4*'D(Ti_Jollands) Times'!$C54)/(365.35*24*3600)</f>
        <v>1806634.2784882577</v>
      </c>
      <c r="S54" s="2">
        <f>('L-Values'!O54*'D(Ti_Jollands) Times'!$F54*0.000001)^2/(4*'D(Ti_Jollands) Times'!$C54)/(365.35*24*3600)</f>
        <v>1891363.962505131</v>
      </c>
      <c r="T54" s="2"/>
      <c r="U54" s="2">
        <f>('L-Values'!Q54*'D(Ti_Jollands) Times'!$F54*0.000001)^2/(4*'D(Ti_Jollands) Times'!$C54)/(365.35*24*3600)</f>
        <v>1815013.2683297487</v>
      </c>
      <c r="V54" s="2">
        <f>('L-Values'!R54*'D(Ti_Jollands) Times'!$F54*0.000001)^2/(4*'D(Ti_Jollands) Times'!$C54)/(365.35*24*3600)</f>
        <v>1812352.7458881</v>
      </c>
      <c r="W54" s="2">
        <f>('L-Values'!S54*'D(Ti_Jollands) Times'!$F54*0.000001)^2/(4*'D(Ti_Jollands) Times'!$C54)/(365.35*24*3600)</f>
        <v>1806634.2784882577</v>
      </c>
      <c r="X54" s="2"/>
      <c r="Y54" s="2">
        <f>('L-Values'!U54*'D(Ti_Jollands) Times'!$F54*0.000001)^2/(4*'D(Ti_Jollands) Times'!$C54)/(365.35*24*3600)</f>
        <v>1804455.4084925151</v>
      </c>
      <c r="Z54" s="2">
        <f>('L-Values'!V54*'D(Ti_Jollands) Times'!$F54*0.000001)^2/(4*'D(Ti_Jollands) Times'!$C54)/(365.35*24*3600)</f>
        <v>1829269.318153936</v>
      </c>
      <c r="AA54" s="2">
        <f>('L-Values'!W54*'D(Ti_Jollands) Times'!$F54*0.000001)^2/(4*'D(Ti_Jollands) Times'!$C54)/(365.35*24*3600)</f>
        <v>1216194.2150731722</v>
      </c>
      <c r="AB54" s="2">
        <f>('L-Values'!X54*'D(Ti_Jollands) Times'!$F54*0.000001)^2/(4*'D(Ti_Jollands) Times'!$C54)/(365.35*24*3600)</f>
        <v>2670664.1933920481</v>
      </c>
      <c r="AC54" s="2">
        <f t="shared" si="2"/>
        <v>613075.10308076371</v>
      </c>
      <c r="AD54" s="2">
        <f t="shared" si="3"/>
        <v>841394.87523811217</v>
      </c>
    </row>
    <row r="55" spans="1:30" x14ac:dyDescent="0.2">
      <c r="A55" t="str">
        <f>'L-Values'!A55</f>
        <v>CGI005-qtz03-CL-fit-4-offset</v>
      </c>
      <c r="B55">
        <v>750</v>
      </c>
      <c r="C55">
        <f t="shared" si="0"/>
        <v>6.6965312637759184E-25</v>
      </c>
      <c r="D55">
        <v>1400</v>
      </c>
      <c r="E55">
        <v>1024</v>
      </c>
      <c r="F55">
        <f t="shared" si="1"/>
        <v>1.3671875</v>
      </c>
      <c r="I55" s="2">
        <f>('L-Values'!E55*'D(Ti_Jollands) Times'!$F55*0.000001)^2/(4*'D(Ti_Jollands) Times'!$C55)/(365.35*24*3600)</f>
        <v>1213609.9766931878</v>
      </c>
      <c r="J55" s="2">
        <f>('L-Values'!F55*'D(Ti_Jollands) Times'!$F55*0.000001)^2/(4*'D(Ti_Jollands) Times'!$C55)/(365.35*24*3600)</f>
        <v>1475735.4601137047</v>
      </c>
      <c r="K55" s="2">
        <f>('L-Values'!G55*'D(Ti_Jollands) Times'!$F55*0.000001)^2/(4*'D(Ti_Jollands) Times'!$C55)/(365.35*24*3600)</f>
        <v>1075136.1066217453</v>
      </c>
      <c r="L55" s="2">
        <f>('L-Values'!H55*'D(Ti_Jollands) Times'!$F55*0.000001)^2/(4*'D(Ti_Jollands) Times'!$C55)/(365.35*24*3600)</f>
        <v>1395511.8543044555</v>
      </c>
      <c r="M55" s="2">
        <f>('L-Values'!I55*'D(Ti_Jollands) Times'!$F55*0.000001)^2/(4*'D(Ti_Jollands) Times'!$C55)/(365.35*24*3600)</f>
        <v>995393.40709109674</v>
      </c>
      <c r="N55" s="2">
        <f>('L-Values'!J55*'D(Ti_Jollands) Times'!$F55*0.000001)^2/(4*'D(Ti_Jollands) Times'!$C55)/(365.35*24*3600)</f>
        <v>1582778.8232901965</v>
      </c>
      <c r="O55" s="2">
        <f>('L-Values'!K55*'D(Ti_Jollands) Times'!$F55*0.000001)^2/(4*'D(Ti_Jollands) Times'!$C55)/(365.35*24*3600)</f>
        <v>1047970.6945309866</v>
      </c>
      <c r="P55" s="2">
        <f>('L-Values'!L55*'D(Ti_Jollands) Times'!$F55*0.000001)^2/(4*'D(Ti_Jollands) Times'!$C55)/(365.35*24*3600)</f>
        <v>1743405.5917447708</v>
      </c>
      <c r="Q55" s="2">
        <f>('L-Values'!M55*'D(Ti_Jollands) Times'!$F55*0.000001)^2/(4*'D(Ti_Jollands) Times'!$C55)/(365.35*24*3600)</f>
        <v>1474236.5348972213</v>
      </c>
      <c r="R55" s="2">
        <f>('L-Values'!N55*'D(Ti_Jollands) Times'!$F55*0.000001)^2/(4*'D(Ti_Jollands) Times'!$C55)/(365.35*24*3600)</f>
        <v>1208936.9149117256</v>
      </c>
      <c r="S55" s="2">
        <f>('L-Values'!O55*'D(Ti_Jollands) Times'!$F55*0.000001)^2/(4*'D(Ti_Jollands) Times'!$C55)/(365.35*24*3600)</f>
        <v>1110910.9776448025</v>
      </c>
      <c r="T55" s="2"/>
      <c r="U55" s="2">
        <f>('L-Values'!Q55*'D(Ti_Jollands) Times'!$F55*0.000001)^2/(4*'D(Ti_Jollands) Times'!$C55)/(365.35*24*3600)</f>
        <v>1309505.7329947562</v>
      </c>
      <c r="V55" s="2">
        <f>('L-Values'!R55*'D(Ti_Jollands) Times'!$F55*0.000001)^2/(4*'D(Ti_Jollands) Times'!$C55)/(365.35*24*3600)</f>
        <v>1291777.755429534</v>
      </c>
      <c r="W55" s="2">
        <f>('L-Values'!S55*'D(Ti_Jollands) Times'!$F55*0.000001)^2/(4*'D(Ti_Jollands) Times'!$C55)/(365.35*24*3600)</f>
        <v>1213609.9766931878</v>
      </c>
      <c r="X55" s="2"/>
      <c r="Y55" s="2">
        <f>('L-Values'!U55*'D(Ti_Jollands) Times'!$F55*0.000001)^2/(4*'D(Ti_Jollands) Times'!$C55)/(365.35*24*3600)</f>
        <v>1276126.0975677217</v>
      </c>
      <c r="Z55" s="2">
        <f>('L-Values'!V55*'D(Ti_Jollands) Times'!$F55*0.000001)^2/(4*'D(Ti_Jollands) Times'!$C55)/(365.35*24*3600)</f>
        <v>1282339.3843105305</v>
      </c>
      <c r="AA55" s="2">
        <f>('L-Values'!W55*'D(Ti_Jollands) Times'!$F55*0.000001)^2/(4*'D(Ti_Jollands) Times'!$C55)/(365.35*24*3600)</f>
        <v>844670.85557140619</v>
      </c>
      <c r="AB55" s="2">
        <f>('L-Values'!X55*'D(Ti_Jollands) Times'!$F55*0.000001)^2/(4*'D(Ti_Jollands) Times'!$C55)/(365.35*24*3600)</f>
        <v>1896655.5045018629</v>
      </c>
      <c r="AC55" s="2">
        <f t="shared" si="2"/>
        <v>437668.5287391243</v>
      </c>
      <c r="AD55" s="2">
        <f t="shared" si="3"/>
        <v>614316.12019133242</v>
      </c>
    </row>
    <row r="56" spans="1:30" x14ac:dyDescent="0.2">
      <c r="A56" t="str">
        <f>'L-Values'!A56</f>
        <v>CGI005-qtz03-CL-fit-5-offset</v>
      </c>
      <c r="B56">
        <v>750</v>
      </c>
      <c r="C56">
        <f t="shared" si="0"/>
        <v>6.6965312637759184E-25</v>
      </c>
      <c r="D56">
        <v>1400</v>
      </c>
      <c r="E56">
        <v>1024</v>
      </c>
      <c r="F56">
        <f t="shared" si="1"/>
        <v>1.3671875</v>
      </c>
      <c r="I56" s="2">
        <f>('L-Values'!E56*'D(Ti_Jollands) Times'!$F56*0.000001)^2/(4*'D(Ti_Jollands) Times'!$C56)/(365.35*24*3600)</f>
        <v>108092.39366661292</v>
      </c>
      <c r="J56" s="2">
        <f>('L-Values'!F56*'D(Ti_Jollands) Times'!$F56*0.000001)^2/(4*'D(Ti_Jollands) Times'!$C56)/(365.35*24*3600)</f>
        <v>52375.101539866919</v>
      </c>
      <c r="K56" s="2">
        <f>('L-Values'!G56*'D(Ti_Jollands) Times'!$F56*0.000001)^2/(4*'D(Ti_Jollands) Times'!$C56)/(365.35*24*3600)</f>
        <v>50139.546793069654</v>
      </c>
      <c r="L56" s="2">
        <f>('L-Values'!H56*'D(Ti_Jollands) Times'!$F56*0.000001)^2/(4*'D(Ti_Jollands) Times'!$C56)/(365.35*24*3600)</f>
        <v>71916.127910009425</v>
      </c>
      <c r="M56" s="2">
        <f>('L-Values'!I56*'D(Ti_Jollands) Times'!$F56*0.000001)^2/(4*'D(Ti_Jollands) Times'!$C56)/(365.35*24*3600)</f>
        <v>64054.935697905647</v>
      </c>
      <c r="N56" s="2">
        <f>('L-Values'!J56*'D(Ti_Jollands) Times'!$F56*0.000001)^2/(4*'D(Ti_Jollands) Times'!$C56)/(365.35*24*3600)</f>
        <v>117106.32078665745</v>
      </c>
      <c r="O56" s="2">
        <f>('L-Values'!K56*'D(Ti_Jollands) Times'!$F56*0.000001)^2/(4*'D(Ti_Jollands) Times'!$C56)/(365.35*24*3600)</f>
        <v>75156.050696318824</v>
      </c>
      <c r="P56" s="2">
        <f>('L-Values'!L56*'D(Ti_Jollands) Times'!$F56*0.000001)^2/(4*'D(Ti_Jollands) Times'!$C56)/(365.35*24*3600)</f>
        <v>90925.552604641431</v>
      </c>
      <c r="Q56" s="2">
        <f>('L-Values'!M56*'D(Ti_Jollands) Times'!$F56*0.000001)^2/(4*'D(Ti_Jollands) Times'!$C56)/(365.35*24*3600)</f>
        <v>156974.73017842163</v>
      </c>
      <c r="R56" s="2">
        <f>('L-Values'!N56*'D(Ti_Jollands) Times'!$F56*0.000001)^2/(4*'D(Ti_Jollands) Times'!$C56)/(365.35*24*3600)</f>
        <v>81209.003654464439</v>
      </c>
      <c r="S56" s="2">
        <f>('L-Values'!O56*'D(Ti_Jollands) Times'!$F56*0.000001)^2/(4*'D(Ti_Jollands) Times'!$C56)/(365.35*24*3600)</f>
        <v>69517.879098927471</v>
      </c>
      <c r="T56" s="2"/>
      <c r="U56" s="2">
        <f>('L-Values'!Q56*'D(Ti_Jollands) Times'!$F56*0.000001)^2/(4*'D(Ti_Jollands) Times'!$C56)/(365.35*24*3600)</f>
        <v>86246.222605097297</v>
      </c>
      <c r="V56" s="2">
        <f>('L-Values'!R56*'D(Ti_Jollands) Times'!$F56*0.000001)^2/(4*'D(Ti_Jollands) Times'!$C56)/(365.35*24*3600)</f>
        <v>82815.17164542622</v>
      </c>
      <c r="W56" s="2">
        <f>('L-Values'!S56*'D(Ti_Jollands) Times'!$F56*0.000001)^2/(4*'D(Ti_Jollands) Times'!$C56)/(365.35*24*3600)</f>
        <v>75156.050696318824</v>
      </c>
      <c r="X56" s="2"/>
      <c r="Y56" s="2">
        <f>('L-Values'!U56*'D(Ti_Jollands) Times'!$F56*0.000001)^2/(4*'D(Ti_Jollands) Times'!$C56)/(365.35*24*3600)</f>
        <v>76506.293144513009</v>
      </c>
      <c r="Z56" s="2">
        <f>('L-Values'!V56*'D(Ti_Jollands) Times'!$F56*0.000001)^2/(4*'D(Ti_Jollands) Times'!$C56)/(365.35*24*3600)</f>
        <v>78974.475645971688</v>
      </c>
      <c r="AA56" s="2">
        <f>('L-Values'!W56*'D(Ti_Jollands) Times'!$F56*0.000001)^2/(4*'D(Ti_Jollands) Times'!$C56)/(365.35*24*3600)</f>
        <v>23906.623537253086</v>
      </c>
      <c r="AB56" s="2">
        <f>('L-Values'!X56*'D(Ti_Jollands) Times'!$F56*0.000001)^2/(4*'D(Ti_Jollands) Times'!$C56)/(365.35*24*3600)</f>
        <v>175065.60008446139</v>
      </c>
      <c r="AC56" s="2">
        <f t="shared" si="2"/>
        <v>55067.852108718602</v>
      </c>
      <c r="AD56" s="2">
        <f t="shared" si="3"/>
        <v>96091.1244384897</v>
      </c>
    </row>
    <row r="57" spans="1:30" x14ac:dyDescent="0.2">
      <c r="A57" t="str">
        <f>'L-Values'!A57</f>
        <v>CGI005-qtz03-CL-fit-6-offset</v>
      </c>
      <c r="B57">
        <v>750</v>
      </c>
      <c r="C57">
        <f t="shared" si="0"/>
        <v>6.6965312637759184E-25</v>
      </c>
      <c r="D57">
        <v>1400</v>
      </c>
      <c r="E57">
        <v>1024</v>
      </c>
      <c r="F57">
        <f t="shared" si="1"/>
        <v>1.3671875</v>
      </c>
      <c r="I57" s="2">
        <f>('L-Values'!E57*'D(Ti_Jollands) Times'!$F57*0.000001)^2/(4*'D(Ti_Jollands) Times'!$C57)/(365.35*24*3600)</f>
        <v>70889.877186279744</v>
      </c>
      <c r="J57" s="2">
        <f>('L-Values'!F57*'D(Ti_Jollands) Times'!$F57*0.000001)^2/(4*'D(Ti_Jollands) Times'!$C57)/(365.35*24*3600)</f>
        <v>51843.090074272513</v>
      </c>
      <c r="K57" s="2">
        <f>('L-Values'!G57*'D(Ti_Jollands) Times'!$F57*0.000001)^2/(4*'D(Ti_Jollands) Times'!$C57)/(365.35*24*3600)</f>
        <v>67079.349778883436</v>
      </c>
      <c r="L57" s="2">
        <f>('L-Values'!H57*'D(Ti_Jollands) Times'!$F57*0.000001)^2/(4*'D(Ti_Jollands) Times'!$C57)/(365.35*24*3600)</f>
        <v>7163.9179413371858</v>
      </c>
      <c r="M57" s="2">
        <f>('L-Values'!I57*'D(Ti_Jollands) Times'!$F57*0.000001)^2/(4*'D(Ti_Jollands) Times'!$C57)/(365.35*24*3600)</f>
        <v>22977.581760429664</v>
      </c>
      <c r="N57" s="2">
        <f>('L-Values'!J57*'D(Ti_Jollands) Times'!$F57*0.000001)^2/(4*'D(Ti_Jollands) Times'!$C57)/(365.35*24*3600)</f>
        <v>34433.250082644292</v>
      </c>
      <c r="O57" s="2">
        <f>('L-Values'!K57*'D(Ti_Jollands) Times'!$F57*0.000001)^2/(4*'D(Ti_Jollands) Times'!$C57)/(365.35*24*3600)</f>
        <v>2477.1129677004042</v>
      </c>
      <c r="P57" s="2">
        <f>('L-Values'!L57*'D(Ti_Jollands) Times'!$F57*0.000001)^2/(4*'D(Ti_Jollands) Times'!$C57)/(365.35*24*3600)</f>
        <v>7.3646991562231428</v>
      </c>
      <c r="Q57" s="2">
        <f>('L-Values'!M57*'D(Ti_Jollands) Times'!$F57*0.000001)^2/(4*'D(Ti_Jollands) Times'!$C57)/(365.35*24*3600)</f>
        <v>3.3346354255670367</v>
      </c>
      <c r="R57" s="2">
        <f>('L-Values'!N57*'D(Ti_Jollands) Times'!$F57*0.000001)^2/(4*'D(Ti_Jollands) Times'!$C57)/(365.35*24*3600)</f>
        <v>13633.534680242032</v>
      </c>
      <c r="S57" s="2">
        <f>('L-Values'!O57*'D(Ti_Jollands) Times'!$F57*0.000001)^2/(4*'D(Ti_Jollands) Times'!$C57)/(365.35*24*3600)</f>
        <v>38792.107645665339</v>
      </c>
      <c r="T57" s="2"/>
      <c r="U57" s="2">
        <f>('L-Values'!Q57*'D(Ti_Jollands) Times'!$F57*0.000001)^2/(4*'D(Ti_Jollands) Times'!$C57)/(365.35*24*3600)</f>
        <v>32575.188965799643</v>
      </c>
      <c r="V57" s="2">
        <f>('L-Values'!R57*'D(Ti_Jollands) Times'!$F57*0.000001)^2/(4*'D(Ti_Jollands) Times'!$C57)/(365.35*24*3600)</f>
        <v>19670.189144310429</v>
      </c>
      <c r="W57" s="2">
        <f>('L-Values'!S57*'D(Ti_Jollands) Times'!$F57*0.000001)^2/(4*'D(Ti_Jollands) Times'!$C57)/(365.35*24*3600)</f>
        <v>22977.581760429664</v>
      </c>
      <c r="X57" s="2"/>
      <c r="Y57" s="2">
        <f>('L-Values'!U57*'D(Ti_Jollands) Times'!$F57*0.000001)^2/(4*'D(Ti_Jollands) Times'!$C57)/(365.35*24*3600)</f>
        <v>28866.104357725198</v>
      </c>
      <c r="Z57" s="2">
        <f>('L-Values'!V57*'D(Ti_Jollands) Times'!$F57*0.000001)^2/(4*'D(Ti_Jollands) Times'!$C57)/(365.35*24*3600)</f>
        <v>25880.468496104255</v>
      </c>
      <c r="AA57" s="2">
        <f>('L-Values'!W57*'D(Ti_Jollands) Times'!$F57*0.000001)^2/(4*'D(Ti_Jollands) Times'!$C57)/(365.35*24*3600)</f>
        <v>467.58780680266091</v>
      </c>
      <c r="AB57" s="2">
        <f>('L-Values'!X57*'D(Ti_Jollands) Times'!$F57*0.000001)^2/(4*'D(Ti_Jollands) Times'!$C57)/(365.35*24*3600)</f>
        <v>95110.722013728475</v>
      </c>
      <c r="AC57" s="2">
        <f t="shared" si="2"/>
        <v>25412.880689301594</v>
      </c>
      <c r="AD57" s="2">
        <f t="shared" si="3"/>
        <v>69230.253517624224</v>
      </c>
    </row>
    <row r="58" spans="1:30" x14ac:dyDescent="0.2">
      <c r="A58" t="str">
        <f>'L-Values'!A58</f>
        <v>CGI005-qtz04-CL-fit-1-offset</v>
      </c>
      <c r="B58">
        <v>750</v>
      </c>
      <c r="C58">
        <f t="shared" si="0"/>
        <v>6.6965312637759184E-25</v>
      </c>
      <c r="D58">
        <v>1900</v>
      </c>
      <c r="E58">
        <v>1024</v>
      </c>
      <c r="F58">
        <f t="shared" si="1"/>
        <v>1.85546875</v>
      </c>
      <c r="I58" s="2">
        <f>('L-Values'!E58*'D(Ti_Jollands) Times'!$F58*0.000001)^2/(4*'D(Ti_Jollands) Times'!$C58)/(365.35*24*3600)</f>
        <v>787331.28954301891</v>
      </c>
      <c r="J58" s="2">
        <f>('L-Values'!F58*'D(Ti_Jollands) Times'!$F58*0.000001)^2/(4*'D(Ti_Jollands) Times'!$C58)/(365.35*24*3600)</f>
        <v>684598.44332856662</v>
      </c>
      <c r="K58" s="2">
        <f>('L-Values'!G58*'D(Ti_Jollands) Times'!$F58*0.000001)^2/(4*'D(Ti_Jollands) Times'!$C58)/(365.35*24*3600)</f>
        <v>673390.44372924732</v>
      </c>
      <c r="L58" s="2">
        <f>('L-Values'!H58*'D(Ti_Jollands) Times'!$F58*0.000001)^2/(4*'D(Ti_Jollands) Times'!$C58)/(365.35*24*3600)</f>
        <v>664667.87237659073</v>
      </c>
      <c r="M58" s="2">
        <f>('L-Values'!I58*'D(Ti_Jollands) Times'!$F58*0.000001)^2/(4*'D(Ti_Jollands) Times'!$C58)/(365.35*24*3600)</f>
        <v>523836.24325508933</v>
      </c>
      <c r="N58" s="2">
        <f>('L-Values'!J58*'D(Ti_Jollands) Times'!$F58*0.000001)^2/(4*'D(Ti_Jollands) Times'!$C58)/(365.35*24*3600)</f>
        <v>741213.05042910646</v>
      </c>
      <c r="O58" s="2">
        <f>('L-Values'!K58*'D(Ti_Jollands) Times'!$F58*0.000001)^2/(4*'D(Ti_Jollands) Times'!$C58)/(365.35*24*3600)</f>
        <v>698533.5577620035</v>
      </c>
      <c r="P58" s="2">
        <f>('L-Values'!L58*'D(Ti_Jollands) Times'!$F58*0.000001)^2/(4*'D(Ti_Jollands) Times'!$C58)/(365.35*24*3600)</f>
        <v>961197.11690876982</v>
      </c>
      <c r="Q58" s="2">
        <f>('L-Values'!M58*'D(Ti_Jollands) Times'!$F58*0.000001)^2/(4*'D(Ti_Jollands) Times'!$C58)/(365.35*24*3600)</f>
        <v>1175822.7996057773</v>
      </c>
      <c r="R58" s="2">
        <f>('L-Values'!N58*'D(Ti_Jollands) Times'!$F58*0.000001)^2/(4*'D(Ti_Jollands) Times'!$C58)/(365.35*24*3600)</f>
        <v>927240.55094587803</v>
      </c>
      <c r="S58" s="2">
        <f>('L-Values'!O58*'D(Ti_Jollands) Times'!$F58*0.000001)^2/(4*'D(Ti_Jollands) Times'!$C58)/(365.35*24*3600)</f>
        <v>1064177.2133576225</v>
      </c>
      <c r="T58" s="2"/>
      <c r="U58" s="2">
        <f>('L-Values'!Q58*'D(Ti_Jollands) Times'!$F58*0.000001)^2/(4*'D(Ti_Jollands) Times'!$C58)/(365.35*24*3600)</f>
        <v>782086.58438792452</v>
      </c>
      <c r="V58" s="2">
        <f>('L-Values'!R58*'D(Ti_Jollands) Times'!$F58*0.000001)^2/(4*'D(Ti_Jollands) Times'!$C58)/(365.35*24*3600)</f>
        <v>798645.40958432818</v>
      </c>
      <c r="W58" s="2">
        <f>('L-Values'!S58*'D(Ti_Jollands) Times'!$F58*0.000001)^2/(4*'D(Ti_Jollands) Times'!$C58)/(365.35*24*3600)</f>
        <v>741213.05042910646</v>
      </c>
      <c r="X58" s="2"/>
      <c r="Y58" s="2">
        <f>('L-Values'!U58*'D(Ti_Jollands) Times'!$F58*0.000001)^2/(4*'D(Ti_Jollands) Times'!$C58)/(365.35*24*3600)</f>
        <v>756335.61281742889</v>
      </c>
      <c r="Z58" s="2">
        <f>('L-Values'!V58*'D(Ti_Jollands) Times'!$F58*0.000001)^2/(4*'D(Ti_Jollands) Times'!$C58)/(365.35*24*3600)</f>
        <v>759821.13923818839</v>
      </c>
      <c r="AA58" s="2">
        <f>('L-Values'!W58*'D(Ti_Jollands) Times'!$F58*0.000001)^2/(4*'D(Ti_Jollands) Times'!$C58)/(365.35*24*3600)</f>
        <v>453424.16337306675</v>
      </c>
      <c r="AB58" s="2">
        <f>('L-Values'!X58*'D(Ti_Jollands) Times'!$F58*0.000001)^2/(4*'D(Ti_Jollands) Times'!$C58)/(365.35*24*3600)</f>
        <v>1153471.8347627523</v>
      </c>
      <c r="AC58" s="2">
        <f t="shared" si="2"/>
        <v>306396.97586512164</v>
      </c>
      <c r="AD58" s="2">
        <f t="shared" si="3"/>
        <v>393650.6955245639</v>
      </c>
    </row>
    <row r="59" spans="1:30" x14ac:dyDescent="0.2">
      <c r="A59" t="str">
        <f>'L-Values'!A59</f>
        <v>CGI005-qtz04-CL-fit-2-offset</v>
      </c>
      <c r="B59">
        <v>750</v>
      </c>
      <c r="C59">
        <f t="shared" si="0"/>
        <v>6.6965312637759184E-25</v>
      </c>
      <c r="D59">
        <v>1900</v>
      </c>
      <c r="E59">
        <v>1024</v>
      </c>
      <c r="F59">
        <f t="shared" si="1"/>
        <v>1.85546875</v>
      </c>
      <c r="I59" s="2">
        <f>('L-Values'!E59*'D(Ti_Jollands) Times'!$F59*0.000001)^2/(4*'D(Ti_Jollands) Times'!$C59)/(365.35*24*3600)</f>
        <v>1245355.1972410732</v>
      </c>
      <c r="J59" s="2">
        <f>('L-Values'!F59*'D(Ti_Jollands) Times'!$F59*0.000001)^2/(4*'D(Ti_Jollands) Times'!$C59)/(365.35*24*3600)</f>
        <v>1521379.6861234782</v>
      </c>
      <c r="K59" s="2">
        <f>('L-Values'!G59*'D(Ti_Jollands) Times'!$F59*0.000001)^2/(4*'D(Ti_Jollands) Times'!$C59)/(365.35*24*3600)</f>
        <v>1800699.8496978821</v>
      </c>
      <c r="L59" s="2">
        <f>('L-Values'!H59*'D(Ti_Jollands) Times'!$F59*0.000001)^2/(4*'D(Ti_Jollands) Times'!$C59)/(365.35*24*3600)</f>
        <v>1675652.9505212202</v>
      </c>
      <c r="M59" s="2">
        <f>('L-Values'!I59*'D(Ti_Jollands) Times'!$F59*0.000001)^2/(4*'D(Ti_Jollands) Times'!$C59)/(365.35*24*3600)</f>
        <v>1095758.2893259588</v>
      </c>
      <c r="N59" s="2">
        <f>('L-Values'!J59*'D(Ti_Jollands) Times'!$F59*0.000001)^2/(4*'D(Ti_Jollands) Times'!$C59)/(365.35*24*3600)</f>
        <v>1304573.662338784</v>
      </c>
      <c r="O59" s="2">
        <f>('L-Values'!K59*'D(Ti_Jollands) Times'!$F59*0.000001)^2/(4*'D(Ti_Jollands) Times'!$C59)/(365.35*24*3600)</f>
        <v>977592.32184051885</v>
      </c>
      <c r="P59" s="2">
        <f>('L-Values'!L59*'D(Ti_Jollands) Times'!$F59*0.000001)^2/(4*'D(Ti_Jollands) Times'!$C59)/(365.35*24*3600)</f>
        <v>1098963.1761876666</v>
      </c>
      <c r="Q59" s="2">
        <f>('L-Values'!M59*'D(Ti_Jollands) Times'!$F59*0.000001)^2/(4*'D(Ti_Jollands) Times'!$C59)/(365.35*24*3600)</f>
        <v>957249.28408972512</v>
      </c>
      <c r="R59" s="2">
        <f>('L-Values'!N59*'D(Ti_Jollands) Times'!$F59*0.000001)^2/(4*'D(Ti_Jollands) Times'!$C59)/(365.35*24*3600)</f>
        <v>1150700.5279555318</v>
      </c>
      <c r="S59" s="2">
        <f>('L-Values'!O59*'D(Ti_Jollands) Times'!$F59*0.000001)^2/(4*'D(Ti_Jollands) Times'!$C59)/(365.35*24*3600)</f>
        <v>1407908.2298539968</v>
      </c>
      <c r="T59" s="2"/>
      <c r="U59" s="2">
        <f>('L-Values'!Q59*'D(Ti_Jollands) Times'!$F59*0.000001)^2/(4*'D(Ti_Jollands) Times'!$C59)/(365.35*24*3600)</f>
        <v>1279018.451168135</v>
      </c>
      <c r="V59" s="2">
        <f>('L-Values'!R59*'D(Ti_Jollands) Times'!$F59*0.000001)^2/(4*'D(Ti_Jollands) Times'!$C59)/(365.35*24*3600)</f>
        <v>1280895.3791232691</v>
      </c>
      <c r="W59" s="2">
        <f>('L-Values'!S59*'D(Ti_Jollands) Times'!$F59*0.000001)^2/(4*'D(Ti_Jollands) Times'!$C59)/(365.35*24*3600)</f>
        <v>1245355.1972410732</v>
      </c>
      <c r="X59" s="2"/>
      <c r="Y59" s="2">
        <f>('L-Values'!U59*'D(Ti_Jollands) Times'!$F59*0.000001)^2/(4*'D(Ti_Jollands) Times'!$C59)/(365.35*24*3600)</f>
        <v>1287046.4482378343</v>
      </c>
      <c r="Z59" s="2">
        <f>('L-Values'!V59*'D(Ti_Jollands) Times'!$F59*0.000001)^2/(4*'D(Ti_Jollands) Times'!$C59)/(365.35*24*3600)</f>
        <v>1288714.3388068385</v>
      </c>
      <c r="AA59" s="2">
        <f>('L-Values'!W59*'D(Ti_Jollands) Times'!$F59*0.000001)^2/(4*'D(Ti_Jollands) Times'!$C59)/(365.35*24*3600)</f>
        <v>944552.4111469622</v>
      </c>
      <c r="AB59" s="2">
        <f>('L-Values'!X59*'D(Ti_Jollands) Times'!$F59*0.000001)^2/(4*'D(Ti_Jollands) Times'!$C59)/(365.35*24*3600)</f>
        <v>1779088.7174042731</v>
      </c>
      <c r="AC59" s="2">
        <f t="shared" si="2"/>
        <v>344161.9276598763</v>
      </c>
      <c r="AD59" s="2">
        <f t="shared" si="3"/>
        <v>490374.37859743461</v>
      </c>
    </row>
    <row r="60" spans="1:30" x14ac:dyDescent="0.2">
      <c r="A60" t="str">
        <f>'L-Values'!A60</f>
        <v>CGI005-qtz04-CL-fit-3</v>
      </c>
      <c r="B60">
        <v>750</v>
      </c>
      <c r="C60">
        <f t="shared" si="0"/>
        <v>6.6965312637759184E-25</v>
      </c>
      <c r="D60">
        <v>1900</v>
      </c>
      <c r="E60">
        <v>1024</v>
      </c>
      <c r="F60">
        <f t="shared" si="1"/>
        <v>1.85546875</v>
      </c>
      <c r="I60" s="2">
        <f>('L-Values'!E60*'D(Ti_Jollands) Times'!$F60*0.000001)^2/(4*'D(Ti_Jollands) Times'!$C60)/(365.35*24*3600)</f>
        <v>138672.38367450231</v>
      </c>
      <c r="J60" s="2">
        <f>('L-Values'!F60*'D(Ti_Jollands) Times'!$F60*0.000001)^2/(4*'D(Ti_Jollands) Times'!$C60)/(365.35*24*3600)</f>
        <v>209477.8905826257</v>
      </c>
      <c r="K60" s="2">
        <f>('L-Values'!G60*'D(Ti_Jollands) Times'!$F60*0.000001)^2/(4*'D(Ti_Jollands) Times'!$C60)/(365.35*24*3600)</f>
        <v>311375.23350158962</v>
      </c>
      <c r="L60" s="2">
        <f>('L-Values'!H60*'D(Ti_Jollands) Times'!$F60*0.000001)^2/(4*'D(Ti_Jollands) Times'!$C60)/(365.35*24*3600)</f>
        <v>295334.51516221865</v>
      </c>
      <c r="M60" s="2">
        <f>('L-Values'!I60*'D(Ti_Jollands) Times'!$F60*0.000001)^2/(4*'D(Ti_Jollands) Times'!$C60)/(365.35*24*3600)</f>
        <v>189711.02540409609</v>
      </c>
      <c r="N60" s="2">
        <f>('L-Values'!J60*'D(Ti_Jollands) Times'!$F60*0.000001)^2/(4*'D(Ti_Jollands) Times'!$C60)/(365.35*24*3600)</f>
        <v>229736.3089182566</v>
      </c>
      <c r="O60" s="2">
        <f>('L-Values'!K60*'D(Ti_Jollands) Times'!$F60*0.000001)^2/(4*'D(Ti_Jollands) Times'!$C60)/(365.35*24*3600)</f>
        <v>206747.15593857769</v>
      </c>
      <c r="P60" s="2">
        <f>('L-Values'!L60*'D(Ti_Jollands) Times'!$F60*0.000001)^2/(4*'D(Ti_Jollands) Times'!$C60)/(365.35*24*3600)</f>
        <v>254190.36322054107</v>
      </c>
      <c r="Q60" s="2">
        <f>('L-Values'!M60*'D(Ti_Jollands) Times'!$F60*0.000001)^2/(4*'D(Ti_Jollands) Times'!$C60)/(365.35*24*3600)</f>
        <v>182016.57672150162</v>
      </c>
      <c r="R60" s="2">
        <f>('L-Values'!N60*'D(Ti_Jollands) Times'!$F60*0.000001)^2/(4*'D(Ti_Jollands) Times'!$C60)/(365.35*24*3600)</f>
        <v>161822.79575938321</v>
      </c>
      <c r="S60" s="2">
        <f>('L-Values'!O60*'D(Ti_Jollands) Times'!$F60*0.000001)^2/(4*'D(Ti_Jollands) Times'!$C60)/(365.35*24*3600)</f>
        <v>264786.66987461329</v>
      </c>
      <c r="T60" s="2"/>
      <c r="U60" s="2">
        <f>('L-Values'!Q60*'D(Ti_Jollands) Times'!$F60*0.000001)^2/(4*'D(Ti_Jollands) Times'!$C60)/(365.35*24*3600)</f>
        <v>218357.58250081266</v>
      </c>
      <c r="V60" s="2">
        <f>('L-Values'!R60*'D(Ti_Jollands) Times'!$F60*0.000001)^2/(4*'D(Ti_Jollands) Times'!$C60)/(365.35*24*3600)</f>
        <v>219087.49857011589</v>
      </c>
      <c r="W60" s="2">
        <f>('L-Values'!S60*'D(Ti_Jollands) Times'!$F60*0.000001)^2/(4*'D(Ti_Jollands) Times'!$C60)/(365.35*24*3600)</f>
        <v>209477.8905826257</v>
      </c>
      <c r="X60" s="2"/>
      <c r="Y60" s="2">
        <f>('L-Values'!U60*'D(Ti_Jollands) Times'!$F60*0.000001)^2/(4*'D(Ti_Jollands) Times'!$C60)/(365.35*24*3600)</f>
        <v>218152.78925123464</v>
      </c>
      <c r="Z60" s="2">
        <f>('L-Values'!V60*'D(Ti_Jollands) Times'!$F60*0.000001)^2/(4*'D(Ti_Jollands) Times'!$C60)/(365.35*24*3600)</f>
        <v>223882.47531602878</v>
      </c>
      <c r="AA60" s="2">
        <f>('L-Values'!W60*'D(Ti_Jollands) Times'!$F60*0.000001)^2/(4*'D(Ti_Jollands) Times'!$C60)/(365.35*24*3600)</f>
        <v>89563.11683033983</v>
      </c>
      <c r="AB60" s="2">
        <f>('L-Values'!X60*'D(Ti_Jollands) Times'!$F60*0.000001)^2/(4*'D(Ti_Jollands) Times'!$C60)/(365.35*24*3600)</f>
        <v>423709.47332340758</v>
      </c>
      <c r="AC60" s="2">
        <f t="shared" si="2"/>
        <v>134319.35848568895</v>
      </c>
      <c r="AD60" s="2">
        <f t="shared" si="3"/>
        <v>199826.9980073788</v>
      </c>
    </row>
    <row r="61" spans="1:30" x14ac:dyDescent="0.2">
      <c r="A61" t="str">
        <f>'L-Values'!A61</f>
        <v>CGI005-qtz04-CL-fit-4-offset</v>
      </c>
      <c r="B61">
        <v>750</v>
      </c>
      <c r="C61">
        <f t="shared" si="0"/>
        <v>6.6965312637759184E-25</v>
      </c>
      <c r="D61">
        <v>1900</v>
      </c>
      <c r="E61">
        <v>1024</v>
      </c>
      <c r="F61">
        <f t="shared" si="1"/>
        <v>1.85546875</v>
      </c>
      <c r="I61" s="2">
        <f>('L-Values'!E61*'D(Ti_Jollands) Times'!$F61*0.000001)^2/(4*'D(Ti_Jollands) Times'!$C61)/(365.35*24*3600)</f>
        <v>231436.87376940265</v>
      </c>
      <c r="J61" s="2">
        <f>('L-Values'!F61*'D(Ti_Jollands) Times'!$F61*0.000001)^2/(4*'D(Ti_Jollands) Times'!$C61)/(365.35*24*3600)</f>
        <v>335029.31279592571</v>
      </c>
      <c r="K61" s="2">
        <f>('L-Values'!G61*'D(Ti_Jollands) Times'!$F61*0.000001)^2/(4*'D(Ti_Jollands) Times'!$C61)/(365.35*24*3600)</f>
        <v>510514.97235153028</v>
      </c>
      <c r="L61" s="2">
        <f>('L-Values'!H61*'D(Ti_Jollands) Times'!$F61*0.000001)^2/(4*'D(Ti_Jollands) Times'!$C61)/(365.35*24*3600)</f>
        <v>636211.32403670042</v>
      </c>
      <c r="M61" s="2">
        <f>('L-Values'!I61*'D(Ti_Jollands) Times'!$F61*0.000001)^2/(4*'D(Ti_Jollands) Times'!$C61)/(365.35*24*3600)</f>
        <v>405541.55810443411</v>
      </c>
      <c r="N61" s="2">
        <f>('L-Values'!J61*'D(Ti_Jollands) Times'!$F61*0.000001)^2/(4*'D(Ti_Jollands) Times'!$C61)/(365.35*24*3600)</f>
        <v>223124.01764178285</v>
      </c>
      <c r="O61" s="2">
        <f>('L-Values'!K61*'D(Ti_Jollands) Times'!$F61*0.000001)^2/(4*'D(Ti_Jollands) Times'!$C61)/(365.35*24*3600)</f>
        <v>462150.62641513871</v>
      </c>
      <c r="P61" s="2">
        <f>('L-Values'!L61*'D(Ti_Jollands) Times'!$F61*0.000001)^2/(4*'D(Ti_Jollands) Times'!$C61)/(365.35*24*3600)</f>
        <v>382979.86661435041</v>
      </c>
      <c r="Q61" s="2">
        <f>('L-Values'!M61*'D(Ti_Jollands) Times'!$F61*0.000001)^2/(4*'D(Ti_Jollands) Times'!$C61)/(365.35*24*3600)</f>
        <v>347574.23888874264</v>
      </c>
      <c r="R61" s="2">
        <f>('L-Values'!N61*'D(Ti_Jollands) Times'!$F61*0.000001)^2/(4*'D(Ti_Jollands) Times'!$C61)/(365.35*24*3600)</f>
        <v>202270.39374543083</v>
      </c>
      <c r="S61" s="2">
        <f>('L-Values'!O61*'D(Ti_Jollands) Times'!$F61*0.000001)^2/(4*'D(Ti_Jollands) Times'!$C61)/(365.35*24*3600)</f>
        <v>280617.42384962179</v>
      </c>
      <c r="T61" s="2"/>
      <c r="U61" s="2">
        <f>('L-Values'!Q61*'D(Ti_Jollands) Times'!$F61*0.000001)^2/(4*'D(Ti_Jollands) Times'!$C61)/(365.35*24*3600)</f>
        <v>355599.57800474181</v>
      </c>
      <c r="V61" s="2">
        <f>('L-Values'!R61*'D(Ti_Jollands) Times'!$F61*0.000001)^2/(4*'D(Ti_Jollands) Times'!$C61)/(365.35*24*3600)</f>
        <v>354448.34620756883</v>
      </c>
      <c r="W61" s="2">
        <f>('L-Values'!S61*'D(Ti_Jollands) Times'!$F61*0.000001)^2/(4*'D(Ti_Jollands) Times'!$C61)/(365.35*24*3600)</f>
        <v>347574.23888874264</v>
      </c>
      <c r="X61" s="2"/>
      <c r="Y61" s="2">
        <f>('L-Values'!U61*'D(Ti_Jollands) Times'!$F61*0.000001)^2/(4*'D(Ti_Jollands) Times'!$C61)/(365.35*24*3600)</f>
        <v>335220.90606420964</v>
      </c>
      <c r="Z61" s="2">
        <f>('L-Values'!V61*'D(Ti_Jollands) Times'!$F61*0.000001)^2/(4*'D(Ti_Jollands) Times'!$C61)/(365.35*24*3600)</f>
        <v>347110.49615566473</v>
      </c>
      <c r="AA61" s="2">
        <f>('L-Values'!W61*'D(Ti_Jollands) Times'!$F61*0.000001)^2/(4*'D(Ti_Jollands) Times'!$C61)/(365.35*24*3600)</f>
        <v>120907.93500121511</v>
      </c>
      <c r="AB61" s="2">
        <f>('L-Values'!X61*'D(Ti_Jollands) Times'!$F61*0.000001)^2/(4*'D(Ti_Jollands) Times'!$C61)/(365.35*24*3600)</f>
        <v>897381.90881521825</v>
      </c>
      <c r="AC61" s="2">
        <f t="shared" si="2"/>
        <v>226202.56115444962</v>
      </c>
      <c r="AD61" s="2">
        <f t="shared" si="3"/>
        <v>550271.41265955358</v>
      </c>
    </row>
    <row r="62" spans="1:30" x14ac:dyDescent="0.2">
      <c r="A62" t="str">
        <f>'L-Values'!A62</f>
        <v>CGI005-qtz04-CL-fit-5-offset</v>
      </c>
      <c r="B62">
        <v>750</v>
      </c>
      <c r="C62">
        <f t="shared" si="0"/>
        <v>6.6965312637759184E-25</v>
      </c>
      <c r="D62">
        <v>1900</v>
      </c>
      <c r="E62">
        <v>1024</v>
      </c>
      <c r="F62">
        <f t="shared" si="1"/>
        <v>1.85546875</v>
      </c>
      <c r="I62" s="2">
        <f>('L-Values'!E62*'D(Ti_Jollands) Times'!$F62*0.000001)^2/(4*'D(Ti_Jollands) Times'!$C62)/(365.35*24*3600)</f>
        <v>149671.67131048098</v>
      </c>
      <c r="J62" s="2">
        <f>('L-Values'!F62*'D(Ti_Jollands) Times'!$F62*0.000001)^2/(4*'D(Ti_Jollands) Times'!$C62)/(365.35*24*3600)</f>
        <v>229954.44470549922</v>
      </c>
      <c r="K62" s="2">
        <f>('L-Values'!G62*'D(Ti_Jollands) Times'!$F62*0.000001)^2/(4*'D(Ti_Jollands) Times'!$C62)/(365.35*24*3600)</f>
        <v>179853.23404045755</v>
      </c>
      <c r="L62" s="2">
        <f>('L-Values'!H62*'D(Ti_Jollands) Times'!$F62*0.000001)^2/(4*'D(Ti_Jollands) Times'!$C62)/(365.35*24*3600)</f>
        <v>217581.89057120326</v>
      </c>
      <c r="M62" s="2">
        <f>('L-Values'!I62*'D(Ti_Jollands) Times'!$F62*0.000001)^2/(4*'D(Ti_Jollands) Times'!$C62)/(365.35*24*3600)</f>
        <v>281680.6562571309</v>
      </c>
      <c r="N62" s="2">
        <f>('L-Values'!J62*'D(Ti_Jollands) Times'!$F62*0.000001)^2/(4*'D(Ti_Jollands) Times'!$C62)/(365.35*24*3600)</f>
        <v>173921.89021691377</v>
      </c>
      <c r="O62" s="2">
        <f>('L-Values'!K62*'D(Ti_Jollands) Times'!$F62*0.000001)^2/(4*'D(Ti_Jollands) Times'!$C62)/(365.35*24*3600)</f>
        <v>210697.62718252765</v>
      </c>
      <c r="P62" s="2">
        <f>('L-Values'!L62*'D(Ti_Jollands) Times'!$F62*0.000001)^2/(4*'D(Ti_Jollands) Times'!$C62)/(365.35*24*3600)</f>
        <v>235971.74926951673</v>
      </c>
      <c r="Q62" s="2">
        <f>('L-Values'!M62*'D(Ti_Jollands) Times'!$F62*0.000001)^2/(4*'D(Ti_Jollands) Times'!$C62)/(365.35*24*3600)</f>
        <v>310968.0073252435</v>
      </c>
      <c r="R62" s="2">
        <f>('L-Values'!N62*'D(Ti_Jollands) Times'!$F62*0.000001)^2/(4*'D(Ti_Jollands) Times'!$C62)/(365.35*24*3600)</f>
        <v>170602.58734153403</v>
      </c>
      <c r="S62" s="2">
        <f>('L-Values'!O62*'D(Ti_Jollands) Times'!$F62*0.000001)^2/(4*'D(Ti_Jollands) Times'!$C62)/(365.35*24*3600)</f>
        <v>302128.4174599346</v>
      </c>
      <c r="T62" s="2"/>
      <c r="U62" s="2">
        <f>('L-Values'!Q62*'D(Ti_Jollands) Times'!$F62*0.000001)^2/(4*'D(Ti_Jollands) Times'!$C62)/(365.35*24*3600)</f>
        <v>231459.34748119873</v>
      </c>
      <c r="V62" s="2">
        <f>('L-Values'!R62*'D(Ti_Jollands) Times'!$F62*0.000001)^2/(4*'D(Ti_Jollands) Times'!$C62)/(365.35*24*3600)</f>
        <v>220888.74097401713</v>
      </c>
      <c r="W62" s="2">
        <f>('L-Values'!S62*'D(Ti_Jollands) Times'!$F62*0.000001)^2/(4*'D(Ti_Jollands) Times'!$C62)/(365.35*24*3600)</f>
        <v>217581.89057120326</v>
      </c>
      <c r="X62" s="2"/>
      <c r="Y62" s="2">
        <f>('L-Values'!U62*'D(Ti_Jollands) Times'!$F62*0.000001)^2/(4*'D(Ti_Jollands) Times'!$C62)/(365.35*24*3600)</f>
        <v>228501.43731382204</v>
      </c>
      <c r="Z62" s="2">
        <f>('L-Values'!V62*'D(Ti_Jollands) Times'!$F62*0.000001)^2/(4*'D(Ti_Jollands) Times'!$C62)/(365.35*24*3600)</f>
        <v>235515.61119605385</v>
      </c>
      <c r="AA62" s="2">
        <f>('L-Values'!W62*'D(Ti_Jollands) Times'!$F62*0.000001)^2/(4*'D(Ti_Jollands) Times'!$C62)/(365.35*24*3600)</f>
        <v>104418.84464042303</v>
      </c>
      <c r="AB62" s="2">
        <f>('L-Values'!X62*'D(Ti_Jollands) Times'!$F62*0.000001)^2/(4*'D(Ti_Jollands) Times'!$C62)/(365.35*24*3600)</f>
        <v>458013.09500314703</v>
      </c>
      <c r="AC62" s="2">
        <f t="shared" si="2"/>
        <v>131096.76655563083</v>
      </c>
      <c r="AD62" s="2">
        <f t="shared" si="3"/>
        <v>222497.48380709317</v>
      </c>
    </row>
    <row r="63" spans="1:30" x14ac:dyDescent="0.2">
      <c r="A63" t="str">
        <f>'L-Values'!A63</f>
        <v>CGI005-qtz05-CL-fit-1-offset</v>
      </c>
      <c r="B63">
        <v>750</v>
      </c>
      <c r="C63">
        <f t="shared" si="0"/>
        <v>6.6965312637759184E-25</v>
      </c>
      <c r="D63">
        <v>1900</v>
      </c>
      <c r="E63">
        <v>1024</v>
      </c>
      <c r="F63">
        <f t="shared" si="1"/>
        <v>1.85546875</v>
      </c>
      <c r="I63" s="2">
        <f>('L-Values'!E63*'D(Ti_Jollands) Times'!$F63*0.000001)^2/(4*'D(Ti_Jollands) Times'!$C63)/(365.35*24*3600)</f>
        <v>591648.05564619706</v>
      </c>
      <c r="J63" s="2">
        <f>('L-Values'!F63*'D(Ti_Jollands) Times'!$F63*0.000001)^2/(4*'D(Ti_Jollands) Times'!$C63)/(365.35*24*3600)</f>
        <v>1724.4361147659608</v>
      </c>
      <c r="K63" s="2">
        <f>('L-Values'!G63*'D(Ti_Jollands) Times'!$F63*0.000001)^2/(4*'D(Ti_Jollands) Times'!$C63)/(365.35*24*3600)</f>
        <v>1140546.9404688745</v>
      </c>
      <c r="L63" s="2">
        <f>('L-Values'!H63*'D(Ti_Jollands) Times'!$F63*0.000001)^2/(4*'D(Ti_Jollands) Times'!$C63)/(365.35*24*3600)</f>
        <v>3540.1104210704862</v>
      </c>
      <c r="M63" s="2">
        <f>('L-Values'!I63*'D(Ti_Jollands) Times'!$F63*0.000001)^2/(4*'D(Ti_Jollands) Times'!$C63)/(365.35*24*3600)</f>
        <v>1590581.3666569151</v>
      </c>
      <c r="N63" s="2">
        <f>('L-Values'!J63*'D(Ti_Jollands) Times'!$F63*0.000001)^2/(4*'D(Ti_Jollands) Times'!$C63)/(365.35*24*3600)</f>
        <v>20887.270300844408</v>
      </c>
      <c r="O63" s="2">
        <f>('L-Values'!K63*'D(Ti_Jollands) Times'!$F63*0.000001)^2/(4*'D(Ti_Jollands) Times'!$C63)/(365.35*24*3600)</f>
        <v>221193.72250065301</v>
      </c>
      <c r="P63" s="2">
        <f>('L-Values'!L63*'D(Ti_Jollands) Times'!$F63*0.000001)^2/(4*'D(Ti_Jollands) Times'!$C63)/(365.35*24*3600)</f>
        <v>407637.29042625747</v>
      </c>
      <c r="Q63" s="2">
        <f>('L-Values'!M63*'D(Ti_Jollands) Times'!$F63*0.000001)^2/(4*'D(Ti_Jollands) Times'!$C63)/(365.35*24*3600)</f>
        <v>2899134.9543649652</v>
      </c>
      <c r="R63" s="2">
        <f>('L-Values'!N63*'D(Ti_Jollands) Times'!$F63*0.000001)^2/(4*'D(Ti_Jollands) Times'!$C63)/(365.35*24*3600)</f>
        <v>634683.5117499507</v>
      </c>
      <c r="S63" s="2">
        <f>('L-Values'!O63*'D(Ti_Jollands) Times'!$F63*0.000001)^2/(4*'D(Ti_Jollands) Times'!$C63)/(365.35*24*3600)</f>
        <v>87.010566313417215</v>
      </c>
      <c r="T63" s="2"/>
      <c r="U63" s="2">
        <f>('L-Values'!Q63*'D(Ti_Jollands) Times'!$F63*0.000001)^2/(4*'D(Ti_Jollands) Times'!$C63)/(365.35*24*3600)</f>
        <v>561666.9608043707</v>
      </c>
      <c r="V63" s="2">
        <f>('L-Values'!R63*'D(Ti_Jollands) Times'!$F63*0.000001)^2/(4*'D(Ti_Jollands) Times'!$C63)/(365.35*24*3600)</f>
        <v>400498.26155643206</v>
      </c>
      <c r="W63" s="2">
        <f>('L-Values'!S63*'D(Ti_Jollands) Times'!$F63*0.000001)^2/(4*'D(Ti_Jollands) Times'!$C63)/(365.35*24*3600)</f>
        <v>407637.29042625747</v>
      </c>
      <c r="X63" s="2"/>
      <c r="Y63" s="2">
        <f>('L-Values'!U63*'D(Ti_Jollands) Times'!$F63*0.000001)^2/(4*'D(Ti_Jollands) Times'!$C63)/(365.35*24*3600)</f>
        <v>446796.86901098205</v>
      </c>
      <c r="Z63" s="2">
        <f>('L-Values'!V63*'D(Ti_Jollands) Times'!$F63*0.000001)^2/(4*'D(Ti_Jollands) Times'!$C63)/(365.35*24*3600)</f>
        <v>454715.667215975</v>
      </c>
      <c r="AA63" s="2">
        <f>('L-Values'!W63*'D(Ti_Jollands) Times'!$F63*0.000001)^2/(4*'D(Ti_Jollands) Times'!$C63)/(365.35*24*3600)</f>
        <v>2.9989322387349841E-6</v>
      </c>
      <c r="AB63" s="2">
        <f>('L-Values'!X63*'D(Ti_Jollands) Times'!$F63*0.000001)^2/(4*'D(Ti_Jollands) Times'!$C63)/(365.35*24*3600)</f>
        <v>1938827.4959231913</v>
      </c>
      <c r="AC63" s="2">
        <f t="shared" si="2"/>
        <v>454715.66721297608</v>
      </c>
      <c r="AD63" s="2">
        <f t="shared" si="3"/>
        <v>1484111.8287072163</v>
      </c>
    </row>
    <row r="64" spans="1:30" x14ac:dyDescent="0.2">
      <c r="A64" t="str">
        <f>'L-Values'!A64</f>
        <v>CGI005-qtz05-CL-fit-2-offset</v>
      </c>
      <c r="B64">
        <v>750</v>
      </c>
      <c r="C64">
        <f t="shared" si="0"/>
        <v>6.6965312637759184E-25</v>
      </c>
      <c r="D64">
        <v>1900</v>
      </c>
      <c r="E64">
        <v>1024</v>
      </c>
      <c r="F64">
        <f t="shared" si="1"/>
        <v>1.85546875</v>
      </c>
      <c r="I64" s="2">
        <f>('L-Values'!E64*'D(Ti_Jollands) Times'!$F64*0.000001)^2/(4*'D(Ti_Jollands) Times'!$C64)/(365.35*24*3600)</f>
        <v>2101317.1782974256</v>
      </c>
      <c r="J64" s="2">
        <f>('L-Values'!F64*'D(Ti_Jollands) Times'!$F64*0.000001)^2/(4*'D(Ti_Jollands) Times'!$C64)/(365.35*24*3600)</f>
        <v>1141808.5536712476</v>
      </c>
      <c r="K64" s="2">
        <f>('L-Values'!G64*'D(Ti_Jollands) Times'!$F64*0.000001)^2/(4*'D(Ti_Jollands) Times'!$C64)/(365.35*24*3600)</f>
        <v>1047740.466253925</v>
      </c>
      <c r="L64" s="2">
        <f>('L-Values'!H64*'D(Ti_Jollands) Times'!$F64*0.000001)^2/(4*'D(Ti_Jollands) Times'!$C64)/(365.35*24*3600)</f>
        <v>2877620.1183725963</v>
      </c>
      <c r="M64" s="2">
        <f>('L-Values'!I64*'D(Ti_Jollands) Times'!$F64*0.000001)^2/(4*'D(Ti_Jollands) Times'!$C64)/(365.35*24*3600)</f>
        <v>1972856.2255551144</v>
      </c>
      <c r="N64" s="2">
        <f>('L-Values'!J64*'D(Ti_Jollands) Times'!$F64*0.000001)^2/(4*'D(Ti_Jollands) Times'!$C64)/(365.35*24*3600)</f>
        <v>1178371.0549257579</v>
      </c>
      <c r="O64" s="2">
        <f>('L-Values'!K64*'D(Ti_Jollands) Times'!$F64*0.000001)^2/(4*'D(Ti_Jollands) Times'!$C64)/(365.35*24*3600)</f>
        <v>1773308.4308017539</v>
      </c>
      <c r="P64" s="2">
        <f>('L-Values'!L64*'D(Ti_Jollands) Times'!$F64*0.000001)^2/(4*'D(Ti_Jollands) Times'!$C64)/(365.35*24*3600)</f>
        <v>1154761.6113256223</v>
      </c>
      <c r="Q64" s="2">
        <f>('L-Values'!M64*'D(Ti_Jollands) Times'!$F64*0.000001)^2/(4*'D(Ti_Jollands) Times'!$C64)/(365.35*24*3600)</f>
        <v>2301553.2185079767</v>
      </c>
      <c r="R64" s="2">
        <f>('L-Values'!N64*'D(Ti_Jollands) Times'!$F64*0.000001)^2/(4*'D(Ti_Jollands) Times'!$C64)/(365.35*24*3600)</f>
        <v>5235634.4773273123</v>
      </c>
      <c r="S64" s="2">
        <f>('L-Values'!O64*'D(Ti_Jollands) Times'!$F64*0.000001)^2/(4*'D(Ti_Jollands) Times'!$C64)/(365.35*24*3600)</f>
        <v>3029176.6753176362</v>
      </c>
      <c r="T64" s="2"/>
      <c r="U64" s="2">
        <f>('L-Values'!Q64*'D(Ti_Jollands) Times'!$F64*0.000001)^2/(4*'D(Ti_Jollands) Times'!$C64)/(365.35*24*3600)</f>
        <v>1829328.9370945082</v>
      </c>
      <c r="V64" s="2">
        <f>('L-Values'!R64*'D(Ti_Jollands) Times'!$F64*0.000001)^2/(4*'D(Ti_Jollands) Times'!$C64)/(365.35*24*3600)</f>
        <v>2031959.7969687344</v>
      </c>
      <c r="W64" s="2">
        <f>('L-Values'!S64*'D(Ti_Jollands) Times'!$F64*0.000001)^2/(4*'D(Ti_Jollands) Times'!$C64)/(365.35*24*3600)</f>
        <v>1972856.2255551144</v>
      </c>
      <c r="X64" s="2"/>
      <c r="Y64" s="2">
        <f>('L-Values'!U64*'D(Ti_Jollands) Times'!$F64*0.000001)^2/(4*'D(Ti_Jollands) Times'!$C64)/(365.35*24*3600)</f>
        <v>1958494.4324623018</v>
      </c>
      <c r="Z64" s="2">
        <f>('L-Values'!V64*'D(Ti_Jollands) Times'!$F64*0.000001)^2/(4*'D(Ti_Jollands) Times'!$C64)/(365.35*24*3600)</f>
        <v>2109952.4685451877</v>
      </c>
      <c r="AA64" s="2">
        <f>('L-Values'!W64*'D(Ti_Jollands) Times'!$F64*0.000001)^2/(4*'D(Ti_Jollands) Times'!$C64)/(365.35*24*3600)</f>
        <v>103061.3683156796</v>
      </c>
      <c r="AB64" s="2">
        <f>('L-Values'!X64*'D(Ti_Jollands) Times'!$F64*0.000001)^2/(4*'D(Ti_Jollands) Times'!$C64)/(365.35*24*3600)</f>
        <v>9472466.7436013259</v>
      </c>
      <c r="AC64" s="2">
        <f t="shared" si="2"/>
        <v>2006891.1002295082</v>
      </c>
      <c r="AD64" s="2">
        <f t="shared" si="3"/>
        <v>7362514.2750561386</v>
      </c>
    </row>
    <row r="65" spans="1:30" x14ac:dyDescent="0.2">
      <c r="A65" t="str">
        <f>'L-Values'!A65</f>
        <v>CGI005-qtz05-CL-fit-3-offset</v>
      </c>
      <c r="B65">
        <v>750</v>
      </c>
      <c r="C65">
        <f t="shared" si="0"/>
        <v>6.6965312637759184E-25</v>
      </c>
      <c r="D65">
        <v>1900</v>
      </c>
      <c r="E65">
        <v>1024</v>
      </c>
      <c r="F65">
        <f t="shared" si="1"/>
        <v>1.85546875</v>
      </c>
      <c r="I65" s="2">
        <f>('L-Values'!E65*'D(Ti_Jollands) Times'!$F65*0.000001)^2/(4*'D(Ti_Jollands) Times'!$C65)/(365.35*24*3600)</f>
        <v>884594.22156498919</v>
      </c>
      <c r="J65" s="2">
        <f>('L-Values'!F65*'D(Ti_Jollands) Times'!$F65*0.000001)^2/(4*'D(Ti_Jollands) Times'!$C65)/(365.35*24*3600)</f>
        <v>9316.3979111169283</v>
      </c>
      <c r="K65" s="2">
        <f>('L-Values'!G65*'D(Ti_Jollands) Times'!$F65*0.000001)^2/(4*'D(Ti_Jollands) Times'!$C65)/(365.35*24*3600)</f>
        <v>1680901.0225144352</v>
      </c>
      <c r="L65" s="2">
        <f>('L-Values'!H65*'D(Ti_Jollands) Times'!$F65*0.000001)^2/(4*'D(Ti_Jollands) Times'!$C65)/(365.35*24*3600)</f>
        <v>1041352.3110640032</v>
      </c>
      <c r="M65" s="2">
        <f>('L-Values'!I65*'D(Ti_Jollands) Times'!$F65*0.000001)^2/(4*'D(Ti_Jollands) Times'!$C65)/(365.35*24*3600)</f>
        <v>1847126.3450478793</v>
      </c>
      <c r="N65" s="2">
        <f>('L-Values'!J65*'D(Ti_Jollands) Times'!$F65*0.000001)^2/(4*'D(Ti_Jollands) Times'!$C65)/(365.35*24*3600)</f>
        <v>1902834.8447533017</v>
      </c>
      <c r="O65" s="2">
        <f>('L-Values'!K65*'D(Ti_Jollands) Times'!$F65*0.000001)^2/(4*'D(Ti_Jollands) Times'!$C65)/(365.35*24*3600)</f>
        <v>938176.08374869637</v>
      </c>
      <c r="P65" s="2">
        <f>('L-Values'!L65*'D(Ti_Jollands) Times'!$F65*0.000001)^2/(4*'D(Ti_Jollands) Times'!$C65)/(365.35*24*3600)</f>
        <v>0</v>
      </c>
      <c r="Q65" s="2">
        <f>('L-Values'!M65*'D(Ti_Jollands) Times'!$F65*0.000001)^2/(4*'D(Ti_Jollands) Times'!$C65)/(365.35*24*3600)</f>
        <v>3113066.2250521537</v>
      </c>
      <c r="R65" s="2">
        <f>('L-Values'!N65*'D(Ti_Jollands) Times'!$F65*0.000001)^2/(4*'D(Ti_Jollands) Times'!$C65)/(365.35*24*3600)</f>
        <v>1788036.739138386</v>
      </c>
      <c r="S65" s="2">
        <f>('L-Values'!O65*'D(Ti_Jollands) Times'!$F65*0.000001)^2/(4*'D(Ti_Jollands) Times'!$C65)/(365.35*24*3600)</f>
        <v>1514177.3656312146</v>
      </c>
      <c r="T65" s="2"/>
      <c r="U65" s="2">
        <f>('L-Values'!Q65*'D(Ti_Jollands) Times'!$F65*0.000001)^2/(4*'D(Ti_Jollands) Times'!$C65)/(365.35*24*3600)</f>
        <v>1631254.8652529549</v>
      </c>
      <c r="V65" s="2">
        <f>('L-Values'!R65*'D(Ti_Jollands) Times'!$F65*0.000001)^2/(4*'D(Ti_Jollands) Times'!$C65)/(365.35*24*3600)</f>
        <v>1298053.0076907433</v>
      </c>
      <c r="W65" s="2">
        <f>('L-Values'!S65*'D(Ti_Jollands) Times'!$F65*0.000001)^2/(4*'D(Ti_Jollands) Times'!$C65)/(365.35*24*3600)</f>
        <v>1596450.968599916</v>
      </c>
      <c r="X65" s="2"/>
      <c r="Y65" s="2">
        <f>('L-Values'!U65*'D(Ti_Jollands) Times'!$F65*0.000001)^2/(4*'D(Ti_Jollands) Times'!$C65)/(365.35*24*3600)</f>
        <v>1555186.2185550407</v>
      </c>
      <c r="Z65" s="2">
        <f>('L-Values'!V65*'D(Ti_Jollands) Times'!$F65*0.000001)^2/(4*'D(Ti_Jollands) Times'!$C65)/(365.35*24*3600)</f>
        <v>1655145.6338133134</v>
      </c>
      <c r="AA65" s="2">
        <f>('L-Values'!W65*'D(Ti_Jollands) Times'!$F65*0.000001)^2/(4*'D(Ti_Jollands) Times'!$C65)/(365.35*24*3600)</f>
        <v>402076.13243310835</v>
      </c>
      <c r="AB65" s="2">
        <f>('L-Values'!X65*'D(Ti_Jollands) Times'!$F65*0.000001)^2/(4*'D(Ti_Jollands) Times'!$C65)/(365.35*24*3600)</f>
        <v>5744988.3979316596</v>
      </c>
      <c r="AC65" s="2">
        <f t="shared" si="2"/>
        <v>1253069.5013802052</v>
      </c>
      <c r="AD65" s="2">
        <f t="shared" si="3"/>
        <v>4089842.7641183464</v>
      </c>
    </row>
    <row r="66" spans="1:30" x14ac:dyDescent="0.2">
      <c r="A66" t="str">
        <f>'L-Values'!A66</f>
        <v>CGI005-qtz06-CL-fit-1-offset</v>
      </c>
      <c r="B66">
        <v>750</v>
      </c>
      <c r="C66">
        <f t="shared" si="0"/>
        <v>6.6965312637759184E-25</v>
      </c>
      <c r="D66">
        <v>2050</v>
      </c>
      <c r="E66">
        <v>1024</v>
      </c>
      <c r="F66">
        <f t="shared" si="1"/>
        <v>2.001953125</v>
      </c>
      <c r="I66" s="2">
        <f>('L-Values'!E66*'D(Ti_Jollands) Times'!$F66*0.000001)^2/(4*'D(Ti_Jollands) Times'!$C66)/(365.35*24*3600)</f>
        <v>6192577.7373897834</v>
      </c>
      <c r="J66" s="2">
        <f>('L-Values'!F66*'D(Ti_Jollands) Times'!$F66*0.000001)^2/(4*'D(Ti_Jollands) Times'!$C66)/(365.35*24*3600)</f>
        <v>4805665.9440427115</v>
      </c>
      <c r="K66" s="2">
        <f>('L-Values'!G66*'D(Ti_Jollands) Times'!$F66*0.000001)^2/(4*'D(Ti_Jollands) Times'!$C66)/(365.35*24*3600)</f>
        <v>8141577.8064669687</v>
      </c>
      <c r="L66" s="2">
        <f>('L-Values'!H66*'D(Ti_Jollands) Times'!$F66*0.000001)^2/(4*'D(Ti_Jollands) Times'!$C66)/(365.35*24*3600)</f>
        <v>6160803.9743822133</v>
      </c>
      <c r="M66" s="2">
        <f>('L-Values'!I66*'D(Ti_Jollands) Times'!$F66*0.000001)^2/(4*'D(Ti_Jollands) Times'!$C66)/(365.35*24*3600)</f>
        <v>4883660.8466334762</v>
      </c>
      <c r="N66" s="2">
        <f>('L-Values'!J66*'D(Ti_Jollands) Times'!$F66*0.000001)^2/(4*'D(Ti_Jollands) Times'!$C66)/(365.35*24*3600)</f>
        <v>5111753.5344554875</v>
      </c>
      <c r="O66" s="2">
        <f>('L-Values'!K66*'D(Ti_Jollands) Times'!$F66*0.000001)^2/(4*'D(Ti_Jollands) Times'!$C66)/(365.35*24*3600)</f>
        <v>7247851.5667631114</v>
      </c>
      <c r="P66" s="2">
        <f>('L-Values'!L66*'D(Ti_Jollands) Times'!$F66*0.000001)^2/(4*'D(Ti_Jollands) Times'!$C66)/(365.35*24*3600)</f>
        <v>7104065.0157346288</v>
      </c>
      <c r="Q66" s="2">
        <f>('L-Values'!M66*'D(Ti_Jollands) Times'!$F66*0.000001)^2/(4*'D(Ti_Jollands) Times'!$C66)/(365.35*24*3600)</f>
        <v>4300129.4558142181</v>
      </c>
      <c r="R66" s="2">
        <f>('L-Values'!N66*'D(Ti_Jollands) Times'!$F66*0.000001)^2/(4*'D(Ti_Jollands) Times'!$C66)/(365.35*24*3600)</f>
        <v>8034705.9324757801</v>
      </c>
      <c r="S66" s="2">
        <f>('L-Values'!O66*'D(Ti_Jollands) Times'!$F66*0.000001)^2/(4*'D(Ti_Jollands) Times'!$C66)/(365.35*24*3600)</f>
        <v>5182955.601455804</v>
      </c>
      <c r="T66" s="2"/>
      <c r="U66" s="2">
        <f>('L-Values'!Q66*'D(Ti_Jollands) Times'!$F66*0.000001)^2/(4*'D(Ti_Jollands) Times'!$C66)/(365.35*24*3600)</f>
        <v>6017788.9341297541</v>
      </c>
      <c r="V66" s="2">
        <f>('L-Values'!R66*'D(Ti_Jollands) Times'!$F66*0.000001)^2/(4*'D(Ti_Jollands) Times'!$C66)/(365.35*24*3600)</f>
        <v>6037877.9707988398</v>
      </c>
      <c r="W66" s="2">
        <f>('L-Values'!S66*'D(Ti_Jollands) Times'!$F66*0.000001)^2/(4*'D(Ti_Jollands) Times'!$C66)/(365.35*24*3600)</f>
        <v>6160803.9743822133</v>
      </c>
      <c r="X66" s="2"/>
      <c r="Y66" s="2">
        <f>('L-Values'!U66*'D(Ti_Jollands) Times'!$F66*0.000001)^2/(4*'D(Ti_Jollands) Times'!$C66)/(365.35*24*3600)</f>
        <v>6057412.1548065795</v>
      </c>
      <c r="Z66" s="2">
        <f>('L-Values'!V66*'D(Ti_Jollands) Times'!$F66*0.000001)^2/(4*'D(Ti_Jollands) Times'!$C66)/(365.35*24*3600)</f>
        <v>6090710.8761114348</v>
      </c>
      <c r="AA66" s="2">
        <f>('L-Values'!W66*'D(Ti_Jollands) Times'!$F66*0.000001)^2/(4*'D(Ti_Jollands) Times'!$C66)/(365.35*24*3600)</f>
        <v>4242969.0473699868</v>
      </c>
      <c r="AB66" s="2">
        <f>('L-Values'!X66*'D(Ti_Jollands) Times'!$F66*0.000001)^2/(4*'D(Ti_Jollands) Times'!$C66)/(365.35*24*3600)</f>
        <v>8373876.2147248136</v>
      </c>
      <c r="AC66" s="2">
        <f t="shared" si="2"/>
        <v>1847741.828741448</v>
      </c>
      <c r="AD66" s="2">
        <f t="shared" si="3"/>
        <v>2283165.3386133788</v>
      </c>
    </row>
    <row r="67" spans="1:30" x14ac:dyDescent="0.2">
      <c r="A67" t="str">
        <f>'L-Values'!A67</f>
        <v>CGI005-qtz06-CL-fit-2-offset</v>
      </c>
      <c r="B67">
        <v>750</v>
      </c>
      <c r="C67">
        <f t="shared" ref="C67:C130" si="4">10^(-8.3-(311/(2.303*0.00831451*(B67+273.15))))</f>
        <v>6.6965312637759184E-25</v>
      </c>
      <c r="D67">
        <v>2050</v>
      </c>
      <c r="E67">
        <v>1024</v>
      </c>
      <c r="F67">
        <f t="shared" ref="F67:F130" si="5">D67/E67</f>
        <v>2.001953125</v>
      </c>
      <c r="I67" s="2">
        <f>('L-Values'!E67*'D(Ti_Jollands) Times'!$F67*0.000001)^2/(4*'D(Ti_Jollands) Times'!$C67)/(365.35*24*3600)</f>
        <v>1858001.2147261901</v>
      </c>
      <c r="J67" s="2">
        <f>('L-Values'!F67*'D(Ti_Jollands) Times'!$F67*0.000001)^2/(4*'D(Ti_Jollands) Times'!$C67)/(365.35*24*3600)</f>
        <v>1801485.4035821809</v>
      </c>
      <c r="K67" s="2">
        <f>('L-Values'!G67*'D(Ti_Jollands) Times'!$F67*0.000001)^2/(4*'D(Ti_Jollands) Times'!$C67)/(365.35*24*3600)</f>
        <v>2095229.2749459101</v>
      </c>
      <c r="L67" s="2">
        <f>('L-Values'!H67*'D(Ti_Jollands) Times'!$F67*0.000001)^2/(4*'D(Ti_Jollands) Times'!$C67)/(365.35*24*3600)</f>
        <v>1742417.5168724279</v>
      </c>
      <c r="M67" s="2">
        <f>('L-Values'!I67*'D(Ti_Jollands) Times'!$F67*0.000001)^2/(4*'D(Ti_Jollands) Times'!$C67)/(365.35*24*3600)</f>
        <v>1589746.7200801997</v>
      </c>
      <c r="N67" s="2">
        <f>('L-Values'!J67*'D(Ti_Jollands) Times'!$F67*0.000001)^2/(4*'D(Ti_Jollands) Times'!$C67)/(365.35*24*3600)</f>
        <v>1766654.3235710247</v>
      </c>
      <c r="O67" s="2">
        <f>('L-Values'!K67*'D(Ti_Jollands) Times'!$F67*0.000001)^2/(4*'D(Ti_Jollands) Times'!$C67)/(365.35*24*3600)</f>
        <v>1623769.3049307072</v>
      </c>
      <c r="P67" s="2">
        <f>('L-Values'!L67*'D(Ti_Jollands) Times'!$F67*0.000001)^2/(4*'D(Ti_Jollands) Times'!$C67)/(365.35*24*3600)</f>
        <v>1532469.827053328</v>
      </c>
      <c r="Q67" s="2">
        <f>('L-Values'!M67*'D(Ti_Jollands) Times'!$F67*0.000001)^2/(4*'D(Ti_Jollands) Times'!$C67)/(365.35*24*3600)</f>
        <v>1983765.7870935469</v>
      </c>
      <c r="R67" s="2">
        <f>('L-Values'!N67*'D(Ti_Jollands) Times'!$F67*0.000001)^2/(4*'D(Ti_Jollands) Times'!$C67)/(365.35*24*3600)</f>
        <v>2283579.2365898364</v>
      </c>
      <c r="S67" s="2">
        <f>('L-Values'!O67*'D(Ti_Jollands) Times'!$F67*0.000001)^2/(4*'D(Ti_Jollands) Times'!$C67)/(365.35*24*3600)</f>
        <v>1796803.3230128437</v>
      </c>
      <c r="T67" s="2"/>
      <c r="U67" s="2">
        <f>('L-Values'!Q67*'D(Ti_Jollands) Times'!$F67*0.000001)^2/(4*'D(Ti_Jollands) Times'!$C67)/(365.35*24*3600)</f>
        <v>1831906.2827900026</v>
      </c>
      <c r="V67" s="2">
        <f>('L-Values'!R67*'D(Ti_Jollands) Times'!$F67*0.000001)^2/(4*'D(Ti_Jollands) Times'!$C67)/(365.35*24*3600)</f>
        <v>1818831.8867320169</v>
      </c>
      <c r="W67" s="2">
        <f>('L-Values'!S67*'D(Ti_Jollands) Times'!$F67*0.000001)^2/(4*'D(Ti_Jollands) Times'!$C67)/(365.35*24*3600)</f>
        <v>1796803.3230128437</v>
      </c>
      <c r="X67" s="2"/>
      <c r="Y67" s="2">
        <f>('L-Values'!U67*'D(Ti_Jollands) Times'!$F67*0.000001)^2/(4*'D(Ti_Jollands) Times'!$C67)/(365.35*24*3600)</f>
        <v>1802178.4652545133</v>
      </c>
      <c r="Z67" s="2">
        <f>('L-Values'!V67*'D(Ti_Jollands) Times'!$F67*0.000001)^2/(4*'D(Ti_Jollands) Times'!$C67)/(365.35*24*3600)</f>
        <v>1807965.1628088483</v>
      </c>
      <c r="AA67" s="2">
        <f>('L-Values'!W67*'D(Ti_Jollands) Times'!$F67*0.000001)^2/(4*'D(Ti_Jollands) Times'!$C67)/(365.35*24*3600)</f>
        <v>1242353.3640862585</v>
      </c>
      <c r="AB67" s="2">
        <f>('L-Values'!X67*'D(Ti_Jollands) Times'!$F67*0.000001)^2/(4*'D(Ti_Jollands) Times'!$C67)/(365.35*24*3600)</f>
        <v>2493749.1302201422</v>
      </c>
      <c r="AC67" s="2">
        <f t="shared" ref="AC67:AC130" si="6">Z67-AA67</f>
        <v>565611.79872258985</v>
      </c>
      <c r="AD67" s="2">
        <f t="shared" ref="AD67:AD130" si="7">AB67-Z67</f>
        <v>685783.96741129388</v>
      </c>
    </row>
    <row r="68" spans="1:30" x14ac:dyDescent="0.2">
      <c r="A68" t="str">
        <f>'L-Values'!A68</f>
        <v>CGI005-qtz06-CL-fit-3-offset</v>
      </c>
      <c r="B68">
        <v>750</v>
      </c>
      <c r="C68">
        <f t="shared" si="4"/>
        <v>6.6965312637759184E-25</v>
      </c>
      <c r="D68">
        <v>2050</v>
      </c>
      <c r="E68">
        <v>1024</v>
      </c>
      <c r="F68">
        <f t="shared" si="5"/>
        <v>2.001953125</v>
      </c>
      <c r="I68" s="2">
        <f>('L-Values'!E68*'D(Ti_Jollands) Times'!$F68*0.000001)^2/(4*'D(Ti_Jollands) Times'!$C68)/(365.35*24*3600)</f>
        <v>946678.5442753305</v>
      </c>
      <c r="J68" s="2">
        <f>('L-Values'!F68*'D(Ti_Jollands) Times'!$F68*0.000001)^2/(4*'D(Ti_Jollands) Times'!$C68)/(365.35*24*3600)</f>
        <v>1149315.0547797841</v>
      </c>
      <c r="K68" s="2">
        <f>('L-Values'!G68*'D(Ti_Jollands) Times'!$F68*0.000001)^2/(4*'D(Ti_Jollands) Times'!$C68)/(365.35*24*3600)</f>
        <v>1517908.219818132</v>
      </c>
      <c r="L68" s="2">
        <f>('L-Values'!H68*'D(Ti_Jollands) Times'!$F68*0.000001)^2/(4*'D(Ti_Jollands) Times'!$C68)/(365.35*24*3600)</f>
        <v>1110396.8674923147</v>
      </c>
      <c r="M68" s="2">
        <f>('L-Values'!I68*'D(Ti_Jollands) Times'!$F68*0.000001)^2/(4*'D(Ti_Jollands) Times'!$C68)/(365.35*24*3600)</f>
        <v>1576070.6119014346</v>
      </c>
      <c r="N68" s="2">
        <f>('L-Values'!J68*'D(Ti_Jollands) Times'!$F68*0.000001)^2/(4*'D(Ti_Jollands) Times'!$C68)/(365.35*24*3600)</f>
        <v>2018020.5482699757</v>
      </c>
      <c r="O68" s="2">
        <f>('L-Values'!K68*'D(Ti_Jollands) Times'!$F68*0.000001)^2/(4*'D(Ti_Jollands) Times'!$C68)/(365.35*24*3600)</f>
        <v>1313375.7126471847</v>
      </c>
      <c r="P68" s="2">
        <f>('L-Values'!L68*'D(Ti_Jollands) Times'!$F68*0.000001)^2/(4*'D(Ti_Jollands) Times'!$C68)/(365.35*24*3600)</f>
        <v>688449.35734956525</v>
      </c>
      <c r="Q68" s="2">
        <f>('L-Values'!M68*'D(Ti_Jollands) Times'!$F68*0.000001)^2/(4*'D(Ti_Jollands) Times'!$C68)/(365.35*24*3600)</f>
        <v>1145069.3693310546</v>
      </c>
      <c r="R68" s="2">
        <f>('L-Values'!N68*'D(Ti_Jollands) Times'!$F68*0.000001)^2/(4*'D(Ti_Jollands) Times'!$C68)/(365.35*24*3600)</f>
        <v>543032.30373413383</v>
      </c>
      <c r="S68" s="2">
        <f>('L-Values'!O68*'D(Ti_Jollands) Times'!$F68*0.000001)^2/(4*'D(Ti_Jollands) Times'!$C68)/(365.35*24*3600)</f>
        <v>1362364.7028523786</v>
      </c>
      <c r="T68" s="2"/>
      <c r="U68" s="2">
        <f>('L-Values'!Q68*'D(Ti_Jollands) Times'!$F68*0.000001)^2/(4*'D(Ti_Jollands) Times'!$C68)/(365.35*24*3600)</f>
        <v>1178304.6470967252</v>
      </c>
      <c r="V68" s="2">
        <f>('L-Values'!R68*'D(Ti_Jollands) Times'!$F68*0.000001)^2/(4*'D(Ti_Jollands) Times'!$C68)/(365.35*24*3600)</f>
        <v>1181520.5440610575</v>
      </c>
      <c r="W68" s="2">
        <f>('L-Values'!S68*'D(Ti_Jollands) Times'!$F68*0.000001)^2/(4*'D(Ti_Jollands) Times'!$C68)/(365.35*24*3600)</f>
        <v>1149315.0547797841</v>
      </c>
      <c r="X68" s="2"/>
      <c r="Y68" s="2">
        <f>('L-Values'!U68*'D(Ti_Jollands) Times'!$F68*0.000001)^2/(4*'D(Ti_Jollands) Times'!$C68)/(365.35*24*3600)</f>
        <v>1236098.8049543968</v>
      </c>
      <c r="Z68" s="2">
        <f>('L-Values'!V68*'D(Ti_Jollands) Times'!$F68*0.000001)^2/(4*'D(Ti_Jollands) Times'!$C68)/(365.35*24*3600)</f>
        <v>1262827.1827330522</v>
      </c>
      <c r="AA68" s="2">
        <f>('L-Values'!W68*'D(Ti_Jollands) Times'!$F68*0.000001)^2/(4*'D(Ti_Jollands) Times'!$C68)/(365.35*24*3600)</f>
        <v>562908.11905996804</v>
      </c>
      <c r="AB68" s="2">
        <f>('L-Values'!X68*'D(Ti_Jollands) Times'!$F68*0.000001)^2/(4*'D(Ti_Jollands) Times'!$C68)/(365.35*24*3600)</f>
        <v>2576366.8749979679</v>
      </c>
      <c r="AC68" s="2">
        <f t="shared" si="6"/>
        <v>699919.06367308414</v>
      </c>
      <c r="AD68" s="2">
        <f t="shared" si="7"/>
        <v>1313539.6922649157</v>
      </c>
    </row>
    <row r="69" spans="1:30" x14ac:dyDescent="0.2">
      <c r="A69" t="str">
        <f>'L-Values'!A69</f>
        <v>CGI005-qtz06-CL-fit-4</v>
      </c>
      <c r="B69">
        <v>750</v>
      </c>
      <c r="C69">
        <f t="shared" si="4"/>
        <v>6.6965312637759184E-25</v>
      </c>
      <c r="D69">
        <v>2050</v>
      </c>
      <c r="E69">
        <v>1024</v>
      </c>
      <c r="F69">
        <f t="shared" si="5"/>
        <v>2.001953125</v>
      </c>
      <c r="I69" s="2">
        <f>('L-Values'!E69*'D(Ti_Jollands) Times'!$F69*0.000001)^2/(4*'D(Ti_Jollands) Times'!$C69)/(365.35*24*3600)</f>
        <v>53475.091907816131</v>
      </c>
      <c r="J69" s="2">
        <f>('L-Values'!F69*'D(Ti_Jollands) Times'!$F69*0.000001)^2/(4*'D(Ti_Jollands) Times'!$C69)/(365.35*24*3600)</f>
        <v>174993.43165032173</v>
      </c>
      <c r="K69" s="2">
        <f>('L-Values'!G69*'D(Ti_Jollands) Times'!$F69*0.000001)^2/(4*'D(Ti_Jollands) Times'!$C69)/(365.35*24*3600)</f>
        <v>60709.799781654532</v>
      </c>
      <c r="L69" s="2">
        <f>('L-Values'!H69*'D(Ti_Jollands) Times'!$F69*0.000001)^2/(4*'D(Ti_Jollands) Times'!$C69)/(365.35*24*3600)</f>
        <v>37295.657605087079</v>
      </c>
      <c r="M69" s="2">
        <f>('L-Values'!I69*'D(Ti_Jollands) Times'!$F69*0.000001)^2/(4*'D(Ti_Jollands) Times'!$C69)/(365.35*24*3600)</f>
        <v>64490.609803187515</v>
      </c>
      <c r="N69" s="2">
        <f>('L-Values'!J69*'D(Ti_Jollands) Times'!$F69*0.000001)^2/(4*'D(Ti_Jollands) Times'!$C69)/(365.35*24*3600)</f>
        <v>103931.71145477294</v>
      </c>
      <c r="O69" s="2">
        <f>('L-Values'!K69*'D(Ti_Jollands) Times'!$F69*0.000001)^2/(4*'D(Ti_Jollands) Times'!$C69)/(365.35*24*3600)</f>
        <v>1412.2685356017103</v>
      </c>
      <c r="P69" s="2">
        <f>('L-Values'!L69*'D(Ti_Jollands) Times'!$F69*0.000001)^2/(4*'D(Ti_Jollands) Times'!$C69)/(365.35*24*3600)</f>
        <v>65287.16637648279</v>
      </c>
      <c r="Q69" s="2">
        <f>('L-Values'!M69*'D(Ti_Jollands) Times'!$F69*0.000001)^2/(4*'D(Ti_Jollands) Times'!$C69)/(365.35*24*3600)</f>
        <v>114356.88493721969</v>
      </c>
      <c r="R69" s="2">
        <f>('L-Values'!N69*'D(Ti_Jollands) Times'!$F69*0.000001)^2/(4*'D(Ti_Jollands) Times'!$C69)/(365.35*24*3600)</f>
        <v>99808.762144312743</v>
      </c>
      <c r="S69" s="2">
        <f>('L-Values'!O69*'D(Ti_Jollands) Times'!$F69*0.000001)^2/(4*'D(Ti_Jollands) Times'!$C69)/(365.35*24*3600)</f>
        <v>100313.72461971475</v>
      </c>
      <c r="T69" s="2"/>
      <c r="U69" s="2">
        <f>('L-Values'!Q69*'D(Ti_Jollands) Times'!$F69*0.000001)^2/(4*'D(Ti_Jollands) Times'!$C69)/(365.35*24*3600)</f>
        <v>92585.85417145885</v>
      </c>
      <c r="V69" s="2">
        <f>('L-Values'!R69*'D(Ti_Jollands) Times'!$F69*0.000001)^2/(4*'D(Ti_Jollands) Times'!$C69)/(365.35*24*3600)</f>
        <v>70917.004495543573</v>
      </c>
      <c r="W69" s="2">
        <f>('L-Values'!S69*'D(Ti_Jollands) Times'!$F69*0.000001)^2/(4*'D(Ti_Jollands) Times'!$C69)/(365.35*24*3600)</f>
        <v>65287.16637648279</v>
      </c>
      <c r="X69" s="2"/>
      <c r="Y69" s="2">
        <f>('L-Values'!U69*'D(Ti_Jollands) Times'!$F69*0.000001)^2/(4*'D(Ti_Jollands) Times'!$C69)/(365.35*24*3600)</f>
        <v>85237.934520721974</v>
      </c>
      <c r="Z69" s="2">
        <f>('L-Values'!V69*'D(Ti_Jollands) Times'!$F69*0.000001)^2/(4*'D(Ti_Jollands) Times'!$C69)/(365.35*24*3600)</f>
        <v>85339.488019933429</v>
      </c>
      <c r="AA69" s="2">
        <f>('L-Values'!W69*'D(Ti_Jollands) Times'!$F69*0.000001)^2/(4*'D(Ti_Jollands) Times'!$C69)/(365.35*24*3600)</f>
        <v>2930.3505420565248</v>
      </c>
      <c r="AB69" s="2">
        <f>('L-Values'!X69*'D(Ti_Jollands) Times'!$F69*0.000001)^2/(4*'D(Ti_Jollands) Times'!$C69)/(365.35*24*3600)</f>
        <v>290114.2668641925</v>
      </c>
      <c r="AC69" s="2">
        <f t="shared" si="6"/>
        <v>82409.13747787691</v>
      </c>
      <c r="AD69" s="2">
        <f t="shared" si="7"/>
        <v>204774.77884425907</v>
      </c>
    </row>
    <row r="70" spans="1:30" x14ac:dyDescent="0.2">
      <c r="A70" t="str">
        <f>'L-Values'!A70</f>
        <v>CGI005-qtz07-CL-fit-1-offset</v>
      </c>
      <c r="B70">
        <v>750</v>
      </c>
      <c r="C70">
        <f t="shared" si="4"/>
        <v>6.6965312637759184E-25</v>
      </c>
      <c r="D70">
        <v>2100</v>
      </c>
      <c r="E70">
        <v>1024</v>
      </c>
      <c r="F70">
        <f t="shared" si="5"/>
        <v>2.05078125</v>
      </c>
      <c r="I70" s="2">
        <f>('L-Values'!E70*'D(Ti_Jollands) Times'!$F70*0.000001)^2/(4*'D(Ti_Jollands) Times'!$C70)/(365.35*24*3600)</f>
        <v>1331859.9744090936</v>
      </c>
      <c r="J70" s="2">
        <f>('L-Values'!F70*'D(Ti_Jollands) Times'!$F70*0.000001)^2/(4*'D(Ti_Jollands) Times'!$C70)/(365.35*24*3600)</f>
        <v>1251827.9937752294</v>
      </c>
      <c r="K70" s="2">
        <f>('L-Values'!G70*'D(Ti_Jollands) Times'!$F70*0.000001)^2/(4*'D(Ti_Jollands) Times'!$C70)/(365.35*24*3600)</f>
        <v>1798318.8192404911</v>
      </c>
      <c r="L70" s="2">
        <f>('L-Values'!H70*'D(Ti_Jollands) Times'!$F70*0.000001)^2/(4*'D(Ti_Jollands) Times'!$C70)/(365.35*24*3600)</f>
        <v>2106318.2827342423</v>
      </c>
      <c r="M70" s="2">
        <f>('L-Values'!I70*'D(Ti_Jollands) Times'!$F70*0.000001)^2/(4*'D(Ti_Jollands) Times'!$C70)/(365.35*24*3600)</f>
        <v>2152244.132815944</v>
      </c>
      <c r="N70" s="2">
        <f>('L-Values'!J70*'D(Ti_Jollands) Times'!$F70*0.000001)^2/(4*'D(Ti_Jollands) Times'!$C70)/(365.35*24*3600)</f>
        <v>1841201.0642470401</v>
      </c>
      <c r="O70" s="2">
        <f>('L-Values'!K70*'D(Ti_Jollands) Times'!$F70*0.000001)^2/(4*'D(Ti_Jollands) Times'!$C70)/(365.35*24*3600)</f>
        <v>1492843.4103674679</v>
      </c>
      <c r="P70" s="2">
        <f>('L-Values'!L70*'D(Ti_Jollands) Times'!$F70*0.000001)^2/(4*'D(Ti_Jollands) Times'!$C70)/(365.35*24*3600)</f>
        <v>1040912.5643783886</v>
      </c>
      <c r="Q70" s="2">
        <f>('L-Values'!M70*'D(Ti_Jollands) Times'!$F70*0.000001)^2/(4*'D(Ti_Jollands) Times'!$C70)/(365.35*24*3600)</f>
        <v>1304640.2114716456</v>
      </c>
      <c r="R70" s="2">
        <f>('L-Values'!N70*'D(Ti_Jollands) Times'!$F70*0.000001)^2/(4*'D(Ti_Jollands) Times'!$C70)/(365.35*24*3600)</f>
        <v>834677.91447747243</v>
      </c>
      <c r="S70" s="2">
        <f>('L-Values'!O70*'D(Ti_Jollands) Times'!$F70*0.000001)^2/(4*'D(Ti_Jollands) Times'!$C70)/(365.35*24*3600)</f>
        <v>1195773.1949936207</v>
      </c>
      <c r="T70" s="2"/>
      <c r="U70" s="2">
        <f>('L-Values'!Q70*'D(Ti_Jollands) Times'!$F70*0.000001)^2/(4*'D(Ti_Jollands) Times'!$C70)/(365.35*24*3600)</f>
        <v>1470016.5812515181</v>
      </c>
      <c r="V70" s="2">
        <f>('L-Values'!R70*'D(Ti_Jollands) Times'!$F70*0.000001)^2/(4*'D(Ti_Jollands) Times'!$C70)/(365.35*24*3600)</f>
        <v>1457640.4384634888</v>
      </c>
      <c r="W70" s="2">
        <f>('L-Values'!S70*'D(Ti_Jollands) Times'!$F70*0.000001)^2/(4*'D(Ti_Jollands) Times'!$C70)/(365.35*24*3600)</f>
        <v>1331859.9744090936</v>
      </c>
      <c r="X70" s="2"/>
      <c r="Y70" s="2">
        <f>('L-Values'!U70*'D(Ti_Jollands) Times'!$F70*0.000001)^2/(4*'D(Ti_Jollands) Times'!$C70)/(365.35*24*3600)</f>
        <v>1429212.6157268777</v>
      </c>
      <c r="Z70" s="2">
        <f>('L-Values'!V70*'D(Ti_Jollands) Times'!$F70*0.000001)^2/(4*'D(Ti_Jollands) Times'!$C70)/(365.35*24*3600)</f>
        <v>1435089.2256782085</v>
      </c>
      <c r="AA70" s="2">
        <f>('L-Values'!W70*'D(Ti_Jollands) Times'!$F70*0.000001)^2/(4*'D(Ti_Jollands) Times'!$C70)/(365.35*24*3600)</f>
        <v>1027279.4378959552</v>
      </c>
      <c r="AB70" s="2">
        <f>('L-Values'!X70*'D(Ti_Jollands) Times'!$F70*0.000001)^2/(4*'D(Ti_Jollands) Times'!$C70)/(365.35*24*3600)</f>
        <v>1988480.1297321105</v>
      </c>
      <c r="AC70" s="2">
        <f t="shared" si="6"/>
        <v>407809.78778225335</v>
      </c>
      <c r="AD70" s="2">
        <f t="shared" si="7"/>
        <v>553390.90405390202</v>
      </c>
    </row>
    <row r="71" spans="1:30" x14ac:dyDescent="0.2">
      <c r="A71" t="str">
        <f>'L-Values'!A71</f>
        <v>CGI005-qtz07-CL-fit-2-offset</v>
      </c>
      <c r="B71">
        <v>750</v>
      </c>
      <c r="C71">
        <f t="shared" si="4"/>
        <v>6.6965312637759184E-25</v>
      </c>
      <c r="D71">
        <v>2100</v>
      </c>
      <c r="E71">
        <v>1024</v>
      </c>
      <c r="F71">
        <f t="shared" si="5"/>
        <v>2.05078125</v>
      </c>
      <c r="I71" s="2">
        <f>('L-Values'!E71*'D(Ti_Jollands) Times'!$F71*0.000001)^2/(4*'D(Ti_Jollands) Times'!$C71)/(365.35*24*3600)</f>
        <v>53773.009750148238</v>
      </c>
      <c r="J71" s="2">
        <f>('L-Values'!F71*'D(Ti_Jollands) Times'!$F71*0.000001)^2/(4*'D(Ti_Jollands) Times'!$C71)/(365.35*24*3600)</f>
        <v>67811.956771875426</v>
      </c>
      <c r="K71" s="2">
        <f>('L-Values'!G71*'D(Ti_Jollands) Times'!$F71*0.000001)^2/(4*'D(Ti_Jollands) Times'!$C71)/(365.35*24*3600)</f>
        <v>167343.72268453444</v>
      </c>
      <c r="L71" s="2">
        <f>('L-Values'!H71*'D(Ti_Jollands) Times'!$F71*0.000001)^2/(4*'D(Ti_Jollands) Times'!$C71)/(365.35*24*3600)</f>
        <v>165565.80624168413</v>
      </c>
      <c r="M71" s="2">
        <f>('L-Values'!I71*'D(Ti_Jollands) Times'!$F71*0.000001)^2/(4*'D(Ti_Jollands) Times'!$C71)/(365.35*24*3600)</f>
        <v>131996.82614766445</v>
      </c>
      <c r="N71" s="2">
        <f>('L-Values'!J71*'D(Ti_Jollands) Times'!$F71*0.000001)^2/(4*'D(Ti_Jollands) Times'!$C71)/(365.35*24*3600)</f>
        <v>95629.290102121435</v>
      </c>
      <c r="O71" s="2">
        <f>('L-Values'!K71*'D(Ti_Jollands) Times'!$F71*0.000001)^2/(4*'D(Ti_Jollands) Times'!$C71)/(365.35*24*3600)</f>
        <v>107275.17963385332</v>
      </c>
      <c r="P71" s="2">
        <f>('L-Values'!L71*'D(Ti_Jollands) Times'!$F71*0.000001)^2/(4*'D(Ti_Jollands) Times'!$C71)/(365.35*24*3600)</f>
        <v>127987.08907860306</v>
      </c>
      <c r="Q71" s="2">
        <f>('L-Values'!M71*'D(Ti_Jollands) Times'!$F71*0.000001)^2/(4*'D(Ti_Jollands) Times'!$C71)/(365.35*24*3600)</f>
        <v>148366.04882876907</v>
      </c>
      <c r="R71" s="2">
        <f>('L-Values'!N71*'D(Ti_Jollands) Times'!$F71*0.000001)^2/(4*'D(Ti_Jollands) Times'!$C71)/(365.35*24*3600)</f>
        <v>98547.229358267359</v>
      </c>
      <c r="S71" s="2">
        <f>('L-Values'!O71*'D(Ti_Jollands) Times'!$F71*0.000001)^2/(4*'D(Ti_Jollands) Times'!$C71)/(365.35*24*3600)</f>
        <v>126333.44432183864</v>
      </c>
      <c r="T71" s="2"/>
      <c r="U71" s="2">
        <f>('L-Values'!Q71*'D(Ti_Jollands) Times'!$F71*0.000001)^2/(4*'D(Ti_Jollands) Times'!$C71)/(365.35*24*3600)</f>
        <v>117734.09119868629</v>
      </c>
      <c r="V71" s="2">
        <f>('L-Values'!R71*'D(Ti_Jollands) Times'!$F71*0.000001)^2/(4*'D(Ti_Jollands) Times'!$C71)/(365.35*24*3600)</f>
        <v>114406.71088256047</v>
      </c>
      <c r="W71" s="2">
        <f>('L-Values'!S71*'D(Ti_Jollands) Times'!$F71*0.000001)^2/(4*'D(Ti_Jollands) Times'!$C71)/(365.35*24*3600)</f>
        <v>126333.44432183864</v>
      </c>
      <c r="X71" s="2"/>
      <c r="Y71" s="2">
        <f>('L-Values'!U71*'D(Ti_Jollands) Times'!$F71*0.000001)^2/(4*'D(Ti_Jollands) Times'!$C71)/(365.35*24*3600)</f>
        <v>116077.51371847773</v>
      </c>
      <c r="Z71" s="2">
        <f>('L-Values'!V71*'D(Ti_Jollands) Times'!$F71*0.000001)^2/(4*'D(Ti_Jollands) Times'!$C71)/(365.35*24*3600)</f>
        <v>109767.02930881924</v>
      </c>
      <c r="AA71" s="2">
        <f>('L-Values'!W71*'D(Ti_Jollands) Times'!$F71*0.000001)^2/(4*'D(Ti_Jollands) Times'!$C71)/(365.35*24*3600)</f>
        <v>16823.002741726468</v>
      </c>
      <c r="AB71" s="2">
        <f>('L-Values'!X71*'D(Ti_Jollands) Times'!$F71*0.000001)^2/(4*'D(Ti_Jollands) Times'!$C71)/(365.35*24*3600)</f>
        <v>225918.05575546541</v>
      </c>
      <c r="AC71" s="2">
        <f t="shared" si="6"/>
        <v>92944.026567092777</v>
      </c>
      <c r="AD71" s="2">
        <f t="shared" si="7"/>
        <v>116151.02644664617</v>
      </c>
    </row>
    <row r="72" spans="1:30" x14ac:dyDescent="0.2">
      <c r="A72" t="str">
        <f>'L-Values'!A72</f>
        <v>CGI005-qtz07-CL-fit-3-offset</v>
      </c>
      <c r="B72">
        <v>750</v>
      </c>
      <c r="C72">
        <f t="shared" si="4"/>
        <v>6.6965312637759184E-25</v>
      </c>
      <c r="D72">
        <v>2100</v>
      </c>
      <c r="E72">
        <v>1024</v>
      </c>
      <c r="F72">
        <f t="shared" si="5"/>
        <v>2.05078125</v>
      </c>
      <c r="I72" s="2">
        <f>('L-Values'!E72*'D(Ti_Jollands) Times'!$F72*0.000001)^2/(4*'D(Ti_Jollands) Times'!$C72)/(365.35*24*3600)</f>
        <v>142382.20990598388</v>
      </c>
      <c r="J72" s="2">
        <f>('L-Values'!F72*'D(Ti_Jollands) Times'!$F72*0.000001)^2/(4*'D(Ti_Jollands) Times'!$C72)/(365.35*24*3600)</f>
        <v>18429.291989801972</v>
      </c>
      <c r="K72" s="2">
        <f>('L-Values'!G72*'D(Ti_Jollands) Times'!$F72*0.000001)^2/(4*'D(Ti_Jollands) Times'!$C72)/(365.35*24*3600)</f>
        <v>289794.32533492148</v>
      </c>
      <c r="L72" s="2">
        <f>('L-Values'!H72*'D(Ti_Jollands) Times'!$F72*0.000001)^2/(4*'D(Ti_Jollands) Times'!$C72)/(365.35*24*3600)</f>
        <v>193659.53746026498</v>
      </c>
      <c r="M72" s="2">
        <f>('L-Values'!I72*'D(Ti_Jollands) Times'!$F72*0.000001)^2/(4*'D(Ti_Jollands) Times'!$C72)/(365.35*24*3600)</f>
        <v>33236.103228955602</v>
      </c>
      <c r="N72" s="2">
        <f>('L-Values'!J72*'D(Ti_Jollands) Times'!$F72*0.000001)^2/(4*'D(Ti_Jollands) Times'!$C72)/(365.35*24*3600)</f>
        <v>39248.413270145909</v>
      </c>
      <c r="O72" s="2">
        <f>('L-Values'!K72*'D(Ti_Jollands) Times'!$F72*0.000001)^2/(4*'D(Ti_Jollands) Times'!$C72)/(365.35*24*3600)</f>
        <v>53140.886874727679</v>
      </c>
      <c r="P72" s="2">
        <f>('L-Values'!L72*'D(Ti_Jollands) Times'!$F72*0.000001)^2/(4*'D(Ti_Jollands) Times'!$C72)/(365.35*24*3600)</f>
        <v>605881.11845495331</v>
      </c>
      <c r="Q72" s="2">
        <f>('L-Values'!M72*'D(Ti_Jollands) Times'!$F72*0.000001)^2/(4*'D(Ti_Jollands) Times'!$C72)/(365.35*24*3600)</f>
        <v>319512.623505208</v>
      </c>
      <c r="R72" s="2">
        <f>('L-Values'!N72*'D(Ti_Jollands) Times'!$F72*0.000001)^2/(4*'D(Ti_Jollands) Times'!$C72)/(365.35*24*3600)</f>
        <v>141325.19228240143</v>
      </c>
      <c r="S72" s="2">
        <f>('L-Values'!O72*'D(Ti_Jollands) Times'!$F72*0.000001)^2/(4*'D(Ti_Jollands) Times'!$C72)/(365.35*24*3600)</f>
        <v>298479.52164365124</v>
      </c>
      <c r="T72" s="2"/>
      <c r="U72" s="2">
        <f>('L-Values'!Q72*'D(Ti_Jollands) Times'!$F72*0.000001)^2/(4*'D(Ti_Jollands) Times'!$C72)/(365.35*24*3600)</f>
        <v>189361.05271315668</v>
      </c>
      <c r="V72" s="2">
        <f>('L-Values'!R72*'D(Ti_Jollands) Times'!$F72*0.000001)^2/(4*'D(Ti_Jollands) Times'!$C72)/(365.35*24*3600)</f>
        <v>157704.98789199919</v>
      </c>
      <c r="W72" s="2">
        <f>('L-Values'!S72*'D(Ti_Jollands) Times'!$F72*0.000001)^2/(4*'D(Ti_Jollands) Times'!$C72)/(365.35*24*3600)</f>
        <v>142382.20990598388</v>
      </c>
      <c r="X72" s="2"/>
      <c r="Y72" s="2">
        <f>('L-Values'!U72*'D(Ti_Jollands) Times'!$F72*0.000001)^2/(4*'D(Ti_Jollands) Times'!$C72)/(365.35*24*3600)</f>
        <v>167469.11009548881</v>
      </c>
      <c r="Z72" s="2">
        <f>('L-Values'!V72*'D(Ti_Jollands) Times'!$F72*0.000001)^2/(4*'D(Ti_Jollands) Times'!$C72)/(365.35*24*3600)</f>
        <v>156173.15732264484</v>
      </c>
      <c r="AA72" s="2">
        <f>('L-Values'!W72*'D(Ti_Jollands) Times'!$F72*0.000001)^2/(4*'D(Ti_Jollands) Times'!$C72)/(365.35*24*3600)</f>
        <v>3142.4762851380688</v>
      </c>
      <c r="AB72" s="2">
        <f>('L-Values'!X72*'D(Ti_Jollands) Times'!$F72*0.000001)^2/(4*'D(Ti_Jollands) Times'!$C72)/(365.35*24*3600)</f>
        <v>489553.61960457329</v>
      </c>
      <c r="AC72" s="2">
        <f t="shared" si="6"/>
        <v>153030.68103750676</v>
      </c>
      <c r="AD72" s="2">
        <f t="shared" si="7"/>
        <v>333380.46228192846</v>
      </c>
    </row>
    <row r="73" spans="1:30" x14ac:dyDescent="0.2">
      <c r="A73" t="str">
        <f>'L-Values'!A73</f>
        <v>CGI005-qtz07-CL-fit-4-offset</v>
      </c>
      <c r="B73">
        <v>750</v>
      </c>
      <c r="C73">
        <f t="shared" si="4"/>
        <v>6.6965312637759184E-25</v>
      </c>
      <c r="D73">
        <v>2100</v>
      </c>
      <c r="E73">
        <v>1024</v>
      </c>
      <c r="F73">
        <f t="shared" si="5"/>
        <v>2.05078125</v>
      </c>
      <c r="I73" s="2">
        <f>('L-Values'!E73*'D(Ti_Jollands) Times'!$F73*0.000001)^2/(4*'D(Ti_Jollands) Times'!$C73)/(365.35*24*3600)</f>
        <v>104854.86339744329</v>
      </c>
      <c r="J73" s="2">
        <f>('L-Values'!F73*'D(Ti_Jollands) Times'!$F73*0.000001)^2/(4*'D(Ti_Jollands) Times'!$C73)/(365.35*24*3600)</f>
        <v>547833.87809719355</v>
      </c>
      <c r="K73" s="2">
        <f>('L-Values'!G73*'D(Ti_Jollands) Times'!$F73*0.000001)^2/(4*'D(Ti_Jollands) Times'!$C73)/(365.35*24*3600)</f>
        <v>142267.59390122141</v>
      </c>
      <c r="L73" s="2">
        <f>('L-Values'!H73*'D(Ti_Jollands) Times'!$F73*0.000001)^2/(4*'D(Ti_Jollands) Times'!$C73)/(365.35*24*3600)</f>
        <v>1053022.9907500329</v>
      </c>
      <c r="M73" s="2">
        <f>('L-Values'!I73*'D(Ti_Jollands) Times'!$F73*0.000001)^2/(4*'D(Ti_Jollands) Times'!$C73)/(365.35*24*3600)</f>
        <v>799524.61501206039</v>
      </c>
      <c r="N73" s="2">
        <f>('L-Values'!J73*'D(Ti_Jollands) Times'!$F73*0.000001)^2/(4*'D(Ti_Jollands) Times'!$C73)/(365.35*24*3600)</f>
        <v>796700.34410157148</v>
      </c>
      <c r="O73" s="2">
        <f>('L-Values'!K73*'D(Ti_Jollands) Times'!$F73*0.000001)^2/(4*'D(Ti_Jollands) Times'!$C73)/(365.35*24*3600)</f>
        <v>702513.78592239961</v>
      </c>
      <c r="P73" s="2">
        <f>('L-Values'!L73*'D(Ti_Jollands) Times'!$F73*0.000001)^2/(4*'D(Ti_Jollands) Times'!$C73)/(365.35*24*3600)</f>
        <v>2603641.1331039341</v>
      </c>
      <c r="Q73" s="2">
        <f>('L-Values'!M73*'D(Ti_Jollands) Times'!$F73*0.000001)^2/(4*'D(Ti_Jollands) Times'!$C73)/(365.35*24*3600)</f>
        <v>1017522.8590858757</v>
      </c>
      <c r="R73" s="2">
        <f>('L-Values'!N73*'D(Ti_Jollands) Times'!$F73*0.000001)^2/(4*'D(Ti_Jollands) Times'!$C73)/(365.35*24*3600)</f>
        <v>189974.43070640328</v>
      </c>
      <c r="S73" s="2">
        <f>('L-Values'!O73*'D(Ti_Jollands) Times'!$F73*0.000001)^2/(4*'D(Ti_Jollands) Times'!$C73)/(365.35*24*3600)</f>
        <v>121943.55627502862</v>
      </c>
      <c r="T73" s="2"/>
      <c r="U73" s="2">
        <f>('L-Values'!Q73*'D(Ti_Jollands) Times'!$F73*0.000001)^2/(4*'D(Ti_Jollands) Times'!$C73)/(365.35*24*3600)</f>
        <v>550516.97890648991</v>
      </c>
      <c r="V73" s="2">
        <f>('L-Values'!R73*'D(Ti_Jollands) Times'!$F73*0.000001)^2/(4*'D(Ti_Jollands) Times'!$C73)/(365.35*24*3600)</f>
        <v>597050.57907693414</v>
      </c>
      <c r="W73" s="2">
        <f>('L-Values'!S73*'D(Ti_Jollands) Times'!$F73*0.000001)^2/(4*'D(Ti_Jollands) Times'!$C73)/(365.35*24*3600)</f>
        <v>702513.78592239961</v>
      </c>
      <c r="X73" s="2"/>
      <c r="Y73" s="2">
        <f>('L-Values'!U73*'D(Ti_Jollands) Times'!$F73*0.000001)^2/(4*'D(Ti_Jollands) Times'!$C73)/(365.35*24*3600)</f>
        <v>512518.77305675676</v>
      </c>
      <c r="Z73" s="2">
        <f>('L-Values'!V73*'D(Ti_Jollands) Times'!$F73*0.000001)^2/(4*'D(Ti_Jollands) Times'!$C73)/(365.35*24*3600)</f>
        <v>582347.9081782297</v>
      </c>
      <c r="AA73" s="2">
        <f>('L-Values'!W73*'D(Ti_Jollands) Times'!$F73*0.000001)^2/(4*'D(Ti_Jollands) Times'!$C73)/(365.35*24*3600)</f>
        <v>23554.562387055157</v>
      </c>
      <c r="AB73" s="2">
        <f>('L-Values'!X73*'D(Ti_Jollands) Times'!$F73*0.000001)^2/(4*'D(Ti_Jollands) Times'!$C73)/(365.35*24*3600)</f>
        <v>2176576.7811182961</v>
      </c>
      <c r="AC73" s="2">
        <f t="shared" si="6"/>
        <v>558793.34579117456</v>
      </c>
      <c r="AD73" s="2">
        <f t="shared" si="7"/>
        <v>1594228.8729400663</v>
      </c>
    </row>
    <row r="74" spans="1:30" x14ac:dyDescent="0.2">
      <c r="A74" t="str">
        <f>'L-Values'!A74</f>
        <v>CGI005-qtz08-CL-fit-1-offset</v>
      </c>
      <c r="B74">
        <v>750</v>
      </c>
      <c r="C74">
        <f t="shared" si="4"/>
        <v>6.6965312637759184E-25</v>
      </c>
      <c r="D74">
        <v>1900</v>
      </c>
      <c r="E74">
        <v>1024</v>
      </c>
      <c r="F74">
        <f t="shared" si="5"/>
        <v>1.85546875</v>
      </c>
      <c r="I74" s="2">
        <f>('L-Values'!E74*'D(Ti_Jollands) Times'!$F74*0.000001)^2/(4*'D(Ti_Jollands) Times'!$C74)/(365.35*24*3600)</f>
        <v>359080.39522770292</v>
      </c>
      <c r="J74" s="2">
        <f>('L-Values'!F74*'D(Ti_Jollands) Times'!$F74*0.000001)^2/(4*'D(Ti_Jollands) Times'!$C74)/(365.35*24*3600)</f>
        <v>477351.11525317514</v>
      </c>
      <c r="K74" s="2">
        <f>('L-Values'!G74*'D(Ti_Jollands) Times'!$F74*0.000001)^2/(4*'D(Ti_Jollands) Times'!$C74)/(365.35*24*3600)</f>
        <v>709784.0087247116</v>
      </c>
      <c r="L74" s="2">
        <f>('L-Values'!H74*'D(Ti_Jollands) Times'!$F74*0.000001)^2/(4*'D(Ti_Jollands) Times'!$C74)/(365.35*24*3600)</f>
        <v>384443.86650556256</v>
      </c>
      <c r="M74" s="2">
        <f>('L-Values'!I74*'D(Ti_Jollands) Times'!$F74*0.000001)^2/(4*'D(Ti_Jollands) Times'!$C74)/(365.35*24*3600)</f>
        <v>1203665.5470788968</v>
      </c>
      <c r="N74" s="2">
        <f>('L-Values'!J74*'D(Ti_Jollands) Times'!$F74*0.000001)^2/(4*'D(Ti_Jollands) Times'!$C74)/(365.35*24*3600)</f>
        <v>431128.94894036051</v>
      </c>
      <c r="O74" s="2">
        <f>('L-Values'!K74*'D(Ti_Jollands) Times'!$F74*0.000001)^2/(4*'D(Ti_Jollands) Times'!$C74)/(365.35*24*3600)</f>
        <v>838847.29788312654</v>
      </c>
      <c r="P74" s="2">
        <f>('L-Values'!L74*'D(Ti_Jollands) Times'!$F74*0.000001)^2/(4*'D(Ti_Jollands) Times'!$C74)/(365.35*24*3600)</f>
        <v>599657.58668545377</v>
      </c>
      <c r="Q74" s="2">
        <f>('L-Values'!M74*'D(Ti_Jollands) Times'!$F74*0.000001)^2/(4*'D(Ti_Jollands) Times'!$C74)/(365.35*24*3600)</f>
        <v>913856.38616134331</v>
      </c>
      <c r="R74" s="2">
        <f>('L-Values'!N74*'D(Ti_Jollands) Times'!$F74*0.000001)^2/(4*'D(Ti_Jollands) Times'!$C74)/(365.35*24*3600)</f>
        <v>653415.65327516128</v>
      </c>
      <c r="S74" s="2">
        <f>('L-Values'!O74*'D(Ti_Jollands) Times'!$F74*0.000001)^2/(4*'D(Ti_Jollands) Times'!$C74)/(365.35*24*3600)</f>
        <v>607054.62618623441</v>
      </c>
      <c r="T74" s="2"/>
      <c r="U74" s="2">
        <f>('L-Values'!Q74*'D(Ti_Jollands) Times'!$F74*0.000001)^2/(4*'D(Ti_Jollands) Times'!$C74)/(365.35*24*3600)</f>
        <v>615867.89570291212</v>
      </c>
      <c r="V74" s="2">
        <f>('L-Values'!R74*'D(Ti_Jollands) Times'!$F74*0.000001)^2/(4*'D(Ti_Jollands) Times'!$C74)/(365.35*24*3600)</f>
        <v>631314.15658694273</v>
      </c>
      <c r="W74" s="2">
        <f>('L-Values'!S74*'D(Ti_Jollands) Times'!$F74*0.000001)^2/(4*'D(Ti_Jollands) Times'!$C74)/(365.35*24*3600)</f>
        <v>607054.62618623441</v>
      </c>
      <c r="X74" s="2"/>
      <c r="Y74" s="2">
        <f>('L-Values'!U74*'D(Ti_Jollands) Times'!$F74*0.000001)^2/(4*'D(Ti_Jollands) Times'!$C74)/(365.35*24*3600)</f>
        <v>587584.81973290304</v>
      </c>
      <c r="Z74" s="2">
        <f>('L-Values'!V74*'D(Ti_Jollands) Times'!$F74*0.000001)^2/(4*'D(Ti_Jollands) Times'!$C74)/(365.35*24*3600)</f>
        <v>581826.03363147343</v>
      </c>
      <c r="AA74" s="2">
        <f>('L-Values'!W74*'D(Ti_Jollands) Times'!$F74*0.000001)^2/(4*'D(Ti_Jollands) Times'!$C74)/(365.35*24*3600)</f>
        <v>119815.00159008904</v>
      </c>
      <c r="AB74" s="2">
        <f>('L-Values'!X74*'D(Ti_Jollands) Times'!$F74*0.000001)^2/(4*'D(Ti_Jollands) Times'!$C74)/(365.35*24*3600)</f>
        <v>1393973.7423951365</v>
      </c>
      <c r="AC74" s="2">
        <f t="shared" si="6"/>
        <v>462011.03204138437</v>
      </c>
      <c r="AD74" s="2">
        <f t="shared" si="7"/>
        <v>812147.70876366307</v>
      </c>
    </row>
    <row r="75" spans="1:30" x14ac:dyDescent="0.2">
      <c r="A75" t="str">
        <f>'L-Values'!A75</f>
        <v>CGI005-qtz08-CL-fit-2-offset</v>
      </c>
      <c r="B75">
        <v>750</v>
      </c>
      <c r="C75">
        <f t="shared" si="4"/>
        <v>6.6965312637759184E-25</v>
      </c>
      <c r="D75">
        <v>1900</v>
      </c>
      <c r="E75">
        <v>1024</v>
      </c>
      <c r="F75">
        <f t="shared" si="5"/>
        <v>1.85546875</v>
      </c>
      <c r="I75" s="2">
        <f>('L-Values'!E75*'D(Ti_Jollands) Times'!$F75*0.000001)^2/(4*'D(Ti_Jollands) Times'!$C75)/(365.35*24*3600)</f>
        <v>341518.00446368277</v>
      </c>
      <c r="J75" s="2">
        <f>('L-Values'!F75*'D(Ti_Jollands) Times'!$F75*0.000001)^2/(4*'D(Ti_Jollands) Times'!$C75)/(365.35*24*3600)</f>
        <v>277028.56081968453</v>
      </c>
      <c r="K75" s="2">
        <f>('L-Values'!G75*'D(Ti_Jollands) Times'!$F75*0.000001)^2/(4*'D(Ti_Jollands) Times'!$C75)/(365.35*24*3600)</f>
        <v>208573.94371784577</v>
      </c>
      <c r="L75" s="2">
        <f>('L-Values'!H75*'D(Ti_Jollands) Times'!$F75*0.000001)^2/(4*'D(Ti_Jollands) Times'!$C75)/(365.35*24*3600)</f>
        <v>364366.45569893869</v>
      </c>
      <c r="M75" s="2">
        <f>('L-Values'!I75*'D(Ti_Jollands) Times'!$F75*0.000001)^2/(4*'D(Ti_Jollands) Times'!$C75)/(365.35*24*3600)</f>
        <v>226715.20517130112</v>
      </c>
      <c r="N75" s="2">
        <f>('L-Values'!J75*'D(Ti_Jollands) Times'!$F75*0.000001)^2/(4*'D(Ti_Jollands) Times'!$C75)/(365.35*24*3600)</f>
        <v>220928.84603011693</v>
      </c>
      <c r="O75" s="2">
        <f>('L-Values'!K75*'D(Ti_Jollands) Times'!$F75*0.000001)^2/(4*'D(Ti_Jollands) Times'!$C75)/(365.35*24*3600)</f>
        <v>180282.61612372659</v>
      </c>
      <c r="P75" s="2">
        <f>('L-Values'!L75*'D(Ti_Jollands) Times'!$F75*0.000001)^2/(4*'D(Ti_Jollands) Times'!$C75)/(365.35*24*3600)</f>
        <v>368494.50097467221</v>
      </c>
      <c r="Q75" s="2">
        <f>('L-Values'!M75*'D(Ti_Jollands) Times'!$F75*0.000001)^2/(4*'D(Ti_Jollands) Times'!$C75)/(365.35*24*3600)</f>
        <v>418097.30009373464</v>
      </c>
      <c r="R75" s="2">
        <f>('L-Values'!N75*'D(Ti_Jollands) Times'!$F75*0.000001)^2/(4*'D(Ti_Jollands) Times'!$C75)/(365.35*24*3600)</f>
        <v>366147.33590412687</v>
      </c>
      <c r="S75" s="2">
        <f>('L-Values'!O75*'D(Ti_Jollands) Times'!$F75*0.000001)^2/(4*'D(Ti_Jollands) Times'!$C75)/(365.35*24*3600)</f>
        <v>293892.28669644054</v>
      </c>
      <c r="T75" s="2"/>
      <c r="U75" s="2">
        <f>('L-Values'!Q75*'D(Ti_Jollands) Times'!$F75*0.000001)^2/(4*'D(Ti_Jollands) Times'!$C75)/(365.35*24*3600)</f>
        <v>296838.69961988967</v>
      </c>
      <c r="V75" s="2">
        <f>('L-Values'!R75*'D(Ti_Jollands) Times'!$F75*0.000001)^2/(4*'D(Ti_Jollands) Times'!$C75)/(365.35*24*3600)</f>
        <v>291864.40396822267</v>
      </c>
      <c r="W75" s="2">
        <f>('L-Values'!S75*'D(Ti_Jollands) Times'!$F75*0.000001)^2/(4*'D(Ti_Jollands) Times'!$C75)/(365.35*24*3600)</f>
        <v>293892.28669644054</v>
      </c>
      <c r="X75" s="2"/>
      <c r="Y75" s="2">
        <f>('L-Values'!U75*'D(Ti_Jollands) Times'!$F75*0.000001)^2/(4*'D(Ti_Jollands) Times'!$C75)/(365.35*24*3600)</f>
        <v>296988.40986574424</v>
      </c>
      <c r="Z75" s="2">
        <f>('L-Values'!V75*'D(Ti_Jollands) Times'!$F75*0.000001)^2/(4*'D(Ti_Jollands) Times'!$C75)/(365.35*24*3600)</f>
        <v>303548.08825630648</v>
      </c>
      <c r="AA75" s="2">
        <f>('L-Values'!W75*'D(Ti_Jollands) Times'!$F75*0.000001)^2/(4*'D(Ti_Jollands) Times'!$C75)/(365.35*24*3600)</f>
        <v>143148.05284518428</v>
      </c>
      <c r="AB75" s="2">
        <f>('L-Values'!X75*'D(Ti_Jollands) Times'!$F75*0.000001)^2/(4*'D(Ti_Jollands) Times'!$C75)/(365.35*24*3600)</f>
        <v>575698.31569897302</v>
      </c>
      <c r="AC75" s="2">
        <f t="shared" si="6"/>
        <v>160400.0354111222</v>
      </c>
      <c r="AD75" s="2">
        <f t="shared" si="7"/>
        <v>272150.22744266654</v>
      </c>
    </row>
    <row r="76" spans="1:30" x14ac:dyDescent="0.2">
      <c r="A76" t="str">
        <f>'L-Values'!A76</f>
        <v>CGI005-qtz08-CL-fit-3</v>
      </c>
      <c r="B76">
        <v>750</v>
      </c>
      <c r="C76">
        <f t="shared" si="4"/>
        <v>6.6965312637759184E-25</v>
      </c>
      <c r="D76">
        <v>1900</v>
      </c>
      <c r="E76">
        <v>1024</v>
      </c>
      <c r="F76">
        <f t="shared" si="5"/>
        <v>1.85546875</v>
      </c>
      <c r="I76" s="2">
        <f>('L-Values'!E76*'D(Ti_Jollands) Times'!$F76*0.000001)^2/(4*'D(Ti_Jollands) Times'!$C76)/(365.35*24*3600)</f>
        <v>207815.36133954665</v>
      </c>
      <c r="J76" s="2">
        <f>('L-Values'!F76*'D(Ti_Jollands) Times'!$F76*0.000001)^2/(4*'D(Ti_Jollands) Times'!$C76)/(365.35*24*3600)</f>
        <v>100307.77474691524</v>
      </c>
      <c r="K76" s="2">
        <f>('L-Values'!G76*'D(Ti_Jollands) Times'!$F76*0.000001)^2/(4*'D(Ti_Jollands) Times'!$C76)/(365.35*24*3600)</f>
        <v>2864.2154660694082</v>
      </c>
      <c r="L76" s="2">
        <f>('L-Values'!H76*'D(Ti_Jollands) Times'!$F76*0.000001)^2/(4*'D(Ti_Jollands) Times'!$C76)/(365.35*24*3600)</f>
        <v>136006.37569418299</v>
      </c>
      <c r="M76" s="2">
        <f>('L-Values'!I76*'D(Ti_Jollands) Times'!$F76*0.000001)^2/(4*'D(Ti_Jollands) Times'!$C76)/(365.35*24*3600)</f>
        <v>121301.23172399688</v>
      </c>
      <c r="N76" s="2">
        <f>('L-Values'!J76*'D(Ti_Jollands) Times'!$F76*0.000001)^2/(4*'D(Ti_Jollands) Times'!$C76)/(365.35*24*3600)</f>
        <v>194447.07014725276</v>
      </c>
      <c r="O76" s="2">
        <f>('L-Values'!K76*'D(Ti_Jollands) Times'!$F76*0.000001)^2/(4*'D(Ti_Jollands) Times'!$C76)/(365.35*24*3600)</f>
        <v>5.3147259802919971</v>
      </c>
      <c r="P76" s="2">
        <f>('L-Values'!L76*'D(Ti_Jollands) Times'!$F76*0.000001)^2/(4*'D(Ti_Jollands) Times'!$C76)/(365.35*24*3600)</f>
        <v>29768.806641926894</v>
      </c>
      <c r="Q76" s="2">
        <f>('L-Values'!M76*'D(Ti_Jollands) Times'!$F76*0.000001)^2/(4*'D(Ti_Jollands) Times'!$C76)/(365.35*24*3600)</f>
        <v>49593.464318784827</v>
      </c>
      <c r="R76" s="2">
        <f>('L-Values'!N76*'D(Ti_Jollands) Times'!$F76*0.000001)^2/(4*'D(Ti_Jollands) Times'!$C76)/(365.35*24*3600)</f>
        <v>47052.874009214276</v>
      </c>
      <c r="S76" s="2">
        <f>('L-Values'!O76*'D(Ti_Jollands) Times'!$F76*0.000001)^2/(4*'D(Ti_Jollands) Times'!$C76)/(365.35*24*3600)</f>
        <v>209181.79999748219</v>
      </c>
      <c r="T76" s="2"/>
      <c r="U76" s="2">
        <f>('L-Values'!Q76*'D(Ti_Jollands) Times'!$F76*0.000001)^2/(4*'D(Ti_Jollands) Times'!$C76)/(365.35*24*3600)</f>
        <v>119933.95115259106</v>
      </c>
      <c r="V76" s="2">
        <f>('L-Values'!R76*'D(Ti_Jollands) Times'!$F76*0.000001)^2/(4*'D(Ti_Jollands) Times'!$C76)/(365.35*24*3600)</f>
        <v>77180.602666510589</v>
      </c>
      <c r="W76" s="2">
        <f>('L-Values'!S76*'D(Ti_Jollands) Times'!$F76*0.000001)^2/(4*'D(Ti_Jollands) Times'!$C76)/(365.35*24*3600)</f>
        <v>100307.77474691524</v>
      </c>
      <c r="X76" s="2"/>
      <c r="Y76" s="2">
        <f>('L-Values'!U76*'D(Ti_Jollands) Times'!$F76*0.000001)^2/(4*'D(Ti_Jollands) Times'!$C76)/(365.35*24*3600)</f>
        <v>109002.34309683448</v>
      </c>
      <c r="Z76" s="2">
        <f>('L-Values'!V76*'D(Ti_Jollands) Times'!$F76*0.000001)^2/(4*'D(Ti_Jollands) Times'!$C76)/(365.35*24*3600)</f>
        <v>102313.09598684398</v>
      </c>
      <c r="AA76" s="2">
        <f>('L-Values'!W76*'D(Ti_Jollands) Times'!$F76*0.000001)^2/(4*'D(Ti_Jollands) Times'!$C76)/(365.35*24*3600)</f>
        <v>0.7195542903855594</v>
      </c>
      <c r="AB76" s="2">
        <f>('L-Values'!X76*'D(Ti_Jollands) Times'!$F76*0.000001)^2/(4*'D(Ti_Jollands) Times'!$C76)/(365.35*24*3600)</f>
        <v>354983.94314850849</v>
      </c>
      <c r="AC76" s="2">
        <f t="shared" si="6"/>
        <v>102312.3764325536</v>
      </c>
      <c r="AD76" s="2">
        <f t="shared" si="7"/>
        <v>252670.84716166451</v>
      </c>
    </row>
    <row r="77" spans="1:30" x14ac:dyDescent="0.2">
      <c r="A77" t="str">
        <f>'L-Values'!A77</f>
        <v>CGI005-qtz08-CL-fit-4-offset</v>
      </c>
      <c r="B77">
        <v>750</v>
      </c>
      <c r="C77">
        <f t="shared" si="4"/>
        <v>6.6965312637759184E-25</v>
      </c>
      <c r="D77">
        <v>1900</v>
      </c>
      <c r="E77">
        <v>1024</v>
      </c>
      <c r="F77">
        <f t="shared" si="5"/>
        <v>1.85546875</v>
      </c>
      <c r="I77" s="2">
        <f>('L-Values'!E77*'D(Ti_Jollands) Times'!$F77*0.000001)^2/(4*'D(Ti_Jollands) Times'!$C77)/(365.35*24*3600)</f>
        <v>150985.16888201187</v>
      </c>
      <c r="J77" s="2">
        <f>('L-Values'!F77*'D(Ti_Jollands) Times'!$F77*0.000001)^2/(4*'D(Ti_Jollands) Times'!$C77)/(365.35*24*3600)</f>
        <v>265796.4480720695</v>
      </c>
      <c r="K77" s="2">
        <f>('L-Values'!G77*'D(Ti_Jollands) Times'!$F77*0.000001)^2/(4*'D(Ti_Jollands) Times'!$C77)/(365.35*24*3600)</f>
        <v>173383.11058091358</v>
      </c>
      <c r="L77" s="2">
        <f>('L-Values'!H77*'D(Ti_Jollands) Times'!$F77*0.000001)^2/(4*'D(Ti_Jollands) Times'!$C77)/(365.35*24*3600)</f>
        <v>69117.849466393222</v>
      </c>
      <c r="M77" s="2">
        <f>('L-Values'!I77*'D(Ti_Jollands) Times'!$F77*0.000001)^2/(4*'D(Ti_Jollands) Times'!$C77)/(365.35*24*3600)</f>
        <v>156701.23736131162</v>
      </c>
      <c r="N77" s="2">
        <f>('L-Values'!J77*'D(Ti_Jollands) Times'!$F77*0.000001)^2/(4*'D(Ti_Jollands) Times'!$C77)/(365.35*24*3600)</f>
        <v>210569.10247778794</v>
      </c>
      <c r="O77" s="2">
        <f>('L-Values'!K77*'D(Ti_Jollands) Times'!$F77*0.000001)^2/(4*'D(Ti_Jollands) Times'!$C77)/(365.35*24*3600)</f>
        <v>432593.29563364555</v>
      </c>
      <c r="P77" s="2">
        <f>('L-Values'!L77*'D(Ti_Jollands) Times'!$F77*0.000001)^2/(4*'D(Ti_Jollands) Times'!$C77)/(365.35*24*3600)</f>
        <v>207115.6330640098</v>
      </c>
      <c r="Q77" s="2">
        <f>('L-Values'!M77*'D(Ti_Jollands) Times'!$F77*0.000001)^2/(4*'D(Ti_Jollands) Times'!$C77)/(365.35*24*3600)</f>
        <v>26681.804068663168</v>
      </c>
      <c r="R77" s="2">
        <f>('L-Values'!N77*'D(Ti_Jollands) Times'!$F77*0.000001)^2/(4*'D(Ti_Jollands) Times'!$C77)/(365.35*24*3600)</f>
        <v>183503.44856953525</v>
      </c>
      <c r="S77" s="2">
        <f>('L-Values'!O77*'D(Ti_Jollands) Times'!$F77*0.000001)^2/(4*'D(Ti_Jollands) Times'!$C77)/(365.35*24*3600)</f>
        <v>109107.75099769625</v>
      </c>
      <c r="T77" s="2"/>
      <c r="U77" s="2">
        <f>('L-Values'!Q77*'D(Ti_Jollands) Times'!$F77*0.000001)^2/(4*'D(Ti_Jollands) Times'!$C77)/(365.35*24*3600)</f>
        <v>205742.01638165722</v>
      </c>
      <c r="V77" s="2">
        <f>('L-Values'!R77*'D(Ti_Jollands) Times'!$F77*0.000001)^2/(4*'D(Ti_Jollands) Times'!$C77)/(365.35*24*3600)</f>
        <v>165353.32630863594</v>
      </c>
      <c r="W77" s="2">
        <f>('L-Values'!S77*'D(Ti_Jollands) Times'!$F77*0.000001)^2/(4*'D(Ti_Jollands) Times'!$C77)/(365.35*24*3600)</f>
        <v>173383.11058091358</v>
      </c>
      <c r="X77" s="2"/>
      <c r="Y77" s="2">
        <f>('L-Values'!U77*'D(Ti_Jollands) Times'!$F77*0.000001)^2/(4*'D(Ti_Jollands) Times'!$C77)/(365.35*24*3600)</f>
        <v>185726.99774380462</v>
      </c>
      <c r="Z77" s="2">
        <f>('L-Values'!V77*'D(Ti_Jollands) Times'!$F77*0.000001)^2/(4*'D(Ti_Jollands) Times'!$C77)/(365.35*24*3600)</f>
        <v>192325.18396259184</v>
      </c>
      <c r="AA77" s="2">
        <f>('L-Values'!W77*'D(Ti_Jollands) Times'!$F77*0.000001)^2/(4*'D(Ti_Jollands) Times'!$C77)/(365.35*24*3600)</f>
        <v>3051.5546366474127</v>
      </c>
      <c r="AB77" s="2">
        <f>('L-Values'!X77*'D(Ti_Jollands) Times'!$F77*0.000001)^2/(4*'D(Ti_Jollands) Times'!$C77)/(365.35*24*3600)</f>
        <v>789758.01265362836</v>
      </c>
      <c r="AC77" s="2">
        <f t="shared" si="6"/>
        <v>189273.62932594444</v>
      </c>
      <c r="AD77" s="2">
        <f t="shared" si="7"/>
        <v>597432.82869103656</v>
      </c>
    </row>
    <row r="78" spans="1:30" x14ac:dyDescent="0.2">
      <c r="A78" t="str">
        <f>'L-Values'!A78</f>
        <v>CGI005-qtz08-CL-fit-5-offset</v>
      </c>
      <c r="B78">
        <v>750</v>
      </c>
      <c r="C78">
        <f t="shared" si="4"/>
        <v>6.6965312637759184E-25</v>
      </c>
      <c r="D78">
        <v>1900</v>
      </c>
      <c r="E78">
        <v>1024</v>
      </c>
      <c r="F78">
        <f t="shared" si="5"/>
        <v>1.85546875</v>
      </c>
      <c r="I78" s="2">
        <f>('L-Values'!E78*'D(Ti_Jollands) Times'!$F78*0.000001)^2/(4*'D(Ti_Jollands) Times'!$C78)/(365.35*24*3600)</f>
        <v>52004.668748770273</v>
      </c>
      <c r="J78" s="2">
        <f>('L-Values'!F78*'D(Ti_Jollands) Times'!$F78*0.000001)^2/(4*'D(Ti_Jollands) Times'!$C78)/(365.35*24*3600)</f>
        <v>1820.7282088413367</v>
      </c>
      <c r="K78" s="2">
        <f>('L-Values'!G78*'D(Ti_Jollands) Times'!$F78*0.000001)^2/(4*'D(Ti_Jollands) Times'!$C78)/(365.35*24*3600)</f>
        <v>535.91805837947697</v>
      </c>
      <c r="L78" s="2">
        <f>('L-Values'!H78*'D(Ti_Jollands) Times'!$F78*0.000001)^2/(4*'D(Ti_Jollands) Times'!$C78)/(365.35*24*3600)</f>
        <v>65121.96495214093</v>
      </c>
      <c r="M78" s="2">
        <f>('L-Values'!I78*'D(Ti_Jollands) Times'!$F78*0.000001)^2/(4*'D(Ti_Jollands) Times'!$C78)/(365.35*24*3600)</f>
        <v>29598.297500446497</v>
      </c>
      <c r="N78" s="2">
        <f>('L-Values'!J78*'D(Ti_Jollands) Times'!$F78*0.000001)^2/(4*'D(Ti_Jollands) Times'!$C78)/(365.35*24*3600)</f>
        <v>20096.041205622911</v>
      </c>
      <c r="O78" s="2">
        <f>('L-Values'!K78*'D(Ti_Jollands) Times'!$F78*0.000001)^2/(4*'D(Ti_Jollands) Times'!$C78)/(365.35*24*3600)</f>
        <v>51664.067932442762</v>
      </c>
      <c r="P78" s="2">
        <f>('L-Values'!L78*'D(Ti_Jollands) Times'!$F78*0.000001)^2/(4*'D(Ti_Jollands) Times'!$C78)/(365.35*24*3600)</f>
        <v>2481.5951099239792</v>
      </c>
      <c r="Q78" s="2">
        <f>('L-Values'!M78*'D(Ti_Jollands) Times'!$F78*0.000001)^2/(4*'D(Ti_Jollands) Times'!$C78)/(365.35*24*3600)</f>
        <v>186015.67103835387</v>
      </c>
      <c r="R78" s="2">
        <f>('L-Values'!N78*'D(Ti_Jollands) Times'!$F78*0.000001)^2/(4*'D(Ti_Jollands) Times'!$C78)/(365.35*24*3600)</f>
        <v>55513.752905722358</v>
      </c>
      <c r="S78" s="2">
        <f>('L-Values'!O78*'D(Ti_Jollands) Times'!$F78*0.000001)^2/(4*'D(Ti_Jollands) Times'!$C78)/(365.35*24*3600)</f>
        <v>66392.402521341923</v>
      </c>
      <c r="T78" s="2"/>
      <c r="U78" s="2">
        <f>('L-Values'!Q78*'D(Ti_Jollands) Times'!$F78*0.000001)^2/(4*'D(Ti_Jollands) Times'!$C78)/(365.35*24*3600)</f>
        <v>61962.377720947923</v>
      </c>
      <c r="V78" s="2">
        <f>('L-Values'!R78*'D(Ti_Jollands) Times'!$F78*0.000001)^2/(4*'D(Ti_Jollands) Times'!$C78)/(365.35*24*3600)</f>
        <v>35226.048278126254</v>
      </c>
      <c r="W78" s="2">
        <f>('L-Values'!S78*'D(Ti_Jollands) Times'!$F78*0.000001)^2/(4*'D(Ti_Jollands) Times'!$C78)/(365.35*24*3600)</f>
        <v>51664.067932442762</v>
      </c>
      <c r="X78" s="2"/>
      <c r="Y78" s="2">
        <f>('L-Values'!U78*'D(Ti_Jollands) Times'!$F78*0.000001)^2/(4*'D(Ti_Jollands) Times'!$C78)/(365.35*24*3600)</f>
        <v>47391.559979588754</v>
      </c>
      <c r="Z78" s="2">
        <f>('L-Values'!V78*'D(Ti_Jollands) Times'!$F78*0.000001)^2/(4*'D(Ti_Jollands) Times'!$C78)/(365.35*24*3600)</f>
        <v>47846.563078751307</v>
      </c>
      <c r="AA78" s="2">
        <f>('L-Values'!W78*'D(Ti_Jollands) Times'!$F78*0.000001)^2/(4*'D(Ti_Jollands) Times'!$C78)/(365.35*24*3600)</f>
        <v>919.85691385268365</v>
      </c>
      <c r="AB78" s="2">
        <f>('L-Values'!X78*'D(Ti_Jollands) Times'!$F78*0.000001)^2/(4*'D(Ti_Jollands) Times'!$C78)/(365.35*24*3600)</f>
        <v>300906.84651244793</v>
      </c>
      <c r="AC78" s="2">
        <f t="shared" si="6"/>
        <v>46926.706164898627</v>
      </c>
      <c r="AD78" s="2">
        <f t="shared" si="7"/>
        <v>253060.2834336966</v>
      </c>
    </row>
    <row r="79" spans="1:30" x14ac:dyDescent="0.2">
      <c r="A79" t="str">
        <f>'L-Values'!A79</f>
        <v>CGI005-qtz08-CL-fit-6-offset</v>
      </c>
      <c r="B79">
        <v>750</v>
      </c>
      <c r="C79">
        <f t="shared" si="4"/>
        <v>6.6965312637759184E-25</v>
      </c>
      <c r="D79">
        <v>1900</v>
      </c>
      <c r="E79">
        <v>1024</v>
      </c>
      <c r="F79">
        <f t="shared" si="5"/>
        <v>1.85546875</v>
      </c>
      <c r="I79" s="2">
        <f>('L-Values'!E79*'D(Ti_Jollands) Times'!$F79*0.000001)^2/(4*'D(Ti_Jollands) Times'!$C79)/(365.35*24*3600)</f>
        <v>18231.366612809874</v>
      </c>
      <c r="J79" s="2">
        <f>('L-Values'!F79*'D(Ti_Jollands) Times'!$F79*0.000001)^2/(4*'D(Ti_Jollands) Times'!$C79)/(365.35*24*3600)</f>
        <v>64580.043052908637</v>
      </c>
      <c r="K79" s="2">
        <f>('L-Values'!G79*'D(Ti_Jollands) Times'!$F79*0.000001)^2/(4*'D(Ti_Jollands) Times'!$C79)/(365.35*24*3600)</f>
        <v>24773.23917775157</v>
      </c>
      <c r="L79" s="2">
        <f>('L-Values'!H79*'D(Ti_Jollands) Times'!$F79*0.000001)^2/(4*'D(Ti_Jollands) Times'!$C79)/(365.35*24*3600)</f>
        <v>40308.110052002819</v>
      </c>
      <c r="M79" s="2">
        <f>('L-Values'!I79*'D(Ti_Jollands) Times'!$F79*0.000001)^2/(4*'D(Ti_Jollands) Times'!$C79)/(365.35*24*3600)</f>
        <v>40008.281170869523</v>
      </c>
      <c r="N79" s="2">
        <f>('L-Values'!J79*'D(Ti_Jollands) Times'!$F79*0.000001)^2/(4*'D(Ti_Jollands) Times'!$C79)/(365.35*24*3600)</f>
        <v>41545.731202948053</v>
      </c>
      <c r="O79" s="2">
        <f>('L-Values'!K79*'D(Ti_Jollands) Times'!$F79*0.000001)^2/(4*'D(Ti_Jollands) Times'!$C79)/(365.35*24*3600)</f>
        <v>19998.330116025107</v>
      </c>
      <c r="P79" s="2">
        <f>('L-Values'!L79*'D(Ti_Jollands) Times'!$F79*0.000001)^2/(4*'D(Ti_Jollands) Times'!$C79)/(365.35*24*3600)</f>
        <v>87284.604609523885</v>
      </c>
      <c r="Q79" s="2">
        <f>('L-Values'!M79*'D(Ti_Jollands) Times'!$F79*0.000001)^2/(4*'D(Ti_Jollands) Times'!$C79)/(365.35*24*3600)</f>
        <v>50696.129512598607</v>
      </c>
      <c r="R79" s="2">
        <f>('L-Values'!N79*'D(Ti_Jollands) Times'!$F79*0.000001)^2/(4*'D(Ti_Jollands) Times'!$C79)/(365.35*24*3600)</f>
        <v>47574.49982483271</v>
      </c>
      <c r="S79" s="2">
        <f>('L-Values'!O79*'D(Ti_Jollands) Times'!$F79*0.000001)^2/(4*'D(Ti_Jollands) Times'!$C79)/(365.35*24*3600)</f>
        <v>23289.872824649527</v>
      </c>
      <c r="T79" s="2"/>
      <c r="U79" s="2">
        <f>('L-Values'!Q79*'D(Ti_Jollands) Times'!$F79*0.000001)^2/(4*'D(Ti_Jollands) Times'!$C79)/(365.35*24*3600)</f>
        <v>46649.913734812624</v>
      </c>
      <c r="V79" s="2">
        <f>('L-Values'!R79*'D(Ti_Jollands) Times'!$F79*0.000001)^2/(4*'D(Ti_Jollands) Times'!$C79)/(365.35*24*3600)</f>
        <v>39416.728102554931</v>
      </c>
      <c r="W79" s="2">
        <f>('L-Values'!S79*'D(Ti_Jollands) Times'!$F79*0.000001)^2/(4*'D(Ti_Jollands) Times'!$C79)/(365.35*24*3600)</f>
        <v>40308.110052002819</v>
      </c>
      <c r="X79" s="2"/>
      <c r="Y79" s="2">
        <f>('L-Values'!U79*'D(Ti_Jollands) Times'!$F79*0.000001)^2/(4*'D(Ti_Jollands) Times'!$C79)/(365.35*24*3600)</f>
        <v>35302.459844940611</v>
      </c>
      <c r="Z79" s="2">
        <f>('L-Values'!V79*'D(Ti_Jollands) Times'!$F79*0.000001)^2/(4*'D(Ti_Jollands) Times'!$C79)/(365.35*24*3600)</f>
        <v>35163.985205346406</v>
      </c>
      <c r="AA79" s="2">
        <f>('L-Values'!W79*'D(Ti_Jollands) Times'!$F79*0.000001)^2/(4*'D(Ti_Jollands) Times'!$C79)/(365.35*24*3600)</f>
        <v>442.32102702796624</v>
      </c>
      <c r="AB79" s="2">
        <f>('L-Values'!X79*'D(Ti_Jollands) Times'!$F79*0.000001)^2/(4*'D(Ti_Jollands) Times'!$C79)/(365.35*24*3600)</f>
        <v>124021.06037352076</v>
      </c>
      <c r="AC79" s="2">
        <f t="shared" si="6"/>
        <v>34721.664178318439</v>
      </c>
      <c r="AD79" s="2">
        <f t="shared" si="7"/>
        <v>88857.075168174342</v>
      </c>
    </row>
    <row r="80" spans="1:30" x14ac:dyDescent="0.2">
      <c r="A80" t="str">
        <f>'L-Values'!A80</f>
        <v>CGI005-qtz09-CL-fit-1-offset</v>
      </c>
      <c r="B80">
        <v>750</v>
      </c>
      <c r="C80">
        <f t="shared" si="4"/>
        <v>6.6965312637759184E-25</v>
      </c>
      <c r="D80">
        <v>2400</v>
      </c>
      <c r="E80">
        <v>1024</v>
      </c>
      <c r="F80">
        <f t="shared" si="5"/>
        <v>2.34375</v>
      </c>
      <c r="I80" s="2">
        <f>('L-Values'!E80*'D(Ti_Jollands) Times'!$F80*0.000001)^2/(4*'D(Ti_Jollands) Times'!$C80)/(365.35*24*3600)</f>
        <v>0</v>
      </c>
      <c r="J80" s="2">
        <f>('L-Values'!F80*'D(Ti_Jollands) Times'!$F80*0.000001)^2/(4*'D(Ti_Jollands) Times'!$C80)/(365.35*24*3600)</f>
        <v>176114.13691317997</v>
      </c>
      <c r="K80" s="2">
        <f>('L-Values'!G80*'D(Ti_Jollands) Times'!$F80*0.000001)^2/(4*'D(Ti_Jollands) Times'!$C80)/(365.35*24*3600)</f>
        <v>2369241.2754582898</v>
      </c>
      <c r="L80" s="2">
        <f>('L-Values'!H80*'D(Ti_Jollands) Times'!$F80*0.000001)^2/(4*'D(Ti_Jollands) Times'!$C80)/(365.35*24*3600)</f>
        <v>637842.21669124463</v>
      </c>
      <c r="M80" s="2">
        <f>('L-Values'!I80*'D(Ti_Jollands) Times'!$F80*0.000001)^2/(4*'D(Ti_Jollands) Times'!$C80)/(365.35*24*3600)</f>
        <v>1500.9138069978753</v>
      </c>
      <c r="N80" s="2">
        <f>('L-Values'!J80*'D(Ti_Jollands) Times'!$F80*0.000001)^2/(4*'D(Ti_Jollands) Times'!$C80)/(365.35*24*3600)</f>
        <v>70405.871507360847</v>
      </c>
      <c r="O80" s="2">
        <f>('L-Values'!K80*'D(Ti_Jollands) Times'!$F80*0.000001)^2/(4*'D(Ti_Jollands) Times'!$C80)/(365.35*24*3600)</f>
        <v>9397.4403570652084</v>
      </c>
      <c r="P80" s="2">
        <f>('L-Values'!L80*'D(Ti_Jollands) Times'!$F80*0.000001)^2/(4*'D(Ti_Jollands) Times'!$C80)/(365.35*24*3600)</f>
        <v>1931837.5533564331</v>
      </c>
      <c r="Q80" s="2">
        <f>('L-Values'!M80*'D(Ti_Jollands) Times'!$F80*0.000001)^2/(4*'D(Ti_Jollands) Times'!$C80)/(365.35*24*3600)</f>
        <v>740027.66809559148</v>
      </c>
      <c r="R80" s="2">
        <f>('L-Values'!N80*'D(Ti_Jollands) Times'!$F80*0.000001)^2/(4*'D(Ti_Jollands) Times'!$C80)/(365.35*24*3600)</f>
        <v>305882.02466319565</v>
      </c>
      <c r="S80" s="2">
        <f>('L-Values'!O80*'D(Ti_Jollands) Times'!$F80*0.000001)^2/(4*'D(Ti_Jollands) Times'!$C80)/(365.35*24*3600)</f>
        <v>11017.491319945062</v>
      </c>
      <c r="T80" s="2"/>
      <c r="U80" s="2">
        <f>('L-Values'!Q80*'D(Ti_Jollands) Times'!$F80*0.000001)^2/(4*'D(Ti_Jollands) Times'!$C80)/(365.35*24*3600)</f>
        <v>642292.29485051008</v>
      </c>
      <c r="V80" s="2">
        <f>('L-Values'!R80*'D(Ti_Jollands) Times'!$F80*0.000001)^2/(4*'D(Ti_Jollands) Times'!$C80)/(365.35*24*3600)</f>
        <v>368054.71552445157</v>
      </c>
      <c r="W80" s="2">
        <f>('L-Values'!S80*'D(Ti_Jollands) Times'!$F80*0.000001)^2/(4*'D(Ti_Jollands) Times'!$C80)/(365.35*24*3600)</f>
        <v>236548.75901806864</v>
      </c>
      <c r="X80" s="2"/>
      <c r="Y80" s="2">
        <f>('L-Values'!U80*'D(Ti_Jollands) Times'!$F80*0.000001)^2/(4*'D(Ti_Jollands) Times'!$C80)/(365.35*24*3600)</f>
        <v>726200.99639130477</v>
      </c>
      <c r="Z80" s="2">
        <f>('L-Values'!V80*'D(Ti_Jollands) Times'!$F80*0.000001)^2/(4*'D(Ti_Jollands) Times'!$C80)/(365.35*24*3600)</f>
        <v>7399799.7188632675</v>
      </c>
      <c r="AA80" s="2">
        <f>('L-Values'!W80*'D(Ti_Jollands) Times'!$F80*0.000001)^2/(4*'D(Ti_Jollands) Times'!$C80)/(365.35*24*3600)</f>
        <v>90.97159112286019</v>
      </c>
      <c r="AB80" s="2">
        <f>('L-Values'!X80*'D(Ti_Jollands) Times'!$F80*0.000001)^2/(4*'D(Ti_Jollands) Times'!$C80)/(365.35*24*3600)</f>
        <v>267810838.64937866</v>
      </c>
      <c r="AC80" s="2">
        <f t="shared" si="6"/>
        <v>7399708.747272145</v>
      </c>
      <c r="AD80" s="2">
        <f t="shared" si="7"/>
        <v>260411038.93051538</v>
      </c>
    </row>
    <row r="81" spans="1:30" x14ac:dyDescent="0.2">
      <c r="A81" t="str">
        <f>'L-Values'!A81</f>
        <v>CGI005-qtz09-CL-fit-2-offset</v>
      </c>
      <c r="B81">
        <v>750</v>
      </c>
      <c r="C81">
        <f t="shared" si="4"/>
        <v>6.6965312637759184E-25</v>
      </c>
      <c r="D81">
        <v>2400</v>
      </c>
      <c r="E81">
        <v>1024</v>
      </c>
      <c r="F81">
        <f t="shared" si="5"/>
        <v>2.34375</v>
      </c>
      <c r="I81" s="2">
        <f>('L-Values'!E81*'D(Ti_Jollands) Times'!$F81*0.000001)^2/(4*'D(Ti_Jollands) Times'!$C81)/(365.35*24*3600)</f>
        <v>984050.64047963847</v>
      </c>
      <c r="J81" s="2">
        <f>('L-Values'!F81*'D(Ti_Jollands) Times'!$F81*0.000001)^2/(4*'D(Ti_Jollands) Times'!$C81)/(365.35*24*3600)</f>
        <v>913758.69695385906</v>
      </c>
      <c r="K81" s="2">
        <f>('L-Values'!G81*'D(Ti_Jollands) Times'!$F81*0.000001)^2/(4*'D(Ti_Jollands) Times'!$C81)/(365.35*24*3600)</f>
        <v>1550932.224828013</v>
      </c>
      <c r="L81" s="2">
        <f>('L-Values'!H81*'D(Ti_Jollands) Times'!$F81*0.000001)^2/(4*'D(Ti_Jollands) Times'!$C81)/(365.35*24*3600)</f>
        <v>1955759.1788931917</v>
      </c>
      <c r="M81" s="2">
        <f>('L-Values'!I81*'D(Ti_Jollands) Times'!$F81*0.000001)^2/(4*'D(Ti_Jollands) Times'!$C81)/(365.35*24*3600)</f>
        <v>1156940.3502757058</v>
      </c>
      <c r="N81" s="2">
        <f>('L-Values'!J81*'D(Ti_Jollands) Times'!$F81*0.000001)^2/(4*'D(Ti_Jollands) Times'!$C81)/(365.35*24*3600)</f>
        <v>1690074.3257511412</v>
      </c>
      <c r="O81" s="2">
        <f>('L-Values'!K81*'D(Ti_Jollands) Times'!$F81*0.000001)^2/(4*'D(Ti_Jollands) Times'!$C81)/(365.35*24*3600)</f>
        <v>566822.38896036881</v>
      </c>
      <c r="P81" s="2">
        <f>('L-Values'!L81*'D(Ti_Jollands) Times'!$F81*0.000001)^2/(4*'D(Ti_Jollands) Times'!$C81)/(365.35*24*3600)</f>
        <v>1718471.9383565625</v>
      </c>
      <c r="Q81" s="2">
        <f>('L-Values'!M81*'D(Ti_Jollands) Times'!$F81*0.000001)^2/(4*'D(Ti_Jollands) Times'!$C81)/(365.35*24*3600)</f>
        <v>1743046.6155247372</v>
      </c>
      <c r="R81" s="2">
        <f>('L-Values'!N81*'D(Ti_Jollands) Times'!$F81*0.000001)^2/(4*'D(Ti_Jollands) Times'!$C81)/(365.35*24*3600)</f>
        <v>3697303.487878067</v>
      </c>
      <c r="S81" s="2">
        <f>('L-Values'!O81*'D(Ti_Jollands) Times'!$F81*0.000001)^2/(4*'D(Ti_Jollands) Times'!$C81)/(365.35*24*3600)</f>
        <v>2415145.1405181889</v>
      </c>
      <c r="T81" s="2"/>
      <c r="U81" s="2">
        <f>('L-Values'!Q81*'D(Ti_Jollands) Times'!$F81*0.000001)^2/(4*'D(Ti_Jollands) Times'!$C81)/(365.35*24*3600)</f>
        <v>1606915.2886138458</v>
      </c>
      <c r="V81" s="2">
        <f>('L-Values'!R81*'D(Ti_Jollands) Times'!$F81*0.000001)^2/(4*'D(Ti_Jollands) Times'!$C81)/(365.35*24*3600)</f>
        <v>1580352.2255728084</v>
      </c>
      <c r="W81" s="2">
        <f>('L-Values'!S81*'D(Ti_Jollands) Times'!$F81*0.000001)^2/(4*'D(Ti_Jollands) Times'!$C81)/(365.35*24*3600)</f>
        <v>1690074.3257511412</v>
      </c>
      <c r="X81" s="2"/>
      <c r="Y81" s="2">
        <f>('L-Values'!U81*'D(Ti_Jollands) Times'!$F81*0.000001)^2/(4*'D(Ti_Jollands) Times'!$C81)/(365.35*24*3600)</f>
        <v>1538862.2882562366</v>
      </c>
      <c r="Z81" s="2">
        <f>('L-Values'!V81*'D(Ti_Jollands) Times'!$F81*0.000001)^2/(4*'D(Ti_Jollands) Times'!$C81)/(365.35*24*3600)</f>
        <v>1529672.6546128937</v>
      </c>
      <c r="AA81" s="2">
        <f>('L-Values'!W81*'D(Ti_Jollands) Times'!$F81*0.000001)^2/(4*'D(Ti_Jollands) Times'!$C81)/(365.35*24*3600)</f>
        <v>473782.82682487002</v>
      </c>
      <c r="AB81" s="2">
        <f>('L-Values'!X81*'D(Ti_Jollands) Times'!$F81*0.000001)^2/(4*'D(Ti_Jollands) Times'!$C81)/(365.35*24*3600)</f>
        <v>3018891.3581043235</v>
      </c>
      <c r="AC81" s="2">
        <f t="shared" si="6"/>
        <v>1055889.8277880237</v>
      </c>
      <c r="AD81" s="2">
        <f t="shared" si="7"/>
        <v>1489218.7034914298</v>
      </c>
    </row>
    <row r="82" spans="1:30" x14ac:dyDescent="0.2">
      <c r="A82" t="str">
        <f>'L-Values'!A82</f>
        <v>CGI005-qtz09-CL-fit-3-offset</v>
      </c>
      <c r="B82">
        <v>750</v>
      </c>
      <c r="C82">
        <f t="shared" si="4"/>
        <v>6.6965312637759184E-25</v>
      </c>
      <c r="D82">
        <v>2400</v>
      </c>
      <c r="E82">
        <v>1024</v>
      </c>
      <c r="F82">
        <f t="shared" si="5"/>
        <v>2.34375</v>
      </c>
      <c r="I82" s="2">
        <f>('L-Values'!E82*'D(Ti_Jollands) Times'!$F82*0.000001)^2/(4*'D(Ti_Jollands) Times'!$C82)/(365.35*24*3600)</f>
        <v>1218616.3593927065</v>
      </c>
      <c r="J82" s="2">
        <f>('L-Values'!F82*'D(Ti_Jollands) Times'!$F82*0.000001)^2/(4*'D(Ti_Jollands) Times'!$C82)/(365.35*24*3600)</f>
        <v>609491.59894740407</v>
      </c>
      <c r="K82" s="2">
        <f>('L-Values'!G82*'D(Ti_Jollands) Times'!$F82*0.000001)^2/(4*'D(Ti_Jollands) Times'!$C82)/(365.35*24*3600)</f>
        <v>935620.19671373768</v>
      </c>
      <c r="L82" s="2">
        <f>('L-Values'!H82*'D(Ti_Jollands) Times'!$F82*0.000001)^2/(4*'D(Ti_Jollands) Times'!$C82)/(365.35*24*3600)</f>
        <v>976307.18236193538</v>
      </c>
      <c r="M82" s="2">
        <f>('L-Values'!I82*'D(Ti_Jollands) Times'!$F82*0.000001)^2/(4*'D(Ti_Jollands) Times'!$C82)/(365.35*24*3600)</f>
        <v>1328738.9021346935</v>
      </c>
      <c r="N82" s="2">
        <f>('L-Values'!J82*'D(Ti_Jollands) Times'!$F82*0.000001)^2/(4*'D(Ti_Jollands) Times'!$C82)/(365.35*24*3600)</f>
        <v>1070327.3491963733</v>
      </c>
      <c r="O82" s="2">
        <f>('L-Values'!K82*'D(Ti_Jollands) Times'!$F82*0.000001)^2/(4*'D(Ti_Jollands) Times'!$C82)/(365.35*24*3600)</f>
        <v>1420035.8217879676</v>
      </c>
      <c r="P82" s="2">
        <f>('L-Values'!L82*'D(Ti_Jollands) Times'!$F82*0.000001)^2/(4*'D(Ti_Jollands) Times'!$C82)/(365.35*24*3600)</f>
        <v>1522050.5138356064</v>
      </c>
      <c r="Q82" s="2">
        <f>('L-Values'!M82*'D(Ti_Jollands) Times'!$F82*0.000001)^2/(4*'D(Ti_Jollands) Times'!$C82)/(365.35*24*3600)</f>
        <v>1558456.67638867</v>
      </c>
      <c r="R82" s="2">
        <f>('L-Values'!N82*'D(Ti_Jollands) Times'!$F82*0.000001)^2/(4*'D(Ti_Jollands) Times'!$C82)/(365.35*24*3600)</f>
        <v>1293618.9964254212</v>
      </c>
      <c r="S82" s="2">
        <f>('L-Values'!O82*'D(Ti_Jollands) Times'!$F82*0.000001)^2/(4*'D(Ti_Jollands) Times'!$C82)/(365.35*24*3600)</f>
        <v>3344453.6926882924</v>
      </c>
      <c r="T82" s="2"/>
      <c r="U82" s="2">
        <f>('L-Values'!Q82*'D(Ti_Jollands) Times'!$F82*0.000001)^2/(4*'D(Ti_Jollands) Times'!$C82)/(365.35*24*3600)</f>
        <v>1246103.4529118028</v>
      </c>
      <c r="V82" s="2">
        <f>('L-Values'!R82*'D(Ti_Jollands) Times'!$F82*0.000001)^2/(4*'D(Ti_Jollands) Times'!$C82)/(365.35*24*3600)</f>
        <v>1326088.0526385859</v>
      </c>
      <c r="W82" s="2">
        <f>('L-Values'!S82*'D(Ti_Jollands) Times'!$F82*0.000001)^2/(4*'D(Ti_Jollands) Times'!$C82)/(365.35*24*3600)</f>
        <v>1293618.9964254212</v>
      </c>
      <c r="X82" s="2"/>
      <c r="Y82" s="2">
        <f>('L-Values'!U82*'D(Ti_Jollands) Times'!$F82*0.000001)^2/(4*'D(Ti_Jollands) Times'!$C82)/(365.35*24*3600)</f>
        <v>1257334.7764666846</v>
      </c>
      <c r="Z82" s="2">
        <f>('L-Values'!V82*'D(Ti_Jollands) Times'!$F82*0.000001)^2/(4*'D(Ti_Jollands) Times'!$C82)/(365.35*24*3600)</f>
        <v>1281160.2223403342</v>
      </c>
      <c r="AA82" s="2">
        <f>('L-Values'!W82*'D(Ti_Jollands) Times'!$F82*0.000001)^2/(4*'D(Ti_Jollands) Times'!$C82)/(365.35*24*3600)</f>
        <v>348233.70254270994</v>
      </c>
      <c r="AB82" s="2">
        <f>('L-Values'!X82*'D(Ti_Jollands) Times'!$F82*0.000001)^2/(4*'D(Ti_Jollands) Times'!$C82)/(365.35*24*3600)</f>
        <v>2996979.4538453608</v>
      </c>
      <c r="AC82" s="2">
        <f t="shared" si="6"/>
        <v>932926.51979762432</v>
      </c>
      <c r="AD82" s="2">
        <f t="shared" si="7"/>
        <v>1715819.2315050266</v>
      </c>
    </row>
    <row r="83" spans="1:30" x14ac:dyDescent="0.2">
      <c r="A83" t="str">
        <f>'L-Values'!A83</f>
        <v>CGI005-qtz09-CL-fit-4-offset</v>
      </c>
      <c r="B83">
        <v>750</v>
      </c>
      <c r="C83">
        <f t="shared" si="4"/>
        <v>6.6965312637759184E-25</v>
      </c>
      <c r="D83">
        <v>2400</v>
      </c>
      <c r="E83">
        <v>1024</v>
      </c>
      <c r="F83">
        <f t="shared" si="5"/>
        <v>2.34375</v>
      </c>
      <c r="I83" s="2">
        <f>('L-Values'!E83*'D(Ti_Jollands) Times'!$F83*0.000001)^2/(4*'D(Ti_Jollands) Times'!$C83)/(365.35*24*3600)</f>
        <v>415022.46556857071</v>
      </c>
      <c r="J83" s="2">
        <f>('L-Values'!F83*'D(Ti_Jollands) Times'!$F83*0.000001)^2/(4*'D(Ti_Jollands) Times'!$C83)/(365.35*24*3600)</f>
        <v>484375.77307269553</v>
      </c>
      <c r="K83" s="2">
        <f>('L-Values'!G83*'D(Ti_Jollands) Times'!$F83*0.000001)^2/(4*'D(Ti_Jollands) Times'!$C83)/(365.35*24*3600)</f>
        <v>296812.80245170143</v>
      </c>
      <c r="L83" s="2">
        <f>('L-Values'!H83*'D(Ti_Jollands) Times'!$F83*0.000001)^2/(4*'D(Ti_Jollands) Times'!$C83)/(365.35*24*3600)</f>
        <v>709528.09399143036</v>
      </c>
      <c r="M83" s="2">
        <f>('L-Values'!I83*'D(Ti_Jollands) Times'!$F83*0.000001)^2/(4*'D(Ti_Jollands) Times'!$C83)/(365.35*24*3600)</f>
        <v>841838.16760031669</v>
      </c>
      <c r="N83" s="2">
        <f>('L-Values'!J83*'D(Ti_Jollands) Times'!$F83*0.000001)^2/(4*'D(Ti_Jollands) Times'!$C83)/(365.35*24*3600)</f>
        <v>629252.97826138826</v>
      </c>
      <c r="O83" s="2">
        <f>('L-Values'!K83*'D(Ti_Jollands) Times'!$F83*0.000001)^2/(4*'D(Ti_Jollands) Times'!$C83)/(365.35*24*3600)</f>
        <v>680515.32808849297</v>
      </c>
      <c r="P83" s="2">
        <f>('L-Values'!L83*'D(Ti_Jollands) Times'!$F83*0.000001)^2/(4*'D(Ti_Jollands) Times'!$C83)/(365.35*24*3600)</f>
        <v>571761.14170128689</v>
      </c>
      <c r="Q83" s="2">
        <f>('L-Values'!M83*'D(Ti_Jollands) Times'!$F83*0.000001)^2/(4*'D(Ti_Jollands) Times'!$C83)/(365.35*24*3600)</f>
        <v>586376.02624765818</v>
      </c>
      <c r="R83" s="2">
        <f>('L-Values'!N83*'D(Ti_Jollands) Times'!$F83*0.000001)^2/(4*'D(Ti_Jollands) Times'!$C83)/(365.35*24*3600)</f>
        <v>506770.92398378084</v>
      </c>
      <c r="S83" s="2">
        <f>('L-Values'!O83*'D(Ti_Jollands) Times'!$F83*0.000001)^2/(4*'D(Ti_Jollands) Times'!$C83)/(365.35*24*3600)</f>
        <v>358787.15131751524</v>
      </c>
      <c r="T83" s="2"/>
      <c r="U83" s="2">
        <f>('L-Values'!Q83*'D(Ti_Jollands) Times'!$F83*0.000001)^2/(4*'D(Ti_Jollands) Times'!$C83)/(365.35*24*3600)</f>
        <v>583330.27499713586</v>
      </c>
      <c r="V83" s="2">
        <f>('L-Values'!R83*'D(Ti_Jollands) Times'!$F83*0.000001)^2/(4*'D(Ti_Jollands) Times'!$C83)/(365.35*24*3600)</f>
        <v>541670.17030083248</v>
      </c>
      <c r="W83" s="2">
        <f>('L-Values'!S83*'D(Ti_Jollands) Times'!$F83*0.000001)^2/(4*'D(Ti_Jollands) Times'!$C83)/(365.35*24*3600)</f>
        <v>571761.14170128689</v>
      </c>
      <c r="X83" s="2"/>
      <c r="Y83" s="2">
        <f>('L-Values'!U83*'D(Ti_Jollands) Times'!$F83*0.000001)^2/(4*'D(Ti_Jollands) Times'!$C83)/(365.35*24*3600)</f>
        <v>539208.76930891466</v>
      </c>
      <c r="Z83" s="2">
        <f>('L-Values'!V83*'D(Ti_Jollands) Times'!$F83*0.000001)^2/(4*'D(Ti_Jollands) Times'!$C83)/(365.35*24*3600)</f>
        <v>516688.78338295547</v>
      </c>
      <c r="AA83" s="2">
        <f>('L-Values'!W83*'D(Ti_Jollands) Times'!$F83*0.000001)^2/(4*'D(Ti_Jollands) Times'!$C83)/(365.35*24*3600)</f>
        <v>154451.57082353358</v>
      </c>
      <c r="AB83" s="2">
        <f>('L-Values'!X83*'D(Ti_Jollands) Times'!$F83*0.000001)^2/(4*'D(Ti_Jollands) Times'!$C83)/(365.35*24*3600)</f>
        <v>1006580.8659816057</v>
      </c>
      <c r="AC83" s="2">
        <f t="shared" si="6"/>
        <v>362237.2125594219</v>
      </c>
      <c r="AD83" s="2">
        <f t="shared" si="7"/>
        <v>489892.08259865025</v>
      </c>
    </row>
    <row r="84" spans="1:30" x14ac:dyDescent="0.2">
      <c r="A84" t="str">
        <f>'L-Values'!A84</f>
        <v>CGI005-qtz09-CL-fit-5-offset</v>
      </c>
      <c r="B84">
        <v>750</v>
      </c>
      <c r="C84">
        <f t="shared" si="4"/>
        <v>6.6965312637759184E-25</v>
      </c>
      <c r="D84">
        <v>2400</v>
      </c>
      <c r="E84">
        <v>1024</v>
      </c>
      <c r="F84">
        <f t="shared" si="5"/>
        <v>2.34375</v>
      </c>
      <c r="I84" s="2">
        <f>('L-Values'!E84*'D(Ti_Jollands) Times'!$F84*0.000001)^2/(4*'D(Ti_Jollands) Times'!$C84)/(365.35*24*3600)</f>
        <v>333188.72564723331</v>
      </c>
      <c r="J84" s="2">
        <f>('L-Values'!F84*'D(Ti_Jollands) Times'!$F84*0.000001)^2/(4*'D(Ti_Jollands) Times'!$C84)/(365.35*24*3600)</f>
        <v>300528.80023908085</v>
      </c>
      <c r="K84" s="2">
        <f>('L-Values'!G84*'D(Ti_Jollands) Times'!$F84*0.000001)^2/(4*'D(Ti_Jollands) Times'!$C84)/(365.35*24*3600)</f>
        <v>589899.0097341896</v>
      </c>
      <c r="L84" s="2">
        <f>('L-Values'!H84*'D(Ti_Jollands) Times'!$F84*0.000001)^2/(4*'D(Ti_Jollands) Times'!$C84)/(365.35*24*3600)</f>
        <v>365684.05653053016</v>
      </c>
      <c r="M84" s="2">
        <f>('L-Values'!I84*'D(Ti_Jollands) Times'!$F84*0.000001)^2/(4*'D(Ti_Jollands) Times'!$C84)/(365.35*24*3600)</f>
        <v>375713.82175135508</v>
      </c>
      <c r="N84" s="2">
        <f>('L-Values'!J84*'D(Ti_Jollands) Times'!$F84*0.000001)^2/(4*'D(Ti_Jollands) Times'!$C84)/(365.35*24*3600)</f>
        <v>273773.30360117444</v>
      </c>
      <c r="O84" s="2">
        <f>('L-Values'!K84*'D(Ti_Jollands) Times'!$F84*0.000001)^2/(4*'D(Ti_Jollands) Times'!$C84)/(365.35*24*3600)</f>
        <v>133254.8793309262</v>
      </c>
      <c r="P84" s="2">
        <f>('L-Values'!L84*'D(Ti_Jollands) Times'!$F84*0.000001)^2/(4*'D(Ti_Jollands) Times'!$C84)/(365.35*24*3600)</f>
        <v>191804.95537711232</v>
      </c>
      <c r="Q84" s="2">
        <f>('L-Values'!M84*'D(Ti_Jollands) Times'!$F84*0.000001)^2/(4*'D(Ti_Jollands) Times'!$C84)/(365.35*24*3600)</f>
        <v>273368.95941423433</v>
      </c>
      <c r="R84" s="2">
        <f>('L-Values'!N84*'D(Ti_Jollands) Times'!$F84*0.000001)^2/(4*'D(Ti_Jollands) Times'!$C84)/(365.35*24*3600)</f>
        <v>250612.40795169937</v>
      </c>
      <c r="S84" s="2">
        <f>('L-Values'!O84*'D(Ti_Jollands) Times'!$F84*0.000001)^2/(4*'D(Ti_Jollands) Times'!$C84)/(365.35*24*3600)</f>
        <v>268816.18064832012</v>
      </c>
      <c r="T84" s="2"/>
      <c r="U84" s="2">
        <f>('L-Values'!Q84*'D(Ti_Jollands) Times'!$F84*0.000001)^2/(4*'D(Ti_Jollands) Times'!$C84)/(365.35*24*3600)</f>
        <v>319555.3572383381</v>
      </c>
      <c r="V84" s="2">
        <f>('L-Values'!R84*'D(Ti_Jollands) Times'!$F84*0.000001)^2/(4*'D(Ti_Jollands) Times'!$C84)/(365.35*24*3600)</f>
        <v>295472.87249861524</v>
      </c>
      <c r="W84" s="2">
        <f>('L-Values'!S84*'D(Ti_Jollands) Times'!$F84*0.000001)^2/(4*'D(Ti_Jollands) Times'!$C84)/(365.35*24*3600)</f>
        <v>273773.30360117444</v>
      </c>
      <c r="X84" s="2"/>
      <c r="Y84" s="2">
        <f>('L-Values'!U84*'D(Ti_Jollands) Times'!$F84*0.000001)^2/(4*'D(Ti_Jollands) Times'!$C84)/(365.35*24*3600)</f>
        <v>317552.69337567379</v>
      </c>
      <c r="Z84" s="2">
        <f>('L-Values'!V84*'D(Ti_Jollands) Times'!$F84*0.000001)^2/(4*'D(Ti_Jollands) Times'!$C84)/(365.35*24*3600)</f>
        <v>306313.0681183284</v>
      </c>
      <c r="AA84" s="2">
        <f>('L-Values'!W84*'D(Ti_Jollands) Times'!$F84*0.000001)^2/(4*'D(Ti_Jollands) Times'!$C84)/(365.35*24*3600)</f>
        <v>31584.330707691668</v>
      </c>
      <c r="AB84" s="2">
        <f>('L-Values'!X84*'D(Ti_Jollands) Times'!$F84*0.000001)^2/(4*'D(Ti_Jollands) Times'!$C84)/(365.35*24*3600)</f>
        <v>704018.99597502116</v>
      </c>
      <c r="AC84" s="2">
        <f t="shared" si="6"/>
        <v>274728.73741063674</v>
      </c>
      <c r="AD84" s="2">
        <f t="shared" si="7"/>
        <v>397705.92785669275</v>
      </c>
    </row>
    <row r="85" spans="1:30" x14ac:dyDescent="0.2">
      <c r="A85" t="str">
        <f>'L-Values'!A85</f>
        <v>CGI005-qtz10-CL-fit-1</v>
      </c>
      <c r="B85">
        <v>750</v>
      </c>
      <c r="C85">
        <f t="shared" si="4"/>
        <v>6.6965312637759184E-25</v>
      </c>
      <c r="D85">
        <v>2100</v>
      </c>
      <c r="E85">
        <v>1024</v>
      </c>
      <c r="F85">
        <f t="shared" si="5"/>
        <v>2.05078125</v>
      </c>
      <c r="I85" s="2">
        <f>('L-Values'!E85*'D(Ti_Jollands) Times'!$F85*0.000001)^2/(4*'D(Ti_Jollands) Times'!$C85)/(365.35*24*3600)</f>
        <v>7738820.7747369744</v>
      </c>
      <c r="J85" s="2">
        <f>('L-Values'!F85*'D(Ti_Jollands) Times'!$F85*0.000001)^2/(4*'D(Ti_Jollands) Times'!$C85)/(365.35*24*3600)</f>
        <v>10417584.102767054</v>
      </c>
      <c r="K85" s="2">
        <f>('L-Values'!G85*'D(Ti_Jollands) Times'!$F85*0.000001)^2/(4*'D(Ti_Jollands) Times'!$C85)/(365.35*24*3600)</f>
        <v>9467127.3568033259</v>
      </c>
      <c r="L85" s="2">
        <f>('L-Values'!H85*'D(Ti_Jollands) Times'!$F85*0.000001)^2/(4*'D(Ti_Jollands) Times'!$C85)/(365.35*24*3600)</f>
        <v>10614912.211740635</v>
      </c>
      <c r="M85" s="2">
        <f>('L-Values'!I85*'D(Ti_Jollands) Times'!$F85*0.000001)^2/(4*'D(Ti_Jollands) Times'!$C85)/(365.35*24*3600)</f>
        <v>9355298.609376112</v>
      </c>
      <c r="N85" s="2">
        <f>('L-Values'!J85*'D(Ti_Jollands) Times'!$F85*0.000001)^2/(4*'D(Ti_Jollands) Times'!$C85)/(365.35*24*3600)</f>
        <v>8934942.1482926831</v>
      </c>
      <c r="O85" s="2">
        <f>('L-Values'!K85*'D(Ti_Jollands) Times'!$F85*0.000001)^2/(4*'D(Ti_Jollands) Times'!$C85)/(365.35*24*3600)</f>
        <v>9361482.6752740499</v>
      </c>
      <c r="P85" s="2">
        <f>('L-Values'!L85*'D(Ti_Jollands) Times'!$F85*0.000001)^2/(4*'D(Ti_Jollands) Times'!$C85)/(365.35*24*3600)</f>
        <v>9202006.6561551802</v>
      </c>
      <c r="Q85" s="2">
        <f>('L-Values'!M85*'D(Ti_Jollands) Times'!$F85*0.000001)^2/(4*'D(Ti_Jollands) Times'!$C85)/(365.35*24*3600)</f>
        <v>9124018.5625708662</v>
      </c>
      <c r="R85" s="2">
        <f>('L-Values'!N85*'D(Ti_Jollands) Times'!$F85*0.000001)^2/(4*'D(Ti_Jollands) Times'!$C85)/(365.35*24*3600)</f>
        <v>9327656.3899321649</v>
      </c>
      <c r="S85" s="2">
        <f>('L-Values'!O85*'D(Ti_Jollands) Times'!$F85*0.000001)^2/(4*'D(Ti_Jollands) Times'!$C85)/(365.35*24*3600)</f>
        <v>9878449.789495958</v>
      </c>
      <c r="T85" s="2"/>
      <c r="U85" s="2">
        <f>('L-Values'!Q85*'D(Ti_Jollands) Times'!$F85*0.000001)^2/(4*'D(Ti_Jollands) Times'!$C85)/(365.35*24*3600)</f>
        <v>9385879.9216289781</v>
      </c>
      <c r="V85" s="2">
        <f>('L-Values'!R85*'D(Ti_Jollands) Times'!$F85*0.000001)^2/(4*'D(Ti_Jollands) Times'!$C85)/(365.35*24*3600)</f>
        <v>9387572.8929630592</v>
      </c>
      <c r="W85" s="2">
        <f>('L-Values'!S85*'D(Ti_Jollands) Times'!$F85*0.000001)^2/(4*'D(Ti_Jollands) Times'!$C85)/(365.35*24*3600)</f>
        <v>9355298.609376112</v>
      </c>
      <c r="X85" s="2"/>
      <c r="Y85" s="2">
        <f>('L-Values'!U85*'D(Ti_Jollands) Times'!$F85*0.000001)^2/(4*'D(Ti_Jollands) Times'!$C85)/(365.35*24*3600)</f>
        <v>9340946.7422004025</v>
      </c>
      <c r="Z85" s="2">
        <f>('L-Values'!V85*'D(Ti_Jollands) Times'!$F85*0.000001)^2/(4*'D(Ti_Jollands) Times'!$C85)/(365.35*24*3600)</f>
        <v>9315246.0687214099</v>
      </c>
      <c r="AA85" s="2">
        <f>('L-Values'!W85*'D(Ti_Jollands) Times'!$F85*0.000001)^2/(4*'D(Ti_Jollands) Times'!$C85)/(365.35*24*3600)</f>
        <v>7930751.3139293697</v>
      </c>
      <c r="AB85" s="2">
        <f>('L-Values'!X85*'D(Ti_Jollands) Times'!$F85*0.000001)^2/(4*'D(Ti_Jollands) Times'!$C85)/(365.35*24*3600)</f>
        <v>11104615.217818724</v>
      </c>
      <c r="AC85" s="2">
        <f t="shared" si="6"/>
        <v>1384494.7547920402</v>
      </c>
      <c r="AD85" s="2">
        <f t="shared" si="7"/>
        <v>1789369.1490973141</v>
      </c>
    </row>
    <row r="86" spans="1:30" x14ac:dyDescent="0.2">
      <c r="A86" t="str">
        <f>'L-Values'!A86</f>
        <v>CGI005-qtz10-CL-fit-2</v>
      </c>
      <c r="B86">
        <v>750</v>
      </c>
      <c r="C86">
        <f t="shared" si="4"/>
        <v>6.6965312637759184E-25</v>
      </c>
      <c r="D86">
        <v>2100</v>
      </c>
      <c r="E86">
        <v>1024</v>
      </c>
      <c r="F86">
        <f t="shared" si="5"/>
        <v>2.05078125</v>
      </c>
      <c r="I86" s="2">
        <f>('L-Values'!E86*'D(Ti_Jollands) Times'!$F86*0.000001)^2/(4*'D(Ti_Jollands) Times'!$C86)/(365.35*24*3600)</f>
        <v>1790881.583070704</v>
      </c>
      <c r="J86" s="2">
        <f>('L-Values'!F86*'D(Ti_Jollands) Times'!$F86*0.000001)^2/(4*'D(Ti_Jollands) Times'!$C86)/(365.35*24*3600)</f>
        <v>1549799.2583689597</v>
      </c>
      <c r="K86" s="2">
        <f>('L-Values'!G86*'D(Ti_Jollands) Times'!$F86*0.000001)^2/(4*'D(Ti_Jollands) Times'!$C86)/(365.35*24*3600)</f>
        <v>1677166.7382682741</v>
      </c>
      <c r="L86" s="2">
        <f>('L-Values'!H86*'D(Ti_Jollands) Times'!$F86*0.000001)^2/(4*'D(Ti_Jollands) Times'!$C86)/(365.35*24*3600)</f>
        <v>1730632.4940769493</v>
      </c>
      <c r="M86" s="2">
        <f>('L-Values'!I86*'D(Ti_Jollands) Times'!$F86*0.000001)^2/(4*'D(Ti_Jollands) Times'!$C86)/(365.35*24*3600)</f>
        <v>2454874.5963965575</v>
      </c>
      <c r="N86" s="2">
        <f>('L-Values'!J86*'D(Ti_Jollands) Times'!$F86*0.000001)^2/(4*'D(Ti_Jollands) Times'!$C86)/(365.35*24*3600)</f>
        <v>1864157.4552923695</v>
      </c>
      <c r="O86" s="2">
        <f>('L-Values'!K86*'D(Ti_Jollands) Times'!$F86*0.000001)^2/(4*'D(Ti_Jollands) Times'!$C86)/(365.35*24*3600)</f>
        <v>1939998.6492820634</v>
      </c>
      <c r="P86" s="2">
        <f>('L-Values'!L86*'D(Ti_Jollands) Times'!$F86*0.000001)^2/(4*'D(Ti_Jollands) Times'!$C86)/(365.35*24*3600)</f>
        <v>1882029.8237242948</v>
      </c>
      <c r="Q86" s="2">
        <f>('L-Values'!M86*'D(Ti_Jollands) Times'!$F86*0.000001)^2/(4*'D(Ti_Jollands) Times'!$C86)/(365.35*24*3600)</f>
        <v>1640404.450096986</v>
      </c>
      <c r="R86" s="2">
        <f>('L-Values'!N86*'D(Ti_Jollands) Times'!$F86*0.000001)^2/(4*'D(Ti_Jollands) Times'!$C86)/(365.35*24*3600)</f>
        <v>2059837.0347147093</v>
      </c>
      <c r="S86" s="2">
        <f>('L-Values'!O86*'D(Ti_Jollands) Times'!$F86*0.000001)^2/(4*'D(Ti_Jollands) Times'!$C86)/(365.35*24*3600)</f>
        <v>2450426.5458993213</v>
      </c>
      <c r="T86" s="2"/>
      <c r="U86" s="2">
        <f>('L-Values'!Q86*'D(Ti_Jollands) Times'!$F86*0.000001)^2/(4*'D(Ti_Jollands) Times'!$C86)/(365.35*24*3600)</f>
        <v>1904804.9093958824</v>
      </c>
      <c r="V86" s="2">
        <f>('L-Values'!R86*'D(Ti_Jollands) Times'!$F86*0.000001)^2/(4*'D(Ti_Jollands) Times'!$C86)/(365.35*24*3600)</f>
        <v>1902386.209878837</v>
      </c>
      <c r="W86" s="2">
        <f>('L-Values'!S86*'D(Ti_Jollands) Times'!$F86*0.000001)^2/(4*'D(Ti_Jollands) Times'!$C86)/(365.35*24*3600)</f>
        <v>1864157.4552923695</v>
      </c>
      <c r="X86" s="2"/>
      <c r="Y86" s="2">
        <f>('L-Values'!U86*'D(Ti_Jollands) Times'!$F86*0.000001)^2/(4*'D(Ti_Jollands) Times'!$C86)/(365.35*24*3600)</f>
        <v>1906946.3689949578</v>
      </c>
      <c r="Z86" s="2">
        <f>('L-Values'!V86*'D(Ti_Jollands) Times'!$F86*0.000001)^2/(4*'D(Ti_Jollands) Times'!$C86)/(365.35*24*3600)</f>
        <v>1928366.9336338844</v>
      </c>
      <c r="AA86" s="2">
        <f>('L-Values'!W86*'D(Ti_Jollands) Times'!$F86*0.000001)^2/(4*'D(Ti_Jollands) Times'!$C86)/(365.35*24*3600)</f>
        <v>1493856.7229859168</v>
      </c>
      <c r="AB86" s="2">
        <f>('L-Values'!X86*'D(Ti_Jollands) Times'!$F86*0.000001)^2/(4*'D(Ti_Jollands) Times'!$C86)/(365.35*24*3600)</f>
        <v>2570875.4234613804</v>
      </c>
      <c r="AC86" s="2">
        <f t="shared" si="6"/>
        <v>434510.21064796764</v>
      </c>
      <c r="AD86" s="2">
        <f t="shared" si="7"/>
        <v>642508.489827496</v>
      </c>
    </row>
    <row r="87" spans="1:30" x14ac:dyDescent="0.2">
      <c r="A87" t="str">
        <f>'L-Values'!A87</f>
        <v>CGI005-qtz10-CL-fit-3-offset</v>
      </c>
      <c r="B87">
        <v>750</v>
      </c>
      <c r="C87">
        <f t="shared" si="4"/>
        <v>6.6965312637759184E-25</v>
      </c>
      <c r="D87">
        <v>2100</v>
      </c>
      <c r="E87">
        <v>1024</v>
      </c>
      <c r="F87">
        <f t="shared" si="5"/>
        <v>2.05078125</v>
      </c>
      <c r="I87" s="2">
        <f>('L-Values'!E87*'D(Ti_Jollands) Times'!$F87*0.000001)^2/(4*'D(Ti_Jollands) Times'!$C87)/(365.35*24*3600)</f>
        <v>3000672.6874436312</v>
      </c>
      <c r="J87" s="2">
        <f>('L-Values'!F87*'D(Ti_Jollands) Times'!$F87*0.000001)^2/(4*'D(Ti_Jollands) Times'!$C87)/(365.35*24*3600)</f>
        <v>3366440.0856612744</v>
      </c>
      <c r="K87" s="2">
        <f>('L-Values'!G87*'D(Ti_Jollands) Times'!$F87*0.000001)^2/(4*'D(Ti_Jollands) Times'!$C87)/(365.35*24*3600)</f>
        <v>3740119.1699971794</v>
      </c>
      <c r="L87" s="2">
        <f>('L-Values'!H87*'D(Ti_Jollands) Times'!$F87*0.000001)^2/(4*'D(Ti_Jollands) Times'!$C87)/(365.35*24*3600)</f>
        <v>3717537.3521432355</v>
      </c>
      <c r="M87" s="2">
        <f>('L-Values'!I87*'D(Ti_Jollands) Times'!$F87*0.000001)^2/(4*'D(Ti_Jollands) Times'!$C87)/(365.35*24*3600)</f>
        <v>2893947.0779308965</v>
      </c>
      <c r="N87" s="2">
        <f>('L-Values'!J87*'D(Ti_Jollands) Times'!$F87*0.000001)^2/(4*'D(Ti_Jollands) Times'!$C87)/(365.35*24*3600)</f>
        <v>1651801.3560771211</v>
      </c>
      <c r="O87" s="2">
        <f>('L-Values'!K87*'D(Ti_Jollands) Times'!$F87*0.000001)^2/(4*'D(Ti_Jollands) Times'!$C87)/(365.35*24*3600)</f>
        <v>2419462.9941529431</v>
      </c>
      <c r="P87" s="2">
        <f>('L-Values'!L87*'D(Ti_Jollands) Times'!$F87*0.000001)^2/(4*'D(Ti_Jollands) Times'!$C87)/(365.35*24*3600)</f>
        <v>1220470.3980391659</v>
      </c>
      <c r="Q87" s="2">
        <f>('L-Values'!M87*'D(Ti_Jollands) Times'!$F87*0.000001)^2/(4*'D(Ti_Jollands) Times'!$C87)/(365.35*24*3600)</f>
        <v>805695.03202575317</v>
      </c>
      <c r="R87" s="2">
        <f>('L-Values'!N87*'D(Ti_Jollands) Times'!$F87*0.000001)^2/(4*'D(Ti_Jollands) Times'!$C87)/(365.35*24*3600)</f>
        <v>2407443.0622160719</v>
      </c>
      <c r="S87" s="2">
        <f>('L-Values'!O87*'D(Ti_Jollands) Times'!$F87*0.000001)^2/(4*'D(Ti_Jollands) Times'!$C87)/(365.35*24*3600)</f>
        <v>1756183.3924400758</v>
      </c>
      <c r="T87" s="2"/>
      <c r="U87" s="2">
        <f>('L-Values'!Q87*'D(Ti_Jollands) Times'!$F87*0.000001)^2/(4*'D(Ti_Jollands) Times'!$C87)/(365.35*24*3600)</f>
        <v>2501411.9308326198</v>
      </c>
      <c r="V87" s="2">
        <f>('L-Values'!R87*'D(Ti_Jollands) Times'!$F87*0.000001)^2/(4*'D(Ti_Jollands) Times'!$C87)/(365.35*24*3600)</f>
        <v>2346485.6487558773</v>
      </c>
      <c r="W87" s="2">
        <f>('L-Values'!S87*'D(Ti_Jollands) Times'!$F87*0.000001)^2/(4*'D(Ti_Jollands) Times'!$C87)/(365.35*24*3600)</f>
        <v>2419462.9941529431</v>
      </c>
      <c r="X87" s="2"/>
      <c r="Y87" s="2">
        <f>('L-Values'!U87*'D(Ti_Jollands) Times'!$F87*0.000001)^2/(4*'D(Ti_Jollands) Times'!$C87)/(365.35*24*3600)</f>
        <v>2489587.620997041</v>
      </c>
      <c r="Z87" s="2">
        <f>('L-Values'!V87*'D(Ti_Jollands) Times'!$F87*0.000001)^2/(4*'D(Ti_Jollands) Times'!$C87)/(365.35*24*3600)</f>
        <v>2515314.8833420817</v>
      </c>
      <c r="AA87" s="2">
        <f>('L-Values'!W87*'D(Ti_Jollands) Times'!$F87*0.000001)^2/(4*'D(Ti_Jollands) Times'!$C87)/(365.35*24*3600)</f>
        <v>1125449.586312782</v>
      </c>
      <c r="AB87" s="2">
        <f>('L-Values'!X87*'D(Ti_Jollands) Times'!$F87*0.000001)^2/(4*'D(Ti_Jollands) Times'!$C87)/(365.35*24*3600)</f>
        <v>4617785.261186</v>
      </c>
      <c r="AC87" s="2">
        <f t="shared" si="6"/>
        <v>1389865.2970292997</v>
      </c>
      <c r="AD87" s="2">
        <f t="shared" si="7"/>
        <v>2102470.3778439183</v>
      </c>
    </row>
    <row r="88" spans="1:30" x14ac:dyDescent="0.2">
      <c r="A88" t="str">
        <f>'L-Values'!A88</f>
        <v>CGI005-qtz10-CL-fit-4-offset</v>
      </c>
      <c r="B88">
        <v>750</v>
      </c>
      <c r="C88">
        <f t="shared" si="4"/>
        <v>6.6965312637759184E-25</v>
      </c>
      <c r="D88">
        <v>2100</v>
      </c>
      <c r="E88">
        <v>1024</v>
      </c>
      <c r="F88">
        <f t="shared" si="5"/>
        <v>2.05078125</v>
      </c>
      <c r="I88" s="2">
        <f>('L-Values'!E88*'D(Ti_Jollands) Times'!$F88*0.000001)^2/(4*'D(Ti_Jollands) Times'!$C88)/(365.35*24*3600)</f>
        <v>520939.21393877425</v>
      </c>
      <c r="J88" s="2">
        <f>('L-Values'!F88*'D(Ti_Jollands) Times'!$F88*0.000001)^2/(4*'D(Ti_Jollands) Times'!$C88)/(365.35*24*3600)</f>
        <v>603794.12039387564</v>
      </c>
      <c r="K88" s="2">
        <f>('L-Values'!G88*'D(Ti_Jollands) Times'!$F88*0.000001)^2/(4*'D(Ti_Jollands) Times'!$C88)/(365.35*24*3600)</f>
        <v>536708.01308014174</v>
      </c>
      <c r="L88" s="2">
        <f>('L-Values'!H88*'D(Ti_Jollands) Times'!$F88*0.000001)^2/(4*'D(Ti_Jollands) Times'!$C88)/(365.35*24*3600)</f>
        <v>428877.32565944787</v>
      </c>
      <c r="M88" s="2">
        <f>('L-Values'!I88*'D(Ti_Jollands) Times'!$F88*0.000001)^2/(4*'D(Ti_Jollands) Times'!$C88)/(365.35*24*3600)</f>
        <v>782184.2984830658</v>
      </c>
      <c r="N88" s="2">
        <f>('L-Values'!J88*'D(Ti_Jollands) Times'!$F88*0.000001)^2/(4*'D(Ti_Jollands) Times'!$C88)/(365.35*24*3600)</f>
        <v>860159.39455950784</v>
      </c>
      <c r="O88" s="2">
        <f>('L-Values'!K88*'D(Ti_Jollands) Times'!$F88*0.000001)^2/(4*'D(Ti_Jollands) Times'!$C88)/(365.35*24*3600)</f>
        <v>570586.95793697564</v>
      </c>
      <c r="P88" s="2">
        <f>('L-Values'!L88*'D(Ti_Jollands) Times'!$F88*0.000001)^2/(4*'D(Ti_Jollands) Times'!$C88)/(365.35*24*3600)</f>
        <v>601016.2066948266</v>
      </c>
      <c r="Q88" s="2">
        <f>('L-Values'!M88*'D(Ti_Jollands) Times'!$F88*0.000001)^2/(4*'D(Ti_Jollands) Times'!$C88)/(365.35*24*3600)</f>
        <v>579961.49507172697</v>
      </c>
      <c r="R88" s="2">
        <f>('L-Values'!N88*'D(Ti_Jollands) Times'!$F88*0.000001)^2/(4*'D(Ti_Jollands) Times'!$C88)/(365.35*24*3600)</f>
        <v>829356.31365281728</v>
      </c>
      <c r="S88" s="2">
        <f>('L-Values'!O88*'D(Ti_Jollands) Times'!$F88*0.000001)^2/(4*'D(Ti_Jollands) Times'!$C88)/(365.35*24*3600)</f>
        <v>648274.27810377406</v>
      </c>
      <c r="T88" s="2"/>
      <c r="U88" s="2">
        <f>('L-Values'!Q88*'D(Ti_Jollands) Times'!$F88*0.000001)^2/(4*'D(Ti_Jollands) Times'!$C88)/(365.35*24*3600)</f>
        <v>639581.83194986288</v>
      </c>
      <c r="V88" s="2">
        <f>('L-Values'!R88*'D(Ti_Jollands) Times'!$F88*0.000001)^2/(4*'D(Ti_Jollands) Times'!$C88)/(365.35*24*3600)</f>
        <v>626425.45831052645</v>
      </c>
      <c r="W88" s="2">
        <f>('L-Values'!S88*'D(Ti_Jollands) Times'!$F88*0.000001)^2/(4*'D(Ti_Jollands) Times'!$C88)/(365.35*24*3600)</f>
        <v>601016.2066948266</v>
      </c>
      <c r="X88" s="2"/>
      <c r="Y88" s="2">
        <f>('L-Values'!U88*'D(Ti_Jollands) Times'!$F88*0.000001)^2/(4*'D(Ti_Jollands) Times'!$C88)/(365.35*24*3600)</f>
        <v>628274.09182496055</v>
      </c>
      <c r="Z88" s="2">
        <f>('L-Values'!V88*'D(Ti_Jollands) Times'!$F88*0.000001)^2/(4*'D(Ti_Jollands) Times'!$C88)/(365.35*24*3600)</f>
        <v>632800.16763869498</v>
      </c>
      <c r="AA88" s="2">
        <f>('L-Values'!W88*'D(Ti_Jollands) Times'!$F88*0.000001)^2/(4*'D(Ti_Jollands) Times'!$C88)/(365.35*24*3600)</f>
        <v>383175.79635104968</v>
      </c>
      <c r="AB88" s="2">
        <f>('L-Values'!X88*'D(Ti_Jollands) Times'!$F88*0.000001)^2/(4*'D(Ti_Jollands) Times'!$C88)/(365.35*24*3600)</f>
        <v>924463.6928735316</v>
      </c>
      <c r="AC88" s="2">
        <f t="shared" si="6"/>
        <v>249624.37128764531</v>
      </c>
      <c r="AD88" s="2">
        <f t="shared" si="7"/>
        <v>291663.52523483662</v>
      </c>
    </row>
    <row r="89" spans="1:30" x14ac:dyDescent="0.2">
      <c r="A89" t="str">
        <f>'L-Values'!A89</f>
        <v>CGI005-qtz10-CL-fit-5-offset</v>
      </c>
      <c r="B89">
        <v>750</v>
      </c>
      <c r="C89">
        <f t="shared" si="4"/>
        <v>6.6965312637759184E-25</v>
      </c>
      <c r="D89">
        <v>2100</v>
      </c>
      <c r="E89">
        <v>1024</v>
      </c>
      <c r="F89">
        <f t="shared" si="5"/>
        <v>2.05078125</v>
      </c>
      <c r="I89" s="2">
        <f>('L-Values'!E89*'D(Ti_Jollands) Times'!$F89*0.000001)^2/(4*'D(Ti_Jollands) Times'!$C89)/(365.35*24*3600)</f>
        <v>331213.44340212963</v>
      </c>
      <c r="J89" s="2">
        <f>('L-Values'!F89*'D(Ti_Jollands) Times'!$F89*0.000001)^2/(4*'D(Ti_Jollands) Times'!$C89)/(365.35*24*3600)</f>
        <v>321932.54022007395</v>
      </c>
      <c r="K89" s="2">
        <f>('L-Values'!G89*'D(Ti_Jollands) Times'!$F89*0.000001)^2/(4*'D(Ti_Jollands) Times'!$C89)/(365.35*24*3600)</f>
        <v>64858.930605664282</v>
      </c>
      <c r="L89" s="2">
        <f>('L-Values'!H89*'D(Ti_Jollands) Times'!$F89*0.000001)^2/(4*'D(Ti_Jollands) Times'!$C89)/(365.35*24*3600)</f>
        <v>284210.15211128327</v>
      </c>
      <c r="M89" s="2">
        <f>('L-Values'!I89*'D(Ti_Jollands) Times'!$F89*0.000001)^2/(4*'D(Ti_Jollands) Times'!$C89)/(365.35*24*3600)</f>
        <v>334114.58223628759</v>
      </c>
      <c r="N89" s="2">
        <f>('L-Values'!J89*'D(Ti_Jollands) Times'!$F89*0.000001)^2/(4*'D(Ti_Jollands) Times'!$C89)/(365.35*24*3600)</f>
        <v>544451.8886202462</v>
      </c>
      <c r="O89" s="2">
        <f>('L-Values'!K89*'D(Ti_Jollands) Times'!$F89*0.000001)^2/(4*'D(Ti_Jollands) Times'!$C89)/(365.35*24*3600)</f>
        <v>524497.54151671345</v>
      </c>
      <c r="P89" s="2">
        <f>('L-Values'!L89*'D(Ti_Jollands) Times'!$F89*0.000001)^2/(4*'D(Ti_Jollands) Times'!$C89)/(365.35*24*3600)</f>
        <v>326568.18181126571</v>
      </c>
      <c r="Q89" s="2">
        <f>('L-Values'!M89*'D(Ti_Jollands) Times'!$F89*0.000001)^2/(4*'D(Ti_Jollands) Times'!$C89)/(365.35*24*3600)</f>
        <v>290561.46024289075</v>
      </c>
      <c r="R89" s="2">
        <f>('L-Values'!N89*'D(Ti_Jollands) Times'!$F89*0.000001)^2/(4*'D(Ti_Jollands) Times'!$C89)/(365.35*24*3600)</f>
        <v>574825.94471856637</v>
      </c>
      <c r="S89" s="2">
        <f>('L-Values'!O89*'D(Ti_Jollands) Times'!$F89*0.000001)^2/(4*'D(Ti_Jollands) Times'!$C89)/(365.35*24*3600)</f>
        <v>390575.78852644516</v>
      </c>
      <c r="T89" s="2"/>
      <c r="U89" s="2">
        <f>('L-Values'!Q89*'D(Ti_Jollands) Times'!$F89*0.000001)^2/(4*'D(Ti_Jollands) Times'!$C89)/(365.35*24*3600)</f>
        <v>377558.60082931136</v>
      </c>
      <c r="V89" s="2">
        <f>('L-Values'!R89*'D(Ti_Jollands) Times'!$F89*0.000001)^2/(4*'D(Ti_Jollands) Times'!$C89)/(365.35*24*3600)</f>
        <v>345363.60928988393</v>
      </c>
      <c r="W89" s="2">
        <f>('L-Values'!S89*'D(Ti_Jollands) Times'!$F89*0.000001)^2/(4*'D(Ti_Jollands) Times'!$C89)/(365.35*24*3600)</f>
        <v>331213.44340212963</v>
      </c>
      <c r="X89" s="2"/>
      <c r="Y89" s="2">
        <f>('L-Values'!U89*'D(Ti_Jollands) Times'!$F89*0.000001)^2/(4*'D(Ti_Jollands) Times'!$C89)/(365.35*24*3600)</f>
        <v>355086.10746126727</v>
      </c>
      <c r="Z89" s="2">
        <f>('L-Values'!V89*'D(Ti_Jollands) Times'!$F89*0.000001)^2/(4*'D(Ti_Jollands) Times'!$C89)/(365.35*24*3600)</f>
        <v>356277.78356020415</v>
      </c>
      <c r="AA89" s="2">
        <f>('L-Values'!W89*'D(Ti_Jollands) Times'!$F89*0.000001)^2/(4*'D(Ti_Jollands) Times'!$C89)/(365.35*24*3600)</f>
        <v>60278.242484154143</v>
      </c>
      <c r="AB89" s="2">
        <f>('L-Values'!X89*'D(Ti_Jollands) Times'!$F89*0.000001)^2/(4*'D(Ti_Jollands) Times'!$C89)/(365.35*24*3600)</f>
        <v>1046547.9976790705</v>
      </c>
      <c r="AC89" s="2">
        <f t="shared" si="6"/>
        <v>295999.54107605002</v>
      </c>
      <c r="AD89" s="2">
        <f t="shared" si="7"/>
        <v>690270.21411886625</v>
      </c>
    </row>
    <row r="90" spans="1:30" x14ac:dyDescent="0.2">
      <c r="A90" t="str">
        <f>'L-Values'!A90</f>
        <v>CGI005-qtz10-CL-fit-6-offset</v>
      </c>
      <c r="B90">
        <v>750</v>
      </c>
      <c r="C90">
        <f t="shared" si="4"/>
        <v>6.6965312637759184E-25</v>
      </c>
      <c r="D90">
        <v>2100</v>
      </c>
      <c r="E90">
        <v>1024</v>
      </c>
      <c r="F90">
        <f t="shared" si="5"/>
        <v>2.05078125</v>
      </c>
      <c r="I90" s="2">
        <f>('L-Values'!E90*'D(Ti_Jollands) Times'!$F90*0.000001)^2/(4*'D(Ti_Jollands) Times'!$C90)/(365.35*24*3600)</f>
        <v>38048.557833973122</v>
      </c>
      <c r="J90" s="2">
        <f>('L-Values'!F90*'D(Ti_Jollands) Times'!$F90*0.000001)^2/(4*'D(Ti_Jollands) Times'!$C90)/(365.35*24*3600)</f>
        <v>2702.7361682230867</v>
      </c>
      <c r="K90" s="2">
        <f>('L-Values'!G90*'D(Ti_Jollands) Times'!$F90*0.000001)^2/(4*'D(Ti_Jollands) Times'!$C90)/(365.35*24*3600)</f>
        <v>183190.82204364912</v>
      </c>
      <c r="L90" s="2">
        <f>('L-Values'!H90*'D(Ti_Jollands) Times'!$F90*0.000001)^2/(4*'D(Ti_Jollands) Times'!$C90)/(365.35*24*3600)</f>
        <v>60.005980139149322</v>
      </c>
      <c r="M90" s="2">
        <f>('L-Values'!I90*'D(Ti_Jollands) Times'!$F90*0.000001)^2/(4*'D(Ti_Jollands) Times'!$C90)/(365.35*24*3600)</f>
        <v>321647.62165578635</v>
      </c>
      <c r="N90" s="2">
        <f>('L-Values'!J90*'D(Ti_Jollands) Times'!$F90*0.000001)^2/(4*'D(Ti_Jollands) Times'!$C90)/(365.35*24*3600)</f>
        <v>29672.021923771415</v>
      </c>
      <c r="O90" s="2">
        <f>('L-Values'!K90*'D(Ti_Jollands) Times'!$F90*0.000001)^2/(4*'D(Ti_Jollands) Times'!$C90)/(365.35*24*3600)</f>
        <v>301408.60645435267</v>
      </c>
      <c r="P90" s="2">
        <f>('L-Values'!L90*'D(Ti_Jollands) Times'!$F90*0.000001)^2/(4*'D(Ti_Jollands) Times'!$C90)/(365.35*24*3600)</f>
        <v>217547.64411989111</v>
      </c>
      <c r="Q90" s="2">
        <f>('L-Values'!M90*'D(Ti_Jollands) Times'!$F90*0.000001)^2/(4*'D(Ti_Jollands) Times'!$C90)/(365.35*24*3600)</f>
        <v>44108.090215488126</v>
      </c>
      <c r="R90" s="2">
        <f>('L-Values'!N90*'D(Ti_Jollands) Times'!$F90*0.000001)^2/(4*'D(Ti_Jollands) Times'!$C90)/(365.35*24*3600)</f>
        <v>443653.32403573667</v>
      </c>
      <c r="S90" s="2">
        <f>('L-Values'!O90*'D(Ti_Jollands) Times'!$F90*0.000001)^2/(4*'D(Ti_Jollands) Times'!$C90)/(365.35*24*3600)</f>
        <v>515592.68166328256</v>
      </c>
      <c r="T90" s="2"/>
      <c r="U90" s="2">
        <f>('L-Values'!Q90*'D(Ti_Jollands) Times'!$F90*0.000001)^2/(4*'D(Ti_Jollands) Times'!$C90)/(365.35*24*3600)</f>
        <v>180475.31828586856</v>
      </c>
      <c r="V90" s="2">
        <f>('L-Values'!R90*'D(Ti_Jollands) Times'!$F90*0.000001)^2/(4*'D(Ti_Jollands) Times'!$C90)/(365.35*24*3600)</f>
        <v>134339.92388463984</v>
      </c>
      <c r="W90" s="2">
        <f>('L-Values'!S90*'D(Ti_Jollands) Times'!$F90*0.000001)^2/(4*'D(Ti_Jollands) Times'!$C90)/(365.35*24*3600)</f>
        <v>183190.82204364912</v>
      </c>
      <c r="X90" s="2"/>
      <c r="Y90" s="2">
        <f>('L-Values'!U90*'D(Ti_Jollands) Times'!$F90*0.000001)^2/(4*'D(Ti_Jollands) Times'!$C90)/(365.35*24*3600)</f>
        <v>131304.52292522506</v>
      </c>
      <c r="Z90" s="2">
        <f>('L-Values'!V90*'D(Ti_Jollands) Times'!$F90*0.000001)^2/(4*'D(Ti_Jollands) Times'!$C90)/(365.35*24*3600)</f>
        <v>140636.46557751857</v>
      </c>
      <c r="AA90" s="2">
        <f>('L-Values'!W90*'D(Ti_Jollands) Times'!$F90*0.000001)^2/(4*'D(Ti_Jollands) Times'!$C90)/(365.35*24*3600)</f>
        <v>410.65622760855547</v>
      </c>
      <c r="AB90" s="2">
        <f>('L-Values'!X90*'D(Ti_Jollands) Times'!$F90*0.000001)^2/(4*'D(Ti_Jollands) Times'!$C90)/(365.35*24*3600)</f>
        <v>836861.58316279633</v>
      </c>
      <c r="AC90" s="2">
        <f t="shared" si="6"/>
        <v>140225.80934991001</v>
      </c>
      <c r="AD90" s="2">
        <f t="shared" si="7"/>
        <v>696225.11758527777</v>
      </c>
    </row>
    <row r="91" spans="1:30" x14ac:dyDescent="0.2">
      <c r="A91" t="str">
        <f>'L-Values'!A91</f>
        <v>CGI005-qtz11-CL-fit-1-offset</v>
      </c>
      <c r="B91">
        <v>750</v>
      </c>
      <c r="C91">
        <f t="shared" si="4"/>
        <v>6.6965312637759184E-25</v>
      </c>
      <c r="D91">
        <v>2300</v>
      </c>
      <c r="E91">
        <v>1024</v>
      </c>
      <c r="F91">
        <f t="shared" si="5"/>
        <v>2.24609375</v>
      </c>
      <c r="I91" s="2">
        <f>('L-Values'!E91*'D(Ti_Jollands) Times'!$F91*0.000001)^2/(4*'D(Ti_Jollands) Times'!$C91)/(365.35*24*3600)</f>
        <v>1521167.9272698867</v>
      </c>
      <c r="J91" s="2">
        <f>('L-Values'!F91*'D(Ti_Jollands) Times'!$F91*0.000001)^2/(4*'D(Ti_Jollands) Times'!$C91)/(365.35*24*3600)</f>
        <v>1729663.073100744</v>
      </c>
      <c r="K91" s="2">
        <f>('L-Values'!G91*'D(Ti_Jollands) Times'!$F91*0.000001)^2/(4*'D(Ti_Jollands) Times'!$C91)/(365.35*24*3600)</f>
        <v>1847809.850050973</v>
      </c>
      <c r="L91" s="2">
        <f>('L-Values'!H91*'D(Ti_Jollands) Times'!$F91*0.000001)^2/(4*'D(Ti_Jollands) Times'!$C91)/(365.35*24*3600)</f>
        <v>1781548.7676446524</v>
      </c>
      <c r="M91" s="2">
        <f>('L-Values'!I91*'D(Ti_Jollands) Times'!$F91*0.000001)^2/(4*'D(Ti_Jollands) Times'!$C91)/(365.35*24*3600)</f>
        <v>1294347.0846938586</v>
      </c>
      <c r="N91" s="2">
        <f>('L-Values'!J91*'D(Ti_Jollands) Times'!$F91*0.000001)^2/(4*'D(Ti_Jollands) Times'!$C91)/(365.35*24*3600)</f>
        <v>1636758.2285511463</v>
      </c>
      <c r="O91" s="2">
        <f>('L-Values'!K91*'D(Ti_Jollands) Times'!$F91*0.000001)^2/(4*'D(Ti_Jollands) Times'!$C91)/(365.35*24*3600)</f>
        <v>1335596.1039536034</v>
      </c>
      <c r="P91" s="2">
        <f>('L-Values'!L91*'D(Ti_Jollands) Times'!$F91*0.000001)^2/(4*'D(Ti_Jollands) Times'!$C91)/(365.35*24*3600)</f>
        <v>1529455.608557706</v>
      </c>
      <c r="Q91" s="2">
        <f>('L-Values'!M91*'D(Ti_Jollands) Times'!$F91*0.000001)^2/(4*'D(Ti_Jollands) Times'!$C91)/(365.35*24*3600)</f>
        <v>1470711.8973042704</v>
      </c>
      <c r="R91" s="2">
        <f>('L-Values'!N91*'D(Ti_Jollands) Times'!$F91*0.000001)^2/(4*'D(Ti_Jollands) Times'!$C91)/(365.35*24*3600)</f>
        <v>1336187.8919810075</v>
      </c>
      <c r="S91" s="2">
        <f>('L-Values'!O91*'D(Ti_Jollands) Times'!$F91*0.000001)^2/(4*'D(Ti_Jollands) Times'!$C91)/(365.35*24*3600)</f>
        <v>1301639.5509155216</v>
      </c>
      <c r="T91" s="2"/>
      <c r="U91" s="2">
        <f>('L-Values'!Q91*'D(Ti_Jollands) Times'!$F91*0.000001)^2/(4*'D(Ti_Jollands) Times'!$C91)/(365.35*24*3600)</f>
        <v>1519095.2999737286</v>
      </c>
      <c r="V91" s="2">
        <f>('L-Values'!R91*'D(Ti_Jollands) Times'!$F91*0.000001)^2/(4*'D(Ti_Jollands) Times'!$C91)/(365.35*24*3600)</f>
        <v>1519978.3864801012</v>
      </c>
      <c r="W91" s="2">
        <f>('L-Values'!S91*'D(Ti_Jollands) Times'!$F91*0.000001)^2/(4*'D(Ti_Jollands) Times'!$C91)/(365.35*24*3600)</f>
        <v>1521167.9272698867</v>
      </c>
      <c r="X91" s="2"/>
      <c r="Y91" s="2">
        <f>('L-Values'!U91*'D(Ti_Jollands) Times'!$F91*0.000001)^2/(4*'D(Ti_Jollands) Times'!$C91)/(365.35*24*3600)</f>
        <v>1505641.9076226936</v>
      </c>
      <c r="Z91" s="2">
        <f>('L-Values'!V91*'D(Ti_Jollands) Times'!$F91*0.000001)^2/(4*'D(Ti_Jollands) Times'!$C91)/(365.35*24*3600)</f>
        <v>1491519.8055425913</v>
      </c>
      <c r="AA91" s="2">
        <f>('L-Values'!W91*'D(Ti_Jollands) Times'!$F91*0.000001)^2/(4*'D(Ti_Jollands) Times'!$C91)/(365.35*24*3600)</f>
        <v>1146426.6268065702</v>
      </c>
      <c r="AB91" s="2">
        <f>('L-Values'!X91*'D(Ti_Jollands) Times'!$F91*0.000001)^2/(4*'D(Ti_Jollands) Times'!$C91)/(365.35*24*3600)</f>
        <v>1939178.8777635391</v>
      </c>
      <c r="AC91" s="2">
        <f t="shared" si="6"/>
        <v>345093.17873602104</v>
      </c>
      <c r="AD91" s="2">
        <f t="shared" si="7"/>
        <v>447659.07222094783</v>
      </c>
    </row>
    <row r="92" spans="1:30" x14ac:dyDescent="0.2">
      <c r="A92" t="str">
        <f>'L-Values'!A92</f>
        <v>CGI005-qtz11-CL-fit-2-offset</v>
      </c>
      <c r="B92">
        <v>750</v>
      </c>
      <c r="C92">
        <f t="shared" si="4"/>
        <v>6.6965312637759184E-25</v>
      </c>
      <c r="D92">
        <v>2300</v>
      </c>
      <c r="E92">
        <v>1024</v>
      </c>
      <c r="F92">
        <f t="shared" si="5"/>
        <v>2.24609375</v>
      </c>
      <c r="I92" s="2">
        <f>('L-Values'!E92*'D(Ti_Jollands) Times'!$F92*0.000001)^2/(4*'D(Ti_Jollands) Times'!$C92)/(365.35*24*3600)</f>
        <v>776464.23025398084</v>
      </c>
      <c r="J92" s="2">
        <f>('L-Values'!F92*'D(Ti_Jollands) Times'!$F92*0.000001)^2/(4*'D(Ti_Jollands) Times'!$C92)/(365.35*24*3600)</f>
        <v>1603739.1547570312</v>
      </c>
      <c r="K92" s="2">
        <f>('L-Values'!G92*'D(Ti_Jollands) Times'!$F92*0.000001)^2/(4*'D(Ti_Jollands) Times'!$C92)/(365.35*24*3600)</f>
        <v>1782699.6286580523</v>
      </c>
      <c r="L92" s="2">
        <f>('L-Values'!H92*'D(Ti_Jollands) Times'!$F92*0.000001)^2/(4*'D(Ti_Jollands) Times'!$C92)/(365.35*24*3600)</f>
        <v>542387.49546837679</v>
      </c>
      <c r="M92" s="2">
        <f>('L-Values'!I92*'D(Ti_Jollands) Times'!$F92*0.000001)^2/(4*'D(Ti_Jollands) Times'!$C92)/(365.35*24*3600)</f>
        <v>1185849.3399344992</v>
      </c>
      <c r="N92" s="2">
        <f>('L-Values'!J92*'D(Ti_Jollands) Times'!$F92*0.000001)^2/(4*'D(Ti_Jollands) Times'!$C92)/(365.35*24*3600)</f>
        <v>1275664.2437892489</v>
      </c>
      <c r="O92" s="2">
        <f>('L-Values'!K92*'D(Ti_Jollands) Times'!$F92*0.000001)^2/(4*'D(Ti_Jollands) Times'!$C92)/(365.35*24*3600)</f>
        <v>1162534.577795377</v>
      </c>
      <c r="P92" s="2">
        <f>('L-Values'!L92*'D(Ti_Jollands) Times'!$F92*0.000001)^2/(4*'D(Ti_Jollands) Times'!$C92)/(365.35*24*3600)</f>
        <v>1767502.8603318126</v>
      </c>
      <c r="Q92" s="2">
        <f>('L-Values'!M92*'D(Ti_Jollands) Times'!$F92*0.000001)^2/(4*'D(Ti_Jollands) Times'!$C92)/(365.35*24*3600)</f>
        <v>2505457.4272726947</v>
      </c>
      <c r="R92" s="2">
        <f>('L-Values'!N92*'D(Ti_Jollands) Times'!$F92*0.000001)^2/(4*'D(Ti_Jollands) Times'!$C92)/(365.35*24*3600)</f>
        <v>1850676.3468174636</v>
      </c>
      <c r="S92" s="2">
        <f>('L-Values'!O92*'D(Ti_Jollands) Times'!$F92*0.000001)^2/(4*'D(Ti_Jollands) Times'!$C92)/(365.35*24*3600)</f>
        <v>1662050.2295977687</v>
      </c>
      <c r="T92" s="2"/>
      <c r="U92" s="2">
        <f>('L-Values'!Q92*'D(Ti_Jollands) Times'!$F92*0.000001)^2/(4*'D(Ti_Jollands) Times'!$C92)/(365.35*24*3600)</f>
        <v>1409750.9028126101</v>
      </c>
      <c r="V92" s="2">
        <f>('L-Values'!R92*'D(Ti_Jollands) Times'!$F92*0.000001)^2/(4*'D(Ti_Jollands) Times'!$C92)/(365.35*24*3600)</f>
        <v>1413456.4230441209</v>
      </c>
      <c r="W92" s="2">
        <f>('L-Values'!S92*'D(Ti_Jollands) Times'!$F92*0.000001)^2/(4*'D(Ti_Jollands) Times'!$C92)/(365.35*24*3600)</f>
        <v>1603739.1547570312</v>
      </c>
      <c r="X92" s="2"/>
      <c r="Y92" s="2">
        <f>('L-Values'!U92*'D(Ti_Jollands) Times'!$F92*0.000001)^2/(4*'D(Ti_Jollands) Times'!$C92)/(365.35*24*3600)</f>
        <v>1398908.5170155794</v>
      </c>
      <c r="Z92" s="2">
        <f>('L-Values'!V92*'D(Ti_Jollands) Times'!$F92*0.000001)^2/(4*'D(Ti_Jollands) Times'!$C92)/(365.35*24*3600)</f>
        <v>1407812.2798907519</v>
      </c>
      <c r="AA92" s="2">
        <f>('L-Values'!W92*'D(Ti_Jollands) Times'!$F92*0.000001)^2/(4*'D(Ti_Jollands) Times'!$C92)/(365.35*24*3600)</f>
        <v>639438.24774434662</v>
      </c>
      <c r="AB92" s="2">
        <f>('L-Values'!X92*'D(Ti_Jollands) Times'!$F92*0.000001)^2/(4*'D(Ti_Jollands) Times'!$C92)/(365.35*24*3600)</f>
        <v>2585421.6757115852</v>
      </c>
      <c r="AC92" s="2">
        <f t="shared" si="6"/>
        <v>768374.03214640531</v>
      </c>
      <c r="AD92" s="2">
        <f t="shared" si="7"/>
        <v>1177609.3958208333</v>
      </c>
    </row>
    <row r="93" spans="1:30" x14ac:dyDescent="0.2">
      <c r="A93" t="str">
        <f>'L-Values'!A93</f>
        <v>CGI005-qtz11-CL-fit-3</v>
      </c>
      <c r="B93">
        <v>750</v>
      </c>
      <c r="C93">
        <f t="shared" si="4"/>
        <v>6.6965312637759184E-25</v>
      </c>
      <c r="D93">
        <v>2300</v>
      </c>
      <c r="E93">
        <v>1024</v>
      </c>
      <c r="F93">
        <f t="shared" si="5"/>
        <v>2.24609375</v>
      </c>
      <c r="I93" s="2">
        <f>('L-Values'!E93*'D(Ti_Jollands) Times'!$F93*0.000001)^2/(4*'D(Ti_Jollands) Times'!$C93)/(365.35*24*3600)</f>
        <v>169546.89832731191</v>
      </c>
      <c r="J93" s="2">
        <f>('L-Values'!F93*'D(Ti_Jollands) Times'!$F93*0.000001)^2/(4*'D(Ti_Jollands) Times'!$C93)/(365.35*24*3600)</f>
        <v>172912.36998047345</v>
      </c>
      <c r="K93" s="2">
        <f>('L-Values'!G93*'D(Ti_Jollands) Times'!$F93*0.000001)^2/(4*'D(Ti_Jollands) Times'!$C93)/(365.35*24*3600)</f>
        <v>200278.71499190328</v>
      </c>
      <c r="L93" s="2">
        <f>('L-Values'!H93*'D(Ti_Jollands) Times'!$F93*0.000001)^2/(4*'D(Ti_Jollands) Times'!$C93)/(365.35*24*3600)</f>
        <v>97755.17654680449</v>
      </c>
      <c r="M93" s="2">
        <f>('L-Values'!I93*'D(Ti_Jollands) Times'!$F93*0.000001)^2/(4*'D(Ti_Jollands) Times'!$C93)/(365.35*24*3600)</f>
        <v>136424.11689854314</v>
      </c>
      <c r="N93" s="2">
        <f>('L-Values'!J93*'D(Ti_Jollands) Times'!$F93*0.000001)^2/(4*'D(Ti_Jollands) Times'!$C93)/(365.35*24*3600)</f>
        <v>187632.56957192571</v>
      </c>
      <c r="O93" s="2">
        <f>('L-Values'!K93*'D(Ti_Jollands) Times'!$F93*0.000001)^2/(4*'D(Ti_Jollands) Times'!$C93)/(365.35*24*3600)</f>
        <v>190361.71585018613</v>
      </c>
      <c r="P93" s="2">
        <f>('L-Values'!L93*'D(Ti_Jollands) Times'!$F93*0.000001)^2/(4*'D(Ti_Jollands) Times'!$C93)/(365.35*24*3600)</f>
        <v>193003.51083846396</v>
      </c>
      <c r="Q93" s="2">
        <f>('L-Values'!M93*'D(Ti_Jollands) Times'!$F93*0.000001)^2/(4*'D(Ti_Jollands) Times'!$C93)/(365.35*24*3600)</f>
        <v>239353.70377952527</v>
      </c>
      <c r="R93" s="2">
        <f>('L-Values'!N93*'D(Ti_Jollands) Times'!$F93*0.000001)^2/(4*'D(Ti_Jollands) Times'!$C93)/(365.35*24*3600)</f>
        <v>139834.0525990173</v>
      </c>
      <c r="S93" s="2">
        <f>('L-Values'!O93*'D(Ti_Jollands) Times'!$F93*0.000001)^2/(4*'D(Ti_Jollands) Times'!$C93)/(365.35*24*3600)</f>
        <v>198684.00424068849</v>
      </c>
      <c r="T93" s="2"/>
      <c r="U93" s="2">
        <f>('L-Values'!Q93*'D(Ti_Jollands) Times'!$F93*0.000001)^2/(4*'D(Ti_Jollands) Times'!$C93)/(365.35*24*3600)</f>
        <v>173228.05713136389</v>
      </c>
      <c r="V93" s="2">
        <f>('L-Values'!R93*'D(Ti_Jollands) Times'!$F93*0.000001)^2/(4*'D(Ti_Jollands) Times'!$C93)/(365.35*24*3600)</f>
        <v>172968.37954206637</v>
      </c>
      <c r="W93" s="2">
        <f>('L-Values'!S93*'D(Ti_Jollands) Times'!$F93*0.000001)^2/(4*'D(Ti_Jollands) Times'!$C93)/(365.35*24*3600)</f>
        <v>187632.56957192571</v>
      </c>
      <c r="X93" s="2"/>
      <c r="Y93" s="2">
        <f>('L-Values'!U93*'D(Ti_Jollands) Times'!$F93*0.000001)^2/(4*'D(Ti_Jollands) Times'!$C93)/(365.35*24*3600)</f>
        <v>168798.92919873589</v>
      </c>
      <c r="Z93" s="2">
        <f>('L-Values'!V93*'D(Ti_Jollands) Times'!$F93*0.000001)^2/(4*'D(Ti_Jollands) Times'!$C93)/(365.35*24*3600)</f>
        <v>169722.83355797498</v>
      </c>
      <c r="AA93" s="2">
        <f>('L-Values'!W93*'D(Ti_Jollands) Times'!$F93*0.000001)^2/(4*'D(Ti_Jollands) Times'!$C93)/(365.35*24*3600)</f>
        <v>108023.04689458672</v>
      </c>
      <c r="AB93" s="2">
        <f>('L-Values'!X93*'D(Ti_Jollands) Times'!$F93*0.000001)^2/(4*'D(Ti_Jollands) Times'!$C93)/(365.35*24*3600)</f>
        <v>252383.53938047602</v>
      </c>
      <c r="AC93" s="2">
        <f t="shared" si="6"/>
        <v>61699.786663388266</v>
      </c>
      <c r="AD93" s="2">
        <f t="shared" si="7"/>
        <v>82660.705822501041</v>
      </c>
    </row>
    <row r="94" spans="1:30" x14ac:dyDescent="0.2">
      <c r="A94" t="str">
        <f>'L-Values'!A94</f>
        <v>CGI005-qtz11-CL-fit-4-offset</v>
      </c>
      <c r="B94">
        <v>750</v>
      </c>
      <c r="C94">
        <f t="shared" si="4"/>
        <v>6.6965312637759184E-25</v>
      </c>
      <c r="D94">
        <v>2300</v>
      </c>
      <c r="E94">
        <v>1024</v>
      </c>
      <c r="F94">
        <f t="shared" si="5"/>
        <v>2.24609375</v>
      </c>
      <c r="I94" s="2">
        <f>('L-Values'!E94*'D(Ti_Jollands) Times'!$F94*0.000001)^2/(4*'D(Ti_Jollands) Times'!$C94)/(365.35*24*3600)</f>
        <v>139370.93260775605</v>
      </c>
      <c r="J94" s="2">
        <f>('L-Values'!F94*'D(Ti_Jollands) Times'!$F94*0.000001)^2/(4*'D(Ti_Jollands) Times'!$C94)/(365.35*24*3600)</f>
        <v>30947.593343925906</v>
      </c>
      <c r="K94" s="2">
        <f>('L-Values'!G94*'D(Ti_Jollands) Times'!$F94*0.000001)^2/(4*'D(Ti_Jollands) Times'!$C94)/(365.35*24*3600)</f>
        <v>116243.92147172552</v>
      </c>
      <c r="L94" s="2">
        <f>('L-Values'!H94*'D(Ti_Jollands) Times'!$F94*0.000001)^2/(4*'D(Ti_Jollands) Times'!$C94)/(365.35*24*3600)</f>
        <v>1322.4758192388786</v>
      </c>
      <c r="M94" s="2">
        <f>('L-Values'!I94*'D(Ti_Jollands) Times'!$F94*0.000001)^2/(4*'D(Ti_Jollands) Times'!$C94)/(365.35*24*3600)</f>
        <v>88941.628648425161</v>
      </c>
      <c r="N94" s="2">
        <f>('L-Values'!J94*'D(Ti_Jollands) Times'!$F94*0.000001)^2/(4*'D(Ti_Jollands) Times'!$C94)/(365.35*24*3600)</f>
        <v>89687.10577282033</v>
      </c>
      <c r="O94" s="2">
        <f>('L-Values'!K94*'D(Ti_Jollands) Times'!$F94*0.000001)^2/(4*'D(Ti_Jollands) Times'!$C94)/(365.35*24*3600)</f>
        <v>43618.3920451831</v>
      </c>
      <c r="P94" s="2">
        <f>('L-Values'!L94*'D(Ti_Jollands) Times'!$F94*0.000001)^2/(4*'D(Ti_Jollands) Times'!$C94)/(365.35*24*3600)</f>
        <v>74493.44603688296</v>
      </c>
      <c r="Q94" s="2">
        <f>('L-Values'!M94*'D(Ti_Jollands) Times'!$F94*0.000001)^2/(4*'D(Ti_Jollands) Times'!$C94)/(365.35*24*3600)</f>
        <v>61531.501400408895</v>
      </c>
      <c r="R94" s="2">
        <f>('L-Values'!N94*'D(Ti_Jollands) Times'!$F94*0.000001)^2/(4*'D(Ti_Jollands) Times'!$C94)/(365.35*24*3600)</f>
        <v>89330.71214951505</v>
      </c>
      <c r="S94" s="2">
        <f>('L-Values'!O94*'D(Ti_Jollands) Times'!$F94*0.000001)^2/(4*'D(Ti_Jollands) Times'!$C94)/(365.35*24*3600)</f>
        <v>57126.716544660099</v>
      </c>
      <c r="T94" s="2"/>
      <c r="U94" s="2">
        <f>('L-Values'!Q94*'D(Ti_Jollands) Times'!$F94*0.000001)^2/(4*'D(Ti_Jollands) Times'!$C94)/(365.35*24*3600)</f>
        <v>87069.325972249993</v>
      </c>
      <c r="V94" s="2">
        <f>('L-Values'!R94*'D(Ti_Jollands) Times'!$F94*0.000001)^2/(4*'D(Ti_Jollands) Times'!$C94)/(365.35*24*3600)</f>
        <v>64423.609495172175</v>
      </c>
      <c r="W94" s="2">
        <f>('L-Values'!S94*'D(Ti_Jollands) Times'!$F94*0.000001)^2/(4*'D(Ti_Jollands) Times'!$C94)/(365.35*24*3600)</f>
        <v>74493.44603688296</v>
      </c>
      <c r="X94" s="2"/>
      <c r="Y94" s="2">
        <f>('L-Values'!U94*'D(Ti_Jollands) Times'!$F94*0.000001)^2/(4*'D(Ti_Jollands) Times'!$C94)/(365.35*24*3600)</f>
        <v>78907.780248345458</v>
      </c>
      <c r="Z94" s="2">
        <f>('L-Values'!V94*'D(Ti_Jollands) Times'!$F94*0.000001)^2/(4*'D(Ti_Jollands) Times'!$C94)/(365.35*24*3600)</f>
        <v>74790.918508528892</v>
      </c>
      <c r="AA94" s="2">
        <f>('L-Values'!W94*'D(Ti_Jollands) Times'!$F94*0.000001)^2/(4*'D(Ti_Jollands) Times'!$C94)/(365.35*24*3600)</f>
        <v>2092.567792597783</v>
      </c>
      <c r="AB94" s="2">
        <f>('L-Values'!X94*'D(Ti_Jollands) Times'!$F94*0.000001)^2/(4*'D(Ti_Jollands) Times'!$C94)/(365.35*24*3600)</f>
        <v>292571.82109116262</v>
      </c>
      <c r="AC94" s="2">
        <f t="shared" si="6"/>
        <v>72698.350715931112</v>
      </c>
      <c r="AD94" s="2">
        <f t="shared" si="7"/>
        <v>217780.90258263372</v>
      </c>
    </row>
    <row r="95" spans="1:30" x14ac:dyDescent="0.2">
      <c r="A95" t="str">
        <f>'L-Values'!A95</f>
        <v>CGI005-qtz12-CL-fit-1-offset</v>
      </c>
      <c r="B95">
        <v>750</v>
      </c>
      <c r="C95">
        <f t="shared" si="4"/>
        <v>6.6965312637759184E-25</v>
      </c>
      <c r="D95">
        <v>2700</v>
      </c>
      <c r="E95">
        <v>1024</v>
      </c>
      <c r="F95">
        <f t="shared" si="5"/>
        <v>2.63671875</v>
      </c>
      <c r="I95" s="2">
        <f>('L-Values'!E95*'D(Ti_Jollands) Times'!$F95*0.000001)^2/(4*'D(Ti_Jollands) Times'!$C95)/(365.35*24*3600)</f>
        <v>1870181.4317059808</v>
      </c>
      <c r="J95" s="2">
        <f>('L-Values'!F95*'D(Ti_Jollands) Times'!$F95*0.000001)^2/(4*'D(Ti_Jollands) Times'!$C95)/(365.35*24*3600)</f>
        <v>2819644.8935830146</v>
      </c>
      <c r="K95" s="2">
        <f>('L-Values'!G95*'D(Ti_Jollands) Times'!$F95*0.000001)^2/(4*'D(Ti_Jollands) Times'!$C95)/(365.35*24*3600)</f>
        <v>379168.04739952087</v>
      </c>
      <c r="L95" s="2">
        <f>('L-Values'!H95*'D(Ti_Jollands) Times'!$F95*0.000001)^2/(4*'D(Ti_Jollands) Times'!$C95)/(365.35*24*3600)</f>
        <v>845595.75529332797</v>
      </c>
      <c r="M95" s="2">
        <f>('L-Values'!I95*'D(Ti_Jollands) Times'!$F95*0.000001)^2/(4*'D(Ti_Jollands) Times'!$C95)/(365.35*24*3600)</f>
        <v>1622350.0615456337</v>
      </c>
      <c r="N95" s="2">
        <f>('L-Values'!J95*'D(Ti_Jollands) Times'!$F95*0.000001)^2/(4*'D(Ti_Jollands) Times'!$C95)/(365.35*24*3600)</f>
        <v>1381154.718245615</v>
      </c>
      <c r="O95" s="2">
        <f>('L-Values'!K95*'D(Ti_Jollands) Times'!$F95*0.000001)^2/(4*'D(Ti_Jollands) Times'!$C95)/(365.35*24*3600)</f>
        <v>305196.62084166968</v>
      </c>
      <c r="P95" s="2">
        <f>('L-Values'!L95*'D(Ti_Jollands) Times'!$F95*0.000001)^2/(4*'D(Ti_Jollands) Times'!$C95)/(365.35*24*3600)</f>
        <v>241425.8210795983</v>
      </c>
      <c r="Q95" s="2">
        <f>('L-Values'!M95*'D(Ti_Jollands) Times'!$F95*0.000001)^2/(4*'D(Ti_Jollands) Times'!$C95)/(365.35*24*3600)</f>
        <v>1353520.7538966876</v>
      </c>
      <c r="R95" s="2">
        <f>('L-Values'!N95*'D(Ti_Jollands) Times'!$F95*0.000001)^2/(4*'D(Ti_Jollands) Times'!$C95)/(365.35*24*3600)</f>
        <v>854914.49432983436</v>
      </c>
      <c r="S95" s="2">
        <f>('L-Values'!O95*'D(Ti_Jollands) Times'!$F95*0.000001)^2/(4*'D(Ti_Jollands) Times'!$C95)/(365.35*24*3600)</f>
        <v>1034169.8324953434</v>
      </c>
      <c r="T95" s="2"/>
      <c r="U95" s="2">
        <f>('L-Values'!Q95*'D(Ti_Jollands) Times'!$F95*0.000001)^2/(4*'D(Ti_Jollands) Times'!$C95)/(365.35*24*3600)</f>
        <v>1177815.6018675724</v>
      </c>
      <c r="V95" s="2">
        <f>('L-Values'!R95*'D(Ti_Jollands) Times'!$F95*0.000001)^2/(4*'D(Ti_Jollands) Times'!$C95)/(365.35*24*3600)</f>
        <v>1032950.4174724965</v>
      </c>
      <c r="W95" s="2">
        <f>('L-Values'!S95*'D(Ti_Jollands) Times'!$F95*0.000001)^2/(4*'D(Ti_Jollands) Times'!$C95)/(365.35*24*3600)</f>
        <v>1034169.8324953434</v>
      </c>
      <c r="X95" s="2"/>
      <c r="Y95" s="2">
        <f>('L-Values'!U95*'D(Ti_Jollands) Times'!$F95*0.000001)^2/(4*'D(Ti_Jollands) Times'!$C95)/(365.35*24*3600)</f>
        <v>1191485.4991478578</v>
      </c>
      <c r="Z95" s="2">
        <f>('L-Values'!V95*'D(Ti_Jollands) Times'!$F95*0.000001)^2/(4*'D(Ti_Jollands) Times'!$C95)/(365.35*24*3600)</f>
        <v>1197116.0645358241</v>
      </c>
      <c r="AA95" s="2">
        <f>('L-Values'!W95*'D(Ti_Jollands) Times'!$F95*0.000001)^2/(4*'D(Ti_Jollands) Times'!$C95)/(365.35*24*3600)</f>
        <v>132046.6135512531</v>
      </c>
      <c r="AB95" s="2">
        <f>('L-Values'!X95*'D(Ti_Jollands) Times'!$F95*0.000001)^2/(4*'D(Ti_Jollands) Times'!$C95)/(365.35*24*3600)</f>
        <v>3345854.2969191452</v>
      </c>
      <c r="AC95" s="2">
        <f t="shared" si="6"/>
        <v>1065069.4509845711</v>
      </c>
      <c r="AD95" s="2">
        <f t="shared" si="7"/>
        <v>2148738.232383321</v>
      </c>
    </row>
    <row r="96" spans="1:30" x14ac:dyDescent="0.2">
      <c r="A96" t="str">
        <f>'L-Values'!A96</f>
        <v>CGI005-qtz12-CL-fit-2-offset</v>
      </c>
      <c r="B96">
        <v>750</v>
      </c>
      <c r="C96">
        <f t="shared" si="4"/>
        <v>6.6965312637759184E-25</v>
      </c>
      <c r="D96">
        <v>2700</v>
      </c>
      <c r="E96">
        <v>1024</v>
      </c>
      <c r="F96">
        <f t="shared" si="5"/>
        <v>2.63671875</v>
      </c>
      <c r="I96" s="2">
        <f>('L-Values'!E96*'D(Ti_Jollands) Times'!$F96*0.000001)^2/(4*'D(Ti_Jollands) Times'!$C96)/(365.35*24*3600)</f>
        <v>1433538.2090895404</v>
      </c>
      <c r="J96" s="2">
        <f>('L-Values'!F96*'D(Ti_Jollands) Times'!$F96*0.000001)^2/(4*'D(Ti_Jollands) Times'!$C96)/(365.35*24*3600)</f>
        <v>1197976.6766168796</v>
      </c>
      <c r="K96" s="2">
        <f>('L-Values'!G96*'D(Ti_Jollands) Times'!$F96*0.000001)^2/(4*'D(Ti_Jollands) Times'!$C96)/(365.35*24*3600)</f>
        <v>2594171.9160292135</v>
      </c>
      <c r="L96" s="2">
        <f>('L-Values'!H96*'D(Ti_Jollands) Times'!$F96*0.000001)^2/(4*'D(Ti_Jollands) Times'!$C96)/(365.35*24*3600)</f>
        <v>5373852.8979767272</v>
      </c>
      <c r="M96" s="2">
        <f>('L-Values'!I96*'D(Ti_Jollands) Times'!$F96*0.000001)^2/(4*'D(Ti_Jollands) Times'!$C96)/(365.35*24*3600)</f>
        <v>1529573.5633730071</v>
      </c>
      <c r="N96" s="2">
        <f>('L-Values'!J96*'D(Ti_Jollands) Times'!$F96*0.000001)^2/(4*'D(Ti_Jollands) Times'!$C96)/(365.35*24*3600)</f>
        <v>3013445.7166563245</v>
      </c>
      <c r="O96" s="2">
        <f>('L-Values'!K96*'D(Ti_Jollands) Times'!$F96*0.000001)^2/(4*'D(Ti_Jollands) Times'!$C96)/(365.35*24*3600)</f>
        <v>1172988.388779721</v>
      </c>
      <c r="P96" s="2">
        <f>('L-Values'!L96*'D(Ti_Jollands) Times'!$F96*0.000001)^2/(4*'D(Ti_Jollands) Times'!$C96)/(365.35*24*3600)</f>
        <v>1364431.7193936694</v>
      </c>
      <c r="Q96" s="2">
        <f>('L-Values'!M96*'D(Ti_Jollands) Times'!$F96*0.000001)^2/(4*'D(Ti_Jollands) Times'!$C96)/(365.35*24*3600)</f>
        <v>1902833.8139511188</v>
      </c>
      <c r="R96" s="2">
        <f>('L-Values'!N96*'D(Ti_Jollands) Times'!$F96*0.000001)^2/(4*'D(Ti_Jollands) Times'!$C96)/(365.35*24*3600)</f>
        <v>1309789.8011907835</v>
      </c>
      <c r="S96" s="2">
        <f>('L-Values'!O96*'D(Ti_Jollands) Times'!$F96*0.000001)^2/(4*'D(Ti_Jollands) Times'!$C96)/(365.35*24*3600)</f>
        <v>1548870.1327457244</v>
      </c>
      <c r="T96" s="2"/>
      <c r="U96" s="2">
        <f>('L-Values'!Q96*'D(Ti_Jollands) Times'!$F96*0.000001)^2/(4*'D(Ti_Jollands) Times'!$C96)/(365.35*24*3600)</f>
        <v>1784763.0033523855</v>
      </c>
      <c r="V96" s="2">
        <f>('L-Values'!R96*'D(Ti_Jollands) Times'!$F96*0.000001)^2/(4*'D(Ti_Jollands) Times'!$C96)/(365.35*24*3600)</f>
        <v>1912658.1584982292</v>
      </c>
      <c r="W96" s="2">
        <f>('L-Values'!S96*'D(Ti_Jollands) Times'!$F96*0.000001)^2/(4*'D(Ti_Jollands) Times'!$C96)/(365.35*24*3600)</f>
        <v>1529573.5633730071</v>
      </c>
      <c r="X96" s="2"/>
      <c r="Y96" s="2">
        <f>('L-Values'!U96*'D(Ti_Jollands) Times'!$F96*0.000001)^2/(4*'D(Ti_Jollands) Times'!$C96)/(365.35*24*3600)</f>
        <v>1720548.379519508</v>
      </c>
      <c r="Z96" s="2">
        <f>('L-Values'!V96*'D(Ti_Jollands) Times'!$F96*0.000001)^2/(4*'D(Ti_Jollands) Times'!$C96)/(365.35*24*3600)</f>
        <v>1871717.2607394368</v>
      </c>
      <c r="AA96" s="2">
        <f>('L-Values'!W96*'D(Ti_Jollands) Times'!$F96*0.000001)^2/(4*'D(Ti_Jollands) Times'!$C96)/(365.35*24*3600)</f>
        <v>707860.13289840939</v>
      </c>
      <c r="AB96" s="2">
        <f>('L-Values'!X96*'D(Ti_Jollands) Times'!$F96*0.000001)^2/(4*'D(Ti_Jollands) Times'!$C96)/(365.35*24*3600)</f>
        <v>5564601.6975507271</v>
      </c>
      <c r="AC96" s="2">
        <f t="shared" si="6"/>
        <v>1163857.1278410275</v>
      </c>
      <c r="AD96" s="2">
        <f t="shared" si="7"/>
        <v>3692884.4368112902</v>
      </c>
    </row>
    <row r="97" spans="1:30" x14ac:dyDescent="0.2">
      <c r="A97" t="str">
        <f>'L-Values'!A97</f>
        <v>CGI005-qtz12-CL-fit-3</v>
      </c>
      <c r="B97">
        <v>750</v>
      </c>
      <c r="C97">
        <f t="shared" si="4"/>
        <v>6.6965312637759184E-25</v>
      </c>
      <c r="D97">
        <v>2700</v>
      </c>
      <c r="E97">
        <v>1024</v>
      </c>
      <c r="F97">
        <f t="shared" si="5"/>
        <v>2.63671875</v>
      </c>
      <c r="I97" s="2">
        <f>('L-Values'!E97*'D(Ti_Jollands) Times'!$F97*0.000001)^2/(4*'D(Ti_Jollands) Times'!$C97)/(365.35*24*3600)</f>
        <v>1675133.7076235218</v>
      </c>
      <c r="J97" s="2">
        <f>('L-Values'!F97*'D(Ti_Jollands) Times'!$F97*0.000001)^2/(4*'D(Ti_Jollands) Times'!$C97)/(365.35*24*3600)</f>
        <v>1187555.9445122741</v>
      </c>
      <c r="K97" s="2">
        <f>('L-Values'!G97*'D(Ti_Jollands) Times'!$F97*0.000001)^2/(4*'D(Ti_Jollands) Times'!$C97)/(365.35*24*3600)</f>
        <v>1930073.4004721623</v>
      </c>
      <c r="L97" s="2">
        <f>('L-Values'!H97*'D(Ti_Jollands) Times'!$F97*0.000001)^2/(4*'D(Ti_Jollands) Times'!$C97)/(365.35*24*3600)</f>
        <v>1856677.3381976509</v>
      </c>
      <c r="M97" s="2">
        <f>('L-Values'!I97*'D(Ti_Jollands) Times'!$F97*0.000001)^2/(4*'D(Ti_Jollands) Times'!$C97)/(365.35*24*3600)</f>
        <v>2577835.446391765</v>
      </c>
      <c r="N97" s="2">
        <f>('L-Values'!J97*'D(Ti_Jollands) Times'!$F97*0.000001)^2/(4*'D(Ti_Jollands) Times'!$C97)/(365.35*24*3600)</f>
        <v>608397.78287300118</v>
      </c>
      <c r="O97" s="2">
        <f>('L-Values'!K97*'D(Ti_Jollands) Times'!$F97*0.000001)^2/(4*'D(Ti_Jollands) Times'!$C97)/(365.35*24*3600)</f>
        <v>597820.55375960749</v>
      </c>
      <c r="P97" s="2">
        <f>('L-Values'!L97*'D(Ti_Jollands) Times'!$F97*0.000001)^2/(4*'D(Ti_Jollands) Times'!$C97)/(365.35*24*3600)</f>
        <v>444785.11860455293</v>
      </c>
      <c r="Q97" s="2">
        <f>('L-Values'!M97*'D(Ti_Jollands) Times'!$F97*0.000001)^2/(4*'D(Ti_Jollands) Times'!$C97)/(365.35*24*3600)</f>
        <v>674771.84665273025</v>
      </c>
      <c r="R97" s="2">
        <f>('L-Values'!N97*'D(Ti_Jollands) Times'!$F97*0.000001)^2/(4*'D(Ti_Jollands) Times'!$C97)/(365.35*24*3600)</f>
        <v>2500864.4596170746</v>
      </c>
      <c r="S97" s="2">
        <f>('L-Values'!O97*'D(Ti_Jollands) Times'!$F97*0.000001)^2/(4*'D(Ti_Jollands) Times'!$C97)/(365.35*24*3600)</f>
        <v>1776336.1092638404</v>
      </c>
      <c r="T97" s="2"/>
      <c r="U97" s="2">
        <f>('L-Values'!Q97*'D(Ti_Jollands) Times'!$F97*0.000001)^2/(4*'D(Ti_Jollands) Times'!$C97)/(365.35*24*3600)</f>
        <v>1474040.9581540548</v>
      </c>
      <c r="V97" s="2">
        <f>('L-Values'!R97*'D(Ti_Jollands) Times'!$F97*0.000001)^2/(4*'D(Ti_Jollands) Times'!$C97)/(365.35*24*3600)</f>
        <v>1332390.2684209382</v>
      </c>
      <c r="W97" s="2">
        <f>('L-Values'!S97*'D(Ti_Jollands) Times'!$F97*0.000001)^2/(4*'D(Ti_Jollands) Times'!$C97)/(365.35*24*3600)</f>
        <v>1675133.7076235218</v>
      </c>
      <c r="X97" s="2"/>
      <c r="Y97" s="2">
        <f>('L-Values'!U97*'D(Ti_Jollands) Times'!$F97*0.000001)^2/(4*'D(Ti_Jollands) Times'!$C97)/(365.35*24*3600)</f>
        <v>1432364.613208161</v>
      </c>
      <c r="Z97" s="2">
        <f>('L-Values'!V97*'D(Ti_Jollands) Times'!$F97*0.000001)^2/(4*'D(Ti_Jollands) Times'!$C97)/(365.35*24*3600)</f>
        <v>1547913.8526256848</v>
      </c>
      <c r="AA97" s="2">
        <f>('L-Values'!W97*'D(Ti_Jollands) Times'!$F97*0.000001)^2/(4*'D(Ti_Jollands) Times'!$C97)/(365.35*24*3600)</f>
        <v>248254.19291347172</v>
      </c>
      <c r="AB97" s="2">
        <f>('L-Values'!X97*'D(Ti_Jollands) Times'!$F97*0.000001)^2/(4*'D(Ti_Jollands) Times'!$C97)/(365.35*24*3600)</f>
        <v>4531404.1655651368</v>
      </c>
      <c r="AC97" s="2">
        <f t="shared" si="6"/>
        <v>1299659.6597122131</v>
      </c>
      <c r="AD97" s="2">
        <f t="shared" si="7"/>
        <v>2983490.312939452</v>
      </c>
    </row>
    <row r="98" spans="1:30" x14ac:dyDescent="0.2">
      <c r="A98" t="str">
        <f>'L-Values'!A98</f>
        <v>CGI005-qtz12-CL-fit-4-offset</v>
      </c>
      <c r="B98">
        <v>750</v>
      </c>
      <c r="C98">
        <f t="shared" si="4"/>
        <v>6.6965312637759184E-25</v>
      </c>
      <c r="D98">
        <v>2700</v>
      </c>
      <c r="E98">
        <v>1024</v>
      </c>
      <c r="F98">
        <f t="shared" si="5"/>
        <v>2.63671875</v>
      </c>
      <c r="I98" s="2">
        <f>('L-Values'!E98*'D(Ti_Jollands) Times'!$F98*0.000001)^2/(4*'D(Ti_Jollands) Times'!$C98)/(365.35*24*3600)</f>
        <v>124246.71115220782</v>
      </c>
      <c r="J98" s="2">
        <f>('L-Values'!F98*'D(Ti_Jollands) Times'!$F98*0.000001)^2/(4*'D(Ti_Jollands) Times'!$C98)/(365.35*24*3600)</f>
        <v>126455.27363735056</v>
      </c>
      <c r="K98" s="2">
        <f>('L-Values'!G98*'D(Ti_Jollands) Times'!$F98*0.000001)^2/(4*'D(Ti_Jollands) Times'!$C98)/(365.35*24*3600)</f>
        <v>159440.34429691316</v>
      </c>
      <c r="L98" s="2">
        <f>('L-Values'!H98*'D(Ti_Jollands) Times'!$F98*0.000001)^2/(4*'D(Ti_Jollands) Times'!$C98)/(365.35*24*3600)</f>
        <v>151203.01858906611</v>
      </c>
      <c r="M98" s="2">
        <f>('L-Values'!I98*'D(Ti_Jollands) Times'!$F98*0.000001)^2/(4*'D(Ti_Jollands) Times'!$C98)/(365.35*24*3600)</f>
        <v>205807.72611758171</v>
      </c>
      <c r="N98" s="2">
        <f>('L-Values'!J98*'D(Ti_Jollands) Times'!$F98*0.000001)^2/(4*'D(Ti_Jollands) Times'!$C98)/(365.35*24*3600)</f>
        <v>201149.51744567888</v>
      </c>
      <c r="O98" s="2">
        <f>('L-Values'!K98*'D(Ti_Jollands) Times'!$F98*0.000001)^2/(4*'D(Ti_Jollands) Times'!$C98)/(365.35*24*3600)</f>
        <v>146857.30874685774</v>
      </c>
      <c r="P98" s="2">
        <f>('L-Values'!L98*'D(Ti_Jollands) Times'!$F98*0.000001)^2/(4*'D(Ti_Jollands) Times'!$C98)/(365.35*24*3600)</f>
        <v>101589.09844613951</v>
      </c>
      <c r="Q98" s="2">
        <f>('L-Values'!M98*'D(Ti_Jollands) Times'!$F98*0.000001)^2/(4*'D(Ti_Jollands) Times'!$C98)/(365.35*24*3600)</f>
        <v>137187.84589385544</v>
      </c>
      <c r="R98" s="2">
        <f>('L-Values'!N98*'D(Ti_Jollands) Times'!$F98*0.000001)^2/(4*'D(Ti_Jollands) Times'!$C98)/(365.35*24*3600)</f>
        <v>179463.90050116074</v>
      </c>
      <c r="S98" s="2">
        <f>('L-Values'!O98*'D(Ti_Jollands) Times'!$F98*0.000001)^2/(4*'D(Ti_Jollands) Times'!$C98)/(365.35*24*3600)</f>
        <v>203086.246141679</v>
      </c>
      <c r="T98" s="2"/>
      <c r="U98" s="2">
        <f>('L-Values'!Q98*'D(Ti_Jollands) Times'!$F98*0.000001)^2/(4*'D(Ti_Jollands) Times'!$C98)/(365.35*24*3600)</f>
        <v>183153.72753039293</v>
      </c>
      <c r="V98" s="2">
        <f>('L-Values'!R98*'D(Ti_Jollands) Times'!$F98*0.000001)^2/(4*'D(Ti_Jollands) Times'!$C98)/(365.35*24*3600)</f>
        <v>156026.36663828223</v>
      </c>
      <c r="W98" s="2">
        <f>('L-Values'!S98*'D(Ti_Jollands) Times'!$F98*0.000001)^2/(4*'D(Ti_Jollands) Times'!$C98)/(365.35*24*3600)</f>
        <v>151203.01858906611</v>
      </c>
      <c r="X98" s="2"/>
      <c r="Y98" s="2">
        <f>('L-Values'!U98*'D(Ti_Jollands) Times'!$F98*0.000001)^2/(4*'D(Ti_Jollands) Times'!$C98)/(365.35*24*3600)</f>
        <v>172226.92487187276</v>
      </c>
      <c r="Z98" s="2">
        <f>('L-Values'!V98*'D(Ti_Jollands) Times'!$F98*0.000001)^2/(4*'D(Ti_Jollands) Times'!$C98)/(365.35*24*3600)</f>
        <v>167728.19881821005</v>
      </c>
      <c r="AA98" s="2">
        <f>('L-Values'!W98*'D(Ti_Jollands) Times'!$F98*0.000001)^2/(4*'D(Ti_Jollands) Times'!$C98)/(365.35*24*3600)</f>
        <v>10893.795295604828</v>
      </c>
      <c r="AB98" s="2">
        <f>('L-Values'!X98*'D(Ti_Jollands) Times'!$F98*0.000001)^2/(4*'D(Ti_Jollands) Times'!$C98)/(365.35*24*3600)</f>
        <v>346835.22538280609</v>
      </c>
      <c r="AC98" s="2">
        <f t="shared" si="6"/>
        <v>156834.40352260522</v>
      </c>
      <c r="AD98" s="2">
        <f t="shared" si="7"/>
        <v>179107.02656459605</v>
      </c>
    </row>
    <row r="99" spans="1:30" x14ac:dyDescent="0.2">
      <c r="A99" t="str">
        <f>'L-Values'!A99</f>
        <v>CGI008-qtz01-CL-fit-1-offset</v>
      </c>
      <c r="B99">
        <v>750</v>
      </c>
      <c r="C99">
        <f t="shared" si="4"/>
        <v>6.6965312637759184E-25</v>
      </c>
      <c r="D99">
        <v>1500</v>
      </c>
      <c r="E99">
        <v>1024</v>
      </c>
      <c r="F99">
        <f t="shared" si="5"/>
        <v>1.46484375</v>
      </c>
      <c r="I99" s="2">
        <f>('L-Values'!E99*'D(Ti_Jollands) Times'!$F99*0.000001)^2/(4*'D(Ti_Jollands) Times'!$C99)/(365.35*24*3600)</f>
        <v>250262.18512640471</v>
      </c>
      <c r="J99" s="2">
        <f>('L-Values'!F99*'D(Ti_Jollands) Times'!$F99*0.000001)^2/(4*'D(Ti_Jollands) Times'!$C99)/(365.35*24*3600)</f>
        <v>239724.0548689097</v>
      </c>
      <c r="K99" s="2">
        <f>('L-Values'!G99*'D(Ti_Jollands) Times'!$F99*0.000001)^2/(4*'D(Ti_Jollands) Times'!$C99)/(365.35*24*3600)</f>
        <v>64987.367966564372</v>
      </c>
      <c r="L99" s="2">
        <f>('L-Values'!H99*'D(Ti_Jollands) Times'!$F99*0.000001)^2/(4*'D(Ti_Jollands) Times'!$C99)/(365.35*24*3600)</f>
        <v>61783.996977231705</v>
      </c>
      <c r="M99" s="2">
        <f>('L-Values'!I99*'D(Ti_Jollands) Times'!$F99*0.000001)^2/(4*'D(Ti_Jollands) Times'!$C99)/(365.35*24*3600)</f>
        <v>162240.989353627</v>
      </c>
      <c r="N99" s="2">
        <f>('L-Values'!J99*'D(Ti_Jollands) Times'!$F99*0.000001)^2/(4*'D(Ti_Jollands) Times'!$C99)/(365.35*24*3600)</f>
        <v>157330.32493146797</v>
      </c>
      <c r="O99" s="2">
        <f>('L-Values'!K99*'D(Ti_Jollands) Times'!$F99*0.000001)^2/(4*'D(Ti_Jollands) Times'!$C99)/(365.35*24*3600)</f>
        <v>609757.20187072409</v>
      </c>
      <c r="P99" s="2">
        <f>('L-Values'!L99*'D(Ti_Jollands) Times'!$F99*0.000001)^2/(4*'D(Ti_Jollands) Times'!$C99)/(365.35*24*3600)</f>
        <v>632378.76583899383</v>
      </c>
      <c r="Q99" s="2">
        <f>('L-Values'!M99*'D(Ti_Jollands) Times'!$F99*0.000001)^2/(4*'D(Ti_Jollands) Times'!$C99)/(365.35*24*3600)</f>
        <v>901580.51596099499</v>
      </c>
      <c r="R99" s="2">
        <f>('L-Values'!N99*'D(Ti_Jollands) Times'!$F99*0.000001)^2/(4*'D(Ti_Jollands) Times'!$C99)/(365.35*24*3600)</f>
        <v>436309.49149530835</v>
      </c>
      <c r="S99" s="2">
        <f>('L-Values'!O99*'D(Ti_Jollands) Times'!$F99*0.000001)^2/(4*'D(Ti_Jollands) Times'!$C99)/(365.35*24*3600)</f>
        <v>284752.58124800917</v>
      </c>
      <c r="T99" s="2"/>
      <c r="U99" s="2">
        <f>('L-Values'!Q99*'D(Ti_Jollands) Times'!$F99*0.000001)^2/(4*'D(Ti_Jollands) Times'!$C99)/(365.35*24*3600)</f>
        <v>283870.18619912799</v>
      </c>
      <c r="V99" s="2">
        <f>('L-Values'!R99*'D(Ti_Jollands) Times'!$F99*0.000001)^2/(4*'D(Ti_Jollands) Times'!$C99)/(365.35*24*3600)</f>
        <v>298769.18567474908</v>
      </c>
      <c r="W99" s="2">
        <f>('L-Values'!S99*'D(Ti_Jollands) Times'!$F99*0.000001)^2/(4*'D(Ti_Jollands) Times'!$C99)/(365.35*24*3600)</f>
        <v>250262.18512640471</v>
      </c>
      <c r="X99" s="2"/>
      <c r="Y99" s="2">
        <f>('L-Values'!U99*'D(Ti_Jollands) Times'!$F99*0.000001)^2/(4*'D(Ti_Jollands) Times'!$C99)/(365.35*24*3600)</f>
        <v>273462.09046504303</v>
      </c>
      <c r="Z99" s="2">
        <f>('L-Values'!V99*'D(Ti_Jollands) Times'!$F99*0.000001)^2/(4*'D(Ti_Jollands) Times'!$C99)/(365.35*24*3600)</f>
        <v>300801.85915199632</v>
      </c>
      <c r="AA99" s="2">
        <f>('L-Values'!W99*'D(Ti_Jollands) Times'!$F99*0.000001)^2/(4*'D(Ti_Jollands) Times'!$C99)/(365.35*24*3600)</f>
        <v>66157.782719108043</v>
      </c>
      <c r="AB99" s="2">
        <f>('L-Values'!X99*'D(Ti_Jollands) Times'!$F99*0.000001)^2/(4*'D(Ti_Jollands) Times'!$C99)/(365.35*24*3600)</f>
        <v>1016824.097406342</v>
      </c>
      <c r="AC99" s="2">
        <f t="shared" si="6"/>
        <v>234644.07643288828</v>
      </c>
      <c r="AD99" s="2">
        <f t="shared" si="7"/>
        <v>716022.23825434572</v>
      </c>
    </row>
    <row r="100" spans="1:30" x14ac:dyDescent="0.2">
      <c r="A100" t="str">
        <f>'L-Values'!A100</f>
        <v>CGI008-qtz01-CL-fit-2-offset</v>
      </c>
      <c r="B100">
        <v>750</v>
      </c>
      <c r="C100">
        <f t="shared" si="4"/>
        <v>6.6965312637759184E-25</v>
      </c>
      <c r="D100">
        <v>1500</v>
      </c>
      <c r="E100">
        <v>1024</v>
      </c>
      <c r="F100">
        <f t="shared" si="5"/>
        <v>1.46484375</v>
      </c>
      <c r="I100" s="2">
        <f>('L-Values'!E100*'D(Ti_Jollands) Times'!$F100*0.000001)^2/(4*'D(Ti_Jollands) Times'!$C100)/(365.35*24*3600)</f>
        <v>392085.70398801996</v>
      </c>
      <c r="J100" s="2">
        <f>('L-Values'!F100*'D(Ti_Jollands) Times'!$F100*0.000001)^2/(4*'D(Ti_Jollands) Times'!$C100)/(365.35*24*3600)</f>
        <v>97446.892141654433</v>
      </c>
      <c r="K100" s="2">
        <f>('L-Values'!G100*'D(Ti_Jollands) Times'!$F100*0.000001)^2/(4*'D(Ti_Jollands) Times'!$C100)/(365.35*24*3600)</f>
        <v>1065133.347273923</v>
      </c>
      <c r="L100" s="2">
        <f>('L-Values'!H100*'D(Ti_Jollands) Times'!$F100*0.000001)^2/(4*'D(Ti_Jollands) Times'!$C100)/(365.35*24*3600)</f>
        <v>245643.18673522788</v>
      </c>
      <c r="M100" s="2">
        <f>('L-Values'!I100*'D(Ti_Jollands) Times'!$F100*0.000001)^2/(4*'D(Ti_Jollands) Times'!$C100)/(365.35*24*3600)</f>
        <v>20024.283089361623</v>
      </c>
      <c r="N100" s="2">
        <f>('L-Values'!J100*'D(Ti_Jollands) Times'!$F100*0.000001)^2/(4*'D(Ti_Jollands) Times'!$C100)/(365.35*24*3600)</f>
        <v>2135314.4258453166</v>
      </c>
      <c r="O100" s="2">
        <f>('L-Values'!K100*'D(Ti_Jollands) Times'!$F100*0.000001)^2/(4*'D(Ti_Jollands) Times'!$C100)/(365.35*24*3600)</f>
        <v>308030.72307846724</v>
      </c>
      <c r="P100" s="2">
        <f>('L-Values'!L100*'D(Ti_Jollands) Times'!$F100*0.000001)^2/(4*'D(Ti_Jollands) Times'!$C100)/(365.35*24*3600)</f>
        <v>923192.62293030391</v>
      </c>
      <c r="Q100" s="2">
        <f>('L-Values'!M100*'D(Ti_Jollands) Times'!$F100*0.000001)^2/(4*'D(Ti_Jollands) Times'!$C100)/(365.35*24*3600)</f>
        <v>1014801.4694491845</v>
      </c>
      <c r="R100" s="2">
        <f>('L-Values'!N100*'D(Ti_Jollands) Times'!$F100*0.000001)^2/(4*'D(Ti_Jollands) Times'!$C100)/(365.35*24*3600)</f>
        <v>966250.03159907635</v>
      </c>
      <c r="S100" s="2">
        <f>('L-Values'!O100*'D(Ti_Jollands) Times'!$F100*0.000001)^2/(4*'D(Ti_Jollands) Times'!$C100)/(365.35*24*3600)</f>
        <v>403109.19515459897</v>
      </c>
      <c r="T100" s="2"/>
      <c r="U100" s="2">
        <f>('L-Values'!Q100*'D(Ti_Jollands) Times'!$F100*0.000001)^2/(4*'D(Ti_Jollands) Times'!$C100)/(365.35*24*3600)</f>
        <v>497195.60348111542</v>
      </c>
      <c r="V100" s="2">
        <f>('L-Values'!R100*'D(Ti_Jollands) Times'!$F100*0.000001)^2/(4*'D(Ti_Jollands) Times'!$C100)/(365.35*24*3600)</f>
        <v>557043.05236669036</v>
      </c>
      <c r="W100" s="2">
        <f>('L-Values'!S100*'D(Ti_Jollands) Times'!$F100*0.000001)^2/(4*'D(Ti_Jollands) Times'!$C100)/(365.35*24*3600)</f>
        <v>403109.19515459897</v>
      </c>
      <c r="X100" s="2"/>
      <c r="Y100" s="2">
        <f>('L-Values'!U100*'D(Ti_Jollands) Times'!$F100*0.000001)^2/(4*'D(Ti_Jollands) Times'!$C100)/(365.35*24*3600)</f>
        <v>509996.36927858827</v>
      </c>
      <c r="Z100" s="2">
        <f>('L-Values'!V100*'D(Ti_Jollands) Times'!$F100*0.000001)^2/(4*'D(Ti_Jollands) Times'!$C100)/(365.35*24*3600)</f>
        <v>485328.98285370076</v>
      </c>
      <c r="AA100" s="2">
        <f>('L-Values'!W100*'D(Ti_Jollands) Times'!$F100*0.000001)^2/(4*'D(Ti_Jollands) Times'!$C100)/(365.35*24*3600)</f>
        <v>1131.6695641455274</v>
      </c>
      <c r="AB100" s="2">
        <f>('L-Values'!X100*'D(Ti_Jollands) Times'!$F100*0.000001)^2/(4*'D(Ti_Jollands) Times'!$C100)/(365.35*24*3600)</f>
        <v>2273276.3237557877</v>
      </c>
      <c r="AC100" s="2">
        <f t="shared" si="6"/>
        <v>484197.31328955526</v>
      </c>
      <c r="AD100" s="2">
        <f t="shared" si="7"/>
        <v>1787947.3409020868</v>
      </c>
    </row>
    <row r="101" spans="1:30" x14ac:dyDescent="0.2">
      <c r="A101" t="str">
        <f>'L-Values'!A101</f>
        <v>CGI008-qtz01-CL-fit-3-offset</v>
      </c>
      <c r="B101">
        <v>750</v>
      </c>
      <c r="C101">
        <f t="shared" si="4"/>
        <v>6.6965312637759184E-25</v>
      </c>
      <c r="D101">
        <v>1500</v>
      </c>
      <c r="E101">
        <v>1024</v>
      </c>
      <c r="F101">
        <f t="shared" si="5"/>
        <v>1.46484375</v>
      </c>
      <c r="I101" s="2">
        <f>('L-Values'!E101*'D(Ti_Jollands) Times'!$F101*0.000001)^2/(4*'D(Ti_Jollands) Times'!$C101)/(365.35*24*3600)</f>
        <v>393319.71281126962</v>
      </c>
      <c r="J101" s="2">
        <f>('L-Values'!F101*'D(Ti_Jollands) Times'!$F101*0.000001)^2/(4*'D(Ti_Jollands) Times'!$C101)/(365.35*24*3600)</f>
        <v>819472.23236400005</v>
      </c>
      <c r="K101" s="2">
        <f>('L-Values'!G101*'D(Ti_Jollands) Times'!$F101*0.000001)^2/(4*'D(Ti_Jollands) Times'!$C101)/(365.35*24*3600)</f>
        <v>375673.08838925033</v>
      </c>
      <c r="L101" s="2">
        <f>('L-Values'!H101*'D(Ti_Jollands) Times'!$F101*0.000001)^2/(4*'D(Ti_Jollands) Times'!$C101)/(365.35*24*3600)</f>
        <v>542092.89810762845</v>
      </c>
      <c r="M101" s="2">
        <f>('L-Values'!I101*'D(Ti_Jollands) Times'!$F101*0.000001)^2/(4*'D(Ti_Jollands) Times'!$C101)/(365.35*24*3600)</f>
        <v>574367.22154483269</v>
      </c>
      <c r="N101" s="2">
        <f>('L-Values'!J101*'D(Ti_Jollands) Times'!$F101*0.000001)^2/(4*'D(Ti_Jollands) Times'!$C101)/(365.35*24*3600)</f>
        <v>449521.84573197714</v>
      </c>
      <c r="O101" s="2">
        <f>('L-Values'!K101*'D(Ti_Jollands) Times'!$F101*0.000001)^2/(4*'D(Ti_Jollands) Times'!$C101)/(365.35*24*3600)</f>
        <v>1791433.0468321419</v>
      </c>
      <c r="P101" s="2">
        <f>('L-Values'!L101*'D(Ti_Jollands) Times'!$F101*0.000001)^2/(4*'D(Ti_Jollands) Times'!$C101)/(365.35*24*3600)</f>
        <v>901229.75611863669</v>
      </c>
      <c r="Q101" s="2">
        <f>('L-Values'!M101*'D(Ti_Jollands) Times'!$F101*0.000001)^2/(4*'D(Ti_Jollands) Times'!$C101)/(365.35*24*3600)</f>
        <v>1068143.7835670321</v>
      </c>
      <c r="R101" s="2">
        <f>('L-Values'!N101*'D(Ti_Jollands) Times'!$F101*0.000001)^2/(4*'D(Ti_Jollands) Times'!$C101)/(365.35*24*3600)</f>
        <v>1178338.6562475467</v>
      </c>
      <c r="S101" s="2">
        <f>('L-Values'!O101*'D(Ti_Jollands) Times'!$F101*0.000001)^2/(4*'D(Ti_Jollands) Times'!$C101)/(365.35*24*3600)</f>
        <v>521237.73663611035</v>
      </c>
      <c r="T101" s="2"/>
      <c r="U101" s="2">
        <f>('L-Values'!Q101*'D(Ti_Jollands) Times'!$F101*0.000001)^2/(4*'D(Ti_Jollands) Times'!$C101)/(365.35*24*3600)</f>
        <v>703961.98641041282</v>
      </c>
      <c r="V101" s="2">
        <f>('L-Values'!R101*'D(Ti_Jollands) Times'!$F101*0.000001)^2/(4*'D(Ti_Jollands) Times'!$C101)/(365.35*24*3600)</f>
        <v>736271.87799630163</v>
      </c>
      <c r="W101" s="2">
        <f>('L-Values'!S101*'D(Ti_Jollands) Times'!$F101*0.000001)^2/(4*'D(Ti_Jollands) Times'!$C101)/(365.35*24*3600)</f>
        <v>574367.22154483269</v>
      </c>
      <c r="X101" s="2"/>
      <c r="Y101" s="2">
        <f>('L-Values'!U101*'D(Ti_Jollands) Times'!$F101*0.000001)^2/(4*'D(Ti_Jollands) Times'!$C101)/(365.35*24*3600)</f>
        <v>725216.38261428312</v>
      </c>
      <c r="Z101" s="2">
        <f>('L-Values'!V101*'D(Ti_Jollands) Times'!$F101*0.000001)^2/(4*'D(Ti_Jollands) Times'!$C101)/(365.35*24*3600)</f>
        <v>696822.94672906632</v>
      </c>
      <c r="AA101" s="2">
        <f>('L-Values'!W101*'D(Ti_Jollands) Times'!$F101*0.000001)^2/(4*'D(Ti_Jollands) Times'!$C101)/(365.35*24*3600)</f>
        <v>222561.15906302349</v>
      </c>
      <c r="AB101" s="2">
        <f>('L-Values'!X101*'D(Ti_Jollands) Times'!$F101*0.000001)^2/(4*'D(Ti_Jollands) Times'!$C101)/(365.35*24*3600)</f>
        <v>1364193.2937942299</v>
      </c>
      <c r="AC101" s="2">
        <f t="shared" si="6"/>
        <v>474261.7876660428</v>
      </c>
      <c r="AD101" s="2">
        <f t="shared" si="7"/>
        <v>667370.34706516354</v>
      </c>
    </row>
    <row r="102" spans="1:30" x14ac:dyDescent="0.2">
      <c r="A102" t="str">
        <f>'L-Values'!A102</f>
        <v>CGI008-qtz01-CL-fit-4-offset</v>
      </c>
      <c r="B102">
        <v>750</v>
      </c>
      <c r="C102">
        <f t="shared" si="4"/>
        <v>6.6965312637759184E-25</v>
      </c>
      <c r="D102">
        <v>1500</v>
      </c>
      <c r="E102">
        <v>1024</v>
      </c>
      <c r="F102">
        <f t="shared" si="5"/>
        <v>1.46484375</v>
      </c>
      <c r="I102" s="2">
        <f>('L-Values'!E102*'D(Ti_Jollands) Times'!$F102*0.000001)^2/(4*'D(Ti_Jollands) Times'!$C102)/(365.35*24*3600)</f>
        <v>0.58239850391021408</v>
      </c>
      <c r="J102" s="2">
        <f>('L-Values'!F102*'D(Ti_Jollands) Times'!$F102*0.000001)^2/(4*'D(Ti_Jollands) Times'!$C102)/(365.35*24*3600)</f>
        <v>4177.6119428746106</v>
      </c>
      <c r="K102" s="2">
        <f>('L-Values'!G102*'D(Ti_Jollands) Times'!$F102*0.000001)^2/(4*'D(Ti_Jollands) Times'!$C102)/(365.35*24*3600)</f>
        <v>7589.7227960360615</v>
      </c>
      <c r="L102" s="2">
        <f>('L-Values'!H102*'D(Ti_Jollands) Times'!$F102*0.000001)^2/(4*'D(Ti_Jollands) Times'!$C102)/(365.35*24*3600)</f>
        <v>105482.77412364028</v>
      </c>
      <c r="M102" s="2">
        <f>('L-Values'!I102*'D(Ti_Jollands) Times'!$F102*0.000001)^2/(4*'D(Ti_Jollands) Times'!$C102)/(365.35*24*3600)</f>
        <v>77938.846041716868</v>
      </c>
      <c r="N102" s="2">
        <f>('L-Values'!J102*'D(Ti_Jollands) Times'!$F102*0.000001)^2/(4*'D(Ti_Jollands) Times'!$C102)/(365.35*24*3600)</f>
        <v>148153.4688317985</v>
      </c>
      <c r="O102" s="2">
        <f>('L-Values'!K102*'D(Ti_Jollands) Times'!$F102*0.000001)^2/(4*'D(Ti_Jollands) Times'!$C102)/(365.35*24*3600)</f>
        <v>50737.304236836178</v>
      </c>
      <c r="P102" s="2">
        <f>('L-Values'!L102*'D(Ti_Jollands) Times'!$F102*0.000001)^2/(4*'D(Ti_Jollands) Times'!$C102)/(365.35*24*3600)</f>
        <v>22740.711284592075</v>
      </c>
      <c r="Q102" s="2">
        <f>('L-Values'!M102*'D(Ti_Jollands) Times'!$F102*0.000001)^2/(4*'D(Ti_Jollands) Times'!$C102)/(365.35*24*3600)</f>
        <v>0.65224190606161681</v>
      </c>
      <c r="R102" s="2">
        <f>('L-Values'!N102*'D(Ti_Jollands) Times'!$F102*0.000001)^2/(4*'D(Ti_Jollands) Times'!$C102)/(365.35*24*3600)</f>
        <v>210549.95667998728</v>
      </c>
      <c r="S102" s="2">
        <f>('L-Values'!O102*'D(Ti_Jollands) Times'!$F102*0.000001)^2/(4*'D(Ti_Jollands) Times'!$C102)/(365.35*24*3600)</f>
        <v>318479.71977886144</v>
      </c>
      <c r="T102" s="2"/>
      <c r="U102" s="2">
        <f>('L-Values'!Q102*'D(Ti_Jollands) Times'!$F102*0.000001)^2/(4*'D(Ti_Jollands) Times'!$C102)/(365.35*24*3600)</f>
        <v>134060.91211080475</v>
      </c>
      <c r="V102" s="2">
        <f>('L-Values'!R102*'D(Ti_Jollands) Times'!$F102*0.000001)^2/(4*'D(Ti_Jollands) Times'!$C102)/(365.35*24*3600)</f>
        <v>53379.258980439343</v>
      </c>
      <c r="W102" s="2">
        <f>('L-Values'!S102*'D(Ti_Jollands) Times'!$F102*0.000001)^2/(4*'D(Ti_Jollands) Times'!$C102)/(365.35*24*3600)</f>
        <v>50737.304236836178</v>
      </c>
      <c r="X102" s="2"/>
      <c r="Y102" s="2">
        <f>('L-Values'!U102*'D(Ti_Jollands) Times'!$F102*0.000001)^2/(4*'D(Ti_Jollands) Times'!$C102)/(365.35*24*3600)</f>
        <v>94712.841496965601</v>
      </c>
      <c r="Z102" s="2">
        <f>('L-Values'!V102*'D(Ti_Jollands) Times'!$F102*0.000001)^2/(4*'D(Ti_Jollands) Times'!$C102)/(365.35*24*3600)</f>
        <v>88743.167967887493</v>
      </c>
      <c r="AA102" s="2">
        <f>('L-Values'!W102*'D(Ti_Jollands) Times'!$F102*0.000001)^2/(4*'D(Ti_Jollands) Times'!$C102)/(365.35*24*3600)</f>
        <v>112.28018432291339</v>
      </c>
      <c r="AB102" s="2">
        <f>('L-Values'!X102*'D(Ti_Jollands) Times'!$F102*0.000001)^2/(4*'D(Ti_Jollands) Times'!$C102)/(365.35*24*3600)</f>
        <v>410512.87088291411</v>
      </c>
      <c r="AC102" s="2">
        <f t="shared" si="6"/>
        <v>88630.887783564584</v>
      </c>
      <c r="AD102" s="2">
        <f t="shared" si="7"/>
        <v>321769.70291502663</v>
      </c>
    </row>
    <row r="103" spans="1:30" x14ac:dyDescent="0.2">
      <c r="A103" t="str">
        <f>'L-Values'!A103</f>
        <v>CGI008-qtz01-CL-fit-5-offset</v>
      </c>
      <c r="B103">
        <v>750</v>
      </c>
      <c r="C103">
        <f t="shared" si="4"/>
        <v>6.6965312637759184E-25</v>
      </c>
      <c r="D103">
        <v>1500</v>
      </c>
      <c r="E103">
        <v>1024</v>
      </c>
      <c r="F103">
        <f t="shared" si="5"/>
        <v>1.46484375</v>
      </c>
      <c r="I103" s="2">
        <f>('L-Values'!E103*'D(Ti_Jollands) Times'!$F103*0.000001)^2/(4*'D(Ti_Jollands) Times'!$C103)/(365.35*24*3600)</f>
        <v>47462.110667482746</v>
      </c>
      <c r="J103" s="2">
        <f>('L-Values'!F103*'D(Ti_Jollands) Times'!$F103*0.000001)^2/(4*'D(Ti_Jollands) Times'!$C103)/(365.35*24*3600)</f>
        <v>28226.868857008696</v>
      </c>
      <c r="K103" s="2">
        <f>('L-Values'!G103*'D(Ti_Jollands) Times'!$F103*0.000001)^2/(4*'D(Ti_Jollands) Times'!$C103)/(365.35*24*3600)</f>
        <v>39704.918598392273</v>
      </c>
      <c r="L103" s="2">
        <f>('L-Values'!H103*'D(Ti_Jollands) Times'!$F103*0.000001)^2/(4*'D(Ti_Jollands) Times'!$C103)/(365.35*24*3600)</f>
        <v>26103.732259648103</v>
      </c>
      <c r="M103" s="2">
        <f>('L-Values'!I103*'D(Ti_Jollands) Times'!$F103*0.000001)^2/(4*'D(Ti_Jollands) Times'!$C103)/(365.35*24*3600)</f>
        <v>16570.500363965257</v>
      </c>
      <c r="N103" s="2">
        <f>('L-Values'!J103*'D(Ti_Jollands) Times'!$F103*0.000001)^2/(4*'D(Ti_Jollands) Times'!$C103)/(365.35*24*3600)</f>
        <v>12557.504784017796</v>
      </c>
      <c r="O103" s="2">
        <f>('L-Values'!K103*'D(Ti_Jollands) Times'!$F103*0.000001)^2/(4*'D(Ti_Jollands) Times'!$C103)/(365.35*24*3600)</f>
        <v>22734.42775537811</v>
      </c>
      <c r="P103" s="2">
        <f>('L-Values'!L103*'D(Ti_Jollands) Times'!$F103*0.000001)^2/(4*'D(Ti_Jollands) Times'!$C103)/(365.35*24*3600)</f>
        <v>22369.814266160676</v>
      </c>
      <c r="Q103" s="2">
        <f>('L-Values'!M103*'D(Ti_Jollands) Times'!$F103*0.000001)^2/(4*'D(Ti_Jollands) Times'!$C103)/(365.35*24*3600)</f>
        <v>10373.793406174578</v>
      </c>
      <c r="R103" s="2">
        <f>('L-Values'!N103*'D(Ti_Jollands) Times'!$F103*0.000001)^2/(4*'D(Ti_Jollands) Times'!$C103)/(365.35*24*3600)</f>
        <v>36160.349055146675</v>
      </c>
      <c r="S103" s="2">
        <f>('L-Values'!O103*'D(Ti_Jollands) Times'!$F103*0.000001)^2/(4*'D(Ti_Jollands) Times'!$C103)/(365.35*24*3600)</f>
        <v>21890.635720386275</v>
      </c>
      <c r="T103" s="2"/>
      <c r="U103" s="2">
        <f>('L-Values'!Q103*'D(Ti_Jollands) Times'!$F103*0.000001)^2/(4*'D(Ti_Jollands) Times'!$C103)/(365.35*24*3600)</f>
        <v>27937.044812007338</v>
      </c>
      <c r="V103" s="2">
        <f>('L-Values'!R103*'D(Ti_Jollands) Times'!$F103*0.000001)^2/(4*'D(Ti_Jollands) Times'!$C103)/(365.35*24*3600)</f>
        <v>24671.582582596271</v>
      </c>
      <c r="W103" s="2">
        <f>('L-Values'!S103*'D(Ti_Jollands) Times'!$F103*0.000001)^2/(4*'D(Ti_Jollands) Times'!$C103)/(365.35*24*3600)</f>
        <v>22734.42775537811</v>
      </c>
      <c r="X103" s="2"/>
      <c r="Y103" s="2">
        <f>('L-Values'!U103*'D(Ti_Jollands) Times'!$F103*0.000001)^2/(4*'D(Ti_Jollands) Times'!$C103)/(365.35*24*3600)</f>
        <v>27194.899781954293</v>
      </c>
      <c r="Z103" s="2">
        <f>('L-Values'!V103*'D(Ti_Jollands) Times'!$F103*0.000001)^2/(4*'D(Ti_Jollands) Times'!$C103)/(365.35*24*3600)</f>
        <v>27599.063891194706</v>
      </c>
      <c r="AA103" s="2">
        <f>('L-Values'!W103*'D(Ti_Jollands) Times'!$F103*0.000001)^2/(4*'D(Ti_Jollands) Times'!$C103)/(365.35*24*3600)</f>
        <v>1299.0078075842227</v>
      </c>
      <c r="AB103" s="2">
        <f>('L-Values'!X103*'D(Ti_Jollands) Times'!$F103*0.000001)^2/(4*'D(Ti_Jollands) Times'!$C103)/(365.35*24*3600)</f>
        <v>74407.733563828573</v>
      </c>
      <c r="AC103" s="2">
        <f t="shared" si="6"/>
        <v>26300.056083610485</v>
      </c>
      <c r="AD103" s="2">
        <f t="shared" si="7"/>
        <v>46808.669672633871</v>
      </c>
    </row>
    <row r="104" spans="1:30" x14ac:dyDescent="0.2">
      <c r="A104" t="str">
        <f>'L-Values'!A104</f>
        <v>CGI008-qtz02-CL-fit-1-offset</v>
      </c>
      <c r="B104">
        <v>750</v>
      </c>
      <c r="C104">
        <f t="shared" si="4"/>
        <v>6.6965312637759184E-25</v>
      </c>
      <c r="D104">
        <v>2400</v>
      </c>
      <c r="E104">
        <v>1024</v>
      </c>
      <c r="F104">
        <f t="shared" si="5"/>
        <v>2.34375</v>
      </c>
      <c r="I104" s="2">
        <f>('L-Values'!E104*'D(Ti_Jollands) Times'!$F104*0.000001)^2/(4*'D(Ti_Jollands) Times'!$C104)/(365.35*24*3600)</f>
        <v>4572381.6423329674</v>
      </c>
      <c r="J104" s="2">
        <f>('L-Values'!F104*'D(Ti_Jollands) Times'!$F104*0.000001)^2/(4*'D(Ti_Jollands) Times'!$C104)/(365.35*24*3600)</f>
        <v>2806300.4337862423</v>
      </c>
      <c r="K104" s="2">
        <f>('L-Values'!G104*'D(Ti_Jollands) Times'!$F104*0.000001)^2/(4*'D(Ti_Jollands) Times'!$C104)/(365.35*24*3600)</f>
        <v>2252994.2339194086</v>
      </c>
      <c r="L104" s="2">
        <f>('L-Values'!H104*'D(Ti_Jollands) Times'!$F104*0.000001)^2/(4*'D(Ti_Jollands) Times'!$C104)/(365.35*24*3600)</f>
        <v>6125239.0963157658</v>
      </c>
      <c r="M104" s="2">
        <f>('L-Values'!I104*'D(Ti_Jollands) Times'!$F104*0.000001)^2/(4*'D(Ti_Jollands) Times'!$C104)/(365.35*24*3600)</f>
        <v>2800706.2979221311</v>
      </c>
      <c r="N104" s="2">
        <f>('L-Values'!J104*'D(Ti_Jollands) Times'!$F104*0.000001)^2/(4*'D(Ti_Jollands) Times'!$C104)/(365.35*24*3600)</f>
        <v>2096423.8288355493</v>
      </c>
      <c r="O104" s="2">
        <f>('L-Values'!K104*'D(Ti_Jollands) Times'!$F104*0.000001)^2/(4*'D(Ti_Jollands) Times'!$C104)/(365.35*24*3600)</f>
        <v>3111.7638875574517</v>
      </c>
      <c r="P104" s="2">
        <f>('L-Values'!L104*'D(Ti_Jollands) Times'!$F104*0.000001)^2/(4*'D(Ti_Jollands) Times'!$C104)/(365.35*24*3600)</f>
        <v>4679.5049358944607</v>
      </c>
      <c r="Q104" s="2">
        <f>('L-Values'!M104*'D(Ti_Jollands) Times'!$F104*0.000001)^2/(4*'D(Ti_Jollands) Times'!$C104)/(365.35*24*3600)</f>
        <v>2777031.9271845883</v>
      </c>
      <c r="R104" s="2">
        <f>('L-Values'!N104*'D(Ti_Jollands) Times'!$F104*0.000001)^2/(4*'D(Ti_Jollands) Times'!$C104)/(365.35*24*3600)</f>
        <v>1574356.9997506873</v>
      </c>
      <c r="S104" s="2">
        <f>('L-Values'!O104*'D(Ti_Jollands) Times'!$F104*0.000001)^2/(4*'D(Ti_Jollands) Times'!$C104)/(365.35*24*3600)</f>
        <v>604283.16307282331</v>
      </c>
      <c r="T104" s="2"/>
      <c r="U104" s="2">
        <f>('L-Values'!Q104*'D(Ti_Jollands) Times'!$F104*0.000001)^2/(4*'D(Ti_Jollands) Times'!$C104)/(365.35*24*3600)</f>
        <v>3084602.1967409132</v>
      </c>
      <c r="V104" s="2">
        <f>('L-Values'!R104*'D(Ti_Jollands) Times'!$F104*0.000001)^2/(4*'D(Ti_Jollands) Times'!$C104)/(365.35*24*3600)</f>
        <v>1794039.0895585483</v>
      </c>
      <c r="W104" s="2">
        <f>('L-Values'!S104*'D(Ti_Jollands) Times'!$F104*0.000001)^2/(4*'D(Ti_Jollands) Times'!$C104)/(365.35*24*3600)</f>
        <v>2252994.2339194086</v>
      </c>
      <c r="X104" s="2"/>
      <c r="Y104" s="2">
        <f>('L-Values'!U104*'D(Ti_Jollands) Times'!$F104*0.000001)^2/(4*'D(Ti_Jollands) Times'!$C104)/(365.35*24*3600)</f>
        <v>2830326.3861424527</v>
      </c>
      <c r="Z104" s="2">
        <f>('L-Values'!V104*'D(Ti_Jollands) Times'!$F104*0.000001)^2/(4*'D(Ti_Jollands) Times'!$C104)/(365.35*24*3600)</f>
        <v>3022715.0249629226</v>
      </c>
      <c r="AA104" s="2">
        <f>('L-Values'!W104*'D(Ti_Jollands) Times'!$F104*0.000001)^2/(4*'D(Ti_Jollands) Times'!$C104)/(365.35*24*3600)</f>
        <v>176200.61895451168</v>
      </c>
      <c r="AB104" s="2">
        <f>('L-Values'!X104*'D(Ti_Jollands) Times'!$F104*0.000001)^2/(4*'D(Ti_Jollands) Times'!$C104)/(365.35*24*3600)</f>
        <v>9626690.3769334871</v>
      </c>
      <c r="AC104" s="2">
        <f t="shared" si="6"/>
        <v>2846514.4060084107</v>
      </c>
      <c r="AD104" s="2">
        <f t="shared" si="7"/>
        <v>6603975.3519705646</v>
      </c>
    </row>
    <row r="105" spans="1:30" x14ac:dyDescent="0.2">
      <c r="A105" t="str">
        <f>'L-Values'!A105</f>
        <v>CGI008-qtz02-CL-fit-2-offset</v>
      </c>
      <c r="B105">
        <v>750</v>
      </c>
      <c r="C105">
        <f t="shared" si="4"/>
        <v>6.6965312637759184E-25</v>
      </c>
      <c r="D105">
        <v>2400</v>
      </c>
      <c r="E105">
        <v>1024</v>
      </c>
      <c r="F105">
        <f t="shared" si="5"/>
        <v>2.34375</v>
      </c>
      <c r="I105" s="2">
        <f>('L-Values'!E105*'D(Ti_Jollands) Times'!$F105*0.000001)^2/(4*'D(Ti_Jollands) Times'!$C105)/(365.35*24*3600)</f>
        <v>7352560.3085317351</v>
      </c>
      <c r="J105" s="2">
        <f>('L-Values'!F105*'D(Ti_Jollands) Times'!$F105*0.000001)^2/(4*'D(Ti_Jollands) Times'!$C105)/(365.35*24*3600)</f>
        <v>896049.31009116711</v>
      </c>
      <c r="K105" s="2">
        <f>('L-Values'!G105*'D(Ti_Jollands) Times'!$F105*0.000001)^2/(4*'D(Ti_Jollands) Times'!$C105)/(365.35*24*3600)</f>
        <v>3386686.3077363479</v>
      </c>
      <c r="L105" s="2">
        <f>('L-Values'!H105*'D(Ti_Jollands) Times'!$F105*0.000001)^2/(4*'D(Ti_Jollands) Times'!$C105)/(365.35*24*3600)</f>
        <v>1011173.0587098149</v>
      </c>
      <c r="M105" s="2">
        <f>('L-Values'!I105*'D(Ti_Jollands) Times'!$F105*0.000001)^2/(4*'D(Ti_Jollands) Times'!$C105)/(365.35*24*3600)</f>
        <v>0</v>
      </c>
      <c r="N105" s="2">
        <f>('L-Values'!J105*'D(Ti_Jollands) Times'!$F105*0.000001)^2/(4*'D(Ti_Jollands) Times'!$C105)/(365.35*24*3600)</f>
        <v>4489181.0611795625</v>
      </c>
      <c r="O105" s="2">
        <f>('L-Values'!K105*'D(Ti_Jollands) Times'!$F105*0.000001)^2/(4*'D(Ti_Jollands) Times'!$C105)/(365.35*24*3600)</f>
        <v>26480.204906184543</v>
      </c>
      <c r="P105" s="2">
        <f>('L-Values'!L105*'D(Ti_Jollands) Times'!$F105*0.000001)^2/(4*'D(Ti_Jollands) Times'!$C105)/(365.35*24*3600)</f>
        <v>5165.9161507759081</v>
      </c>
      <c r="Q105" s="2">
        <f>('L-Values'!M105*'D(Ti_Jollands) Times'!$F105*0.000001)^2/(4*'D(Ti_Jollands) Times'!$C105)/(365.35*24*3600)</f>
        <v>405.64944109534173</v>
      </c>
      <c r="R105" s="2">
        <f>('L-Values'!N105*'D(Ti_Jollands) Times'!$F105*0.000001)^2/(4*'D(Ti_Jollands) Times'!$C105)/(365.35*24*3600)</f>
        <v>2285202.8743543974</v>
      </c>
      <c r="S105" s="2">
        <f>('L-Values'!O105*'D(Ti_Jollands) Times'!$F105*0.000001)^2/(4*'D(Ti_Jollands) Times'!$C105)/(365.35*24*3600)</f>
        <v>3867.6569754632783</v>
      </c>
      <c r="T105" s="2"/>
      <c r="U105" s="2">
        <f>('L-Values'!Q105*'D(Ti_Jollands) Times'!$F105*0.000001)^2/(4*'D(Ti_Jollands) Times'!$C105)/(365.35*24*3600)</f>
        <v>2077976.2114412803</v>
      </c>
      <c r="V105" s="2">
        <f>('L-Values'!R105*'D(Ti_Jollands) Times'!$F105*0.000001)^2/(4*'D(Ti_Jollands) Times'!$C105)/(365.35*24*3600)</f>
        <v>1092320.9488527365</v>
      </c>
      <c r="W105" s="2">
        <f>('L-Values'!S105*'D(Ti_Jollands) Times'!$F105*0.000001)^2/(4*'D(Ti_Jollands) Times'!$C105)/(365.35*24*3600)</f>
        <v>952741.75431647571</v>
      </c>
      <c r="X105" s="2"/>
      <c r="Y105" s="2">
        <f>('L-Values'!U105*'D(Ti_Jollands) Times'!$F105*0.000001)^2/(4*'D(Ti_Jollands) Times'!$C105)/(365.35*24*3600)</f>
        <v>1285510.3102494222</v>
      </c>
      <c r="Z105" s="2">
        <f>('L-Values'!V105*'D(Ti_Jollands) Times'!$F105*0.000001)^2/(4*'D(Ti_Jollands) Times'!$C105)/(365.35*24*3600)</f>
        <v>1387716.5692362653</v>
      </c>
      <c r="AA105" s="2">
        <f>('L-Values'!W105*'D(Ti_Jollands) Times'!$F105*0.000001)^2/(4*'D(Ti_Jollands) Times'!$C105)/(365.35*24*3600)</f>
        <v>3502.9007396546508</v>
      </c>
      <c r="AB105" s="2">
        <f>('L-Values'!X105*'D(Ti_Jollands) Times'!$F105*0.000001)^2/(4*'D(Ti_Jollands) Times'!$C105)/(365.35*24*3600)</f>
        <v>6641597.6571487878</v>
      </c>
      <c r="AC105" s="2">
        <f t="shared" si="6"/>
        <v>1384213.6684966106</v>
      </c>
      <c r="AD105" s="2">
        <f t="shared" si="7"/>
        <v>5253881.0879125223</v>
      </c>
    </row>
    <row r="106" spans="1:30" x14ac:dyDescent="0.2">
      <c r="A106" t="str">
        <f>'L-Values'!A106</f>
        <v>CGI008-qtz02-CL-fit-3-offset</v>
      </c>
      <c r="B106">
        <v>750</v>
      </c>
      <c r="C106">
        <f t="shared" si="4"/>
        <v>6.6965312637759184E-25</v>
      </c>
      <c r="D106">
        <v>2400</v>
      </c>
      <c r="E106">
        <v>1024</v>
      </c>
      <c r="F106">
        <f t="shared" si="5"/>
        <v>2.34375</v>
      </c>
      <c r="I106" s="2">
        <f>('L-Values'!E106*'D(Ti_Jollands) Times'!$F106*0.000001)^2/(4*'D(Ti_Jollands) Times'!$C106)/(365.35*24*3600)</f>
        <v>284526.3524043393</v>
      </c>
      <c r="J106" s="2">
        <f>('L-Values'!F106*'D(Ti_Jollands) Times'!$F106*0.000001)^2/(4*'D(Ti_Jollands) Times'!$C106)/(365.35*24*3600)</f>
        <v>309629.6041901813</v>
      </c>
      <c r="K106" s="2">
        <f>('L-Values'!G106*'D(Ti_Jollands) Times'!$F106*0.000001)^2/(4*'D(Ti_Jollands) Times'!$C106)/(365.35*24*3600)</f>
        <v>502320.11267738038</v>
      </c>
      <c r="L106" s="2">
        <f>('L-Values'!H106*'D(Ti_Jollands) Times'!$F106*0.000001)^2/(4*'D(Ti_Jollands) Times'!$C106)/(365.35*24*3600)</f>
        <v>372864.70060177689</v>
      </c>
      <c r="M106" s="2">
        <f>('L-Values'!I106*'D(Ti_Jollands) Times'!$F106*0.000001)^2/(4*'D(Ti_Jollands) Times'!$C106)/(365.35*24*3600)</f>
        <v>371904.31132619304</v>
      </c>
      <c r="N106" s="2">
        <f>('L-Values'!J106*'D(Ti_Jollands) Times'!$F106*0.000001)^2/(4*'D(Ti_Jollands) Times'!$C106)/(365.35*24*3600)</f>
        <v>139402.77707611007</v>
      </c>
      <c r="O106" s="2">
        <f>('L-Values'!K106*'D(Ti_Jollands) Times'!$F106*0.000001)^2/(4*'D(Ti_Jollands) Times'!$C106)/(365.35*24*3600)</f>
        <v>559132.52847414243</v>
      </c>
      <c r="P106" s="2">
        <f>('L-Values'!L106*'D(Ti_Jollands) Times'!$F106*0.000001)^2/(4*'D(Ti_Jollands) Times'!$C106)/(365.35*24*3600)</f>
        <v>566046.27656369412</v>
      </c>
      <c r="Q106" s="2">
        <f>('L-Values'!M106*'D(Ti_Jollands) Times'!$F106*0.000001)^2/(4*'D(Ti_Jollands) Times'!$C106)/(365.35*24*3600)</f>
        <v>338279.63552331022</v>
      </c>
      <c r="R106" s="2">
        <f>('L-Values'!N106*'D(Ti_Jollands) Times'!$F106*0.000001)^2/(4*'D(Ti_Jollands) Times'!$C106)/(365.35*24*3600)</f>
        <v>129365.99752672257</v>
      </c>
      <c r="S106" s="2">
        <f>('L-Values'!O106*'D(Ti_Jollands) Times'!$F106*0.000001)^2/(4*'D(Ti_Jollands) Times'!$C106)/(365.35*24*3600)</f>
        <v>504296.79692329391</v>
      </c>
      <c r="T106" s="2"/>
      <c r="U106" s="2">
        <f>('L-Values'!Q106*'D(Ti_Jollands) Times'!$F106*0.000001)^2/(4*'D(Ti_Jollands) Times'!$C106)/(365.35*24*3600)</f>
        <v>330089.10111145669</v>
      </c>
      <c r="V106" s="2">
        <f>('L-Values'!R106*'D(Ti_Jollands) Times'!$F106*0.000001)^2/(4*'D(Ti_Jollands) Times'!$C106)/(365.35*24*3600)</f>
        <v>353914.21037252888</v>
      </c>
      <c r="W106" s="2">
        <f>('L-Values'!S106*'D(Ti_Jollands) Times'!$F106*0.000001)^2/(4*'D(Ti_Jollands) Times'!$C106)/(365.35*24*3600)</f>
        <v>371904.31132619304</v>
      </c>
      <c r="X106" s="2"/>
      <c r="Y106" s="2">
        <f>('L-Values'!U106*'D(Ti_Jollands) Times'!$F106*0.000001)^2/(4*'D(Ti_Jollands) Times'!$C106)/(365.35*24*3600)</f>
        <v>334661.53523005039</v>
      </c>
      <c r="Z106" s="2">
        <f>('L-Values'!V106*'D(Ti_Jollands) Times'!$F106*0.000001)^2/(4*'D(Ti_Jollands) Times'!$C106)/(365.35*24*3600)</f>
        <v>346477.13040482084</v>
      </c>
      <c r="AA106" s="2">
        <f>('L-Values'!W106*'D(Ti_Jollands) Times'!$F106*0.000001)^2/(4*'D(Ti_Jollands) Times'!$C106)/(365.35*24*3600)</f>
        <v>122158.95889654937</v>
      </c>
      <c r="AB106" s="2">
        <f>('L-Values'!X106*'D(Ti_Jollands) Times'!$F106*0.000001)^2/(4*'D(Ti_Jollands) Times'!$C106)/(365.35*24*3600)</f>
        <v>830686.38573234156</v>
      </c>
      <c r="AC106" s="2">
        <f t="shared" si="6"/>
        <v>224318.17150827148</v>
      </c>
      <c r="AD106" s="2">
        <f t="shared" si="7"/>
        <v>484209.25532752072</v>
      </c>
    </row>
    <row r="107" spans="1:30" x14ac:dyDescent="0.2">
      <c r="A107" t="str">
        <f>'L-Values'!A107</f>
        <v>CGI008-qtz02-CL-fit-4-offset</v>
      </c>
      <c r="B107">
        <v>750</v>
      </c>
      <c r="C107">
        <f t="shared" si="4"/>
        <v>6.6965312637759184E-25</v>
      </c>
      <c r="D107">
        <v>2400</v>
      </c>
      <c r="E107">
        <v>1024</v>
      </c>
      <c r="F107">
        <f t="shared" si="5"/>
        <v>2.34375</v>
      </c>
      <c r="I107" s="2">
        <f>('L-Values'!E107*'D(Ti_Jollands) Times'!$F107*0.000001)^2/(4*'D(Ti_Jollands) Times'!$C107)/(365.35*24*3600)</f>
        <v>3386.6393084602055</v>
      </c>
      <c r="J107" s="2">
        <f>('L-Values'!F107*'D(Ti_Jollands) Times'!$F107*0.000001)^2/(4*'D(Ti_Jollands) Times'!$C107)/(365.35*24*3600)</f>
        <v>1644.0859061828696</v>
      </c>
      <c r="K107" s="2">
        <f>('L-Values'!G107*'D(Ti_Jollands) Times'!$F107*0.000001)^2/(4*'D(Ti_Jollands) Times'!$C107)/(365.35*24*3600)</f>
        <v>4542.0968362409649</v>
      </c>
      <c r="L107" s="2">
        <f>('L-Values'!H107*'D(Ti_Jollands) Times'!$F107*0.000001)^2/(4*'D(Ti_Jollands) Times'!$C107)/(365.35*24*3600)</f>
        <v>17472.747024360084</v>
      </c>
      <c r="M107" s="2">
        <f>('L-Values'!I107*'D(Ti_Jollands) Times'!$F107*0.000001)^2/(4*'D(Ti_Jollands) Times'!$C107)/(365.35*24*3600)</f>
        <v>250.49104524367729</v>
      </c>
      <c r="N107" s="2">
        <f>('L-Values'!J107*'D(Ti_Jollands) Times'!$F107*0.000001)^2/(4*'D(Ti_Jollands) Times'!$C107)/(365.35*24*3600)</f>
        <v>541872.87820520508</v>
      </c>
      <c r="O107" s="2">
        <f>('L-Values'!K107*'D(Ti_Jollands) Times'!$F107*0.000001)^2/(4*'D(Ti_Jollands) Times'!$C107)/(365.35*24*3600)</f>
        <v>408471.02056237776</v>
      </c>
      <c r="P107" s="2">
        <f>('L-Values'!L107*'D(Ti_Jollands) Times'!$F107*0.000001)^2/(4*'D(Ti_Jollands) Times'!$C107)/(365.35*24*3600)</f>
        <v>261721.03002859294</v>
      </c>
      <c r="Q107" s="2">
        <f>('L-Values'!M107*'D(Ti_Jollands) Times'!$F107*0.000001)^2/(4*'D(Ti_Jollands) Times'!$C107)/(365.35*24*3600)</f>
        <v>4981.3219417322252</v>
      </c>
      <c r="R107" s="2">
        <f>('L-Values'!N107*'D(Ti_Jollands) Times'!$F107*0.000001)^2/(4*'D(Ti_Jollands) Times'!$C107)/(365.35*24*3600)</f>
        <v>5.0148091594937192</v>
      </c>
      <c r="S107" s="2">
        <f>('L-Values'!O107*'D(Ti_Jollands) Times'!$F107*0.000001)^2/(4*'D(Ti_Jollands) Times'!$C107)/(365.35*24*3600)</f>
        <v>6401.3021386151295</v>
      </c>
      <c r="T107" s="2"/>
      <c r="U107" s="2">
        <f>('L-Values'!Q107*'D(Ti_Jollands) Times'!$F107*0.000001)^2/(4*'D(Ti_Jollands) Times'!$C107)/(365.35*24*3600)</f>
        <v>7918.0760266543693</v>
      </c>
      <c r="V107" s="2">
        <f>('L-Values'!R107*'D(Ti_Jollands) Times'!$F107*0.000001)^2/(4*'D(Ti_Jollands) Times'!$C107)/(365.35*24*3600)</f>
        <v>45788.178706017257</v>
      </c>
      <c r="W107" s="2">
        <f>('L-Values'!S107*'D(Ti_Jollands) Times'!$F107*0.000001)^2/(4*'D(Ti_Jollands) Times'!$C107)/(365.35*24*3600)</f>
        <v>4981.3219417322252</v>
      </c>
      <c r="X107" s="2"/>
      <c r="Y107" s="2">
        <f>('L-Values'!U107*'D(Ti_Jollands) Times'!$F107*0.000001)^2/(4*'D(Ti_Jollands) Times'!$C107)/(365.35*24*3600)</f>
        <v>7104.5087948431155</v>
      </c>
      <c r="Z107" s="2">
        <f>('L-Values'!V107*'D(Ti_Jollands) Times'!$F107*0.000001)^2/(4*'D(Ti_Jollands) Times'!$C107)/(365.35*24*3600)</f>
        <v>19302.83292634337</v>
      </c>
      <c r="AA107" s="2">
        <f>('L-Values'!W107*'D(Ti_Jollands) Times'!$F107*0.000001)^2/(4*'D(Ti_Jollands) Times'!$C107)/(365.35*24*3600)</f>
        <v>701.5581595397955</v>
      </c>
      <c r="AB107" s="2">
        <f>('L-Values'!X107*'D(Ti_Jollands) Times'!$F107*0.000001)^2/(4*'D(Ti_Jollands) Times'!$C107)/(365.35*24*3600)</f>
        <v>855359.47595130163</v>
      </c>
      <c r="AC107" s="2">
        <f t="shared" si="6"/>
        <v>18601.274766803574</v>
      </c>
      <c r="AD107" s="2">
        <f t="shared" si="7"/>
        <v>836056.6430249582</v>
      </c>
    </row>
    <row r="108" spans="1:30" x14ac:dyDescent="0.2">
      <c r="A108" t="str">
        <f>'L-Values'!A108</f>
        <v>CGI008-qtz03-CL-fit-1-offset</v>
      </c>
      <c r="B108">
        <v>750</v>
      </c>
      <c r="C108">
        <f t="shared" si="4"/>
        <v>6.6965312637759184E-25</v>
      </c>
      <c r="D108">
        <v>2800</v>
      </c>
      <c r="E108">
        <v>1024</v>
      </c>
      <c r="F108">
        <f t="shared" si="5"/>
        <v>2.734375</v>
      </c>
      <c r="I108" s="2">
        <f>('L-Values'!E108*'D(Ti_Jollands) Times'!$F108*0.000001)^2/(4*'D(Ti_Jollands) Times'!$C108)/(365.35*24*3600)</f>
        <v>1298128.7027157799</v>
      </c>
      <c r="J108" s="2">
        <f>('L-Values'!F108*'D(Ti_Jollands) Times'!$F108*0.000001)^2/(4*'D(Ti_Jollands) Times'!$C108)/(365.35*24*3600)</f>
        <v>1152517.1110476064</v>
      </c>
      <c r="K108" s="2">
        <f>('L-Values'!G108*'D(Ti_Jollands) Times'!$F108*0.000001)^2/(4*'D(Ti_Jollands) Times'!$C108)/(365.35*24*3600)</f>
        <v>1896318.259420265</v>
      </c>
      <c r="L108" s="2">
        <f>('L-Values'!H108*'D(Ti_Jollands) Times'!$F108*0.000001)^2/(4*'D(Ti_Jollands) Times'!$C108)/(365.35*24*3600)</f>
        <v>1103761.4001460313</v>
      </c>
      <c r="M108" s="2">
        <f>('L-Values'!I108*'D(Ti_Jollands) Times'!$F108*0.000001)^2/(4*'D(Ti_Jollands) Times'!$C108)/(365.35*24*3600)</f>
        <v>3938.9054508022123</v>
      </c>
      <c r="N108" s="2">
        <f>('L-Values'!J108*'D(Ti_Jollands) Times'!$F108*0.000001)^2/(4*'D(Ti_Jollands) Times'!$C108)/(365.35*24*3600)</f>
        <v>2247852.2415184788</v>
      </c>
      <c r="O108" s="2">
        <f>('L-Values'!K108*'D(Ti_Jollands) Times'!$F108*0.000001)^2/(4*'D(Ti_Jollands) Times'!$C108)/(365.35*24*3600)</f>
        <v>1179852.4848905727</v>
      </c>
      <c r="P108" s="2">
        <f>('L-Values'!L108*'D(Ti_Jollands) Times'!$F108*0.000001)^2/(4*'D(Ti_Jollands) Times'!$C108)/(365.35*24*3600)</f>
        <v>735551.05401094677</v>
      </c>
      <c r="Q108" s="2">
        <f>('L-Values'!M108*'D(Ti_Jollands) Times'!$F108*0.000001)^2/(4*'D(Ti_Jollands) Times'!$C108)/(365.35*24*3600)</f>
        <v>1880325.7767528344</v>
      </c>
      <c r="R108" s="2">
        <f>('L-Values'!N108*'D(Ti_Jollands) Times'!$F108*0.000001)^2/(4*'D(Ti_Jollands) Times'!$C108)/(365.35*24*3600)</f>
        <v>1458484.4567491722</v>
      </c>
      <c r="S108" s="2">
        <f>('L-Values'!O108*'D(Ti_Jollands) Times'!$F108*0.000001)^2/(4*'D(Ti_Jollands) Times'!$C108)/(365.35*24*3600)</f>
        <v>718309.21452594013</v>
      </c>
      <c r="T108" s="2"/>
      <c r="U108" s="2">
        <f>('L-Values'!Q108*'D(Ti_Jollands) Times'!$F108*0.000001)^2/(4*'D(Ti_Jollands) Times'!$C108)/(365.35*24*3600)</f>
        <v>1271494.9491092064</v>
      </c>
      <c r="V108" s="2">
        <f>('L-Values'!R108*'D(Ti_Jollands) Times'!$F108*0.000001)^2/(4*'D(Ti_Jollands) Times'!$C108)/(365.35*24*3600)</f>
        <v>1106882.4589591816</v>
      </c>
      <c r="W108" s="2">
        <f>('L-Values'!S108*'D(Ti_Jollands) Times'!$F108*0.000001)^2/(4*'D(Ti_Jollands) Times'!$C108)/(365.35*24*3600)</f>
        <v>1179852.4848905727</v>
      </c>
      <c r="X108" s="2"/>
      <c r="Y108" s="2">
        <f>('L-Values'!U108*'D(Ti_Jollands) Times'!$F108*0.000001)^2/(4*'D(Ti_Jollands) Times'!$C108)/(365.35*24*3600)</f>
        <v>1196970.126426297</v>
      </c>
      <c r="Z108" s="2">
        <f>('L-Values'!V108*'D(Ti_Jollands) Times'!$F108*0.000001)^2/(4*'D(Ti_Jollands) Times'!$C108)/(365.35*24*3600)</f>
        <v>1183243.6093504813</v>
      </c>
      <c r="AA108" s="2">
        <f>('L-Values'!W108*'D(Ti_Jollands) Times'!$F108*0.000001)^2/(4*'D(Ti_Jollands) Times'!$C108)/(365.35*24*3600)</f>
        <v>42437.997574255503</v>
      </c>
      <c r="AB108" s="2">
        <f>('L-Values'!X108*'D(Ti_Jollands) Times'!$F108*0.000001)^2/(4*'D(Ti_Jollands) Times'!$C108)/(365.35*24*3600)</f>
        <v>3669848.694233181</v>
      </c>
      <c r="AC108" s="2">
        <f t="shared" si="6"/>
        <v>1140805.6117762257</v>
      </c>
      <c r="AD108" s="2">
        <f t="shared" si="7"/>
        <v>2486605.0848826999</v>
      </c>
    </row>
    <row r="109" spans="1:30" x14ac:dyDescent="0.2">
      <c r="A109" t="str">
        <f>'L-Values'!A109</f>
        <v>CGI008-qtz03-CL-fit-2-offset</v>
      </c>
      <c r="B109">
        <v>750</v>
      </c>
      <c r="C109">
        <f t="shared" si="4"/>
        <v>6.6965312637759184E-25</v>
      </c>
      <c r="D109">
        <v>2800</v>
      </c>
      <c r="E109">
        <v>1024</v>
      </c>
      <c r="F109">
        <f t="shared" si="5"/>
        <v>2.734375</v>
      </c>
      <c r="I109" s="2">
        <f>('L-Values'!E109*'D(Ti_Jollands) Times'!$F109*0.000001)^2/(4*'D(Ti_Jollands) Times'!$C109)/(365.35*24*3600)</f>
        <v>562177.01828590129</v>
      </c>
      <c r="J109" s="2">
        <f>('L-Values'!F109*'D(Ti_Jollands) Times'!$F109*0.000001)^2/(4*'D(Ti_Jollands) Times'!$C109)/(365.35*24*3600)</f>
        <v>1460227.977904134</v>
      </c>
      <c r="K109" s="2">
        <f>('L-Values'!G109*'D(Ti_Jollands) Times'!$F109*0.000001)^2/(4*'D(Ti_Jollands) Times'!$C109)/(365.35*24*3600)</f>
        <v>1831.2911749648081</v>
      </c>
      <c r="L109" s="2">
        <f>('L-Values'!H109*'D(Ti_Jollands) Times'!$F109*0.000001)^2/(4*'D(Ti_Jollands) Times'!$C109)/(365.35*24*3600)</f>
        <v>629.08851729827472</v>
      </c>
      <c r="M109" s="2">
        <f>('L-Values'!I109*'D(Ti_Jollands) Times'!$F109*0.000001)^2/(4*'D(Ti_Jollands) Times'!$C109)/(365.35*24*3600)</f>
        <v>393149.11449639063</v>
      </c>
      <c r="N109" s="2">
        <f>('L-Values'!J109*'D(Ti_Jollands) Times'!$F109*0.000001)^2/(4*'D(Ti_Jollands) Times'!$C109)/(365.35*24*3600)</f>
        <v>129990.09632837358</v>
      </c>
      <c r="O109" s="2">
        <f>('L-Values'!K109*'D(Ti_Jollands) Times'!$F109*0.000001)^2/(4*'D(Ti_Jollands) Times'!$C109)/(365.35*24*3600)</f>
        <v>313828.04005207686</v>
      </c>
      <c r="P109" s="2">
        <f>('L-Values'!L109*'D(Ti_Jollands) Times'!$F109*0.000001)^2/(4*'D(Ti_Jollands) Times'!$C109)/(365.35*24*3600)</f>
        <v>2993.2788477776944</v>
      </c>
      <c r="Q109" s="2">
        <f>('L-Values'!M109*'D(Ti_Jollands) Times'!$F109*0.000001)^2/(4*'D(Ti_Jollands) Times'!$C109)/(365.35*24*3600)</f>
        <v>1297974.3495667556</v>
      </c>
      <c r="R109" s="2">
        <f>('L-Values'!N109*'D(Ti_Jollands) Times'!$F109*0.000001)^2/(4*'D(Ti_Jollands) Times'!$C109)/(365.35*24*3600)</f>
        <v>1440196.7728652209</v>
      </c>
      <c r="S109" s="2">
        <f>('L-Values'!O109*'D(Ti_Jollands) Times'!$F109*0.000001)^2/(4*'D(Ti_Jollands) Times'!$C109)/(365.35*24*3600)</f>
        <v>150482.47847948337</v>
      </c>
      <c r="T109" s="2"/>
      <c r="U109" s="2">
        <f>('L-Values'!Q109*'D(Ti_Jollands) Times'!$F109*0.000001)^2/(4*'D(Ti_Jollands) Times'!$C109)/(365.35*24*3600)</f>
        <v>703420.63680499909</v>
      </c>
      <c r="V109" s="2">
        <f>('L-Values'!R109*'D(Ti_Jollands) Times'!$F109*0.000001)^2/(4*'D(Ti_Jollands) Times'!$C109)/(365.35*24*3600)</f>
        <v>333854.95621398295</v>
      </c>
      <c r="W109" s="2">
        <f>('L-Values'!S109*'D(Ti_Jollands) Times'!$F109*0.000001)^2/(4*'D(Ti_Jollands) Times'!$C109)/(365.35*24*3600)</f>
        <v>313828.04005207686</v>
      </c>
      <c r="X109" s="2"/>
      <c r="Y109" s="2">
        <f>('L-Values'!U109*'D(Ti_Jollands) Times'!$F109*0.000001)^2/(4*'D(Ti_Jollands) Times'!$C109)/(365.35*24*3600)</f>
        <v>732028.49376748456</v>
      </c>
      <c r="Z109" s="2">
        <f>('L-Values'!V109*'D(Ti_Jollands) Times'!$F109*0.000001)^2/(4*'D(Ti_Jollands) Times'!$C109)/(365.35*24*3600)</f>
        <v>835686.91801509005</v>
      </c>
      <c r="AA109" s="2">
        <f>('L-Values'!W109*'D(Ti_Jollands) Times'!$F109*0.000001)^2/(4*'D(Ti_Jollands) Times'!$C109)/(365.35*24*3600)</f>
        <v>4470.8469797131002</v>
      </c>
      <c r="AB109" s="2">
        <f>('L-Values'!X109*'D(Ti_Jollands) Times'!$F109*0.000001)^2/(4*'D(Ti_Jollands) Times'!$C109)/(365.35*24*3600)</f>
        <v>5179743.1145701185</v>
      </c>
      <c r="AC109" s="2">
        <f t="shared" si="6"/>
        <v>831216.07103537698</v>
      </c>
      <c r="AD109" s="2">
        <f t="shared" si="7"/>
        <v>4344056.1965550287</v>
      </c>
    </row>
    <row r="110" spans="1:30" x14ac:dyDescent="0.2">
      <c r="A110" t="str">
        <f>'L-Values'!A110</f>
        <v>CGI008-qtz03-CL-fit-3-offset</v>
      </c>
      <c r="B110">
        <v>750</v>
      </c>
      <c r="C110">
        <f t="shared" si="4"/>
        <v>6.6965312637759184E-25</v>
      </c>
      <c r="D110">
        <v>2800</v>
      </c>
      <c r="E110">
        <v>1024</v>
      </c>
      <c r="F110">
        <f t="shared" si="5"/>
        <v>2.734375</v>
      </c>
      <c r="I110" s="2">
        <f>('L-Values'!E110*'D(Ti_Jollands) Times'!$F110*0.000001)^2/(4*'D(Ti_Jollands) Times'!$C110)/(365.35*24*3600)</f>
        <v>1079705.5913889387</v>
      </c>
      <c r="J110" s="2">
        <f>('L-Values'!F110*'D(Ti_Jollands) Times'!$F110*0.000001)^2/(4*'D(Ti_Jollands) Times'!$C110)/(365.35*24*3600)</f>
        <v>168571.29375406849</v>
      </c>
      <c r="K110" s="2">
        <f>('L-Values'!G110*'D(Ti_Jollands) Times'!$F110*0.000001)^2/(4*'D(Ti_Jollands) Times'!$C110)/(365.35*24*3600)</f>
        <v>71156.760736525888</v>
      </c>
      <c r="L110" s="2">
        <f>('L-Values'!H110*'D(Ti_Jollands) Times'!$F110*0.000001)^2/(4*'D(Ti_Jollands) Times'!$C110)/(365.35*24*3600)</f>
        <v>553114.14741497417</v>
      </c>
      <c r="M110" s="2">
        <f>('L-Values'!I110*'D(Ti_Jollands) Times'!$F110*0.000001)^2/(4*'D(Ti_Jollands) Times'!$C110)/(365.35*24*3600)</f>
        <v>292597.04191552859</v>
      </c>
      <c r="N110" s="2">
        <f>('L-Values'!J110*'D(Ti_Jollands) Times'!$F110*0.000001)^2/(4*'D(Ti_Jollands) Times'!$C110)/(365.35*24*3600)</f>
        <v>284578.76505729288</v>
      </c>
      <c r="O110" s="2">
        <f>('L-Values'!K110*'D(Ti_Jollands) Times'!$F110*0.000001)^2/(4*'D(Ti_Jollands) Times'!$C110)/(365.35*24*3600)</f>
        <v>343886.7048889916</v>
      </c>
      <c r="P110" s="2">
        <f>('L-Values'!L110*'D(Ti_Jollands) Times'!$F110*0.000001)^2/(4*'D(Ti_Jollands) Times'!$C110)/(365.35*24*3600)</f>
        <v>368119.82811712736</v>
      </c>
      <c r="Q110" s="2">
        <f>('L-Values'!M110*'D(Ti_Jollands) Times'!$F110*0.000001)^2/(4*'D(Ti_Jollands) Times'!$C110)/(365.35*24*3600)</f>
        <v>509271.56443914794</v>
      </c>
      <c r="R110" s="2">
        <f>('L-Values'!N110*'D(Ti_Jollands) Times'!$F110*0.000001)^2/(4*'D(Ti_Jollands) Times'!$C110)/(365.35*24*3600)</f>
        <v>314451.98434582457</v>
      </c>
      <c r="S110" s="2">
        <f>('L-Values'!O110*'D(Ti_Jollands) Times'!$F110*0.000001)^2/(4*'D(Ti_Jollands) Times'!$C110)/(365.35*24*3600)</f>
        <v>504049.41050609038</v>
      </c>
      <c r="T110" s="2"/>
      <c r="U110" s="2">
        <f>('L-Values'!Q110*'D(Ti_Jollands) Times'!$F110*0.000001)^2/(4*'D(Ti_Jollands) Times'!$C110)/(365.35*24*3600)</f>
        <v>266396.4234457853</v>
      </c>
      <c r="V110" s="2">
        <f>('L-Values'!R110*'D(Ti_Jollands) Times'!$F110*0.000001)^2/(4*'D(Ti_Jollands) Times'!$C110)/(365.35*24*3600)</f>
        <v>372323.85375900712</v>
      </c>
      <c r="W110" s="2">
        <f>('L-Values'!S110*'D(Ti_Jollands) Times'!$F110*0.000001)^2/(4*'D(Ti_Jollands) Times'!$C110)/(365.35*24*3600)</f>
        <v>343886.7048889916</v>
      </c>
      <c r="X110" s="2"/>
      <c r="Y110" s="2">
        <f>('L-Values'!U110*'D(Ti_Jollands) Times'!$F110*0.000001)^2/(4*'D(Ti_Jollands) Times'!$C110)/(365.35*24*3600)</f>
        <v>250734.10396505098</v>
      </c>
      <c r="Z110" s="2">
        <f>('L-Values'!V110*'D(Ti_Jollands) Times'!$F110*0.000001)^2/(4*'D(Ti_Jollands) Times'!$C110)/(365.35*24*3600)</f>
        <v>251677.6452753284</v>
      </c>
      <c r="AA110" s="2">
        <f>('L-Values'!W110*'D(Ti_Jollands) Times'!$F110*0.000001)^2/(4*'D(Ti_Jollands) Times'!$C110)/(365.35*24*3600)</f>
        <v>51655.895109029982</v>
      </c>
      <c r="AB110" s="2">
        <f>('L-Values'!X110*'D(Ti_Jollands) Times'!$F110*0.000001)^2/(4*'D(Ti_Jollands) Times'!$C110)/(365.35*24*3600)</f>
        <v>660445.37591491209</v>
      </c>
      <c r="AC110" s="2">
        <f t="shared" si="6"/>
        <v>200021.75016629841</v>
      </c>
      <c r="AD110" s="2">
        <f t="shared" si="7"/>
        <v>408767.73063958366</v>
      </c>
    </row>
    <row r="111" spans="1:30" x14ac:dyDescent="0.2">
      <c r="A111" t="str">
        <f>'L-Values'!A111</f>
        <v>CGI008-qtz03-CL-fit-4-offset</v>
      </c>
      <c r="B111">
        <v>750</v>
      </c>
      <c r="C111">
        <f t="shared" si="4"/>
        <v>6.6965312637759184E-25</v>
      </c>
      <c r="D111">
        <v>2800</v>
      </c>
      <c r="E111">
        <v>1024</v>
      </c>
      <c r="F111">
        <f t="shared" si="5"/>
        <v>2.734375</v>
      </c>
      <c r="I111" s="2">
        <f>('L-Values'!E111*'D(Ti_Jollands) Times'!$F111*0.000001)^2/(4*'D(Ti_Jollands) Times'!$C111)/(365.35*24*3600)</f>
        <v>2.6849651727369075</v>
      </c>
      <c r="J111" s="2">
        <f>('L-Values'!F111*'D(Ti_Jollands) Times'!$F111*0.000001)^2/(4*'D(Ti_Jollands) Times'!$C111)/(365.35*24*3600)</f>
        <v>46810.345969591493</v>
      </c>
      <c r="K111" s="2">
        <f>('L-Values'!G111*'D(Ti_Jollands) Times'!$F111*0.000001)^2/(4*'D(Ti_Jollands) Times'!$C111)/(365.35*24*3600)</f>
        <v>472816.08773881936</v>
      </c>
      <c r="L111" s="2">
        <f>('L-Values'!H111*'D(Ti_Jollands) Times'!$F111*0.000001)^2/(4*'D(Ti_Jollands) Times'!$C111)/(365.35*24*3600)</f>
        <v>860442.57799138769</v>
      </c>
      <c r="M111" s="2">
        <f>('L-Values'!I111*'D(Ti_Jollands) Times'!$F111*0.000001)^2/(4*'D(Ti_Jollands) Times'!$C111)/(365.35*24*3600)</f>
        <v>35629.870451756338</v>
      </c>
      <c r="N111" s="2">
        <f>('L-Values'!J111*'D(Ti_Jollands) Times'!$F111*0.000001)^2/(4*'D(Ti_Jollands) Times'!$C111)/(365.35*24*3600)</f>
        <v>25701.132729161392</v>
      </c>
      <c r="O111" s="2">
        <f>('L-Values'!K111*'D(Ti_Jollands) Times'!$F111*0.000001)^2/(4*'D(Ti_Jollands) Times'!$C111)/(365.35*24*3600)</f>
        <v>37939.777714713942</v>
      </c>
      <c r="P111" s="2">
        <f>('L-Values'!L111*'D(Ti_Jollands) Times'!$F111*0.000001)^2/(4*'D(Ti_Jollands) Times'!$C111)/(365.35*24*3600)</f>
        <v>198.99608423487629</v>
      </c>
      <c r="Q111" s="2">
        <f>('L-Values'!M111*'D(Ti_Jollands) Times'!$F111*0.000001)^2/(4*'D(Ti_Jollands) Times'!$C111)/(365.35*24*3600)</f>
        <v>3215.3114408280926</v>
      </c>
      <c r="R111" s="2">
        <f>('L-Values'!N111*'D(Ti_Jollands) Times'!$F111*0.000001)^2/(4*'D(Ti_Jollands) Times'!$C111)/(365.35*24*3600)</f>
        <v>62174.840495086464</v>
      </c>
      <c r="S111" s="2">
        <f>('L-Values'!O111*'D(Ti_Jollands) Times'!$F111*0.000001)^2/(4*'D(Ti_Jollands) Times'!$C111)/(365.35*24*3600)</f>
        <v>130749.04815122248</v>
      </c>
      <c r="T111" s="2"/>
      <c r="U111" s="2">
        <f>('L-Values'!Q111*'D(Ti_Jollands) Times'!$F111*0.000001)^2/(4*'D(Ti_Jollands) Times'!$C111)/(365.35*24*3600)</f>
        <v>3971.3574702936216</v>
      </c>
      <c r="V111" s="2">
        <f>('L-Values'!R111*'D(Ti_Jollands) Times'!$F111*0.000001)^2/(4*'D(Ti_Jollands) Times'!$C111)/(365.35*24*3600)</f>
        <v>77325.433863083599</v>
      </c>
      <c r="W111" s="2">
        <f>('L-Values'!S111*'D(Ti_Jollands) Times'!$F111*0.000001)^2/(4*'D(Ti_Jollands) Times'!$C111)/(365.35*24*3600)</f>
        <v>37939.777714713942</v>
      </c>
      <c r="X111" s="2"/>
      <c r="Y111" s="2">
        <f>('L-Values'!U111*'D(Ti_Jollands) Times'!$F111*0.000001)^2/(4*'D(Ti_Jollands) Times'!$C111)/(365.35*24*3600)</f>
        <v>3651.5740901649656</v>
      </c>
      <c r="Z111" s="2">
        <f>('L-Values'!V111*'D(Ti_Jollands) Times'!$F111*0.000001)^2/(4*'D(Ti_Jollands) Times'!$C111)/(365.35*24*3600)</f>
        <v>26747.568633712162</v>
      </c>
      <c r="AA111" s="2">
        <f>('L-Values'!W111*'D(Ti_Jollands) Times'!$F111*0.000001)^2/(4*'D(Ti_Jollands) Times'!$C111)/(365.35*24*3600)</f>
        <v>2.267220136739997E-10</v>
      </c>
      <c r="AB111" s="2">
        <f>('L-Values'!X111*'D(Ti_Jollands) Times'!$F111*0.000001)^2/(4*'D(Ti_Jollands) Times'!$C111)/(365.35*24*3600)</f>
        <v>2169654.124325356</v>
      </c>
      <c r="AC111" s="2">
        <f t="shared" si="6"/>
        <v>26747.568633711937</v>
      </c>
      <c r="AD111" s="2">
        <f t="shared" si="7"/>
        <v>2142906.5556916436</v>
      </c>
    </row>
    <row r="112" spans="1:30" x14ac:dyDescent="0.2">
      <c r="A112" t="str">
        <f>'L-Values'!A112</f>
        <v>CGI008-qtz04-CL-fit-1-offset</v>
      </c>
      <c r="B112">
        <v>750</v>
      </c>
      <c r="C112">
        <f t="shared" si="4"/>
        <v>6.6965312637759184E-25</v>
      </c>
      <c r="D112">
        <v>2700</v>
      </c>
      <c r="E112">
        <v>1024</v>
      </c>
      <c r="F112">
        <f t="shared" si="5"/>
        <v>2.63671875</v>
      </c>
      <c r="I112" s="2">
        <f>('L-Values'!E112*'D(Ti_Jollands) Times'!$F112*0.000001)^2/(4*'D(Ti_Jollands) Times'!$C112)/(365.35*24*3600)</f>
        <v>9.0730947236863094E-11</v>
      </c>
      <c r="J112" s="2">
        <f>('L-Values'!F112*'D(Ti_Jollands) Times'!$F112*0.000001)^2/(4*'D(Ti_Jollands) Times'!$C112)/(365.35*24*3600)</f>
        <v>843.62927060644176</v>
      </c>
      <c r="K112" s="2">
        <f>('L-Values'!G112*'D(Ti_Jollands) Times'!$F112*0.000001)^2/(4*'D(Ti_Jollands) Times'!$C112)/(365.35*24*3600)</f>
        <v>169275.08947884385</v>
      </c>
      <c r="L112" s="2">
        <f>('L-Values'!H112*'D(Ti_Jollands) Times'!$F112*0.000001)^2/(4*'D(Ti_Jollands) Times'!$C112)/(365.35*24*3600)</f>
        <v>966387.89665775816</v>
      </c>
      <c r="M112" s="2">
        <f>('L-Values'!I112*'D(Ti_Jollands) Times'!$F112*0.000001)^2/(4*'D(Ti_Jollands) Times'!$C112)/(365.35*24*3600)</f>
        <v>133.00447033468316</v>
      </c>
      <c r="N112" s="2">
        <f>('L-Values'!J112*'D(Ti_Jollands) Times'!$F112*0.000001)^2/(4*'D(Ti_Jollands) Times'!$C112)/(365.35*24*3600)</f>
        <v>117898.26633362593</v>
      </c>
      <c r="O112" s="2">
        <f>('L-Values'!K112*'D(Ti_Jollands) Times'!$F112*0.000001)^2/(4*'D(Ti_Jollands) Times'!$C112)/(365.35*24*3600)</f>
        <v>4907.314012680723</v>
      </c>
      <c r="P112" s="2">
        <f>('L-Values'!L112*'D(Ti_Jollands) Times'!$F112*0.000001)^2/(4*'D(Ti_Jollands) Times'!$C112)/(365.35*24*3600)</f>
        <v>54.596686431899514</v>
      </c>
      <c r="Q112" s="2">
        <f>('L-Values'!M112*'D(Ti_Jollands) Times'!$F112*0.000001)^2/(4*'D(Ti_Jollands) Times'!$C112)/(365.35*24*3600)</f>
        <v>95272.25826205207</v>
      </c>
      <c r="R112" s="2">
        <f>('L-Values'!N112*'D(Ti_Jollands) Times'!$F112*0.000001)^2/(4*'D(Ti_Jollands) Times'!$C112)/(365.35*24*3600)</f>
        <v>223435.66047309566</v>
      </c>
      <c r="S112" s="2">
        <f>('L-Values'!O112*'D(Ti_Jollands) Times'!$F112*0.000001)^2/(4*'D(Ti_Jollands) Times'!$C112)/(365.35*24*3600)</f>
        <v>440233.20584154915</v>
      </c>
      <c r="T112" s="2"/>
      <c r="U112" s="2">
        <f>('L-Values'!Q112*'D(Ti_Jollands) Times'!$F112*0.000001)^2/(4*'D(Ti_Jollands) Times'!$C112)/(365.35*24*3600)</f>
        <v>108672.61384565139</v>
      </c>
      <c r="V112" s="2">
        <f>('L-Values'!R112*'D(Ti_Jollands) Times'!$F112*0.000001)^2/(4*'D(Ti_Jollands) Times'!$C112)/(365.35*24*3600)</f>
        <v>90039.049806218973</v>
      </c>
      <c r="W112" s="2">
        <f>('L-Values'!S112*'D(Ti_Jollands) Times'!$F112*0.000001)^2/(4*'D(Ti_Jollands) Times'!$C112)/(365.35*24*3600)</f>
        <v>95272.25826205207</v>
      </c>
      <c r="X112" s="2"/>
      <c r="Y112" s="2">
        <f>('L-Values'!U112*'D(Ti_Jollands) Times'!$F112*0.000001)^2/(4*'D(Ti_Jollands) Times'!$C112)/(365.35*24*3600)</f>
        <v>19631.902081895983</v>
      </c>
      <c r="Z112" s="2">
        <f>('L-Values'!V112*'D(Ti_Jollands) Times'!$F112*0.000001)^2/(4*'D(Ti_Jollands) Times'!$C112)/(365.35*24*3600)</f>
        <v>65506.057492601292</v>
      </c>
      <c r="AA112" s="2">
        <f>('L-Values'!W112*'D(Ti_Jollands) Times'!$F112*0.000001)^2/(4*'D(Ti_Jollands) Times'!$C112)/(365.35*24*3600)</f>
        <v>5.8767286494186476E-10</v>
      </c>
      <c r="AB112" s="2">
        <f>('L-Values'!X112*'D(Ti_Jollands) Times'!$F112*0.000001)^2/(4*'D(Ti_Jollands) Times'!$C112)/(365.35*24*3600)</f>
        <v>840936.03143196891</v>
      </c>
      <c r="AC112" s="2">
        <f t="shared" si="6"/>
        <v>65506.057492600703</v>
      </c>
      <c r="AD112" s="2">
        <f t="shared" si="7"/>
        <v>775429.97393936757</v>
      </c>
    </row>
    <row r="113" spans="1:30" x14ac:dyDescent="0.2">
      <c r="A113" t="str">
        <f>'L-Values'!A113</f>
        <v>CGI008-qtz04-CL-fit-2-offset</v>
      </c>
      <c r="B113">
        <v>750</v>
      </c>
      <c r="C113">
        <f t="shared" si="4"/>
        <v>6.6965312637759184E-25</v>
      </c>
      <c r="D113">
        <v>2700</v>
      </c>
      <c r="E113">
        <v>1024</v>
      </c>
      <c r="F113">
        <f t="shared" si="5"/>
        <v>2.63671875</v>
      </c>
      <c r="I113" s="2">
        <f>('L-Values'!E113*'D(Ti_Jollands) Times'!$F113*0.000001)^2/(4*'D(Ti_Jollands) Times'!$C113)/(365.35*24*3600)</f>
        <v>1415072.4600921676</v>
      </c>
      <c r="J113" s="2">
        <f>('L-Values'!F113*'D(Ti_Jollands) Times'!$F113*0.000001)^2/(4*'D(Ti_Jollands) Times'!$C113)/(365.35*24*3600)</f>
        <v>6766496.4173155939</v>
      </c>
      <c r="K113" s="2">
        <f>('L-Values'!G113*'D(Ti_Jollands) Times'!$F113*0.000001)^2/(4*'D(Ti_Jollands) Times'!$C113)/(365.35*24*3600)</f>
        <v>241572.00920563028</v>
      </c>
      <c r="L113" s="2">
        <f>('L-Values'!H113*'D(Ti_Jollands) Times'!$F113*0.000001)^2/(4*'D(Ti_Jollands) Times'!$C113)/(365.35*24*3600)</f>
        <v>5296910.5977363177</v>
      </c>
      <c r="M113" s="2">
        <f>('L-Values'!I113*'D(Ti_Jollands) Times'!$F113*0.000001)^2/(4*'D(Ti_Jollands) Times'!$C113)/(365.35*24*3600)</f>
        <v>1589635.5022620424</v>
      </c>
      <c r="N113" s="2">
        <f>('L-Values'!J113*'D(Ti_Jollands) Times'!$F113*0.000001)^2/(4*'D(Ti_Jollands) Times'!$C113)/(365.35*24*3600)</f>
        <v>2974435.6596365729</v>
      </c>
      <c r="O113" s="2">
        <f>('L-Values'!K113*'D(Ti_Jollands) Times'!$F113*0.000001)^2/(4*'D(Ti_Jollands) Times'!$C113)/(365.35*24*3600)</f>
        <v>539035.35582951549</v>
      </c>
      <c r="P113" s="2">
        <f>('L-Values'!L113*'D(Ti_Jollands) Times'!$F113*0.000001)^2/(4*'D(Ti_Jollands) Times'!$C113)/(365.35*24*3600)</f>
        <v>5162044.3544037864</v>
      </c>
      <c r="Q113" s="2">
        <f>('L-Values'!M113*'D(Ti_Jollands) Times'!$F113*0.000001)^2/(4*'D(Ti_Jollands) Times'!$C113)/(365.35*24*3600)</f>
        <v>259219.57436686009</v>
      </c>
      <c r="R113" s="2">
        <f>('L-Values'!N113*'D(Ti_Jollands) Times'!$F113*0.000001)^2/(4*'D(Ti_Jollands) Times'!$C113)/(365.35*24*3600)</f>
        <v>4167682.0172501984</v>
      </c>
      <c r="S113" s="2">
        <f>('L-Values'!O113*'D(Ti_Jollands) Times'!$F113*0.000001)^2/(4*'D(Ti_Jollands) Times'!$C113)/(365.35*24*3600)</f>
        <v>1862889.956035251</v>
      </c>
      <c r="T113" s="2"/>
      <c r="U113" s="2">
        <f>('L-Values'!Q113*'D(Ti_Jollands) Times'!$F113*0.000001)^2/(4*'D(Ti_Jollands) Times'!$C113)/(365.35*24*3600)</f>
        <v>1905412.7899215426</v>
      </c>
      <c r="V113" s="2">
        <f>('L-Values'!R113*'D(Ti_Jollands) Times'!$F113*0.000001)^2/(4*'D(Ti_Jollands) Times'!$C113)/(365.35*24*3600)</f>
        <v>2247543.0017464212</v>
      </c>
      <c r="W113" s="2">
        <f>('L-Values'!S113*'D(Ti_Jollands) Times'!$F113*0.000001)^2/(4*'D(Ti_Jollands) Times'!$C113)/(365.35*24*3600)</f>
        <v>1862889.956035251</v>
      </c>
      <c r="X113" s="2"/>
      <c r="Y113" s="2">
        <f>('L-Values'!U113*'D(Ti_Jollands) Times'!$F113*0.000001)^2/(4*'D(Ti_Jollands) Times'!$C113)/(365.35*24*3600)</f>
        <v>1817382.6007948196</v>
      </c>
      <c r="Z113" s="2">
        <f>('L-Values'!V113*'D(Ti_Jollands) Times'!$F113*0.000001)^2/(4*'D(Ti_Jollands) Times'!$C113)/(365.35*24*3600)</f>
        <v>1828956.0977172195</v>
      </c>
      <c r="AA113" s="2">
        <f>('L-Values'!W113*'D(Ti_Jollands) Times'!$F113*0.000001)^2/(4*'D(Ti_Jollands) Times'!$C113)/(365.35*24*3600)</f>
        <v>154335.73662009751</v>
      </c>
      <c r="AB113" s="2">
        <f>('L-Values'!X113*'D(Ti_Jollands) Times'!$F113*0.000001)^2/(4*'D(Ti_Jollands) Times'!$C113)/(365.35*24*3600)</f>
        <v>5323943.8921846421</v>
      </c>
      <c r="AC113" s="2">
        <f t="shared" si="6"/>
        <v>1674620.3610971221</v>
      </c>
      <c r="AD113" s="2">
        <f t="shared" si="7"/>
        <v>3494987.7944674226</v>
      </c>
    </row>
    <row r="114" spans="1:30" x14ac:dyDescent="0.2">
      <c r="A114" t="str">
        <f>'L-Values'!A114</f>
        <v>CGI008-qtz04-CL-fit-3-offset</v>
      </c>
      <c r="B114">
        <v>750</v>
      </c>
      <c r="C114">
        <f t="shared" si="4"/>
        <v>6.6965312637759184E-25</v>
      </c>
      <c r="D114">
        <v>2700</v>
      </c>
      <c r="E114">
        <v>1024</v>
      </c>
      <c r="F114">
        <f t="shared" si="5"/>
        <v>2.63671875</v>
      </c>
      <c r="I114" s="2">
        <f>('L-Values'!E114*'D(Ti_Jollands) Times'!$F114*0.000001)^2/(4*'D(Ti_Jollands) Times'!$C114)/(365.35*24*3600)</f>
        <v>4834887.8826166932</v>
      </c>
      <c r="J114" s="2">
        <f>('L-Values'!F114*'D(Ti_Jollands) Times'!$F114*0.000001)^2/(4*'D(Ti_Jollands) Times'!$C114)/(365.35*24*3600)</f>
        <v>3144542.8732092148</v>
      </c>
      <c r="K114" s="2">
        <f>('L-Values'!G114*'D(Ti_Jollands) Times'!$F114*0.000001)^2/(4*'D(Ti_Jollands) Times'!$C114)/(365.35*24*3600)</f>
        <v>2991531.4269224694</v>
      </c>
      <c r="L114" s="2">
        <f>('L-Values'!H114*'D(Ti_Jollands) Times'!$F114*0.000001)^2/(4*'D(Ti_Jollands) Times'!$C114)/(365.35*24*3600)</f>
        <v>843696.70401418093</v>
      </c>
      <c r="M114" s="2">
        <f>('L-Values'!I114*'D(Ti_Jollands) Times'!$F114*0.000001)^2/(4*'D(Ti_Jollands) Times'!$C114)/(365.35*24*3600)</f>
        <v>1147858.5364479464</v>
      </c>
      <c r="N114" s="2">
        <f>('L-Values'!J114*'D(Ti_Jollands) Times'!$F114*0.000001)^2/(4*'D(Ti_Jollands) Times'!$C114)/(365.35*24*3600)</f>
        <v>4332318.1099029724</v>
      </c>
      <c r="O114" s="2">
        <f>('L-Values'!K114*'D(Ti_Jollands) Times'!$F114*0.000001)^2/(4*'D(Ti_Jollands) Times'!$C114)/(365.35*24*3600)</f>
        <v>2431715.0785227572</v>
      </c>
      <c r="P114" s="2">
        <f>('L-Values'!L114*'D(Ti_Jollands) Times'!$F114*0.000001)^2/(4*'D(Ti_Jollands) Times'!$C114)/(365.35*24*3600)</f>
        <v>2864360.522350328</v>
      </c>
      <c r="Q114" s="2">
        <f>('L-Values'!M114*'D(Ti_Jollands) Times'!$F114*0.000001)^2/(4*'D(Ti_Jollands) Times'!$C114)/(365.35*24*3600)</f>
        <v>2676441.3358858647</v>
      </c>
      <c r="R114" s="2">
        <f>('L-Values'!N114*'D(Ti_Jollands) Times'!$F114*0.000001)^2/(4*'D(Ti_Jollands) Times'!$C114)/(365.35*24*3600)</f>
        <v>456689.02091510867</v>
      </c>
      <c r="S114" s="2">
        <f>('L-Values'!O114*'D(Ti_Jollands) Times'!$F114*0.000001)^2/(4*'D(Ti_Jollands) Times'!$C114)/(365.35*24*3600)</f>
        <v>273447.20685906213</v>
      </c>
      <c r="T114" s="2"/>
      <c r="U114" s="2">
        <f>('L-Values'!Q114*'D(Ti_Jollands) Times'!$F114*0.000001)^2/(4*'D(Ti_Jollands) Times'!$C114)/(365.35*24*3600)</f>
        <v>2137247.3321763212</v>
      </c>
      <c r="V114" s="2">
        <f>('L-Values'!R114*'D(Ti_Jollands) Times'!$F114*0.000001)^2/(4*'D(Ti_Jollands) Times'!$C114)/(365.35*24*3600)</f>
        <v>2078732.7804509981</v>
      </c>
      <c r="W114" s="2">
        <f>('L-Values'!S114*'D(Ti_Jollands) Times'!$F114*0.000001)^2/(4*'D(Ti_Jollands) Times'!$C114)/(365.35*24*3600)</f>
        <v>2676441.3358858647</v>
      </c>
      <c r="X114" s="2"/>
      <c r="Y114" s="2">
        <f>('L-Values'!U114*'D(Ti_Jollands) Times'!$F114*0.000001)^2/(4*'D(Ti_Jollands) Times'!$C114)/(365.35*24*3600)</f>
        <v>2308119.5473105717</v>
      </c>
      <c r="Z114" s="2">
        <f>('L-Values'!V114*'D(Ti_Jollands) Times'!$F114*0.000001)^2/(4*'D(Ti_Jollands) Times'!$C114)/(365.35*24*3600)</f>
        <v>2314595.8720055297</v>
      </c>
      <c r="AA114" s="2">
        <f>('L-Values'!W114*'D(Ti_Jollands) Times'!$F114*0.000001)^2/(4*'D(Ti_Jollands) Times'!$C114)/(365.35*24*3600)</f>
        <v>235281.04457436319</v>
      </c>
      <c r="AB114" s="2">
        <f>('L-Values'!X114*'D(Ti_Jollands) Times'!$F114*0.000001)^2/(4*'D(Ti_Jollands) Times'!$C114)/(365.35*24*3600)</f>
        <v>6223637.8001887603</v>
      </c>
      <c r="AC114" s="2">
        <f t="shared" si="6"/>
        <v>2079314.8274311665</v>
      </c>
      <c r="AD114" s="2">
        <f t="shared" si="7"/>
        <v>3909041.9281832306</v>
      </c>
    </row>
    <row r="115" spans="1:30" x14ac:dyDescent="0.2">
      <c r="A115" t="str">
        <f>'L-Values'!A115</f>
        <v>CGI008-qtz05-CL-fit-1-offset</v>
      </c>
      <c r="B115">
        <v>750</v>
      </c>
      <c r="C115">
        <f t="shared" si="4"/>
        <v>6.6965312637759184E-25</v>
      </c>
      <c r="D115">
        <v>1450</v>
      </c>
      <c r="E115">
        <v>1024</v>
      </c>
      <c r="F115">
        <f t="shared" si="5"/>
        <v>1.416015625</v>
      </c>
      <c r="I115" s="2">
        <f>('L-Values'!E115*'D(Ti_Jollands) Times'!$F115*0.000001)^2/(4*'D(Ti_Jollands) Times'!$C115)/(365.35*24*3600)</f>
        <v>308223.60321253008</v>
      </c>
      <c r="J115" s="2">
        <f>('L-Values'!F115*'D(Ti_Jollands) Times'!$F115*0.000001)^2/(4*'D(Ti_Jollands) Times'!$C115)/(365.35*24*3600)</f>
        <v>296016.43613421015</v>
      </c>
      <c r="K115" s="2">
        <f>('L-Values'!G115*'D(Ti_Jollands) Times'!$F115*0.000001)^2/(4*'D(Ti_Jollands) Times'!$C115)/(365.35*24*3600)</f>
        <v>368791.56655583298</v>
      </c>
      <c r="L115" s="2">
        <f>('L-Values'!H115*'D(Ti_Jollands) Times'!$F115*0.000001)^2/(4*'D(Ti_Jollands) Times'!$C115)/(365.35*24*3600)</f>
        <v>150730.5159154771</v>
      </c>
      <c r="M115" s="2">
        <f>('L-Values'!I115*'D(Ti_Jollands) Times'!$F115*0.000001)^2/(4*'D(Ti_Jollands) Times'!$C115)/(365.35*24*3600)</f>
        <v>451858.95062939468</v>
      </c>
      <c r="N115" s="2">
        <f>('L-Values'!J115*'D(Ti_Jollands) Times'!$F115*0.000001)^2/(4*'D(Ti_Jollands) Times'!$C115)/(365.35*24*3600)</f>
        <v>334626.74926397548</v>
      </c>
      <c r="O115" s="2">
        <f>('L-Values'!K115*'D(Ti_Jollands) Times'!$F115*0.000001)^2/(4*'D(Ti_Jollands) Times'!$C115)/(365.35*24*3600)</f>
        <v>183049.37532536808</v>
      </c>
      <c r="P115" s="2">
        <f>('L-Values'!L115*'D(Ti_Jollands) Times'!$F115*0.000001)^2/(4*'D(Ti_Jollands) Times'!$C115)/(365.35*24*3600)</f>
        <v>190303.44523160439</v>
      </c>
      <c r="Q115" s="2">
        <f>('L-Values'!M115*'D(Ti_Jollands) Times'!$F115*0.000001)^2/(4*'D(Ti_Jollands) Times'!$C115)/(365.35*24*3600)</f>
        <v>31549.63016872033</v>
      </c>
      <c r="R115" s="2">
        <f>('L-Values'!N115*'D(Ti_Jollands) Times'!$F115*0.000001)^2/(4*'D(Ti_Jollands) Times'!$C115)/(365.35*24*3600)</f>
        <v>163919.86359455227</v>
      </c>
      <c r="S115" s="2">
        <f>('L-Values'!O115*'D(Ti_Jollands) Times'!$F115*0.000001)^2/(4*'D(Ti_Jollands) Times'!$C115)/(365.35*24*3600)</f>
        <v>166563.40510269388</v>
      </c>
      <c r="T115" s="2"/>
      <c r="U115" s="2">
        <f>('L-Values'!Q115*'D(Ti_Jollands) Times'!$F115*0.000001)^2/(4*'D(Ti_Jollands) Times'!$C115)/(365.35*24*3600)</f>
        <v>220680.02653629592</v>
      </c>
      <c r="V115" s="2">
        <f>('L-Values'!R115*'D(Ti_Jollands) Times'!$F115*0.000001)^2/(4*'D(Ti_Jollands) Times'!$C115)/(365.35*24*3600)</f>
        <v>223483.42938522142</v>
      </c>
      <c r="W115" s="2">
        <f>('L-Values'!S115*'D(Ti_Jollands) Times'!$F115*0.000001)^2/(4*'D(Ti_Jollands) Times'!$C115)/(365.35*24*3600)</f>
        <v>190303.44523160439</v>
      </c>
      <c r="X115" s="2"/>
      <c r="Y115" s="2">
        <f>('L-Values'!U115*'D(Ti_Jollands) Times'!$F115*0.000001)^2/(4*'D(Ti_Jollands) Times'!$C115)/(365.35*24*3600)</f>
        <v>205440.63390447036</v>
      </c>
      <c r="Z115" s="2">
        <f>('L-Values'!V115*'D(Ti_Jollands) Times'!$F115*0.000001)^2/(4*'D(Ti_Jollands) Times'!$C115)/(365.35*24*3600)</f>
        <v>202036.11646126147</v>
      </c>
      <c r="AA115" s="2">
        <f>('L-Values'!W115*'D(Ti_Jollands) Times'!$F115*0.000001)^2/(4*'D(Ti_Jollands) Times'!$C115)/(365.35*24*3600)</f>
        <v>32399.221294018091</v>
      </c>
      <c r="AB115" s="2">
        <f>('L-Values'!X115*'D(Ti_Jollands) Times'!$F115*0.000001)^2/(4*'D(Ti_Jollands) Times'!$C115)/(365.35*24*3600)</f>
        <v>441189.69589672779</v>
      </c>
      <c r="AC115" s="2">
        <f t="shared" si="6"/>
        <v>169636.89516724338</v>
      </c>
      <c r="AD115" s="2">
        <f t="shared" si="7"/>
        <v>239153.57943546632</v>
      </c>
    </row>
    <row r="116" spans="1:30" x14ac:dyDescent="0.2">
      <c r="A116" t="str">
        <f>'L-Values'!A116</f>
        <v>CGI008-qtz05-CL-fit-2-offset</v>
      </c>
      <c r="B116">
        <v>750</v>
      </c>
      <c r="C116">
        <f t="shared" si="4"/>
        <v>6.6965312637759184E-25</v>
      </c>
      <c r="D116">
        <v>1450</v>
      </c>
      <c r="E116">
        <v>1024</v>
      </c>
      <c r="F116">
        <f t="shared" si="5"/>
        <v>1.416015625</v>
      </c>
      <c r="I116" s="2">
        <f>('L-Values'!E116*'D(Ti_Jollands) Times'!$F116*0.000001)^2/(4*'D(Ti_Jollands) Times'!$C116)/(365.35*24*3600)</f>
        <v>461256.10606444371</v>
      </c>
      <c r="J116" s="2">
        <f>('L-Values'!F116*'D(Ti_Jollands) Times'!$F116*0.000001)^2/(4*'D(Ti_Jollands) Times'!$C116)/(365.35*24*3600)</f>
        <v>172806.65243589153</v>
      </c>
      <c r="K116" s="2">
        <f>('L-Values'!G116*'D(Ti_Jollands) Times'!$F116*0.000001)^2/(4*'D(Ti_Jollands) Times'!$C116)/(365.35*24*3600)</f>
        <v>218228.32577322167</v>
      </c>
      <c r="L116" s="2">
        <f>('L-Values'!H116*'D(Ti_Jollands) Times'!$F116*0.000001)^2/(4*'D(Ti_Jollands) Times'!$C116)/(365.35*24*3600)</f>
        <v>27560.372717728413</v>
      </c>
      <c r="M116" s="2">
        <f>('L-Values'!I116*'D(Ti_Jollands) Times'!$F116*0.000001)^2/(4*'D(Ti_Jollands) Times'!$C116)/(365.35*24*3600)</f>
        <v>227576.39171616815</v>
      </c>
      <c r="N116" s="2">
        <f>('L-Values'!J116*'D(Ti_Jollands) Times'!$F116*0.000001)^2/(4*'D(Ti_Jollands) Times'!$C116)/(365.35*24*3600)</f>
        <v>334234.83397023584</v>
      </c>
      <c r="O116" s="2">
        <f>('L-Values'!K116*'D(Ti_Jollands) Times'!$F116*0.000001)^2/(4*'D(Ti_Jollands) Times'!$C116)/(365.35*24*3600)</f>
        <v>561579.16305039672</v>
      </c>
      <c r="P116" s="2">
        <f>('L-Values'!L116*'D(Ti_Jollands) Times'!$F116*0.000001)^2/(4*'D(Ti_Jollands) Times'!$C116)/(365.35*24*3600)</f>
        <v>195071.54792252707</v>
      </c>
      <c r="Q116" s="2">
        <f>('L-Values'!M116*'D(Ti_Jollands) Times'!$F116*0.000001)^2/(4*'D(Ti_Jollands) Times'!$C116)/(365.35*24*3600)</f>
        <v>1789.1686475670599</v>
      </c>
      <c r="R116" s="2">
        <f>('L-Values'!N116*'D(Ti_Jollands) Times'!$F116*0.000001)^2/(4*'D(Ti_Jollands) Times'!$C116)/(365.35*24*3600)</f>
        <v>153424.65035605384</v>
      </c>
      <c r="S116" s="2">
        <f>('L-Values'!O116*'D(Ti_Jollands) Times'!$F116*0.000001)^2/(4*'D(Ti_Jollands) Times'!$C116)/(365.35*24*3600)</f>
        <v>97911.979859191051</v>
      </c>
      <c r="T116" s="2"/>
      <c r="U116" s="2">
        <f>('L-Values'!Q116*'D(Ti_Jollands) Times'!$F116*0.000001)^2/(4*'D(Ti_Jollands) Times'!$C116)/(365.35*24*3600)</f>
        <v>194757.31879097325</v>
      </c>
      <c r="V116" s="2">
        <f>('L-Values'!R116*'D(Ti_Jollands) Times'!$F116*0.000001)^2/(4*'D(Ti_Jollands) Times'!$C116)/(365.35*24*3600)</f>
        <v>184209.36182470692</v>
      </c>
      <c r="W116" s="2">
        <f>('L-Values'!S116*'D(Ti_Jollands) Times'!$F116*0.000001)^2/(4*'D(Ti_Jollands) Times'!$C116)/(365.35*24*3600)</f>
        <v>195071.54792252707</v>
      </c>
      <c r="X116" s="2"/>
      <c r="Y116" s="2">
        <f>('L-Values'!U116*'D(Ti_Jollands) Times'!$F116*0.000001)^2/(4*'D(Ti_Jollands) Times'!$C116)/(365.35*24*3600)</f>
        <v>184662.18938890475</v>
      </c>
      <c r="Z116" s="2">
        <f>('L-Values'!V116*'D(Ti_Jollands) Times'!$F116*0.000001)^2/(4*'D(Ti_Jollands) Times'!$C116)/(365.35*24*3600)</f>
        <v>201202.66949237545</v>
      </c>
      <c r="AA116" s="2">
        <f>('L-Values'!W116*'D(Ti_Jollands) Times'!$F116*0.000001)^2/(4*'D(Ti_Jollands) Times'!$C116)/(365.35*24*3600)</f>
        <v>10161.629934085509</v>
      </c>
      <c r="AB116" s="2">
        <f>('L-Values'!X116*'D(Ti_Jollands) Times'!$F116*0.000001)^2/(4*'D(Ti_Jollands) Times'!$C116)/(365.35*24*3600)</f>
        <v>976602.57362420973</v>
      </c>
      <c r="AC116" s="2">
        <f t="shared" si="6"/>
        <v>191041.03955828995</v>
      </c>
      <c r="AD116" s="2">
        <f t="shared" si="7"/>
        <v>775399.90413183428</v>
      </c>
    </row>
    <row r="117" spans="1:30" x14ac:dyDescent="0.2">
      <c r="A117" t="str">
        <f>'L-Values'!A117</f>
        <v>CGI008-qtz05-CL-fit-3-offset</v>
      </c>
      <c r="B117">
        <v>750</v>
      </c>
      <c r="C117">
        <f t="shared" si="4"/>
        <v>6.6965312637759184E-25</v>
      </c>
      <c r="D117">
        <v>1450</v>
      </c>
      <c r="E117">
        <v>1024</v>
      </c>
      <c r="F117">
        <f t="shared" si="5"/>
        <v>1.416015625</v>
      </c>
      <c r="I117" s="2">
        <f>('L-Values'!E117*'D(Ti_Jollands) Times'!$F117*0.000001)^2/(4*'D(Ti_Jollands) Times'!$C117)/(365.35*24*3600)</f>
        <v>349964.68318107812</v>
      </c>
      <c r="J117" s="2">
        <f>('L-Values'!F117*'D(Ti_Jollands) Times'!$F117*0.000001)^2/(4*'D(Ti_Jollands) Times'!$C117)/(365.35*24*3600)</f>
        <v>217908.88097257848</v>
      </c>
      <c r="K117" s="2">
        <f>('L-Values'!G117*'D(Ti_Jollands) Times'!$F117*0.000001)^2/(4*'D(Ti_Jollands) Times'!$C117)/(365.35*24*3600)</f>
        <v>166843.20252279297</v>
      </c>
      <c r="L117" s="2">
        <f>('L-Values'!H117*'D(Ti_Jollands) Times'!$F117*0.000001)^2/(4*'D(Ti_Jollands) Times'!$C117)/(365.35*24*3600)</f>
        <v>47849.276855482152</v>
      </c>
      <c r="M117" s="2">
        <f>('L-Values'!I117*'D(Ti_Jollands) Times'!$F117*0.000001)^2/(4*'D(Ti_Jollands) Times'!$C117)/(365.35*24*3600)</f>
        <v>23593.262653401867</v>
      </c>
      <c r="N117" s="2">
        <f>('L-Values'!J117*'D(Ti_Jollands) Times'!$F117*0.000001)^2/(4*'D(Ti_Jollands) Times'!$C117)/(365.35*24*3600)</f>
        <v>174445.67730866757</v>
      </c>
      <c r="O117" s="2">
        <f>('L-Values'!K117*'D(Ti_Jollands) Times'!$F117*0.000001)^2/(4*'D(Ti_Jollands) Times'!$C117)/(365.35*24*3600)</f>
        <v>118489.17465006324</v>
      </c>
      <c r="P117" s="2">
        <f>('L-Values'!L117*'D(Ti_Jollands) Times'!$F117*0.000001)^2/(4*'D(Ti_Jollands) Times'!$C117)/(365.35*24*3600)</f>
        <v>113160.66313990738</v>
      </c>
      <c r="Q117" s="2">
        <f>('L-Values'!M117*'D(Ti_Jollands) Times'!$F117*0.000001)^2/(4*'D(Ti_Jollands) Times'!$C117)/(365.35*24*3600)</f>
        <v>391633.54484317842</v>
      </c>
      <c r="R117" s="2">
        <f>('L-Values'!N117*'D(Ti_Jollands) Times'!$F117*0.000001)^2/(4*'D(Ti_Jollands) Times'!$C117)/(365.35*24*3600)</f>
        <v>159803.35557033264</v>
      </c>
      <c r="S117" s="2">
        <f>('L-Values'!O117*'D(Ti_Jollands) Times'!$F117*0.000001)^2/(4*'D(Ti_Jollands) Times'!$C117)/(365.35*24*3600)</f>
        <v>38529.471246689463</v>
      </c>
      <c r="T117" s="2"/>
      <c r="U117" s="2">
        <f>('L-Values'!Q117*'D(Ti_Jollands) Times'!$F117*0.000001)^2/(4*'D(Ti_Jollands) Times'!$C117)/(365.35*24*3600)</f>
        <v>153318.85517616774</v>
      </c>
      <c r="V117" s="2">
        <f>('L-Values'!R117*'D(Ti_Jollands) Times'!$F117*0.000001)^2/(4*'D(Ti_Jollands) Times'!$C117)/(365.35*24*3600)</f>
        <v>142975.30234766114</v>
      </c>
      <c r="W117" s="2">
        <f>('L-Values'!S117*'D(Ti_Jollands) Times'!$F117*0.000001)^2/(4*'D(Ti_Jollands) Times'!$C117)/(365.35*24*3600)</f>
        <v>159803.35557033264</v>
      </c>
      <c r="X117" s="2"/>
      <c r="Y117" s="2">
        <f>('L-Values'!U117*'D(Ti_Jollands) Times'!$F117*0.000001)^2/(4*'D(Ti_Jollands) Times'!$C117)/(365.35*24*3600)</f>
        <v>162644.61959974063</v>
      </c>
      <c r="Z117" s="2">
        <f>('L-Values'!V117*'D(Ti_Jollands) Times'!$F117*0.000001)^2/(4*'D(Ti_Jollands) Times'!$C117)/(365.35*24*3600)</f>
        <v>163032.34390844085</v>
      </c>
      <c r="AA117" s="2">
        <f>('L-Values'!W117*'D(Ti_Jollands) Times'!$F117*0.000001)^2/(4*'D(Ti_Jollands) Times'!$C117)/(365.35*24*3600)</f>
        <v>12755.049921291167</v>
      </c>
      <c r="AB117" s="2">
        <f>('L-Values'!X117*'D(Ti_Jollands) Times'!$F117*0.000001)^2/(4*'D(Ti_Jollands) Times'!$C117)/(365.35*24*3600)</f>
        <v>485051.36806444777</v>
      </c>
      <c r="AC117" s="2">
        <f t="shared" si="6"/>
        <v>150277.29398714966</v>
      </c>
      <c r="AD117" s="2">
        <f t="shared" si="7"/>
        <v>322019.02415600693</v>
      </c>
    </row>
    <row r="118" spans="1:30" x14ac:dyDescent="0.2">
      <c r="A118" t="str">
        <f>'L-Values'!A118</f>
        <v>CGI008-qtz05-CL-fit-4-offset</v>
      </c>
      <c r="B118">
        <v>750</v>
      </c>
      <c r="C118">
        <f t="shared" si="4"/>
        <v>6.6965312637759184E-25</v>
      </c>
      <c r="D118">
        <v>1450</v>
      </c>
      <c r="E118">
        <v>1024</v>
      </c>
      <c r="F118">
        <f t="shared" si="5"/>
        <v>1.416015625</v>
      </c>
      <c r="I118" s="2">
        <f>('L-Values'!E118*'D(Ti_Jollands) Times'!$F118*0.000001)^2/(4*'D(Ti_Jollands) Times'!$C118)/(365.35*24*3600)</f>
        <v>95130.50358414033</v>
      </c>
      <c r="J118" s="2">
        <f>('L-Values'!F118*'D(Ti_Jollands) Times'!$F118*0.000001)^2/(4*'D(Ti_Jollands) Times'!$C118)/(365.35*24*3600)</f>
        <v>62812.37926085529</v>
      </c>
      <c r="K118" s="2">
        <f>('L-Values'!G118*'D(Ti_Jollands) Times'!$F118*0.000001)^2/(4*'D(Ti_Jollands) Times'!$C118)/(365.35*24*3600)</f>
        <v>62998.80070451169</v>
      </c>
      <c r="L118" s="2">
        <f>('L-Values'!H118*'D(Ti_Jollands) Times'!$F118*0.000001)^2/(4*'D(Ti_Jollands) Times'!$C118)/(365.35*24*3600)</f>
        <v>67890.708658121701</v>
      </c>
      <c r="M118" s="2">
        <f>('L-Values'!I118*'D(Ti_Jollands) Times'!$F118*0.000001)^2/(4*'D(Ti_Jollands) Times'!$C118)/(365.35*24*3600)</f>
        <v>37056.838036445712</v>
      </c>
      <c r="N118" s="2">
        <f>('L-Values'!J118*'D(Ti_Jollands) Times'!$F118*0.000001)^2/(4*'D(Ti_Jollands) Times'!$C118)/(365.35*24*3600)</f>
        <v>65788.367002298095</v>
      </c>
      <c r="O118" s="2">
        <f>('L-Values'!K118*'D(Ti_Jollands) Times'!$F118*0.000001)^2/(4*'D(Ti_Jollands) Times'!$C118)/(365.35*24*3600)</f>
        <v>69075.790403340361</v>
      </c>
      <c r="P118" s="2">
        <f>('L-Values'!L118*'D(Ti_Jollands) Times'!$F118*0.000001)^2/(4*'D(Ti_Jollands) Times'!$C118)/(365.35*24*3600)</f>
        <v>108532.11500288638</v>
      </c>
      <c r="Q118" s="2">
        <f>('L-Values'!M118*'D(Ti_Jollands) Times'!$F118*0.000001)^2/(4*'D(Ti_Jollands) Times'!$C118)/(365.35*24*3600)</f>
        <v>141709.37571357025</v>
      </c>
      <c r="R118" s="2">
        <f>('L-Values'!N118*'D(Ti_Jollands) Times'!$F118*0.000001)^2/(4*'D(Ti_Jollands) Times'!$C118)/(365.35*24*3600)</f>
        <v>139175.70020303817</v>
      </c>
      <c r="S118" s="2">
        <f>('L-Values'!O118*'D(Ti_Jollands) Times'!$F118*0.000001)^2/(4*'D(Ti_Jollands) Times'!$C118)/(365.35*24*3600)</f>
        <v>61994.563452932722</v>
      </c>
      <c r="T118" s="2"/>
      <c r="U118" s="2">
        <f>('L-Values'!Q118*'D(Ti_Jollands) Times'!$F118*0.000001)^2/(4*'D(Ti_Jollands) Times'!$C118)/(365.35*24*3600)</f>
        <v>81003.443467072706</v>
      </c>
      <c r="V118" s="2">
        <f>('L-Values'!R118*'D(Ti_Jollands) Times'!$F118*0.000001)^2/(4*'D(Ti_Jollands) Times'!$C118)/(365.35*24*3600)</f>
        <v>79953.317089900607</v>
      </c>
      <c r="W118" s="2">
        <f>('L-Values'!S118*'D(Ti_Jollands) Times'!$F118*0.000001)^2/(4*'D(Ti_Jollands) Times'!$C118)/(365.35*24*3600)</f>
        <v>67890.708658121701</v>
      </c>
      <c r="X118" s="2"/>
      <c r="Y118" s="2">
        <f>('L-Values'!U118*'D(Ti_Jollands) Times'!$F118*0.000001)^2/(4*'D(Ti_Jollands) Times'!$C118)/(365.35*24*3600)</f>
        <v>82691.49215613569</v>
      </c>
      <c r="Z118" s="2">
        <f>('L-Values'!V118*'D(Ti_Jollands) Times'!$F118*0.000001)^2/(4*'D(Ti_Jollands) Times'!$C118)/(365.35*24*3600)</f>
        <v>79612.915735018221</v>
      </c>
      <c r="AA118" s="2">
        <f>('L-Values'!W118*'D(Ti_Jollands) Times'!$F118*0.000001)^2/(4*'D(Ti_Jollands) Times'!$C118)/(365.35*24*3600)</f>
        <v>12061.250084437661</v>
      </c>
      <c r="AB118" s="2">
        <f>('L-Values'!X118*'D(Ti_Jollands) Times'!$F118*0.000001)^2/(4*'D(Ti_Jollands) Times'!$C118)/(365.35*24*3600)</f>
        <v>170701.7351108476</v>
      </c>
      <c r="AC118" s="2">
        <f t="shared" si="6"/>
        <v>67551.665650580559</v>
      </c>
      <c r="AD118" s="2">
        <f t="shared" si="7"/>
        <v>91088.819375829378</v>
      </c>
    </row>
    <row r="119" spans="1:30" x14ac:dyDescent="0.2">
      <c r="A119" t="str">
        <f>'L-Values'!A119</f>
        <v>CGI008-qtz06-CL-fit-1-offset</v>
      </c>
      <c r="B119">
        <v>750</v>
      </c>
      <c r="C119">
        <f t="shared" si="4"/>
        <v>6.6965312637759184E-25</v>
      </c>
      <c r="D119">
        <v>1900</v>
      </c>
      <c r="E119">
        <v>1024</v>
      </c>
      <c r="F119">
        <f t="shared" si="5"/>
        <v>1.85546875</v>
      </c>
      <c r="I119" s="2">
        <f>('L-Values'!E119*'D(Ti_Jollands) Times'!$F119*0.000001)^2/(4*'D(Ti_Jollands) Times'!$C119)/(365.35*24*3600)</f>
        <v>2096377.6730884193</v>
      </c>
      <c r="J119" s="2">
        <f>('L-Values'!F119*'D(Ti_Jollands) Times'!$F119*0.000001)^2/(4*'D(Ti_Jollands) Times'!$C119)/(365.35*24*3600)</f>
        <v>3773962.5011969381</v>
      </c>
      <c r="K119" s="2">
        <f>('L-Values'!G119*'D(Ti_Jollands) Times'!$F119*0.000001)^2/(4*'D(Ti_Jollands) Times'!$C119)/(365.35*24*3600)</f>
        <v>6128384.9785287259</v>
      </c>
      <c r="L119" s="2">
        <f>('L-Values'!H119*'D(Ti_Jollands) Times'!$F119*0.000001)^2/(4*'D(Ti_Jollands) Times'!$C119)/(365.35*24*3600)</f>
        <v>6279415.9237385541</v>
      </c>
      <c r="M119" s="2">
        <f>('L-Values'!I119*'D(Ti_Jollands) Times'!$F119*0.000001)^2/(4*'D(Ti_Jollands) Times'!$C119)/(365.35*24*3600)</f>
        <v>3997191.6989800329</v>
      </c>
      <c r="N119" s="2">
        <f>('L-Values'!J119*'D(Ti_Jollands) Times'!$F119*0.000001)^2/(4*'D(Ti_Jollands) Times'!$C119)/(365.35*24*3600)</f>
        <v>5322309.7061883276</v>
      </c>
      <c r="O119" s="2">
        <f>('L-Values'!K119*'D(Ti_Jollands) Times'!$F119*0.000001)^2/(4*'D(Ti_Jollands) Times'!$C119)/(365.35*24*3600)</f>
        <v>5966741.1745686466</v>
      </c>
      <c r="P119" s="2">
        <f>('L-Values'!L119*'D(Ti_Jollands) Times'!$F119*0.000001)^2/(4*'D(Ti_Jollands) Times'!$C119)/(365.35*24*3600)</f>
        <v>2482355.5536851445</v>
      </c>
      <c r="Q119" s="2">
        <f>('L-Values'!M119*'D(Ti_Jollands) Times'!$F119*0.000001)^2/(4*'D(Ti_Jollands) Times'!$C119)/(365.35*24*3600)</f>
        <v>5534414.0471641356</v>
      </c>
      <c r="R119" s="2">
        <f>('L-Values'!N119*'D(Ti_Jollands) Times'!$F119*0.000001)^2/(4*'D(Ti_Jollands) Times'!$C119)/(365.35*24*3600)</f>
        <v>4413057.4733633408</v>
      </c>
      <c r="S119" s="2">
        <f>('L-Values'!O119*'D(Ti_Jollands) Times'!$F119*0.000001)^2/(4*'D(Ti_Jollands) Times'!$C119)/(365.35*24*3600)</f>
        <v>1748730.130227763</v>
      </c>
      <c r="T119" s="2"/>
      <c r="U119" s="2">
        <f>('L-Values'!Q119*'D(Ti_Jollands) Times'!$F119*0.000001)^2/(4*'D(Ti_Jollands) Times'!$C119)/(365.35*24*3600)</f>
        <v>4241832.9961948963</v>
      </c>
      <c r="V119" s="2">
        <f>('L-Values'!R119*'D(Ti_Jollands) Times'!$F119*0.000001)^2/(4*'D(Ti_Jollands) Times'!$C119)/(365.35*24*3600)</f>
        <v>4173551.3295383574</v>
      </c>
      <c r="W119" s="2">
        <f>('L-Values'!S119*'D(Ti_Jollands) Times'!$F119*0.000001)^2/(4*'D(Ti_Jollands) Times'!$C119)/(365.35*24*3600)</f>
        <v>4413057.4733633408</v>
      </c>
      <c r="X119" s="2"/>
      <c r="Y119" s="2">
        <f>('L-Values'!U119*'D(Ti_Jollands) Times'!$F119*0.000001)^2/(4*'D(Ti_Jollands) Times'!$C119)/(365.35*24*3600)</f>
        <v>3907276.3856819249</v>
      </c>
      <c r="Z119" s="2">
        <f>('L-Values'!V119*'D(Ti_Jollands) Times'!$F119*0.000001)^2/(4*'D(Ti_Jollands) Times'!$C119)/(365.35*24*3600)</f>
        <v>4139576.2685616566</v>
      </c>
      <c r="AA119" s="2">
        <f>('L-Values'!W119*'D(Ti_Jollands) Times'!$F119*0.000001)^2/(4*'D(Ti_Jollands) Times'!$C119)/(365.35*24*3600)</f>
        <v>1659429.2126954473</v>
      </c>
      <c r="AB119" s="2">
        <f>('L-Values'!X119*'D(Ti_Jollands) Times'!$F119*0.000001)^2/(4*'D(Ti_Jollands) Times'!$C119)/(365.35*24*3600)</f>
        <v>9254635.843626393</v>
      </c>
      <c r="AC119" s="2">
        <f t="shared" si="6"/>
        <v>2480147.0558662093</v>
      </c>
      <c r="AD119" s="2">
        <f t="shared" si="7"/>
        <v>5115059.5750647364</v>
      </c>
    </row>
    <row r="120" spans="1:30" x14ac:dyDescent="0.2">
      <c r="A120" t="str">
        <f>'L-Values'!A120</f>
        <v>CGI008-qtz06-CL-fit-2-offset</v>
      </c>
      <c r="B120">
        <v>750</v>
      </c>
      <c r="C120">
        <f t="shared" si="4"/>
        <v>6.6965312637759184E-25</v>
      </c>
      <c r="D120">
        <v>1900</v>
      </c>
      <c r="E120">
        <v>1024</v>
      </c>
      <c r="F120">
        <f t="shared" si="5"/>
        <v>1.85546875</v>
      </c>
      <c r="I120" s="2">
        <f>('L-Values'!E120*'D(Ti_Jollands) Times'!$F120*0.000001)^2/(4*'D(Ti_Jollands) Times'!$C120)/(365.35*24*3600)</f>
        <v>2315334.4918930661</v>
      </c>
      <c r="J120" s="2">
        <f>('L-Values'!F120*'D(Ti_Jollands) Times'!$F120*0.000001)^2/(4*'D(Ti_Jollands) Times'!$C120)/(365.35*24*3600)</f>
        <v>1368328.6679874442</v>
      </c>
      <c r="K120" s="2">
        <f>('L-Values'!G120*'D(Ti_Jollands) Times'!$F120*0.000001)^2/(4*'D(Ti_Jollands) Times'!$C120)/(365.35*24*3600)</f>
        <v>1330911.3251834475</v>
      </c>
      <c r="L120" s="2">
        <f>('L-Values'!H120*'D(Ti_Jollands) Times'!$F120*0.000001)^2/(4*'D(Ti_Jollands) Times'!$C120)/(365.35*24*3600)</f>
        <v>1232351.1387815992</v>
      </c>
      <c r="M120" s="2">
        <f>('L-Values'!I120*'D(Ti_Jollands) Times'!$F120*0.000001)^2/(4*'D(Ti_Jollands) Times'!$C120)/(365.35*24*3600)</f>
        <v>2207977.4201925029</v>
      </c>
      <c r="N120" s="2">
        <f>('L-Values'!J120*'D(Ti_Jollands) Times'!$F120*0.000001)^2/(4*'D(Ti_Jollands) Times'!$C120)/(365.35*24*3600)</f>
        <v>1488214.7443679557</v>
      </c>
      <c r="O120" s="2">
        <f>('L-Values'!K120*'D(Ti_Jollands) Times'!$F120*0.000001)^2/(4*'D(Ti_Jollands) Times'!$C120)/(365.35*24*3600)</f>
        <v>1621644.1014137261</v>
      </c>
      <c r="P120" s="2">
        <f>('L-Values'!L120*'D(Ti_Jollands) Times'!$F120*0.000001)^2/(4*'D(Ti_Jollands) Times'!$C120)/(365.35*24*3600)</f>
        <v>1711040.4690041051</v>
      </c>
      <c r="Q120" s="2">
        <f>('L-Values'!M120*'D(Ti_Jollands) Times'!$F120*0.000001)^2/(4*'D(Ti_Jollands) Times'!$C120)/(365.35*24*3600)</f>
        <v>1188297.9461199718</v>
      </c>
      <c r="R120" s="2">
        <f>('L-Values'!N120*'D(Ti_Jollands) Times'!$F120*0.000001)^2/(4*'D(Ti_Jollands) Times'!$C120)/(365.35*24*3600)</f>
        <v>931839.62532580481</v>
      </c>
      <c r="S120" s="2">
        <f>('L-Values'!O120*'D(Ti_Jollands) Times'!$F120*0.000001)^2/(4*'D(Ti_Jollands) Times'!$C120)/(365.35*24*3600)</f>
        <v>1408196.796071464</v>
      </c>
      <c r="T120" s="2"/>
      <c r="U120" s="2">
        <f>('L-Values'!Q120*'D(Ti_Jollands) Times'!$F120*0.000001)^2/(4*'D(Ti_Jollands) Times'!$C120)/(365.35*24*3600)</f>
        <v>1485594.95574287</v>
      </c>
      <c r="V120" s="2">
        <f>('L-Values'!R120*'D(Ti_Jollands) Times'!$F120*0.000001)^2/(4*'D(Ti_Jollands) Times'!$C120)/(365.35*24*3600)</f>
        <v>1502760.0050031487</v>
      </c>
      <c r="W120" s="2">
        <f>('L-Values'!S120*'D(Ti_Jollands) Times'!$F120*0.000001)^2/(4*'D(Ti_Jollands) Times'!$C120)/(365.35*24*3600)</f>
        <v>1408196.796071464</v>
      </c>
      <c r="X120" s="2"/>
      <c r="Y120" s="2">
        <f>('L-Values'!U120*'D(Ti_Jollands) Times'!$F120*0.000001)^2/(4*'D(Ti_Jollands) Times'!$C120)/(365.35*24*3600)</f>
        <v>1443478.3570614203</v>
      </c>
      <c r="Z120" s="2">
        <f>('L-Values'!V120*'D(Ti_Jollands) Times'!$F120*0.000001)^2/(4*'D(Ti_Jollands) Times'!$C120)/(365.35*24*3600)</f>
        <v>1485753.7209207902</v>
      </c>
      <c r="AA120" s="2">
        <f>('L-Values'!W120*'D(Ti_Jollands) Times'!$F120*0.000001)^2/(4*'D(Ti_Jollands) Times'!$C120)/(365.35*24*3600)</f>
        <v>818918.6624055549</v>
      </c>
      <c r="AB120" s="2">
        <f>('L-Values'!X120*'D(Ti_Jollands) Times'!$F120*0.000001)^2/(4*'D(Ti_Jollands) Times'!$C120)/(365.35*24*3600)</f>
        <v>2387438.7222651071</v>
      </c>
      <c r="AC120" s="2">
        <f t="shared" si="6"/>
        <v>666835.05851523532</v>
      </c>
      <c r="AD120" s="2">
        <f t="shared" si="7"/>
        <v>901685.00134431687</v>
      </c>
    </row>
    <row r="121" spans="1:30" x14ac:dyDescent="0.2">
      <c r="A121" t="str">
        <f>'L-Values'!A121</f>
        <v>CGI008-qtz06-CL-fit-3-offset</v>
      </c>
      <c r="B121">
        <v>750</v>
      </c>
      <c r="C121">
        <f t="shared" si="4"/>
        <v>6.6965312637759184E-25</v>
      </c>
      <c r="D121">
        <v>1900</v>
      </c>
      <c r="E121">
        <v>1024</v>
      </c>
      <c r="F121">
        <f t="shared" si="5"/>
        <v>1.85546875</v>
      </c>
      <c r="I121" s="2">
        <f>('L-Values'!E121*'D(Ti_Jollands) Times'!$F121*0.000001)^2/(4*'D(Ti_Jollands) Times'!$C121)/(365.35*24*3600)</f>
        <v>4234674.3542314535</v>
      </c>
      <c r="J121" s="2">
        <f>('L-Values'!F121*'D(Ti_Jollands) Times'!$F121*0.000001)^2/(4*'D(Ti_Jollands) Times'!$C121)/(365.35*24*3600)</f>
        <v>1082713.9041243247</v>
      </c>
      <c r="K121" s="2">
        <f>('L-Values'!G121*'D(Ti_Jollands) Times'!$F121*0.000001)^2/(4*'D(Ti_Jollands) Times'!$C121)/(365.35*24*3600)</f>
        <v>1585451.0661657313</v>
      </c>
      <c r="L121" s="2">
        <f>('L-Values'!H121*'D(Ti_Jollands) Times'!$F121*0.000001)^2/(4*'D(Ti_Jollands) Times'!$C121)/(365.35*24*3600)</f>
        <v>1851785.3470693983</v>
      </c>
      <c r="M121" s="2">
        <f>('L-Values'!I121*'D(Ti_Jollands) Times'!$F121*0.000001)^2/(4*'D(Ti_Jollands) Times'!$C121)/(365.35*24*3600)</f>
        <v>157425.47565626257</v>
      </c>
      <c r="N121" s="2">
        <f>('L-Values'!J121*'D(Ti_Jollands) Times'!$F121*0.000001)^2/(4*'D(Ti_Jollands) Times'!$C121)/(365.35*24*3600)</f>
        <v>1681299.5100089819</v>
      </c>
      <c r="O121" s="2">
        <f>('L-Values'!K121*'D(Ti_Jollands) Times'!$F121*0.000001)^2/(4*'D(Ti_Jollands) Times'!$C121)/(365.35*24*3600)</f>
        <v>1583492.2184902884</v>
      </c>
      <c r="P121" s="2">
        <f>('L-Values'!L121*'D(Ti_Jollands) Times'!$F121*0.000001)^2/(4*'D(Ti_Jollands) Times'!$C121)/(365.35*24*3600)</f>
        <v>1312774.7833340366</v>
      </c>
      <c r="Q121" s="2">
        <f>('L-Values'!M121*'D(Ti_Jollands) Times'!$F121*0.000001)^2/(4*'D(Ti_Jollands) Times'!$C121)/(365.35*24*3600)</f>
        <v>3452270.1418339489</v>
      </c>
      <c r="R121" s="2">
        <f>('L-Values'!N121*'D(Ti_Jollands) Times'!$F121*0.000001)^2/(4*'D(Ti_Jollands) Times'!$C121)/(365.35*24*3600)</f>
        <v>1794232.706050853</v>
      </c>
      <c r="S121" s="2">
        <f>('L-Values'!O121*'D(Ti_Jollands) Times'!$F121*0.000001)^2/(4*'D(Ti_Jollands) Times'!$C121)/(365.35*24*3600)</f>
        <v>756698.72037336626</v>
      </c>
      <c r="T121" s="2"/>
      <c r="U121" s="2">
        <f>('L-Values'!Q121*'D(Ti_Jollands) Times'!$F121*0.000001)^2/(4*'D(Ti_Jollands) Times'!$C121)/(365.35*24*3600)</f>
        <v>1729427.8640371698</v>
      </c>
      <c r="V121" s="2">
        <f>('L-Values'!R121*'D(Ti_Jollands) Times'!$F121*0.000001)^2/(4*'D(Ti_Jollands) Times'!$C121)/(365.35*24*3600)</f>
        <v>1592935.7503940696</v>
      </c>
      <c r="W121" s="2">
        <f>('L-Values'!S121*'D(Ti_Jollands) Times'!$F121*0.000001)^2/(4*'D(Ti_Jollands) Times'!$C121)/(365.35*24*3600)</f>
        <v>1585451.0661657313</v>
      </c>
      <c r="X121" s="2"/>
      <c r="Y121" s="2">
        <f>('L-Values'!U121*'D(Ti_Jollands) Times'!$F121*0.000001)^2/(4*'D(Ti_Jollands) Times'!$C121)/(365.35*24*3600)</f>
        <v>1678610.6728616194</v>
      </c>
      <c r="Z121" s="2">
        <f>('L-Values'!V121*'D(Ti_Jollands) Times'!$F121*0.000001)^2/(4*'D(Ti_Jollands) Times'!$C121)/(365.35*24*3600)</f>
        <v>2333307.4283058532</v>
      </c>
      <c r="AA121" s="2">
        <f>('L-Values'!W121*'D(Ti_Jollands) Times'!$F121*0.000001)^2/(4*'D(Ti_Jollands) Times'!$C121)/(365.35*24*3600)</f>
        <v>184819.17054433352</v>
      </c>
      <c r="AB121" s="2">
        <f>('L-Values'!X121*'D(Ti_Jollands) Times'!$F121*0.000001)^2/(4*'D(Ti_Jollands) Times'!$C121)/(365.35*24*3600)</f>
        <v>11920794.022041032</v>
      </c>
      <c r="AC121" s="2">
        <f t="shared" si="6"/>
        <v>2148488.2577615194</v>
      </c>
      <c r="AD121" s="2">
        <f t="shared" si="7"/>
        <v>9587486.5937351789</v>
      </c>
    </row>
    <row r="122" spans="1:30" x14ac:dyDescent="0.2">
      <c r="A122" t="str">
        <f>'L-Values'!A122</f>
        <v>CGI008-qtz06-CL-fit-4-offset</v>
      </c>
      <c r="B122">
        <v>750</v>
      </c>
      <c r="C122">
        <f t="shared" si="4"/>
        <v>6.6965312637759184E-25</v>
      </c>
      <c r="D122">
        <v>1900</v>
      </c>
      <c r="E122">
        <v>1024</v>
      </c>
      <c r="F122">
        <f t="shared" si="5"/>
        <v>1.85546875</v>
      </c>
      <c r="I122" s="2">
        <f>('L-Values'!E122*'D(Ti_Jollands) Times'!$F122*0.000001)^2/(4*'D(Ti_Jollands) Times'!$C122)/(365.35*24*3600)</f>
        <v>3802.5650233726101</v>
      </c>
      <c r="J122" s="2">
        <f>('L-Values'!F122*'D(Ti_Jollands) Times'!$F122*0.000001)^2/(4*'D(Ti_Jollands) Times'!$C122)/(365.35*24*3600)</f>
        <v>3034.1242274474776</v>
      </c>
      <c r="K122" s="2">
        <f>('L-Values'!G122*'D(Ti_Jollands) Times'!$F122*0.000001)^2/(4*'D(Ti_Jollands) Times'!$C122)/(365.35*24*3600)</f>
        <v>510818.96510697174</v>
      </c>
      <c r="L122" s="2">
        <f>('L-Values'!H122*'D(Ti_Jollands) Times'!$F122*0.000001)^2/(4*'D(Ti_Jollands) Times'!$C122)/(365.35*24*3600)</f>
        <v>292670.656904709</v>
      </c>
      <c r="M122" s="2">
        <f>('L-Values'!I122*'D(Ti_Jollands) Times'!$F122*0.000001)^2/(4*'D(Ti_Jollands) Times'!$C122)/(365.35*24*3600)</f>
        <v>133293.89694401011</v>
      </c>
      <c r="N122" s="2">
        <f>('L-Values'!J122*'D(Ti_Jollands) Times'!$F122*0.000001)^2/(4*'D(Ti_Jollands) Times'!$C122)/(365.35*24*3600)</f>
        <v>962488.67598004336</v>
      </c>
      <c r="O122" s="2">
        <f>('L-Values'!K122*'D(Ti_Jollands) Times'!$F122*0.000001)^2/(4*'D(Ti_Jollands) Times'!$C122)/(365.35*24*3600)</f>
        <v>23255.119203880011</v>
      </c>
      <c r="P122" s="2">
        <f>('L-Values'!L122*'D(Ti_Jollands) Times'!$F122*0.000001)^2/(4*'D(Ti_Jollands) Times'!$C122)/(365.35*24*3600)</f>
        <v>542808.12289363169</v>
      </c>
      <c r="Q122" s="2">
        <f>('L-Values'!M122*'D(Ti_Jollands) Times'!$F122*0.000001)^2/(4*'D(Ti_Jollands) Times'!$C122)/(365.35*24*3600)</f>
        <v>365652.93876685732</v>
      </c>
      <c r="R122" s="2">
        <f>('L-Values'!N122*'D(Ti_Jollands) Times'!$F122*0.000001)^2/(4*'D(Ti_Jollands) Times'!$C122)/(365.35*24*3600)</f>
        <v>1430428.735509292</v>
      </c>
      <c r="S122" s="2">
        <f>('L-Values'!O122*'D(Ti_Jollands) Times'!$F122*0.000001)^2/(4*'D(Ti_Jollands) Times'!$C122)/(365.35*24*3600)</f>
        <v>1569134.9880487339</v>
      </c>
      <c r="T122" s="2"/>
      <c r="U122" s="2">
        <f>('L-Values'!Q122*'D(Ti_Jollands) Times'!$F122*0.000001)^2/(4*'D(Ti_Jollands) Times'!$C122)/(365.35*24*3600)</f>
        <v>421646.41089428688</v>
      </c>
      <c r="V122" s="2">
        <f>('L-Values'!R122*'D(Ti_Jollands) Times'!$F122*0.000001)^2/(4*'D(Ti_Jollands) Times'!$C122)/(365.35*24*3600)</f>
        <v>366708.86730413209</v>
      </c>
      <c r="W122" s="2">
        <f>('L-Values'!S122*'D(Ti_Jollands) Times'!$F122*0.000001)^2/(4*'D(Ti_Jollands) Times'!$C122)/(365.35*24*3600)</f>
        <v>365652.93876685732</v>
      </c>
      <c r="X122" s="2"/>
      <c r="Y122" s="2">
        <f>('L-Values'!U122*'D(Ti_Jollands) Times'!$F122*0.000001)^2/(4*'D(Ti_Jollands) Times'!$C122)/(365.35*24*3600)</f>
        <v>380750.821851574</v>
      </c>
      <c r="Z122" s="2">
        <f>('L-Values'!V122*'D(Ti_Jollands) Times'!$F122*0.000001)^2/(4*'D(Ti_Jollands) Times'!$C122)/(365.35*24*3600)</f>
        <v>383305.42248856515</v>
      </c>
      <c r="AA122" s="2">
        <f>('L-Values'!W122*'D(Ti_Jollands) Times'!$F122*0.000001)^2/(4*'D(Ti_Jollands) Times'!$C122)/(365.35*24*3600)</f>
        <v>265.37106442425846</v>
      </c>
      <c r="AB122" s="2">
        <f>('L-Values'!X122*'D(Ti_Jollands) Times'!$F122*0.000001)^2/(4*'D(Ti_Jollands) Times'!$C122)/(365.35*24*3600)</f>
        <v>2360620.4437766727</v>
      </c>
      <c r="AC122" s="2">
        <f t="shared" si="6"/>
        <v>383040.05142414087</v>
      </c>
      <c r="AD122" s="2">
        <f t="shared" si="7"/>
        <v>1977315.0212881076</v>
      </c>
    </row>
    <row r="123" spans="1:30" x14ac:dyDescent="0.2">
      <c r="A123" t="str">
        <f>'L-Values'!A123</f>
        <v>CGI008-qtz07-CL-fit-1-offset</v>
      </c>
      <c r="B123">
        <v>750</v>
      </c>
      <c r="C123">
        <f t="shared" si="4"/>
        <v>6.6965312637759184E-25</v>
      </c>
      <c r="D123">
        <v>1900</v>
      </c>
      <c r="E123">
        <v>1024</v>
      </c>
      <c r="F123">
        <f t="shared" si="5"/>
        <v>1.85546875</v>
      </c>
      <c r="I123" s="2">
        <f>('L-Values'!E123*'D(Ti_Jollands) Times'!$F123*0.000001)^2/(4*'D(Ti_Jollands) Times'!$C123)/(365.35*24*3600)</f>
        <v>1098547.2630696704</v>
      </c>
      <c r="J123" s="2">
        <f>('L-Values'!F123*'D(Ti_Jollands) Times'!$F123*0.000001)^2/(4*'D(Ti_Jollands) Times'!$C123)/(365.35*24*3600)</f>
        <v>1269390.5504780977</v>
      </c>
      <c r="K123" s="2">
        <f>('L-Values'!G123*'D(Ti_Jollands) Times'!$F123*0.000001)^2/(4*'D(Ti_Jollands) Times'!$C123)/(365.35*24*3600)</f>
        <v>194549.64495866038</v>
      </c>
      <c r="L123" s="2">
        <f>('L-Values'!H123*'D(Ti_Jollands) Times'!$F123*0.000001)^2/(4*'D(Ti_Jollands) Times'!$C123)/(365.35*24*3600)</f>
        <v>521002.41198091203</v>
      </c>
      <c r="M123" s="2">
        <f>('L-Values'!I123*'D(Ti_Jollands) Times'!$F123*0.000001)^2/(4*'D(Ti_Jollands) Times'!$C123)/(365.35*24*3600)</f>
        <v>878391.67683383985</v>
      </c>
      <c r="N123" s="2">
        <f>('L-Values'!J123*'D(Ti_Jollands) Times'!$F123*0.000001)^2/(4*'D(Ti_Jollands) Times'!$C123)/(365.35*24*3600)</f>
        <v>1275817.334226897</v>
      </c>
      <c r="O123" s="2">
        <f>('L-Values'!K123*'D(Ti_Jollands) Times'!$F123*0.000001)^2/(4*'D(Ti_Jollands) Times'!$C123)/(365.35*24*3600)</f>
        <v>570522.9367837857</v>
      </c>
      <c r="P123" s="2">
        <f>('L-Values'!L123*'D(Ti_Jollands) Times'!$F123*0.000001)^2/(4*'D(Ti_Jollands) Times'!$C123)/(365.35*24*3600)</f>
        <v>175491.74416348169</v>
      </c>
      <c r="Q123" s="2">
        <f>('L-Values'!M123*'D(Ti_Jollands) Times'!$F123*0.000001)^2/(4*'D(Ti_Jollands) Times'!$C123)/(365.35*24*3600)</f>
        <v>999166.64873995632</v>
      </c>
      <c r="R123" s="2">
        <f>('L-Values'!N123*'D(Ti_Jollands) Times'!$F123*0.000001)^2/(4*'D(Ti_Jollands) Times'!$C123)/(365.35*24*3600)</f>
        <v>631382.53854030161</v>
      </c>
      <c r="S123" s="2">
        <f>('L-Values'!O123*'D(Ti_Jollands) Times'!$F123*0.000001)^2/(4*'D(Ti_Jollands) Times'!$C123)/(365.35*24*3600)</f>
        <v>1269838.6004574348</v>
      </c>
      <c r="T123" s="2"/>
      <c r="U123" s="2">
        <f>('L-Values'!Q123*'D(Ti_Jollands) Times'!$F123*0.000001)^2/(4*'D(Ti_Jollands) Times'!$C123)/(365.35*24*3600)</f>
        <v>853310.16638957174</v>
      </c>
      <c r="V123" s="2">
        <f>('L-Values'!R123*'D(Ti_Jollands) Times'!$F123*0.000001)^2/(4*'D(Ti_Jollands) Times'!$C123)/(365.35*24*3600)</f>
        <v>745822.9864363505</v>
      </c>
      <c r="W123" s="2">
        <f>('L-Values'!S123*'D(Ti_Jollands) Times'!$F123*0.000001)^2/(4*'D(Ti_Jollands) Times'!$C123)/(365.35*24*3600)</f>
        <v>878391.67683383985</v>
      </c>
      <c r="X123" s="2"/>
      <c r="Y123" s="2">
        <f>('L-Values'!U123*'D(Ti_Jollands) Times'!$F123*0.000001)^2/(4*'D(Ti_Jollands) Times'!$C123)/(365.35*24*3600)</f>
        <v>785940.88895006583</v>
      </c>
      <c r="Z123" s="2">
        <f>('L-Values'!V123*'D(Ti_Jollands) Times'!$F123*0.000001)^2/(4*'D(Ti_Jollands) Times'!$C123)/(365.35*24*3600)</f>
        <v>676905.52633670042</v>
      </c>
      <c r="AA123" s="2">
        <f>('L-Values'!W123*'D(Ti_Jollands) Times'!$F123*0.000001)^2/(4*'D(Ti_Jollands) Times'!$C123)/(365.35*24*3600)</f>
        <v>600.08719512286484</v>
      </c>
      <c r="AB123" s="2">
        <f>('L-Values'!X123*'D(Ti_Jollands) Times'!$F123*0.000001)^2/(4*'D(Ti_Jollands) Times'!$C123)/(365.35*24*3600)</f>
        <v>2468270.0861536423</v>
      </c>
      <c r="AC123" s="2">
        <f t="shared" si="6"/>
        <v>676305.43914157758</v>
      </c>
      <c r="AD123" s="2">
        <f t="shared" si="7"/>
        <v>1791364.5598169419</v>
      </c>
    </row>
    <row r="124" spans="1:30" x14ac:dyDescent="0.2">
      <c r="A124" t="str">
        <f>'L-Values'!A124</f>
        <v>CGI008-qtz07-CL-fit-2-offset</v>
      </c>
      <c r="B124">
        <v>750</v>
      </c>
      <c r="C124">
        <f t="shared" si="4"/>
        <v>6.6965312637759184E-25</v>
      </c>
      <c r="D124">
        <v>1900</v>
      </c>
      <c r="E124">
        <v>1024</v>
      </c>
      <c r="F124">
        <f t="shared" si="5"/>
        <v>1.85546875</v>
      </c>
      <c r="I124" s="2">
        <f>('L-Values'!E124*'D(Ti_Jollands) Times'!$F124*0.000001)^2/(4*'D(Ti_Jollands) Times'!$C124)/(365.35*24*3600)</f>
        <v>499491.21847445326</v>
      </c>
      <c r="J124" s="2">
        <f>('L-Values'!F124*'D(Ti_Jollands) Times'!$F124*0.000001)^2/(4*'D(Ti_Jollands) Times'!$C124)/(365.35*24*3600)</f>
        <v>104644.29773594489</v>
      </c>
      <c r="K124" s="2">
        <f>('L-Values'!G124*'D(Ti_Jollands) Times'!$F124*0.000001)^2/(4*'D(Ti_Jollands) Times'!$C124)/(365.35*24*3600)</f>
        <v>56181.555321639367</v>
      </c>
      <c r="L124" s="2">
        <f>('L-Values'!H124*'D(Ti_Jollands) Times'!$F124*0.000001)^2/(4*'D(Ti_Jollands) Times'!$C124)/(365.35*24*3600)</f>
        <v>1320465.189673784</v>
      </c>
      <c r="M124" s="2">
        <f>('L-Values'!I124*'D(Ti_Jollands) Times'!$F124*0.000001)^2/(4*'D(Ti_Jollands) Times'!$C124)/(365.35*24*3600)</f>
        <v>699553.67097187752</v>
      </c>
      <c r="N124" s="2">
        <f>('L-Values'!J124*'D(Ti_Jollands) Times'!$F124*0.000001)^2/(4*'D(Ti_Jollands) Times'!$C124)/(365.35*24*3600)</f>
        <v>211239.05405748502</v>
      </c>
      <c r="O124" s="2">
        <f>('L-Values'!K124*'D(Ti_Jollands) Times'!$F124*0.000001)^2/(4*'D(Ti_Jollands) Times'!$C124)/(365.35*24*3600)</f>
        <v>152623.77953578642</v>
      </c>
      <c r="P124" s="2">
        <f>('L-Values'!L124*'D(Ti_Jollands) Times'!$F124*0.000001)^2/(4*'D(Ti_Jollands) Times'!$C124)/(365.35*24*3600)</f>
        <v>45932.874262508158</v>
      </c>
      <c r="Q124" s="2">
        <f>('L-Values'!M124*'D(Ti_Jollands) Times'!$F124*0.000001)^2/(4*'D(Ti_Jollands) Times'!$C124)/(365.35*24*3600)</f>
        <v>19871.497236755928</v>
      </c>
      <c r="R124" s="2">
        <f>('L-Values'!N124*'D(Ti_Jollands) Times'!$F124*0.000001)^2/(4*'D(Ti_Jollands) Times'!$C124)/(365.35*24*3600)</f>
        <v>422201.44524134079</v>
      </c>
      <c r="S124" s="2">
        <f>('L-Values'!O124*'D(Ti_Jollands) Times'!$F124*0.000001)^2/(4*'D(Ti_Jollands) Times'!$C124)/(365.35*24*3600)</f>
        <v>537702.03410042427</v>
      </c>
      <c r="T124" s="2"/>
      <c r="U124" s="2">
        <f>('L-Values'!Q124*'D(Ti_Jollands) Times'!$F124*0.000001)^2/(4*'D(Ti_Jollands) Times'!$C124)/(365.35*24*3600)</f>
        <v>391681.40989182593</v>
      </c>
      <c r="V124" s="2">
        <f>('L-Values'!R124*'D(Ti_Jollands) Times'!$F124*0.000001)^2/(4*'D(Ti_Jollands) Times'!$C124)/(365.35*24*3600)</f>
        <v>281998.23081577744</v>
      </c>
      <c r="W124" s="2">
        <f>('L-Values'!S124*'D(Ti_Jollands) Times'!$F124*0.000001)^2/(4*'D(Ti_Jollands) Times'!$C124)/(365.35*24*3600)</f>
        <v>211239.05405748502</v>
      </c>
      <c r="X124" s="2"/>
      <c r="Y124" s="2">
        <f>('L-Values'!U124*'D(Ti_Jollands) Times'!$F124*0.000001)^2/(4*'D(Ti_Jollands) Times'!$C124)/(365.35*24*3600)</f>
        <v>346831.96935346292</v>
      </c>
      <c r="Z124" s="2">
        <f>('L-Values'!V124*'D(Ti_Jollands) Times'!$F124*0.000001)^2/(4*'D(Ti_Jollands) Times'!$C124)/(365.35*24*3600)</f>
        <v>304144.90673701244</v>
      </c>
      <c r="AA124" s="2">
        <f>('L-Values'!W124*'D(Ti_Jollands) Times'!$F124*0.000001)^2/(4*'D(Ti_Jollands) Times'!$C124)/(365.35*24*3600)</f>
        <v>179.36717215567504</v>
      </c>
      <c r="AB124" s="2">
        <f>('L-Values'!X124*'D(Ti_Jollands) Times'!$F124*0.000001)^2/(4*'D(Ti_Jollands) Times'!$C124)/(365.35*24*3600)</f>
        <v>1381649.5390761623</v>
      </c>
      <c r="AC124" s="2">
        <f t="shared" si="6"/>
        <v>303965.53956485674</v>
      </c>
      <c r="AD124" s="2">
        <f t="shared" si="7"/>
        <v>1077504.6323391497</v>
      </c>
    </row>
    <row r="125" spans="1:30" x14ac:dyDescent="0.2">
      <c r="A125" t="str">
        <f>'L-Values'!A125</f>
        <v>CGI008-qtz07-CL-fit-3-offset</v>
      </c>
      <c r="B125">
        <v>750</v>
      </c>
      <c r="C125">
        <f t="shared" si="4"/>
        <v>6.6965312637759184E-25</v>
      </c>
      <c r="D125">
        <v>1900</v>
      </c>
      <c r="E125">
        <v>1024</v>
      </c>
      <c r="F125">
        <f t="shared" si="5"/>
        <v>1.85546875</v>
      </c>
      <c r="I125" s="2">
        <f>('L-Values'!E125*'D(Ti_Jollands) Times'!$F125*0.000001)^2/(4*'D(Ti_Jollands) Times'!$C125)/(365.35*24*3600)</f>
        <v>2641189.1323413383</v>
      </c>
      <c r="J125" s="2">
        <f>('L-Values'!F125*'D(Ti_Jollands) Times'!$F125*0.000001)^2/(4*'D(Ti_Jollands) Times'!$C125)/(365.35*24*3600)</f>
        <v>1922518.9962898984</v>
      </c>
      <c r="K125" s="2">
        <f>('L-Values'!G125*'D(Ti_Jollands) Times'!$F125*0.000001)^2/(4*'D(Ti_Jollands) Times'!$C125)/(365.35*24*3600)</f>
        <v>7028843.9596983045</v>
      </c>
      <c r="L125" s="2">
        <f>('L-Values'!H125*'D(Ti_Jollands) Times'!$F125*0.000001)^2/(4*'D(Ti_Jollands) Times'!$C125)/(365.35*24*3600)</f>
        <v>4920272.6000530999</v>
      </c>
      <c r="M125" s="2">
        <f>('L-Values'!I125*'D(Ti_Jollands) Times'!$F125*0.000001)^2/(4*'D(Ti_Jollands) Times'!$C125)/(365.35*24*3600)</f>
        <v>3467711.4115250963</v>
      </c>
      <c r="N125" s="2">
        <f>('L-Values'!J125*'D(Ti_Jollands) Times'!$F125*0.000001)^2/(4*'D(Ti_Jollands) Times'!$C125)/(365.35*24*3600)</f>
        <v>1611737.8278898832</v>
      </c>
      <c r="O125" s="2">
        <f>('L-Values'!K125*'D(Ti_Jollands) Times'!$F125*0.000001)^2/(4*'D(Ti_Jollands) Times'!$C125)/(365.35*24*3600)</f>
        <v>4005566.7899274197</v>
      </c>
      <c r="P125" s="2">
        <f>('L-Values'!L125*'D(Ti_Jollands) Times'!$F125*0.000001)^2/(4*'D(Ti_Jollands) Times'!$C125)/(365.35*24*3600)</f>
        <v>5592564.6391436877</v>
      </c>
      <c r="Q125" s="2">
        <f>('L-Values'!M125*'D(Ti_Jollands) Times'!$F125*0.000001)^2/(4*'D(Ti_Jollands) Times'!$C125)/(365.35*24*3600)</f>
        <v>928187.14999341127</v>
      </c>
      <c r="R125" s="2">
        <f>('L-Values'!N125*'D(Ti_Jollands) Times'!$F125*0.000001)^2/(4*'D(Ti_Jollands) Times'!$C125)/(365.35*24*3600)</f>
        <v>4460112.3334222818</v>
      </c>
      <c r="S125" s="2">
        <f>('L-Values'!O125*'D(Ti_Jollands) Times'!$F125*0.000001)^2/(4*'D(Ti_Jollands) Times'!$C125)/(365.35*24*3600)</f>
        <v>2179954.9665024844</v>
      </c>
      <c r="T125" s="2"/>
      <c r="U125" s="2">
        <f>('L-Values'!Q125*'D(Ti_Jollands) Times'!$F125*0.000001)^2/(4*'D(Ti_Jollands) Times'!$C125)/(365.35*24*3600)</f>
        <v>3042083.3928362103</v>
      </c>
      <c r="V125" s="2">
        <f>('L-Values'!R125*'D(Ti_Jollands) Times'!$F125*0.000001)^2/(4*'D(Ti_Jollands) Times'!$C125)/(365.35*24*3600)</f>
        <v>3282965.4911277401</v>
      </c>
      <c r="W125" s="2">
        <f>('L-Values'!S125*'D(Ti_Jollands) Times'!$F125*0.000001)^2/(4*'D(Ti_Jollands) Times'!$C125)/(365.35*24*3600)</f>
        <v>3467711.4115250963</v>
      </c>
      <c r="X125" s="2"/>
      <c r="Y125" s="2">
        <f>('L-Values'!U125*'D(Ti_Jollands) Times'!$F125*0.000001)^2/(4*'D(Ti_Jollands) Times'!$C125)/(365.35*24*3600)</f>
        <v>2709750.7193539101</v>
      </c>
      <c r="Z125" s="2">
        <f>('L-Values'!V125*'D(Ti_Jollands) Times'!$F125*0.000001)^2/(4*'D(Ti_Jollands) Times'!$C125)/(365.35*24*3600)</f>
        <v>3133261.5011487002</v>
      </c>
      <c r="AA125" s="2">
        <f>('L-Values'!W125*'D(Ti_Jollands) Times'!$F125*0.000001)^2/(4*'D(Ti_Jollands) Times'!$C125)/(365.35*24*3600)</f>
        <v>222928.67566754817</v>
      </c>
      <c r="AB125" s="2">
        <f>('L-Values'!X125*'D(Ti_Jollands) Times'!$F125*0.000001)^2/(4*'D(Ti_Jollands) Times'!$C125)/(365.35*24*3600)</f>
        <v>13402105.733380597</v>
      </c>
      <c r="AC125" s="2">
        <f t="shared" si="6"/>
        <v>2910332.8254811522</v>
      </c>
      <c r="AD125" s="2">
        <f t="shared" si="7"/>
        <v>10268844.232231896</v>
      </c>
    </row>
    <row r="126" spans="1:30" x14ac:dyDescent="0.2">
      <c r="A126" t="str">
        <f>'L-Values'!A126</f>
        <v>CGI008-qtz07-CL-fit-4-offset</v>
      </c>
      <c r="B126">
        <v>750</v>
      </c>
      <c r="C126">
        <f t="shared" si="4"/>
        <v>6.6965312637759184E-25</v>
      </c>
      <c r="D126">
        <v>1900</v>
      </c>
      <c r="E126">
        <v>1024</v>
      </c>
      <c r="F126">
        <f t="shared" si="5"/>
        <v>1.85546875</v>
      </c>
      <c r="I126" s="2">
        <f>('L-Values'!E126*'D(Ti_Jollands) Times'!$F126*0.000001)^2/(4*'D(Ti_Jollands) Times'!$C126)/(365.35*24*3600)</f>
        <v>1833282.9276973743</v>
      </c>
      <c r="J126" s="2">
        <f>('L-Values'!F126*'D(Ti_Jollands) Times'!$F126*0.000001)^2/(4*'D(Ti_Jollands) Times'!$C126)/(365.35*24*3600)</f>
        <v>4436381.0934816441</v>
      </c>
      <c r="K126" s="2">
        <f>('L-Values'!G126*'D(Ti_Jollands) Times'!$F126*0.000001)^2/(4*'D(Ti_Jollands) Times'!$C126)/(365.35*24*3600)</f>
        <v>1365104.2566740401</v>
      </c>
      <c r="L126" s="2">
        <f>('L-Values'!H126*'D(Ti_Jollands) Times'!$F126*0.000001)^2/(4*'D(Ti_Jollands) Times'!$C126)/(365.35*24*3600)</f>
        <v>1086455.4673282157</v>
      </c>
      <c r="M126" s="2">
        <f>('L-Values'!I126*'D(Ti_Jollands) Times'!$F126*0.000001)^2/(4*'D(Ti_Jollands) Times'!$C126)/(365.35*24*3600)</f>
        <v>1438045.5676899713</v>
      </c>
      <c r="N126" s="2">
        <f>('L-Values'!J126*'D(Ti_Jollands) Times'!$F126*0.000001)^2/(4*'D(Ti_Jollands) Times'!$C126)/(365.35*24*3600)</f>
        <v>0.1031952453573101</v>
      </c>
      <c r="O126" s="2">
        <f>('L-Values'!K126*'D(Ti_Jollands) Times'!$F126*0.000001)^2/(4*'D(Ti_Jollands) Times'!$C126)/(365.35*24*3600)</f>
        <v>3175513.5451987763</v>
      </c>
      <c r="P126" s="2">
        <f>('L-Values'!L126*'D(Ti_Jollands) Times'!$F126*0.000001)^2/(4*'D(Ti_Jollands) Times'!$C126)/(365.35*24*3600)</f>
        <v>841608.13512804988</v>
      </c>
      <c r="Q126" s="2">
        <f>('L-Values'!M126*'D(Ti_Jollands) Times'!$F126*0.000001)^2/(4*'D(Ti_Jollands) Times'!$C126)/(365.35*24*3600)</f>
        <v>2410.6468418990389</v>
      </c>
      <c r="R126" s="2">
        <f>('L-Values'!N126*'D(Ti_Jollands) Times'!$F126*0.000001)^2/(4*'D(Ti_Jollands) Times'!$C126)/(365.35*24*3600)</f>
        <v>2242687.2073115497</v>
      </c>
      <c r="S126" s="2">
        <f>('L-Values'!O126*'D(Ti_Jollands) Times'!$F126*0.000001)^2/(4*'D(Ti_Jollands) Times'!$C126)/(365.35*24*3600)</f>
        <v>3674087.4041777798</v>
      </c>
      <c r="T126" s="2"/>
      <c r="U126" s="2">
        <f>('L-Values'!Q126*'D(Ti_Jollands) Times'!$F126*0.000001)^2/(4*'D(Ti_Jollands) Times'!$C126)/(365.35*24*3600)</f>
        <v>1865099.1668472611</v>
      </c>
      <c r="V126" s="2">
        <f>('L-Values'!R126*'D(Ti_Jollands) Times'!$F126*0.000001)^2/(4*'D(Ti_Jollands) Times'!$C126)/(365.35*24*3600)</f>
        <v>1403861.6644864441</v>
      </c>
      <c r="W126" s="2">
        <f>('L-Values'!S126*'D(Ti_Jollands) Times'!$F126*0.000001)^2/(4*'D(Ti_Jollands) Times'!$C126)/(365.35*24*3600)</f>
        <v>1438045.5676899713</v>
      </c>
      <c r="X126" s="2"/>
      <c r="Y126" s="2">
        <f>('L-Values'!U126*'D(Ti_Jollands) Times'!$F126*0.000001)^2/(4*'D(Ti_Jollands) Times'!$C126)/(365.35*24*3600)</f>
        <v>1708739.229190791</v>
      </c>
      <c r="Z126" s="2">
        <f>('L-Values'!V126*'D(Ti_Jollands) Times'!$F126*0.000001)^2/(4*'D(Ti_Jollands) Times'!$C126)/(365.35*24*3600)</f>
        <v>1926614.5445383051</v>
      </c>
      <c r="AA126" s="2">
        <f>('L-Values'!W126*'D(Ti_Jollands) Times'!$F126*0.000001)^2/(4*'D(Ti_Jollands) Times'!$C126)/(365.35*24*3600)</f>
        <v>15890.578094534723</v>
      </c>
      <c r="AB126" s="2">
        <f>('L-Values'!X126*'D(Ti_Jollands) Times'!$F126*0.000001)^2/(4*'D(Ti_Jollands) Times'!$C126)/(365.35*24*3600)</f>
        <v>13792606.374681488</v>
      </c>
      <c r="AC126" s="2">
        <f t="shared" si="6"/>
        <v>1910723.9664437703</v>
      </c>
      <c r="AD126" s="2">
        <f t="shared" si="7"/>
        <v>11865991.830143183</v>
      </c>
    </row>
    <row r="127" spans="1:30" x14ac:dyDescent="0.2">
      <c r="A127" t="str">
        <f>'L-Values'!A127</f>
        <v>CGI008-qtz07-CL-fit-5-offset</v>
      </c>
      <c r="B127">
        <v>750</v>
      </c>
      <c r="C127">
        <f t="shared" si="4"/>
        <v>6.6965312637759184E-25</v>
      </c>
      <c r="D127">
        <v>1900</v>
      </c>
      <c r="E127">
        <v>1024</v>
      </c>
      <c r="F127">
        <f t="shared" si="5"/>
        <v>1.85546875</v>
      </c>
      <c r="I127" s="2">
        <f>('L-Values'!E127*'D(Ti_Jollands) Times'!$F127*0.000001)^2/(4*'D(Ti_Jollands) Times'!$C127)/(365.35*24*3600)</f>
        <v>2251539.340997627</v>
      </c>
      <c r="J127" s="2">
        <f>('L-Values'!F127*'D(Ti_Jollands) Times'!$F127*0.000001)^2/(4*'D(Ti_Jollands) Times'!$C127)/(365.35*24*3600)</f>
        <v>3472358.148094771</v>
      </c>
      <c r="K127" s="2">
        <f>('L-Values'!G127*'D(Ti_Jollands) Times'!$F127*0.000001)^2/(4*'D(Ti_Jollands) Times'!$C127)/(365.35*24*3600)</f>
        <v>656155.92851964454</v>
      </c>
      <c r="L127" s="2">
        <f>('L-Values'!H127*'D(Ti_Jollands) Times'!$F127*0.000001)^2/(4*'D(Ti_Jollands) Times'!$C127)/(365.35*24*3600)</f>
        <v>1130695.9264336529</v>
      </c>
      <c r="M127" s="2">
        <f>('L-Values'!I127*'D(Ti_Jollands) Times'!$F127*0.000001)^2/(4*'D(Ti_Jollands) Times'!$C127)/(365.35*24*3600)</f>
        <v>2108639.3134940648</v>
      </c>
      <c r="N127" s="2">
        <f>('L-Values'!J127*'D(Ti_Jollands) Times'!$F127*0.000001)^2/(4*'D(Ti_Jollands) Times'!$C127)/(365.35*24*3600)</f>
        <v>824911.36951399012</v>
      </c>
      <c r="O127" s="2">
        <f>('L-Values'!K127*'D(Ti_Jollands) Times'!$F127*0.000001)^2/(4*'D(Ti_Jollands) Times'!$C127)/(365.35*24*3600)</f>
        <v>2373812.6861059265</v>
      </c>
      <c r="P127" s="2">
        <f>('L-Values'!L127*'D(Ti_Jollands) Times'!$F127*0.000001)^2/(4*'D(Ti_Jollands) Times'!$C127)/(365.35*24*3600)</f>
        <v>4223683.9284405168</v>
      </c>
      <c r="Q127" s="2">
        <f>('L-Values'!M127*'D(Ti_Jollands) Times'!$F127*0.000001)^2/(4*'D(Ti_Jollands) Times'!$C127)/(365.35*24*3600)</f>
        <v>1156081.4913600937</v>
      </c>
      <c r="R127" s="2">
        <f>('L-Values'!N127*'D(Ti_Jollands) Times'!$F127*0.000001)^2/(4*'D(Ti_Jollands) Times'!$C127)/(365.35*24*3600)</f>
        <v>0.71279515026705653</v>
      </c>
      <c r="S127" s="2">
        <f>('L-Values'!O127*'D(Ti_Jollands) Times'!$F127*0.000001)^2/(4*'D(Ti_Jollands) Times'!$C127)/(365.35*24*3600)</f>
        <v>2270638.8566188565</v>
      </c>
      <c r="T127" s="2"/>
      <c r="U127" s="2">
        <f>('L-Values'!Q127*'D(Ti_Jollands) Times'!$F127*0.000001)^2/(4*'D(Ti_Jollands) Times'!$C127)/(365.35*24*3600)</f>
        <v>1740322.9693567164</v>
      </c>
      <c r="V127" s="2">
        <f>('L-Values'!R127*'D(Ti_Jollands) Times'!$F127*0.000001)^2/(4*'D(Ti_Jollands) Times'!$C127)/(365.35*24*3600)</f>
        <v>1568523.2225450671</v>
      </c>
      <c r="W127" s="2">
        <f>('L-Values'!S127*'D(Ti_Jollands) Times'!$F127*0.000001)^2/(4*'D(Ti_Jollands) Times'!$C127)/(365.35*24*3600)</f>
        <v>2108639.3134940648</v>
      </c>
      <c r="X127" s="2"/>
      <c r="Y127" s="2">
        <f>('L-Values'!U127*'D(Ti_Jollands) Times'!$F127*0.000001)^2/(4*'D(Ti_Jollands) Times'!$C127)/(365.35*24*3600)</f>
        <v>1706567.1279463645</v>
      </c>
      <c r="Z127" s="2">
        <f>('L-Values'!V127*'D(Ti_Jollands) Times'!$F127*0.000001)^2/(4*'D(Ti_Jollands) Times'!$C127)/(365.35*24*3600)</f>
        <v>1774894.9109785708</v>
      </c>
      <c r="AA127" s="2">
        <f>('L-Values'!W127*'D(Ti_Jollands) Times'!$F127*0.000001)^2/(4*'D(Ti_Jollands) Times'!$C127)/(365.35*24*3600)</f>
        <v>130504.85067331903</v>
      </c>
      <c r="AB127" s="2">
        <f>('L-Values'!X127*'D(Ti_Jollands) Times'!$F127*0.000001)^2/(4*'D(Ti_Jollands) Times'!$C127)/(365.35*24*3600)</f>
        <v>5627864.1981766885</v>
      </c>
      <c r="AC127" s="2">
        <f t="shared" si="6"/>
        <v>1644390.0603052517</v>
      </c>
      <c r="AD127" s="2">
        <f t="shared" si="7"/>
        <v>3852969.2871981179</v>
      </c>
    </row>
    <row r="128" spans="1:30" x14ac:dyDescent="0.2">
      <c r="A128" t="str">
        <f>'L-Values'!A128</f>
        <v>CGI008-qtz08-CL-fit-2-offset</v>
      </c>
      <c r="B128">
        <v>750</v>
      </c>
      <c r="C128">
        <f t="shared" si="4"/>
        <v>6.6965312637759184E-25</v>
      </c>
      <c r="D128">
        <v>2050</v>
      </c>
      <c r="E128">
        <v>1024</v>
      </c>
      <c r="F128">
        <f t="shared" si="5"/>
        <v>2.001953125</v>
      </c>
      <c r="I128" s="2">
        <f>('L-Values'!E128*'D(Ti_Jollands) Times'!$F128*0.000001)^2/(4*'D(Ti_Jollands) Times'!$C128)/(365.35*24*3600)</f>
        <v>330878.14177686383</v>
      </c>
      <c r="J128" s="2">
        <f>('L-Values'!F128*'D(Ti_Jollands) Times'!$F128*0.000001)^2/(4*'D(Ti_Jollands) Times'!$C128)/(365.35*24*3600)</f>
        <v>498886.83409919526</v>
      </c>
      <c r="K128" s="2">
        <f>('L-Values'!G128*'D(Ti_Jollands) Times'!$F128*0.000001)^2/(4*'D(Ti_Jollands) Times'!$C128)/(365.35*24*3600)</f>
        <v>249726.6176238386</v>
      </c>
      <c r="L128" s="2">
        <f>('L-Values'!H128*'D(Ti_Jollands) Times'!$F128*0.000001)^2/(4*'D(Ti_Jollands) Times'!$C128)/(365.35*24*3600)</f>
        <v>91592.51908064523</v>
      </c>
      <c r="M128" s="2">
        <f>('L-Values'!I128*'D(Ti_Jollands) Times'!$F128*0.000001)^2/(4*'D(Ti_Jollands) Times'!$C128)/(365.35*24*3600)</f>
        <v>300536.82346774027</v>
      </c>
      <c r="N128" s="2">
        <f>('L-Values'!J128*'D(Ti_Jollands) Times'!$F128*0.000001)^2/(4*'D(Ti_Jollands) Times'!$C128)/(365.35*24*3600)</f>
        <v>151551.4617026847</v>
      </c>
      <c r="O128" s="2">
        <f>('L-Values'!K128*'D(Ti_Jollands) Times'!$F128*0.000001)^2/(4*'D(Ti_Jollands) Times'!$C128)/(365.35*24*3600)</f>
        <v>105434.51522146181</v>
      </c>
      <c r="P128" s="2">
        <f>('L-Values'!L128*'D(Ti_Jollands) Times'!$F128*0.000001)^2/(4*'D(Ti_Jollands) Times'!$C128)/(365.35*24*3600)</f>
        <v>90964.159054925491</v>
      </c>
      <c r="Q128" s="2">
        <f>('L-Values'!M128*'D(Ti_Jollands) Times'!$F128*0.000001)^2/(4*'D(Ti_Jollands) Times'!$C128)/(365.35*24*3600)</f>
        <v>91076.84885116329</v>
      </c>
      <c r="R128" s="2">
        <f>('L-Values'!N128*'D(Ti_Jollands) Times'!$F128*0.000001)^2/(4*'D(Ti_Jollands) Times'!$C128)/(365.35*24*3600)</f>
        <v>56738.301604369066</v>
      </c>
      <c r="S128" s="2">
        <f>('L-Values'!O128*'D(Ti_Jollands) Times'!$F128*0.000001)^2/(4*'D(Ti_Jollands) Times'!$C128)/(365.35*24*3600)</f>
        <v>105445.10023140481</v>
      </c>
      <c r="T128" s="2"/>
      <c r="U128" s="2">
        <f>('L-Values'!Q128*'D(Ti_Jollands) Times'!$F128*0.000001)^2/(4*'D(Ti_Jollands) Times'!$C128)/(365.35*24*3600)</f>
        <v>173625.85595835498</v>
      </c>
      <c r="V128" s="2">
        <f>('L-Values'!R128*'D(Ti_Jollands) Times'!$F128*0.000001)^2/(4*'D(Ti_Jollands) Times'!$C128)/(365.35*24*3600)</f>
        <v>168281.71031281364</v>
      </c>
      <c r="W128" s="2">
        <f>('L-Values'!S128*'D(Ti_Jollands) Times'!$F128*0.000001)^2/(4*'D(Ti_Jollands) Times'!$C128)/(365.35*24*3600)</f>
        <v>105445.10023140481</v>
      </c>
      <c r="X128" s="2"/>
      <c r="Y128" s="2">
        <f>('L-Values'!U128*'D(Ti_Jollands) Times'!$F128*0.000001)^2/(4*'D(Ti_Jollands) Times'!$C128)/(365.35*24*3600)</f>
        <v>150724.88655306396</v>
      </c>
      <c r="Z128" s="2">
        <f>('L-Values'!V128*'D(Ti_Jollands) Times'!$F128*0.000001)^2/(4*'D(Ti_Jollands) Times'!$C128)/(365.35*24*3600)</f>
        <v>147879.64251306656</v>
      </c>
      <c r="AA128" s="2">
        <f>('L-Values'!W128*'D(Ti_Jollands) Times'!$F128*0.000001)^2/(4*'D(Ti_Jollands) Times'!$C128)/(365.35*24*3600)</f>
        <v>19205.421426438887</v>
      </c>
      <c r="AB128" s="2">
        <f>('L-Values'!X128*'D(Ti_Jollands) Times'!$F128*0.000001)^2/(4*'D(Ti_Jollands) Times'!$C128)/(365.35*24*3600)</f>
        <v>418794.52531329298</v>
      </c>
      <c r="AC128" s="2">
        <f t="shared" si="6"/>
        <v>128674.22108662767</v>
      </c>
      <c r="AD128" s="2">
        <f t="shared" si="7"/>
        <v>270914.88280022645</v>
      </c>
    </row>
    <row r="129" spans="1:30" x14ac:dyDescent="0.2">
      <c r="A129" t="str">
        <f>'L-Values'!A129</f>
        <v>CGI008-qtz08-CL-fit-3-offset</v>
      </c>
      <c r="B129">
        <v>750</v>
      </c>
      <c r="C129">
        <f t="shared" si="4"/>
        <v>6.6965312637759184E-25</v>
      </c>
      <c r="D129">
        <v>2050</v>
      </c>
      <c r="E129">
        <v>1024</v>
      </c>
      <c r="F129">
        <f t="shared" si="5"/>
        <v>2.001953125</v>
      </c>
      <c r="I129" s="2">
        <f>('L-Values'!E129*'D(Ti_Jollands) Times'!$F129*0.000001)^2/(4*'D(Ti_Jollands) Times'!$C129)/(365.35*24*3600)</f>
        <v>253862.16632883702</v>
      </c>
      <c r="J129" s="2">
        <f>('L-Values'!F129*'D(Ti_Jollands) Times'!$F129*0.000001)^2/(4*'D(Ti_Jollands) Times'!$C129)/(365.35*24*3600)</f>
        <v>138347.66065588791</v>
      </c>
      <c r="K129" s="2">
        <f>('L-Values'!G129*'D(Ti_Jollands) Times'!$F129*0.000001)^2/(4*'D(Ti_Jollands) Times'!$C129)/(365.35*24*3600)</f>
        <v>192756.63064456481</v>
      </c>
      <c r="L129" s="2">
        <f>('L-Values'!H129*'D(Ti_Jollands) Times'!$F129*0.000001)^2/(4*'D(Ti_Jollands) Times'!$C129)/(365.35*24*3600)</f>
        <v>162360.26013322451</v>
      </c>
      <c r="M129" s="2">
        <f>('L-Values'!I129*'D(Ti_Jollands) Times'!$F129*0.000001)^2/(4*'D(Ti_Jollands) Times'!$C129)/(365.35*24*3600)</f>
        <v>115591.54246028478</v>
      </c>
      <c r="N129" s="2">
        <f>('L-Values'!J129*'D(Ti_Jollands) Times'!$F129*0.000001)^2/(4*'D(Ti_Jollands) Times'!$C129)/(365.35*24*3600)</f>
        <v>81557.205182509701</v>
      </c>
      <c r="O129" s="2">
        <f>('L-Values'!K129*'D(Ti_Jollands) Times'!$F129*0.000001)^2/(4*'D(Ti_Jollands) Times'!$C129)/(365.35*24*3600)</f>
        <v>167567.27248844475</v>
      </c>
      <c r="P129" s="2">
        <f>('L-Values'!L129*'D(Ti_Jollands) Times'!$F129*0.000001)^2/(4*'D(Ti_Jollands) Times'!$C129)/(365.35*24*3600)</f>
        <v>84603.784280901193</v>
      </c>
      <c r="Q129" s="2">
        <f>('L-Values'!M129*'D(Ti_Jollands) Times'!$F129*0.000001)^2/(4*'D(Ti_Jollands) Times'!$C129)/(365.35*24*3600)</f>
        <v>369717.10732713365</v>
      </c>
      <c r="R129" s="2">
        <f>('L-Values'!N129*'D(Ti_Jollands) Times'!$F129*0.000001)^2/(4*'D(Ti_Jollands) Times'!$C129)/(365.35*24*3600)</f>
        <v>138410.42796893499</v>
      </c>
      <c r="S129" s="2">
        <f>('L-Values'!O129*'D(Ti_Jollands) Times'!$F129*0.000001)^2/(4*'D(Ti_Jollands) Times'!$C129)/(365.35*24*3600)</f>
        <v>315157.45109510777</v>
      </c>
      <c r="T129" s="2"/>
      <c r="U129" s="2">
        <f>('L-Values'!Q129*'D(Ti_Jollands) Times'!$F129*0.000001)^2/(4*'D(Ti_Jollands) Times'!$C129)/(365.35*24*3600)</f>
        <v>181448.98133185058</v>
      </c>
      <c r="V129" s="2">
        <f>('L-Values'!R129*'D(Ti_Jollands) Times'!$F129*0.000001)^2/(4*'D(Ti_Jollands) Times'!$C129)/(365.35*24*3600)</f>
        <v>173739.94078980957</v>
      </c>
      <c r="W129" s="2">
        <f>('L-Values'!S129*'D(Ti_Jollands) Times'!$F129*0.000001)^2/(4*'D(Ti_Jollands) Times'!$C129)/(365.35*24*3600)</f>
        <v>162360.26013322451</v>
      </c>
      <c r="X129" s="2"/>
      <c r="Y129" s="2">
        <f>('L-Values'!U129*'D(Ti_Jollands) Times'!$F129*0.000001)^2/(4*'D(Ti_Jollands) Times'!$C129)/(365.35*24*3600)</f>
        <v>162971.56163029952</v>
      </c>
      <c r="Z129" s="2">
        <f>('L-Values'!V129*'D(Ti_Jollands) Times'!$F129*0.000001)^2/(4*'D(Ti_Jollands) Times'!$C129)/(365.35*24*3600)</f>
        <v>164805.66658064077</v>
      </c>
      <c r="AA129" s="2">
        <f>('L-Values'!W129*'D(Ti_Jollands) Times'!$F129*0.000001)^2/(4*'D(Ti_Jollands) Times'!$C129)/(365.35*24*3600)</f>
        <v>25555.456416087531</v>
      </c>
      <c r="AB129" s="2">
        <f>('L-Values'!X129*'D(Ti_Jollands) Times'!$F129*0.000001)^2/(4*'D(Ti_Jollands) Times'!$C129)/(365.35*24*3600)</f>
        <v>508455.44799433585</v>
      </c>
      <c r="AC129" s="2">
        <f t="shared" si="6"/>
        <v>139250.21016455325</v>
      </c>
      <c r="AD129" s="2">
        <f t="shared" si="7"/>
        <v>343649.78141369508</v>
      </c>
    </row>
    <row r="130" spans="1:30" x14ac:dyDescent="0.2">
      <c r="A130" t="str">
        <f>'L-Values'!A130</f>
        <v>CGI008-qtz09-CL-fit-1-offset</v>
      </c>
      <c r="B130">
        <v>750</v>
      </c>
      <c r="C130">
        <f t="shared" si="4"/>
        <v>6.6965312637759184E-25</v>
      </c>
      <c r="D130">
        <v>2000</v>
      </c>
      <c r="E130">
        <v>1024</v>
      </c>
      <c r="F130">
        <f t="shared" si="5"/>
        <v>1.953125</v>
      </c>
      <c r="I130" s="2">
        <f>('L-Values'!E130*'D(Ti_Jollands) Times'!$F130*0.000001)^2/(4*'D(Ti_Jollands) Times'!$C130)/(365.35*24*3600)</f>
        <v>670313.06282225705</v>
      </c>
      <c r="J130" s="2">
        <f>('L-Values'!F130*'D(Ti_Jollands) Times'!$F130*0.000001)^2/(4*'D(Ti_Jollands) Times'!$C130)/(365.35*24*3600)</f>
        <v>502005.95934093039</v>
      </c>
      <c r="K130" s="2">
        <f>('L-Values'!G130*'D(Ti_Jollands) Times'!$F130*0.000001)^2/(4*'D(Ti_Jollands) Times'!$C130)/(365.35*24*3600)</f>
        <v>423698.54103840288</v>
      </c>
      <c r="L130" s="2">
        <f>('L-Values'!H130*'D(Ti_Jollands) Times'!$F130*0.000001)^2/(4*'D(Ti_Jollands) Times'!$C130)/(365.35*24*3600)</f>
        <v>533073.70968286425</v>
      </c>
      <c r="M130" s="2">
        <f>('L-Values'!I130*'D(Ti_Jollands) Times'!$F130*0.000001)^2/(4*'D(Ti_Jollands) Times'!$C130)/(365.35*24*3600)</f>
        <v>535600.89695330628</v>
      </c>
      <c r="N130" s="2">
        <f>('L-Values'!J130*'D(Ti_Jollands) Times'!$F130*0.000001)^2/(4*'D(Ti_Jollands) Times'!$C130)/(365.35*24*3600)</f>
        <v>478454.94809295784</v>
      </c>
      <c r="O130" s="2">
        <f>('L-Values'!K130*'D(Ti_Jollands) Times'!$F130*0.000001)^2/(4*'D(Ti_Jollands) Times'!$C130)/(365.35*24*3600)</f>
        <v>430809.46042009623</v>
      </c>
      <c r="P130" s="2">
        <f>('L-Values'!L130*'D(Ti_Jollands) Times'!$F130*0.000001)^2/(4*'D(Ti_Jollands) Times'!$C130)/(365.35*24*3600)</f>
        <v>454057.43679129676</v>
      </c>
      <c r="Q130" s="2">
        <f>('L-Values'!M130*'D(Ti_Jollands) Times'!$F130*0.000001)^2/(4*'D(Ti_Jollands) Times'!$C130)/(365.35*24*3600)</f>
        <v>518510.93455847393</v>
      </c>
      <c r="R130" s="2">
        <f>('L-Values'!N130*'D(Ti_Jollands) Times'!$F130*0.000001)^2/(4*'D(Ti_Jollands) Times'!$C130)/(365.35*24*3600)</f>
        <v>593238.56790292368</v>
      </c>
      <c r="S130" s="2">
        <f>('L-Values'!O130*'D(Ti_Jollands) Times'!$F130*0.000001)^2/(4*'D(Ti_Jollands) Times'!$C130)/(365.35*24*3600)</f>
        <v>423832.18224983261</v>
      </c>
      <c r="T130" s="2"/>
      <c r="U130" s="2">
        <f>('L-Values'!Q130*'D(Ti_Jollands) Times'!$F130*0.000001)^2/(4*'D(Ti_Jollands) Times'!$C130)/(365.35*24*3600)</f>
        <v>518264.41692017252</v>
      </c>
      <c r="V130" s="2">
        <f>('L-Values'!R130*'D(Ti_Jollands) Times'!$F130*0.000001)^2/(4*'D(Ti_Jollands) Times'!$C130)/(365.35*24*3600)</f>
        <v>503243.44984680618</v>
      </c>
      <c r="W130" s="2">
        <f>('L-Values'!S130*'D(Ti_Jollands) Times'!$F130*0.000001)^2/(4*'D(Ti_Jollands) Times'!$C130)/(365.35*24*3600)</f>
        <v>502005.95934093039</v>
      </c>
      <c r="X130" s="2"/>
      <c r="Y130" s="2">
        <f>('L-Values'!U130*'D(Ti_Jollands) Times'!$F130*0.000001)^2/(4*'D(Ti_Jollands) Times'!$C130)/(365.35*24*3600)</f>
        <v>496158.71294213797</v>
      </c>
      <c r="Z130" s="2">
        <f>('L-Values'!V130*'D(Ti_Jollands) Times'!$F130*0.000001)^2/(4*'D(Ti_Jollands) Times'!$C130)/(365.35*24*3600)</f>
        <v>503167.70963214233</v>
      </c>
      <c r="AA130" s="2">
        <f>('L-Values'!W130*'D(Ti_Jollands) Times'!$F130*0.000001)^2/(4*'D(Ti_Jollands) Times'!$C130)/(365.35*24*3600)</f>
        <v>256268.95183844632</v>
      </c>
      <c r="AB130" s="2">
        <f>('L-Values'!X130*'D(Ti_Jollands) Times'!$F130*0.000001)^2/(4*'D(Ti_Jollands) Times'!$C130)/(365.35*24*3600)</f>
        <v>841023.28622129757</v>
      </c>
      <c r="AC130" s="2">
        <f t="shared" si="6"/>
        <v>246898.75779369602</v>
      </c>
      <c r="AD130" s="2">
        <f t="shared" si="7"/>
        <v>337855.57658915524</v>
      </c>
    </row>
    <row r="131" spans="1:30" x14ac:dyDescent="0.2">
      <c r="A131" t="str">
        <f>'L-Values'!A131</f>
        <v>CGI008-qtz09-CL-fit-2-offset</v>
      </c>
      <c r="B131">
        <v>750</v>
      </c>
      <c r="C131">
        <f t="shared" ref="C131:C194" si="8">10^(-8.3-(311/(2.303*0.00831451*(B131+273.15))))</f>
        <v>6.6965312637759184E-25</v>
      </c>
      <c r="D131">
        <v>2000</v>
      </c>
      <c r="E131">
        <v>1024</v>
      </c>
      <c r="F131">
        <f t="shared" ref="F131:F194" si="9">D131/E131</f>
        <v>1.953125</v>
      </c>
      <c r="I131" s="2">
        <f>('L-Values'!E131*'D(Ti_Jollands) Times'!$F131*0.000001)^2/(4*'D(Ti_Jollands) Times'!$C131)/(365.35*24*3600)</f>
        <v>622146.48716550099</v>
      </c>
      <c r="J131" s="2">
        <f>('L-Values'!F131*'D(Ti_Jollands) Times'!$F131*0.000001)^2/(4*'D(Ti_Jollands) Times'!$C131)/(365.35*24*3600)</f>
        <v>312682.44315164955</v>
      </c>
      <c r="K131" s="2">
        <f>('L-Values'!G131*'D(Ti_Jollands) Times'!$F131*0.000001)^2/(4*'D(Ti_Jollands) Times'!$C131)/(365.35*24*3600)</f>
        <v>511214.66838174808</v>
      </c>
      <c r="L131" s="2">
        <f>('L-Values'!H131*'D(Ti_Jollands) Times'!$F131*0.000001)^2/(4*'D(Ti_Jollands) Times'!$C131)/(365.35*24*3600)</f>
        <v>494131.12706953188</v>
      </c>
      <c r="M131" s="2">
        <f>('L-Values'!I131*'D(Ti_Jollands) Times'!$F131*0.000001)^2/(4*'D(Ti_Jollands) Times'!$C131)/(365.35*24*3600)</f>
        <v>408409.90747462341</v>
      </c>
      <c r="N131" s="2">
        <f>('L-Values'!J131*'D(Ti_Jollands) Times'!$F131*0.000001)^2/(4*'D(Ti_Jollands) Times'!$C131)/(365.35*24*3600)</f>
        <v>560233.46993147011</v>
      </c>
      <c r="O131" s="2">
        <f>('L-Values'!K131*'D(Ti_Jollands) Times'!$F131*0.000001)^2/(4*'D(Ti_Jollands) Times'!$C131)/(365.35*24*3600)</f>
        <v>720912.409347023</v>
      </c>
      <c r="P131" s="2">
        <f>('L-Values'!L131*'D(Ti_Jollands) Times'!$F131*0.000001)^2/(4*'D(Ti_Jollands) Times'!$C131)/(365.35*24*3600)</f>
        <v>471779.41186858958</v>
      </c>
      <c r="Q131" s="2">
        <f>('L-Values'!M131*'D(Ti_Jollands) Times'!$F131*0.000001)^2/(4*'D(Ti_Jollands) Times'!$C131)/(365.35*24*3600)</f>
        <v>514748.27901026874</v>
      </c>
      <c r="R131" s="2">
        <f>('L-Values'!N131*'D(Ti_Jollands) Times'!$F131*0.000001)^2/(4*'D(Ti_Jollands) Times'!$C131)/(365.35*24*3600)</f>
        <v>434905.32427346637</v>
      </c>
      <c r="S131" s="2">
        <f>('L-Values'!O131*'D(Ti_Jollands) Times'!$F131*0.000001)^2/(4*'D(Ti_Jollands) Times'!$C131)/(365.35*24*3600)</f>
        <v>444992.02629998676</v>
      </c>
      <c r="T131" s="2"/>
      <c r="U131" s="2">
        <f>('L-Values'!Q131*'D(Ti_Jollands) Times'!$F131*0.000001)^2/(4*'D(Ti_Jollands) Times'!$C131)/(365.35*24*3600)</f>
        <v>491023.66800319584</v>
      </c>
      <c r="V131" s="2">
        <f>('L-Values'!R131*'D(Ti_Jollands) Times'!$F131*0.000001)^2/(4*'D(Ti_Jollands) Times'!$C131)/(365.35*24*3600)</f>
        <v>494256.95211200742</v>
      </c>
      <c r="W131" s="2">
        <f>('L-Values'!S131*'D(Ti_Jollands) Times'!$F131*0.000001)^2/(4*'D(Ti_Jollands) Times'!$C131)/(365.35*24*3600)</f>
        <v>494131.12706953188</v>
      </c>
      <c r="X131" s="2"/>
      <c r="Y131" s="2">
        <f>('L-Values'!U131*'D(Ti_Jollands) Times'!$F131*0.000001)^2/(4*'D(Ti_Jollands) Times'!$C131)/(365.35*24*3600)</f>
        <v>495854.69600471365</v>
      </c>
      <c r="Z131" s="2">
        <f>('L-Values'!V131*'D(Ti_Jollands) Times'!$F131*0.000001)^2/(4*'D(Ti_Jollands) Times'!$C131)/(365.35*24*3600)</f>
        <v>501144.33968235389</v>
      </c>
      <c r="AA131" s="2">
        <f>('L-Values'!W131*'D(Ti_Jollands) Times'!$F131*0.000001)^2/(4*'D(Ti_Jollands) Times'!$C131)/(365.35*24*3600)</f>
        <v>281571.39442528476</v>
      </c>
      <c r="AB131" s="2">
        <f>('L-Values'!X131*'D(Ti_Jollands) Times'!$F131*0.000001)^2/(4*'D(Ti_Jollands) Times'!$C131)/(365.35*24*3600)</f>
        <v>840414.32281847578</v>
      </c>
      <c r="AC131" s="2">
        <f t="shared" ref="AC131:AC194" si="10">Z131-AA131</f>
        <v>219572.94525706914</v>
      </c>
      <c r="AD131" s="2">
        <f t="shared" ref="AD131:AD194" si="11">AB131-Z131</f>
        <v>339269.98313612188</v>
      </c>
    </row>
    <row r="132" spans="1:30" x14ac:dyDescent="0.2">
      <c r="A132" t="str">
        <f>'L-Values'!A132</f>
        <v>CGI008-qtz10-CL-fit-1-offset</v>
      </c>
      <c r="B132">
        <v>750</v>
      </c>
      <c r="C132">
        <f t="shared" si="8"/>
        <v>6.6965312637759184E-25</v>
      </c>
      <c r="D132">
        <v>1800</v>
      </c>
      <c r="E132">
        <v>1024</v>
      </c>
      <c r="F132">
        <f t="shared" si="9"/>
        <v>1.7578125</v>
      </c>
      <c r="I132" s="2">
        <f>('L-Values'!E132*'D(Ti_Jollands) Times'!$F132*0.000001)^2/(4*'D(Ti_Jollands) Times'!$C132)/(365.35*24*3600)</f>
        <v>481971.86016815848</v>
      </c>
      <c r="J132" s="2">
        <f>('L-Values'!F132*'D(Ti_Jollands) Times'!$F132*0.000001)^2/(4*'D(Ti_Jollands) Times'!$C132)/(365.35*24*3600)</f>
        <v>564382.1070010541</v>
      </c>
      <c r="K132" s="2">
        <f>('L-Values'!G132*'D(Ti_Jollands) Times'!$F132*0.000001)^2/(4*'D(Ti_Jollands) Times'!$C132)/(365.35*24*3600)</f>
        <v>576745.267126085</v>
      </c>
      <c r="L132" s="2">
        <f>('L-Values'!H132*'D(Ti_Jollands) Times'!$F132*0.000001)^2/(4*'D(Ti_Jollands) Times'!$C132)/(365.35*24*3600)</f>
        <v>571556.03945221973</v>
      </c>
      <c r="M132" s="2">
        <f>('L-Values'!I132*'D(Ti_Jollands) Times'!$F132*0.000001)^2/(4*'D(Ti_Jollands) Times'!$C132)/(365.35*24*3600)</f>
        <v>556932.77366913552</v>
      </c>
      <c r="N132" s="2">
        <f>('L-Values'!J132*'D(Ti_Jollands) Times'!$F132*0.000001)^2/(4*'D(Ti_Jollands) Times'!$C132)/(365.35*24*3600)</f>
        <v>534202.03580484656</v>
      </c>
      <c r="O132" s="2">
        <f>('L-Values'!K132*'D(Ti_Jollands) Times'!$F132*0.000001)^2/(4*'D(Ti_Jollands) Times'!$C132)/(365.35*24*3600)</f>
        <v>564742.57152772741</v>
      </c>
      <c r="P132" s="2">
        <f>('L-Values'!L132*'D(Ti_Jollands) Times'!$F132*0.000001)^2/(4*'D(Ti_Jollands) Times'!$C132)/(365.35*24*3600)</f>
        <v>514755.80441855558</v>
      </c>
      <c r="Q132" s="2">
        <f>('L-Values'!M132*'D(Ti_Jollands) Times'!$F132*0.000001)^2/(4*'D(Ti_Jollands) Times'!$C132)/(365.35*24*3600)</f>
        <v>589067.71909050469</v>
      </c>
      <c r="R132" s="2">
        <f>('L-Values'!N132*'D(Ti_Jollands) Times'!$F132*0.000001)^2/(4*'D(Ti_Jollands) Times'!$C132)/(365.35*24*3600)</f>
        <v>540980.87932354526</v>
      </c>
      <c r="S132" s="2">
        <f>('L-Values'!O132*'D(Ti_Jollands) Times'!$F132*0.000001)^2/(4*'D(Ti_Jollands) Times'!$C132)/(365.35*24*3600)</f>
        <v>517939.20406761178</v>
      </c>
      <c r="T132" s="2"/>
      <c r="U132" s="2">
        <f>('L-Values'!Q132*'D(Ti_Jollands) Times'!$F132*0.000001)^2/(4*'D(Ti_Jollands) Times'!$C132)/(365.35*24*3600)</f>
        <v>549155.70652034227</v>
      </c>
      <c r="V132" s="2">
        <f>('L-Values'!R132*'D(Ti_Jollands) Times'!$F132*0.000001)^2/(4*'D(Ti_Jollands) Times'!$C132)/(365.35*24*3600)</f>
        <v>546225.368494694</v>
      </c>
      <c r="W132" s="2">
        <f>('L-Values'!S132*'D(Ti_Jollands) Times'!$F132*0.000001)^2/(4*'D(Ti_Jollands) Times'!$C132)/(365.35*24*3600)</f>
        <v>556932.77366913552</v>
      </c>
      <c r="X132" s="2"/>
      <c r="Y132" s="2">
        <f>('L-Values'!U132*'D(Ti_Jollands) Times'!$F132*0.000001)^2/(4*'D(Ti_Jollands) Times'!$C132)/(365.35*24*3600)</f>
        <v>548359.56425399717</v>
      </c>
      <c r="Z132" s="2">
        <f>('L-Values'!V132*'D(Ti_Jollands) Times'!$F132*0.000001)^2/(4*'D(Ti_Jollands) Times'!$C132)/(365.35*24*3600)</f>
        <v>552068.47223961516</v>
      </c>
      <c r="AA132" s="2">
        <f>('L-Values'!W132*'D(Ti_Jollands) Times'!$F132*0.000001)^2/(4*'D(Ti_Jollands) Times'!$C132)/(365.35*24*3600)</f>
        <v>398585.77297693497</v>
      </c>
      <c r="AB132" s="2">
        <f>('L-Values'!X132*'D(Ti_Jollands) Times'!$F132*0.000001)^2/(4*'D(Ti_Jollands) Times'!$C132)/(365.35*24*3600)</f>
        <v>720697.14145116985</v>
      </c>
      <c r="AC132" s="2">
        <f t="shared" si="10"/>
        <v>153482.69926268019</v>
      </c>
      <c r="AD132" s="2">
        <f t="shared" si="11"/>
        <v>168628.66921155469</v>
      </c>
    </row>
    <row r="133" spans="1:30" x14ac:dyDescent="0.2">
      <c r="A133" t="str">
        <f>'L-Values'!A133</f>
        <v>CGI008-qtz10-CL-fit-2-offset</v>
      </c>
      <c r="B133">
        <v>750</v>
      </c>
      <c r="C133">
        <f t="shared" si="8"/>
        <v>6.6965312637759184E-25</v>
      </c>
      <c r="D133">
        <v>1800</v>
      </c>
      <c r="E133">
        <v>1024</v>
      </c>
      <c r="F133">
        <f t="shared" si="9"/>
        <v>1.7578125</v>
      </c>
      <c r="I133" s="2">
        <f>('L-Values'!E133*'D(Ti_Jollands) Times'!$F133*0.000001)^2/(4*'D(Ti_Jollands) Times'!$C133)/(365.35*24*3600)</f>
        <v>150348.96171286801</v>
      </c>
      <c r="J133" s="2">
        <f>('L-Values'!F133*'D(Ti_Jollands) Times'!$F133*0.000001)^2/(4*'D(Ti_Jollands) Times'!$C133)/(365.35*24*3600)</f>
        <v>250306.16028994069</v>
      </c>
      <c r="K133" s="2">
        <f>('L-Values'!G133*'D(Ti_Jollands) Times'!$F133*0.000001)^2/(4*'D(Ti_Jollands) Times'!$C133)/(365.35*24*3600)</f>
        <v>334691.97327457072</v>
      </c>
      <c r="L133" s="2">
        <f>('L-Values'!H133*'D(Ti_Jollands) Times'!$F133*0.000001)^2/(4*'D(Ti_Jollands) Times'!$C133)/(365.35*24*3600)</f>
        <v>137831.57401980524</v>
      </c>
      <c r="M133" s="2">
        <f>('L-Values'!I133*'D(Ti_Jollands) Times'!$F133*0.000001)^2/(4*'D(Ti_Jollands) Times'!$C133)/(365.35*24*3600)</f>
        <v>334695.12193081185</v>
      </c>
      <c r="N133" s="2">
        <f>('L-Values'!J133*'D(Ti_Jollands) Times'!$F133*0.000001)^2/(4*'D(Ti_Jollands) Times'!$C133)/(365.35*24*3600)</f>
        <v>336803.70764883643</v>
      </c>
      <c r="O133" s="2">
        <f>('L-Values'!K133*'D(Ti_Jollands) Times'!$F133*0.000001)^2/(4*'D(Ti_Jollands) Times'!$C133)/(365.35*24*3600)</f>
        <v>189040.34111405184</v>
      </c>
      <c r="P133" s="2">
        <f>('L-Values'!L133*'D(Ti_Jollands) Times'!$F133*0.000001)^2/(4*'D(Ti_Jollands) Times'!$C133)/(365.35*24*3600)</f>
        <v>282633.12727150391</v>
      </c>
      <c r="Q133" s="2">
        <f>('L-Values'!M133*'D(Ti_Jollands) Times'!$F133*0.000001)^2/(4*'D(Ti_Jollands) Times'!$C133)/(365.35*24*3600)</f>
        <v>249893.51664083911</v>
      </c>
      <c r="R133" s="2">
        <f>('L-Values'!N133*'D(Ti_Jollands) Times'!$F133*0.000001)^2/(4*'D(Ti_Jollands) Times'!$C133)/(365.35*24*3600)</f>
        <v>283955.15908348031</v>
      </c>
      <c r="S133" s="2">
        <f>('L-Values'!O133*'D(Ti_Jollands) Times'!$F133*0.000001)^2/(4*'D(Ti_Jollands) Times'!$C133)/(365.35*24*3600)</f>
        <v>315800.63208640396</v>
      </c>
      <c r="T133" s="2"/>
      <c r="U133" s="2">
        <f>('L-Values'!Q133*'D(Ti_Jollands) Times'!$F133*0.000001)^2/(4*'D(Ti_Jollands) Times'!$C133)/(365.35*24*3600)</f>
        <v>279939.2495193276</v>
      </c>
      <c r="V133" s="2">
        <f>('L-Values'!R133*'D(Ti_Jollands) Times'!$F133*0.000001)^2/(4*'D(Ti_Jollands) Times'!$C133)/(365.35*24*3600)</f>
        <v>255287.94094761147</v>
      </c>
      <c r="W133" s="2">
        <f>('L-Values'!S133*'D(Ti_Jollands) Times'!$F133*0.000001)^2/(4*'D(Ti_Jollands) Times'!$C133)/(365.35*24*3600)</f>
        <v>282633.12727150391</v>
      </c>
      <c r="X133" s="2"/>
      <c r="Y133" s="2">
        <f>('L-Values'!U133*'D(Ti_Jollands) Times'!$F133*0.000001)^2/(4*'D(Ti_Jollands) Times'!$C133)/(365.35*24*3600)</f>
        <v>254324.10397174337</v>
      </c>
      <c r="Z133" s="2">
        <f>('L-Values'!V133*'D(Ti_Jollands) Times'!$F133*0.000001)^2/(4*'D(Ti_Jollands) Times'!$C133)/(365.35*24*3600)</f>
        <v>259546.72763597959</v>
      </c>
      <c r="AA133" s="2">
        <f>('L-Values'!W133*'D(Ti_Jollands) Times'!$F133*0.000001)^2/(4*'D(Ti_Jollands) Times'!$C133)/(365.35*24*3600)</f>
        <v>112810.85964962156</v>
      </c>
      <c r="AB133" s="2">
        <f>('L-Values'!X133*'D(Ti_Jollands) Times'!$F133*0.000001)^2/(4*'D(Ti_Jollands) Times'!$C133)/(365.35*24*3600)</f>
        <v>459143.4141072621</v>
      </c>
      <c r="AC133" s="2">
        <f t="shared" si="10"/>
        <v>146735.86798635803</v>
      </c>
      <c r="AD133" s="2">
        <f t="shared" si="11"/>
        <v>199596.6864712825</v>
      </c>
    </row>
    <row r="134" spans="1:30" x14ac:dyDescent="0.2">
      <c r="A134" t="str">
        <f>'L-Values'!A134</f>
        <v>CGI008-qtz10-CL-fit-3-offset</v>
      </c>
      <c r="B134">
        <v>750</v>
      </c>
      <c r="C134">
        <f t="shared" si="8"/>
        <v>6.6965312637759184E-25</v>
      </c>
      <c r="D134">
        <v>1800</v>
      </c>
      <c r="E134">
        <v>1024</v>
      </c>
      <c r="F134">
        <f t="shared" si="9"/>
        <v>1.7578125</v>
      </c>
      <c r="I134" s="2">
        <f>('L-Values'!E134*'D(Ti_Jollands) Times'!$F134*0.000001)^2/(4*'D(Ti_Jollands) Times'!$C134)/(365.35*24*3600)</f>
        <v>290816.26968593104</v>
      </c>
      <c r="J134" s="2">
        <f>('L-Values'!F134*'D(Ti_Jollands) Times'!$F134*0.000001)^2/(4*'D(Ti_Jollands) Times'!$C134)/(365.35*24*3600)</f>
        <v>302495.50336642412</v>
      </c>
      <c r="K134" s="2">
        <f>('L-Values'!G134*'D(Ti_Jollands) Times'!$F134*0.000001)^2/(4*'D(Ti_Jollands) Times'!$C134)/(365.35*24*3600)</f>
        <v>499311.165654307</v>
      </c>
      <c r="L134" s="2">
        <f>('L-Values'!H134*'D(Ti_Jollands) Times'!$F134*0.000001)^2/(4*'D(Ti_Jollands) Times'!$C134)/(365.35*24*3600)</f>
        <v>125932.62942946993</v>
      </c>
      <c r="M134" s="2">
        <f>('L-Values'!I134*'D(Ti_Jollands) Times'!$F134*0.000001)^2/(4*'D(Ti_Jollands) Times'!$C134)/(365.35*24*3600)</f>
        <v>78286.400944319656</v>
      </c>
      <c r="N134" s="2">
        <f>('L-Values'!J134*'D(Ti_Jollands) Times'!$F134*0.000001)^2/(4*'D(Ti_Jollands) Times'!$C134)/(365.35*24*3600)</f>
        <v>184457.36921730169</v>
      </c>
      <c r="O134" s="2">
        <f>('L-Values'!K134*'D(Ti_Jollands) Times'!$F134*0.000001)^2/(4*'D(Ti_Jollands) Times'!$C134)/(365.35*24*3600)</f>
        <v>236452.85544268365</v>
      </c>
      <c r="P134" s="2">
        <f>('L-Values'!L134*'D(Ti_Jollands) Times'!$F134*0.000001)^2/(4*'D(Ti_Jollands) Times'!$C134)/(365.35*24*3600)</f>
        <v>237729.71326641802</v>
      </c>
      <c r="Q134" s="2">
        <f>('L-Values'!M134*'D(Ti_Jollands) Times'!$F134*0.000001)^2/(4*'D(Ti_Jollands) Times'!$C134)/(365.35*24*3600)</f>
        <v>292506.78656868089</v>
      </c>
      <c r="R134" s="2">
        <f>('L-Values'!N134*'D(Ti_Jollands) Times'!$F134*0.000001)^2/(4*'D(Ti_Jollands) Times'!$C134)/(365.35*24*3600)</f>
        <v>67070.193855266378</v>
      </c>
      <c r="S134" s="2">
        <f>('L-Values'!O134*'D(Ti_Jollands) Times'!$F134*0.000001)^2/(4*'D(Ti_Jollands) Times'!$C134)/(365.35*24*3600)</f>
        <v>212268.91768814536</v>
      </c>
      <c r="T134" s="2"/>
      <c r="U134" s="2">
        <f>('L-Values'!Q134*'D(Ti_Jollands) Times'!$F134*0.000001)^2/(4*'D(Ti_Jollands) Times'!$C134)/(365.35*24*3600)</f>
        <v>215960.82278344</v>
      </c>
      <c r="V134" s="2">
        <f>('L-Values'!R134*'D(Ti_Jollands) Times'!$F134*0.000001)^2/(4*'D(Ti_Jollands) Times'!$C134)/(365.35*24*3600)</f>
        <v>214489.00718987413</v>
      </c>
      <c r="W134" s="2">
        <f>('L-Values'!S134*'D(Ti_Jollands) Times'!$F134*0.000001)^2/(4*'D(Ti_Jollands) Times'!$C134)/(365.35*24*3600)</f>
        <v>236452.85544268365</v>
      </c>
      <c r="X134" s="2"/>
      <c r="Y134" s="2">
        <f>('L-Values'!U134*'D(Ti_Jollands) Times'!$F134*0.000001)^2/(4*'D(Ti_Jollands) Times'!$C134)/(365.35*24*3600)</f>
        <v>204962.40978054231</v>
      </c>
      <c r="Z134" s="2">
        <f>('L-Values'!V134*'D(Ti_Jollands) Times'!$F134*0.000001)^2/(4*'D(Ti_Jollands) Times'!$C134)/(365.35*24*3600)</f>
        <v>205135.26656453536</v>
      </c>
      <c r="AA134" s="2">
        <f>('L-Values'!W134*'D(Ti_Jollands) Times'!$F134*0.000001)^2/(4*'D(Ti_Jollands) Times'!$C134)/(365.35*24*3600)</f>
        <v>73114.854879781356</v>
      </c>
      <c r="AB134" s="2">
        <f>('L-Values'!X134*'D(Ti_Jollands) Times'!$F134*0.000001)^2/(4*'D(Ti_Jollands) Times'!$C134)/(365.35*24*3600)</f>
        <v>470904.08073614008</v>
      </c>
      <c r="AC134" s="2">
        <f t="shared" si="10"/>
        <v>132020.41168475401</v>
      </c>
      <c r="AD134" s="2">
        <f t="shared" si="11"/>
        <v>265768.8141716047</v>
      </c>
    </row>
    <row r="135" spans="1:30" x14ac:dyDescent="0.2">
      <c r="A135" t="str">
        <f>'L-Values'!A135</f>
        <v>CGI008-qtz10-CL-fit-4-offset</v>
      </c>
      <c r="B135">
        <v>750</v>
      </c>
      <c r="C135">
        <f t="shared" si="8"/>
        <v>6.6965312637759184E-25</v>
      </c>
      <c r="D135">
        <v>1800</v>
      </c>
      <c r="E135">
        <v>1024</v>
      </c>
      <c r="F135">
        <f t="shared" si="9"/>
        <v>1.7578125</v>
      </c>
      <c r="I135" s="2">
        <f>('L-Values'!E135*'D(Ti_Jollands) Times'!$F135*0.000001)^2/(4*'D(Ti_Jollands) Times'!$C135)/(365.35*24*3600)</f>
        <v>127494.32851961454</v>
      </c>
      <c r="J135" s="2">
        <f>('L-Values'!F135*'D(Ti_Jollands) Times'!$F135*0.000001)^2/(4*'D(Ti_Jollands) Times'!$C135)/(365.35*24*3600)</f>
        <v>29242.269914833028</v>
      </c>
      <c r="K135" s="2">
        <f>('L-Values'!G135*'D(Ti_Jollands) Times'!$F135*0.000001)^2/(4*'D(Ti_Jollands) Times'!$C135)/(365.35*24*3600)</f>
        <v>9254.4024818085345</v>
      </c>
      <c r="L135" s="2">
        <f>('L-Values'!H135*'D(Ti_Jollands) Times'!$F135*0.000001)^2/(4*'D(Ti_Jollands) Times'!$C135)/(365.35*24*3600)</f>
        <v>68099.883914657112</v>
      </c>
      <c r="M135" s="2">
        <f>('L-Values'!I135*'D(Ti_Jollands) Times'!$F135*0.000001)^2/(4*'D(Ti_Jollands) Times'!$C135)/(365.35*24*3600)</f>
        <v>28792.102694365592</v>
      </c>
      <c r="N135" s="2">
        <f>('L-Values'!J135*'D(Ti_Jollands) Times'!$F135*0.000001)^2/(4*'D(Ti_Jollands) Times'!$C135)/(365.35*24*3600)</f>
        <v>2531.2545007172403</v>
      </c>
      <c r="O135" s="2">
        <f>('L-Values'!K135*'D(Ti_Jollands) Times'!$F135*0.000001)^2/(4*'D(Ti_Jollands) Times'!$C135)/(365.35*24*3600)</f>
        <v>16358.268835643683</v>
      </c>
      <c r="P135" s="2">
        <f>('L-Values'!L135*'D(Ti_Jollands) Times'!$F135*0.000001)^2/(4*'D(Ti_Jollands) Times'!$C135)/(365.35*24*3600)</f>
        <v>24177.39061618119</v>
      </c>
      <c r="Q135" s="2">
        <f>('L-Values'!M135*'D(Ti_Jollands) Times'!$F135*0.000001)^2/(4*'D(Ti_Jollands) Times'!$C135)/(365.35*24*3600)</f>
        <v>10601.436324997563</v>
      </c>
      <c r="R135" s="2">
        <f>('L-Values'!N135*'D(Ti_Jollands) Times'!$F135*0.000001)^2/(4*'D(Ti_Jollands) Times'!$C135)/(365.35*24*3600)</f>
        <v>48338.134275322496</v>
      </c>
      <c r="S135" s="2">
        <f>('L-Values'!O135*'D(Ti_Jollands) Times'!$F135*0.000001)^2/(4*'D(Ti_Jollands) Times'!$C135)/(365.35*24*3600)</f>
        <v>10491.600115399016</v>
      </c>
      <c r="T135" s="2"/>
      <c r="U135" s="2">
        <f>('L-Values'!Q135*'D(Ti_Jollands) Times'!$F135*0.000001)^2/(4*'D(Ti_Jollands) Times'!$C135)/(365.35*24*3600)</f>
        <v>25272.200602350382</v>
      </c>
      <c r="V135" s="2">
        <f>('L-Values'!R135*'D(Ti_Jollands) Times'!$F135*0.000001)^2/(4*'D(Ti_Jollands) Times'!$C135)/(365.35*24*3600)</f>
        <v>27190.866760917474</v>
      </c>
      <c r="W135" s="2">
        <f>('L-Values'!S135*'D(Ti_Jollands) Times'!$F135*0.000001)^2/(4*'D(Ti_Jollands) Times'!$C135)/(365.35*24*3600)</f>
        <v>24177.39061618119</v>
      </c>
      <c r="X135" s="2"/>
      <c r="Y135" s="2">
        <f>('L-Values'!U135*'D(Ti_Jollands) Times'!$F135*0.000001)^2/(4*'D(Ti_Jollands) Times'!$C135)/(365.35*24*3600)</f>
        <v>26114.016808582459</v>
      </c>
      <c r="Z135" s="2">
        <f>('L-Values'!V135*'D(Ti_Jollands) Times'!$F135*0.000001)^2/(4*'D(Ti_Jollands) Times'!$C135)/(365.35*24*3600)</f>
        <v>32850.08915540803</v>
      </c>
      <c r="AA135" s="2">
        <f>('L-Values'!W135*'D(Ti_Jollands) Times'!$F135*0.000001)^2/(4*'D(Ti_Jollands) Times'!$C135)/(365.35*24*3600)</f>
        <v>9.9133696201250743</v>
      </c>
      <c r="AB135" s="2">
        <f>('L-Values'!X135*'D(Ti_Jollands) Times'!$F135*0.000001)^2/(4*'D(Ti_Jollands) Times'!$C135)/(365.35*24*3600)</f>
        <v>176579.63706223574</v>
      </c>
      <c r="AC135" s="2">
        <f t="shared" si="10"/>
        <v>32840.175785787906</v>
      </c>
      <c r="AD135" s="2">
        <f t="shared" si="11"/>
        <v>143729.54790682771</v>
      </c>
    </row>
    <row r="136" spans="1:30" x14ac:dyDescent="0.2">
      <c r="A136" t="str">
        <f>'L-Values'!A136</f>
        <v>CGI008-qtz11-CL-fit-1-offset</v>
      </c>
      <c r="B136">
        <v>750</v>
      </c>
      <c r="C136">
        <f t="shared" si="8"/>
        <v>6.6965312637759184E-25</v>
      </c>
      <c r="D136">
        <v>1800</v>
      </c>
      <c r="E136">
        <v>1024</v>
      </c>
      <c r="F136">
        <f t="shared" si="9"/>
        <v>1.7578125</v>
      </c>
      <c r="I136" s="2">
        <f>('L-Values'!E136*'D(Ti_Jollands) Times'!$F136*0.000001)^2/(4*'D(Ti_Jollands) Times'!$C136)/(365.35*24*3600)</f>
        <v>780274.9361981604</v>
      </c>
      <c r="J136" s="2">
        <f>('L-Values'!F136*'D(Ti_Jollands) Times'!$F136*0.000001)^2/(4*'D(Ti_Jollands) Times'!$C136)/(365.35*24*3600)</f>
        <v>319637.95977374801</v>
      </c>
      <c r="K136" s="2">
        <f>('L-Values'!G136*'D(Ti_Jollands) Times'!$F136*0.000001)^2/(4*'D(Ti_Jollands) Times'!$C136)/(365.35*24*3600)</f>
        <v>298422.12779583805</v>
      </c>
      <c r="L136" s="2">
        <f>('L-Values'!H136*'D(Ti_Jollands) Times'!$F136*0.000001)^2/(4*'D(Ti_Jollands) Times'!$C136)/(365.35*24*3600)</f>
        <v>1035833.8676362601</v>
      </c>
      <c r="M136" s="2">
        <f>('L-Values'!I136*'D(Ti_Jollands) Times'!$F136*0.000001)^2/(4*'D(Ti_Jollands) Times'!$C136)/(365.35*24*3600)</f>
        <v>1363262.0651093447</v>
      </c>
      <c r="N136" s="2">
        <f>('L-Values'!J136*'D(Ti_Jollands) Times'!$F136*0.000001)^2/(4*'D(Ti_Jollands) Times'!$C136)/(365.35*24*3600)</f>
        <v>1919346.7806171726</v>
      </c>
      <c r="O136" s="2">
        <f>('L-Values'!K136*'D(Ti_Jollands) Times'!$F136*0.000001)^2/(4*'D(Ti_Jollands) Times'!$C136)/(365.35*24*3600)</f>
        <v>743377.62433802895</v>
      </c>
      <c r="P136" s="2">
        <f>('L-Values'!L136*'D(Ti_Jollands) Times'!$F136*0.000001)^2/(4*'D(Ti_Jollands) Times'!$C136)/(365.35*24*3600)</f>
        <v>519186.48195199529</v>
      </c>
      <c r="Q136" s="2">
        <f>('L-Values'!M136*'D(Ti_Jollands) Times'!$F136*0.000001)^2/(4*'D(Ti_Jollands) Times'!$C136)/(365.35*24*3600)</f>
        <v>1055884.6694806328</v>
      </c>
      <c r="R136" s="2">
        <f>('L-Values'!N136*'D(Ti_Jollands) Times'!$F136*0.000001)^2/(4*'D(Ti_Jollands) Times'!$C136)/(365.35*24*3600)</f>
        <v>41532.804455886951</v>
      </c>
      <c r="S136" s="2">
        <f>('L-Values'!O136*'D(Ti_Jollands) Times'!$F136*0.000001)^2/(4*'D(Ti_Jollands) Times'!$C136)/(365.35*24*3600)</f>
        <v>60099.687352527661</v>
      </c>
      <c r="T136" s="2"/>
      <c r="U136" s="2">
        <f>('L-Values'!Q136*'D(Ti_Jollands) Times'!$F136*0.000001)^2/(4*'D(Ti_Jollands) Times'!$C136)/(365.35*24*3600)</f>
        <v>656387.02775192703</v>
      </c>
      <c r="V136" s="2">
        <f>('L-Values'!R136*'D(Ti_Jollands) Times'!$F136*0.000001)^2/(4*'D(Ti_Jollands) Times'!$C136)/(365.35*24*3600)</f>
        <v>614795.69202389615</v>
      </c>
      <c r="W136" s="2">
        <f>('L-Values'!S136*'D(Ti_Jollands) Times'!$F136*0.000001)^2/(4*'D(Ti_Jollands) Times'!$C136)/(365.35*24*3600)</f>
        <v>743377.62433802895</v>
      </c>
      <c r="X136" s="2"/>
      <c r="Y136" s="2">
        <f>('L-Values'!U136*'D(Ti_Jollands) Times'!$F136*0.000001)^2/(4*'D(Ti_Jollands) Times'!$C136)/(365.35*24*3600)</f>
        <v>594312.88954108569</v>
      </c>
      <c r="Z136" s="2">
        <f>('L-Values'!V136*'D(Ti_Jollands) Times'!$F136*0.000001)^2/(4*'D(Ti_Jollands) Times'!$C136)/(365.35*24*3600)</f>
        <v>666038.0571245146</v>
      </c>
      <c r="AA136" s="2">
        <f>('L-Values'!W136*'D(Ti_Jollands) Times'!$F136*0.000001)^2/(4*'D(Ti_Jollands) Times'!$C136)/(365.35*24*3600)</f>
        <v>44470.04739182179</v>
      </c>
      <c r="AB136" s="2">
        <f>('L-Values'!X136*'D(Ti_Jollands) Times'!$F136*0.000001)^2/(4*'D(Ti_Jollands) Times'!$C136)/(365.35*24*3600)</f>
        <v>2578171.7397464458</v>
      </c>
      <c r="AC136" s="2">
        <f t="shared" si="10"/>
        <v>621568.00973269285</v>
      </c>
      <c r="AD136" s="2">
        <f t="shared" si="11"/>
        <v>1912133.6826219312</v>
      </c>
    </row>
    <row r="137" spans="1:30" x14ac:dyDescent="0.2">
      <c r="A137" t="str">
        <f>'L-Values'!A137</f>
        <v>CGI008-qtz11-CL-fit-2-offset</v>
      </c>
      <c r="B137">
        <v>750</v>
      </c>
      <c r="C137">
        <f t="shared" si="8"/>
        <v>6.6965312637759184E-25</v>
      </c>
      <c r="D137">
        <v>1800</v>
      </c>
      <c r="E137">
        <v>1024</v>
      </c>
      <c r="F137">
        <f t="shared" si="9"/>
        <v>1.7578125</v>
      </c>
      <c r="I137" s="2">
        <f>('L-Values'!E137*'D(Ti_Jollands) Times'!$F137*0.000001)^2/(4*'D(Ti_Jollands) Times'!$C137)/(365.35*24*3600)</f>
        <v>205010.44345045445</v>
      </c>
      <c r="J137" s="2">
        <f>('L-Values'!F137*'D(Ti_Jollands) Times'!$F137*0.000001)^2/(4*'D(Ti_Jollands) Times'!$C137)/(365.35*24*3600)</f>
        <v>85302.496072193608</v>
      </c>
      <c r="K137" s="2">
        <f>('L-Values'!G137*'D(Ti_Jollands) Times'!$F137*0.000001)^2/(4*'D(Ti_Jollands) Times'!$C137)/(365.35*24*3600)</f>
        <v>309638.98087824654</v>
      </c>
      <c r="L137" s="2">
        <f>('L-Values'!H137*'D(Ti_Jollands) Times'!$F137*0.000001)^2/(4*'D(Ti_Jollands) Times'!$C137)/(365.35*24*3600)</f>
        <v>308935.1847051878</v>
      </c>
      <c r="M137" s="2">
        <f>('L-Values'!I137*'D(Ti_Jollands) Times'!$F137*0.000001)^2/(4*'D(Ti_Jollands) Times'!$C137)/(365.35*24*3600)</f>
        <v>304531.43748099654</v>
      </c>
      <c r="N137" s="2">
        <f>('L-Values'!J137*'D(Ti_Jollands) Times'!$F137*0.000001)^2/(4*'D(Ti_Jollands) Times'!$C137)/(365.35*24*3600)</f>
        <v>1008270.2231640076</v>
      </c>
      <c r="O137" s="2">
        <f>('L-Values'!K137*'D(Ti_Jollands) Times'!$F137*0.000001)^2/(4*'D(Ti_Jollands) Times'!$C137)/(365.35*24*3600)</f>
        <v>306663.77271233039</v>
      </c>
      <c r="P137" s="2">
        <f>('L-Values'!L137*'D(Ti_Jollands) Times'!$F137*0.000001)^2/(4*'D(Ti_Jollands) Times'!$C137)/(365.35*24*3600)</f>
        <v>1192102.3227032602</v>
      </c>
      <c r="Q137" s="2">
        <f>('L-Values'!M137*'D(Ti_Jollands) Times'!$F137*0.000001)^2/(4*'D(Ti_Jollands) Times'!$C137)/(365.35*24*3600)</f>
        <v>1316768.7199780697</v>
      </c>
      <c r="R137" s="2">
        <f>('L-Values'!N137*'D(Ti_Jollands) Times'!$F137*0.000001)^2/(4*'D(Ti_Jollands) Times'!$C137)/(365.35*24*3600)</f>
        <v>1877966.069594821</v>
      </c>
      <c r="S137" s="2">
        <f>('L-Values'!O137*'D(Ti_Jollands) Times'!$F137*0.000001)^2/(4*'D(Ti_Jollands) Times'!$C137)/(365.35*24*3600)</f>
        <v>2175044.1176345269</v>
      </c>
      <c r="T137" s="2"/>
      <c r="U137" s="2">
        <f>('L-Values'!Q137*'D(Ti_Jollands) Times'!$F137*0.000001)^2/(4*'D(Ti_Jollands) Times'!$C137)/(365.35*24*3600)</f>
        <v>678100.75711110502</v>
      </c>
      <c r="V137" s="2">
        <f>('L-Values'!R137*'D(Ti_Jollands) Times'!$F137*0.000001)^2/(4*'D(Ti_Jollands) Times'!$C137)/(365.35*24*3600)</f>
        <v>677088.51305242395</v>
      </c>
      <c r="W137" s="2">
        <f>('L-Values'!S137*'D(Ti_Jollands) Times'!$F137*0.000001)^2/(4*'D(Ti_Jollands) Times'!$C137)/(365.35*24*3600)</f>
        <v>309638.98087824654</v>
      </c>
      <c r="X137" s="2"/>
      <c r="Y137" s="2">
        <f>('L-Values'!U137*'D(Ti_Jollands) Times'!$F137*0.000001)^2/(4*'D(Ti_Jollands) Times'!$C137)/(365.35*24*3600)</f>
        <v>738593.82854528236</v>
      </c>
      <c r="Z137" s="2">
        <f>('L-Values'!V137*'D(Ti_Jollands) Times'!$F137*0.000001)^2/(4*'D(Ti_Jollands) Times'!$C137)/(365.35*24*3600)</f>
        <v>821161.67423960834</v>
      </c>
      <c r="AA137" s="2">
        <f>('L-Values'!W137*'D(Ti_Jollands) Times'!$F137*0.000001)^2/(4*'D(Ti_Jollands) Times'!$C137)/(365.35*24*3600)</f>
        <v>132050.15967911814</v>
      </c>
      <c r="AB137" s="2">
        <f>('L-Values'!X137*'D(Ti_Jollands) Times'!$F137*0.000001)^2/(4*'D(Ti_Jollands) Times'!$C137)/(365.35*24*3600)</f>
        <v>3141135.5258764764</v>
      </c>
      <c r="AC137" s="2">
        <f t="shared" si="10"/>
        <v>689111.51456049015</v>
      </c>
      <c r="AD137" s="2">
        <f t="shared" si="11"/>
        <v>2319973.851636868</v>
      </c>
    </row>
    <row r="138" spans="1:30" x14ac:dyDescent="0.2">
      <c r="A138" t="str">
        <f>'L-Values'!A138</f>
        <v>CGI008-qtz11-CL-fit-3-offset</v>
      </c>
      <c r="B138">
        <v>750</v>
      </c>
      <c r="C138">
        <f t="shared" si="8"/>
        <v>6.6965312637759184E-25</v>
      </c>
      <c r="D138">
        <v>1800</v>
      </c>
      <c r="E138">
        <v>1024</v>
      </c>
      <c r="F138">
        <f t="shared" si="9"/>
        <v>1.7578125</v>
      </c>
      <c r="I138" s="2">
        <f>('L-Values'!E138*'D(Ti_Jollands) Times'!$F138*0.000001)^2/(4*'D(Ti_Jollands) Times'!$C138)/(365.35*24*3600)</f>
        <v>877.00939070856111</v>
      </c>
      <c r="J138" s="2">
        <f>('L-Values'!F138*'D(Ti_Jollands) Times'!$F138*0.000001)^2/(4*'D(Ti_Jollands) Times'!$C138)/(365.35*24*3600)</f>
        <v>13893.606521395179</v>
      </c>
      <c r="K138" s="2">
        <f>('L-Values'!G138*'D(Ti_Jollands) Times'!$F138*0.000001)^2/(4*'D(Ti_Jollands) Times'!$C138)/(365.35*24*3600)</f>
        <v>45951.216099877296</v>
      </c>
      <c r="L138" s="2">
        <f>('L-Values'!H138*'D(Ti_Jollands) Times'!$F138*0.000001)^2/(4*'D(Ti_Jollands) Times'!$C138)/(365.35*24*3600)</f>
        <v>1180.0059354311004</v>
      </c>
      <c r="M138" s="2">
        <f>('L-Values'!I138*'D(Ti_Jollands) Times'!$F138*0.000001)^2/(4*'D(Ti_Jollands) Times'!$C138)/(365.35*24*3600)</f>
        <v>7079.0319779342299</v>
      </c>
      <c r="N138" s="2">
        <f>('L-Values'!J138*'D(Ti_Jollands) Times'!$F138*0.000001)^2/(4*'D(Ti_Jollands) Times'!$C138)/(365.35*24*3600)</f>
        <v>1359.7853784369613</v>
      </c>
      <c r="O138" s="2">
        <f>('L-Values'!K138*'D(Ti_Jollands) Times'!$F138*0.000001)^2/(4*'D(Ti_Jollands) Times'!$C138)/(365.35*24*3600)</f>
        <v>46359.846922045879</v>
      </c>
      <c r="P138" s="2">
        <f>('L-Values'!L138*'D(Ti_Jollands) Times'!$F138*0.000001)^2/(4*'D(Ti_Jollands) Times'!$C138)/(365.35*24*3600)</f>
        <v>36913.971386405021</v>
      </c>
      <c r="Q138" s="2">
        <f>('L-Values'!M138*'D(Ti_Jollands) Times'!$F138*0.000001)^2/(4*'D(Ti_Jollands) Times'!$C138)/(365.35*24*3600)</f>
        <v>13455.955428804458</v>
      </c>
      <c r="R138" s="2">
        <f>('L-Values'!N138*'D(Ti_Jollands) Times'!$F138*0.000001)^2/(4*'D(Ti_Jollands) Times'!$C138)/(365.35*24*3600)</f>
        <v>35860.89395140428</v>
      </c>
      <c r="S138" s="2">
        <f>('L-Values'!O138*'D(Ti_Jollands) Times'!$F138*0.000001)^2/(4*'D(Ti_Jollands) Times'!$C138)/(365.35*24*3600)</f>
        <v>17548.574389878835</v>
      </c>
      <c r="T138" s="2"/>
      <c r="U138" s="2">
        <f>('L-Values'!Q138*'D(Ti_Jollands) Times'!$F138*0.000001)^2/(4*'D(Ti_Jollands) Times'!$C138)/(365.35*24*3600)</f>
        <v>29724.977496676158</v>
      </c>
      <c r="V138" s="2">
        <f>('L-Values'!R138*'D(Ti_Jollands) Times'!$F138*0.000001)^2/(4*'D(Ti_Jollands) Times'!$C138)/(365.35*24*3600)</f>
        <v>15342.09521160538</v>
      </c>
      <c r="W138" s="2">
        <f>('L-Values'!S138*'D(Ti_Jollands) Times'!$F138*0.000001)^2/(4*'D(Ti_Jollands) Times'!$C138)/(365.35*24*3600)</f>
        <v>13893.606521395179</v>
      </c>
      <c r="X138" s="2"/>
      <c r="Y138" s="2">
        <f>('L-Values'!U138*'D(Ti_Jollands) Times'!$F138*0.000001)^2/(4*'D(Ti_Jollands) Times'!$C138)/(365.35*24*3600)</f>
        <v>22458.268082324535</v>
      </c>
      <c r="Z138" s="2">
        <f>('L-Values'!V138*'D(Ti_Jollands) Times'!$F138*0.000001)^2/(4*'D(Ti_Jollands) Times'!$C138)/(365.35*24*3600)</f>
        <v>22009.969222328735</v>
      </c>
      <c r="AA138" s="2">
        <f>('L-Values'!W138*'D(Ti_Jollands) Times'!$F138*0.000001)^2/(4*'D(Ti_Jollands) Times'!$C138)/(365.35*24*3600)</f>
        <v>1252.5457081132715</v>
      </c>
      <c r="AB138" s="2">
        <f>('L-Values'!X138*'D(Ti_Jollands) Times'!$F138*0.000001)^2/(4*'D(Ti_Jollands) Times'!$C138)/(365.35*24*3600)</f>
        <v>119374.62619661141</v>
      </c>
      <c r="AC138" s="2">
        <f t="shared" si="10"/>
        <v>20757.423514215465</v>
      </c>
      <c r="AD138" s="2">
        <f t="shared" si="11"/>
        <v>97364.656974282669</v>
      </c>
    </row>
    <row r="139" spans="1:30" x14ac:dyDescent="0.2">
      <c r="A139" t="str">
        <f>'L-Values'!A139</f>
        <v>CGI008-qtz11-CL-fit-4-offset</v>
      </c>
      <c r="B139">
        <v>750</v>
      </c>
      <c r="C139">
        <f t="shared" si="8"/>
        <v>6.6965312637759184E-25</v>
      </c>
      <c r="D139">
        <v>1800</v>
      </c>
      <c r="E139">
        <v>1024</v>
      </c>
      <c r="F139">
        <f t="shared" si="9"/>
        <v>1.7578125</v>
      </c>
      <c r="I139" s="2">
        <f>('L-Values'!E139*'D(Ti_Jollands) Times'!$F139*0.000001)^2/(4*'D(Ti_Jollands) Times'!$C139)/(365.35*24*3600)</f>
        <v>6359.0421059934006</v>
      </c>
      <c r="J139" s="2">
        <f>('L-Values'!F139*'D(Ti_Jollands) Times'!$F139*0.000001)^2/(4*'D(Ti_Jollands) Times'!$C139)/(365.35*24*3600)</f>
        <v>42683.829145520314</v>
      </c>
      <c r="K139" s="2">
        <f>('L-Values'!G139*'D(Ti_Jollands) Times'!$F139*0.000001)^2/(4*'D(Ti_Jollands) Times'!$C139)/(365.35*24*3600)</f>
        <v>1934.4818154209891</v>
      </c>
      <c r="L139" s="2">
        <f>('L-Values'!H139*'D(Ti_Jollands) Times'!$F139*0.000001)^2/(4*'D(Ti_Jollands) Times'!$C139)/(365.35*24*3600)</f>
        <v>49518.627963471161</v>
      </c>
      <c r="M139" s="2">
        <f>('L-Values'!I139*'D(Ti_Jollands) Times'!$F139*0.000001)^2/(4*'D(Ti_Jollands) Times'!$C139)/(365.35*24*3600)</f>
        <v>32090.579780354812</v>
      </c>
      <c r="N139" s="2">
        <f>('L-Values'!J139*'D(Ti_Jollands) Times'!$F139*0.000001)^2/(4*'D(Ti_Jollands) Times'!$C139)/(365.35*24*3600)</f>
        <v>1351.6964525673377</v>
      </c>
      <c r="O139" s="2">
        <f>('L-Values'!K139*'D(Ti_Jollands) Times'!$F139*0.000001)^2/(4*'D(Ti_Jollands) Times'!$C139)/(365.35*24*3600)</f>
        <v>1569.6460153854475</v>
      </c>
      <c r="P139" s="2">
        <f>('L-Values'!L139*'D(Ti_Jollands) Times'!$F139*0.000001)^2/(4*'D(Ti_Jollands) Times'!$C139)/(365.35*24*3600)</f>
        <v>2631.0569177331718</v>
      </c>
      <c r="Q139" s="2">
        <f>('L-Values'!M139*'D(Ti_Jollands) Times'!$F139*0.000001)^2/(4*'D(Ti_Jollands) Times'!$C139)/(365.35*24*3600)</f>
        <v>19689.042232543186</v>
      </c>
      <c r="R139" s="2">
        <f>('L-Values'!N139*'D(Ti_Jollands) Times'!$F139*0.000001)^2/(4*'D(Ti_Jollands) Times'!$C139)/(365.35*24*3600)</f>
        <v>29.118415393321559</v>
      </c>
      <c r="S139" s="2">
        <f>('L-Values'!O139*'D(Ti_Jollands) Times'!$F139*0.000001)^2/(4*'D(Ti_Jollands) Times'!$C139)/(365.35*24*3600)</f>
        <v>2109.892592447371</v>
      </c>
      <c r="T139" s="2"/>
      <c r="U139" s="2">
        <f>('L-Values'!Q139*'D(Ti_Jollands) Times'!$F139*0.000001)^2/(4*'D(Ti_Jollands) Times'!$C139)/(365.35*24*3600)</f>
        <v>4941.2711609668431</v>
      </c>
      <c r="V139" s="2">
        <f>('L-Values'!R139*'D(Ti_Jollands) Times'!$F139*0.000001)^2/(4*'D(Ti_Jollands) Times'!$C139)/(365.35*24*3600)</f>
        <v>9134.4698424737926</v>
      </c>
      <c r="W139" s="2">
        <f>('L-Values'!S139*'D(Ti_Jollands) Times'!$F139*0.000001)^2/(4*'D(Ti_Jollands) Times'!$C139)/(365.35*24*3600)</f>
        <v>2631.0569177331718</v>
      </c>
      <c r="X139" s="2"/>
      <c r="Y139" s="2">
        <f>('L-Values'!U139*'D(Ti_Jollands) Times'!$F139*0.000001)^2/(4*'D(Ti_Jollands) Times'!$C139)/(365.35*24*3600)</f>
        <v>5673.8927871281276</v>
      </c>
      <c r="Z139" s="2">
        <f>('L-Values'!V139*'D(Ti_Jollands) Times'!$F139*0.000001)^2/(4*'D(Ti_Jollands) Times'!$C139)/(365.35*24*3600)</f>
        <v>11815.059388199419</v>
      </c>
      <c r="AA139" s="2">
        <f>('L-Values'!W139*'D(Ti_Jollands) Times'!$F139*0.000001)^2/(4*'D(Ti_Jollands) Times'!$C139)/(365.35*24*3600)</f>
        <v>4.2650988399624863</v>
      </c>
      <c r="AB139" s="2">
        <f>('L-Values'!X139*'D(Ti_Jollands) Times'!$F139*0.000001)^2/(4*'D(Ti_Jollands) Times'!$C139)/(365.35*24*3600)</f>
        <v>109498.05789267302</v>
      </c>
      <c r="AC139" s="2">
        <f t="shared" si="10"/>
        <v>11810.794289359457</v>
      </c>
      <c r="AD139" s="2">
        <f t="shared" si="11"/>
        <v>97682.99850447361</v>
      </c>
    </row>
    <row r="140" spans="1:30" x14ac:dyDescent="0.2">
      <c r="A140" t="str">
        <f>'L-Values'!A140</f>
        <v>CGI008-qtz12-CL-fit-1-offset</v>
      </c>
      <c r="B140">
        <v>750</v>
      </c>
      <c r="C140">
        <f t="shared" si="8"/>
        <v>6.6965312637759184E-25</v>
      </c>
      <c r="D140">
        <v>1700</v>
      </c>
      <c r="E140">
        <v>1024</v>
      </c>
      <c r="F140">
        <f t="shared" si="9"/>
        <v>1.66015625</v>
      </c>
      <c r="I140" s="2">
        <f>('L-Values'!E140*'D(Ti_Jollands) Times'!$F140*0.000001)^2/(4*'D(Ti_Jollands) Times'!$C140)/(365.35*24*3600)</f>
        <v>208566.63090211686</v>
      </c>
      <c r="J140" s="2">
        <f>('L-Values'!F140*'D(Ti_Jollands) Times'!$F140*0.000001)^2/(4*'D(Ti_Jollands) Times'!$C140)/(365.35*24*3600)</f>
        <v>382609.00949863694</v>
      </c>
      <c r="K140" s="2">
        <f>('L-Values'!G140*'D(Ti_Jollands) Times'!$F140*0.000001)^2/(4*'D(Ti_Jollands) Times'!$C140)/(365.35*24*3600)</f>
        <v>750629.6202483346</v>
      </c>
      <c r="L140" s="2">
        <f>('L-Values'!H140*'D(Ti_Jollands) Times'!$F140*0.000001)^2/(4*'D(Ti_Jollands) Times'!$C140)/(365.35*24*3600)</f>
        <v>1023633.8864848962</v>
      </c>
      <c r="M140" s="2">
        <f>('L-Values'!I140*'D(Ti_Jollands) Times'!$F140*0.000001)^2/(4*'D(Ti_Jollands) Times'!$C140)/(365.35*24*3600)</f>
        <v>172581.1814164517</v>
      </c>
      <c r="N140" s="2">
        <f>('L-Values'!J140*'D(Ti_Jollands) Times'!$F140*0.000001)^2/(4*'D(Ti_Jollands) Times'!$C140)/(365.35*24*3600)</f>
        <v>322109.94725545752</v>
      </c>
      <c r="O140" s="2">
        <f>('L-Values'!K140*'D(Ti_Jollands) Times'!$F140*0.000001)^2/(4*'D(Ti_Jollands) Times'!$C140)/(365.35*24*3600)</f>
        <v>808413.76473597495</v>
      </c>
      <c r="P140" s="2">
        <f>('L-Values'!L140*'D(Ti_Jollands) Times'!$F140*0.000001)^2/(4*'D(Ti_Jollands) Times'!$C140)/(365.35*24*3600)</f>
        <v>1687903.8065524839</v>
      </c>
      <c r="Q140" s="2">
        <f>('L-Values'!M140*'D(Ti_Jollands) Times'!$F140*0.000001)^2/(4*'D(Ti_Jollands) Times'!$C140)/(365.35*24*3600)</f>
        <v>1552864.0116828158</v>
      </c>
      <c r="R140" s="2">
        <f>('L-Values'!N140*'D(Ti_Jollands) Times'!$F140*0.000001)^2/(4*'D(Ti_Jollands) Times'!$C140)/(365.35*24*3600)</f>
        <v>584197.04720967275</v>
      </c>
      <c r="S140" s="2">
        <f>('L-Values'!O140*'D(Ti_Jollands) Times'!$F140*0.000001)^2/(4*'D(Ti_Jollands) Times'!$C140)/(365.35*24*3600)</f>
        <v>137729.31622845947</v>
      </c>
      <c r="T140" s="2"/>
      <c r="U140" s="2">
        <f>('L-Values'!Q140*'D(Ti_Jollands) Times'!$F140*0.000001)^2/(4*'D(Ti_Jollands) Times'!$C140)/(365.35*24*3600)</f>
        <v>587794.62892749335</v>
      </c>
      <c r="V140" s="2">
        <f>('L-Values'!R140*'D(Ti_Jollands) Times'!$F140*0.000001)^2/(4*'D(Ti_Jollands) Times'!$C140)/(365.35*24*3600)</f>
        <v>599393.55906675314</v>
      </c>
      <c r="W140" s="2">
        <f>('L-Values'!S140*'D(Ti_Jollands) Times'!$F140*0.000001)^2/(4*'D(Ti_Jollands) Times'!$C140)/(365.35*24*3600)</f>
        <v>584197.04720967275</v>
      </c>
      <c r="X140" s="2"/>
      <c r="Y140" s="2">
        <f>('L-Values'!U140*'D(Ti_Jollands) Times'!$F140*0.000001)^2/(4*'D(Ti_Jollands) Times'!$C140)/(365.35*24*3600)</f>
        <v>621958.61826854094</v>
      </c>
      <c r="Z140" s="2">
        <f>('L-Values'!V140*'D(Ti_Jollands) Times'!$F140*0.000001)^2/(4*'D(Ti_Jollands) Times'!$C140)/(365.35*24*3600)</f>
        <v>615063.40756501048</v>
      </c>
      <c r="AA140" s="2">
        <f>('L-Values'!W140*'D(Ti_Jollands) Times'!$F140*0.000001)^2/(4*'D(Ti_Jollands) Times'!$C140)/(365.35*24*3600)</f>
        <v>72651.017412810223</v>
      </c>
      <c r="AB140" s="2">
        <f>('L-Values'!X140*'D(Ti_Jollands) Times'!$F140*0.000001)^2/(4*'D(Ti_Jollands) Times'!$C140)/(365.35*24*3600)</f>
        <v>1936345.7637760427</v>
      </c>
      <c r="AC140" s="2">
        <f t="shared" si="10"/>
        <v>542412.39015220024</v>
      </c>
      <c r="AD140" s="2">
        <f t="shared" si="11"/>
        <v>1321282.3562110323</v>
      </c>
    </row>
    <row r="141" spans="1:30" x14ac:dyDescent="0.2">
      <c r="A141" t="str">
        <f>'L-Values'!A141</f>
        <v>CGI008-qtz12-CL-fit-2-offset</v>
      </c>
      <c r="B141">
        <v>750</v>
      </c>
      <c r="C141">
        <f t="shared" si="8"/>
        <v>6.6965312637759184E-25</v>
      </c>
      <c r="D141">
        <v>1700</v>
      </c>
      <c r="E141">
        <v>1024</v>
      </c>
      <c r="F141">
        <f t="shared" si="9"/>
        <v>1.66015625</v>
      </c>
      <c r="I141" s="2">
        <f>('L-Values'!E141*'D(Ti_Jollands) Times'!$F141*0.000001)^2/(4*'D(Ti_Jollands) Times'!$C141)/(365.35*24*3600)</f>
        <v>42718.928925657143</v>
      </c>
      <c r="J141" s="2">
        <f>('L-Values'!F141*'D(Ti_Jollands) Times'!$F141*0.000001)^2/(4*'D(Ti_Jollands) Times'!$C141)/(365.35*24*3600)</f>
        <v>37694.829171049387</v>
      </c>
      <c r="K141" s="2">
        <f>('L-Values'!G141*'D(Ti_Jollands) Times'!$F141*0.000001)^2/(4*'D(Ti_Jollands) Times'!$C141)/(365.35*24*3600)</f>
        <v>9645.3775940077576</v>
      </c>
      <c r="L141" s="2">
        <f>('L-Values'!H141*'D(Ti_Jollands) Times'!$F141*0.000001)^2/(4*'D(Ti_Jollands) Times'!$C141)/(365.35*24*3600)</f>
        <v>171.56899038210395</v>
      </c>
      <c r="M141" s="2">
        <f>('L-Values'!I141*'D(Ti_Jollands) Times'!$F141*0.000001)^2/(4*'D(Ti_Jollands) Times'!$C141)/(365.35*24*3600)</f>
        <v>21136.975693293643</v>
      </c>
      <c r="N141" s="2">
        <f>('L-Values'!J141*'D(Ti_Jollands) Times'!$F141*0.000001)^2/(4*'D(Ti_Jollands) Times'!$C141)/(365.35*24*3600)</f>
        <v>2346.7827261982738</v>
      </c>
      <c r="O141" s="2">
        <f>('L-Values'!K141*'D(Ti_Jollands) Times'!$F141*0.000001)^2/(4*'D(Ti_Jollands) Times'!$C141)/(365.35*24*3600)</f>
        <v>32358.552348175392</v>
      </c>
      <c r="P141" s="2">
        <f>('L-Values'!L141*'D(Ti_Jollands) Times'!$F141*0.000001)^2/(4*'D(Ti_Jollands) Times'!$C141)/(365.35*24*3600)</f>
        <v>3404.4323048288661</v>
      </c>
      <c r="Q141" s="2">
        <f>('L-Values'!M141*'D(Ti_Jollands) Times'!$F141*0.000001)^2/(4*'D(Ti_Jollands) Times'!$C141)/(365.35*24*3600)</f>
        <v>2050.3623812897167</v>
      </c>
      <c r="R141" s="2">
        <f>('L-Values'!N141*'D(Ti_Jollands) Times'!$F141*0.000001)^2/(4*'D(Ti_Jollands) Times'!$C141)/(365.35*24*3600)</f>
        <v>25661.003899360549</v>
      </c>
      <c r="S141" s="2">
        <f>('L-Values'!O141*'D(Ti_Jollands) Times'!$F141*0.000001)^2/(4*'D(Ti_Jollands) Times'!$C141)/(365.35*24*3600)</f>
        <v>49677.203977956029</v>
      </c>
      <c r="T141" s="2"/>
      <c r="U141" s="2">
        <f>('L-Values'!Q141*'D(Ti_Jollands) Times'!$F141*0.000001)^2/(4*'D(Ti_Jollands) Times'!$C141)/(365.35*24*3600)</f>
        <v>2320.3479418259503</v>
      </c>
      <c r="V141" s="2">
        <f>('L-Values'!R141*'D(Ti_Jollands) Times'!$F141*0.000001)^2/(4*'D(Ti_Jollands) Times'!$C141)/(365.35*24*3600)</f>
        <v>15569.669624498685</v>
      </c>
      <c r="W141" s="2">
        <f>('L-Values'!S141*'D(Ti_Jollands) Times'!$F141*0.000001)^2/(4*'D(Ti_Jollands) Times'!$C141)/(365.35*24*3600)</f>
        <v>21136.975693293643</v>
      </c>
      <c r="X141" s="2"/>
      <c r="Y141" s="2">
        <f>('L-Values'!U141*'D(Ti_Jollands) Times'!$F141*0.000001)^2/(4*'D(Ti_Jollands) Times'!$C141)/(365.35*24*3600)</f>
        <v>2618.2786242652433</v>
      </c>
      <c r="Z141" s="2">
        <f>('L-Values'!V141*'D(Ti_Jollands) Times'!$F141*0.000001)^2/(4*'D(Ti_Jollands) Times'!$C141)/(365.35*24*3600)</f>
        <v>13571.868836096355</v>
      </c>
      <c r="AA141" s="2">
        <f>('L-Values'!W141*'D(Ti_Jollands) Times'!$F141*0.000001)^2/(4*'D(Ti_Jollands) Times'!$C141)/(365.35*24*3600)</f>
        <v>124.28869587301283</v>
      </c>
      <c r="AB141" s="2">
        <f>('L-Values'!X141*'D(Ti_Jollands) Times'!$F141*0.000001)^2/(4*'D(Ti_Jollands) Times'!$C141)/(365.35*24*3600)</f>
        <v>141577.01609623161</v>
      </c>
      <c r="AC141" s="2">
        <f t="shared" si="10"/>
        <v>13447.580140223343</v>
      </c>
      <c r="AD141" s="2">
        <f t="shared" si="11"/>
        <v>128005.14726013526</v>
      </c>
    </row>
    <row r="142" spans="1:30" x14ac:dyDescent="0.2">
      <c r="A142" t="str">
        <f>'L-Values'!A142</f>
        <v>CGI008-qtz12-CL-fit-3-offset</v>
      </c>
      <c r="B142">
        <v>750</v>
      </c>
      <c r="C142">
        <f t="shared" si="8"/>
        <v>6.6965312637759184E-25</v>
      </c>
      <c r="D142">
        <v>1700</v>
      </c>
      <c r="E142">
        <v>1024</v>
      </c>
      <c r="F142">
        <f t="shared" si="9"/>
        <v>1.66015625</v>
      </c>
      <c r="I142" s="2">
        <f>('L-Values'!E142*'D(Ti_Jollands) Times'!$F142*0.000001)^2/(4*'D(Ti_Jollands) Times'!$C142)/(365.35*24*3600)</f>
        <v>338700.03549858305</v>
      </c>
      <c r="J142" s="2">
        <f>('L-Values'!F142*'D(Ti_Jollands) Times'!$F142*0.000001)^2/(4*'D(Ti_Jollands) Times'!$C142)/(365.35*24*3600)</f>
        <v>188124.86172876114</v>
      </c>
      <c r="K142" s="2">
        <f>('L-Values'!G142*'D(Ti_Jollands) Times'!$F142*0.000001)^2/(4*'D(Ti_Jollands) Times'!$C142)/(365.35*24*3600)</f>
        <v>315588.05941934261</v>
      </c>
      <c r="L142" s="2">
        <f>('L-Values'!H142*'D(Ti_Jollands) Times'!$F142*0.000001)^2/(4*'D(Ti_Jollands) Times'!$C142)/(365.35*24*3600)</f>
        <v>322162.78151982545</v>
      </c>
      <c r="M142" s="2">
        <f>('L-Values'!I142*'D(Ti_Jollands) Times'!$F142*0.000001)^2/(4*'D(Ti_Jollands) Times'!$C142)/(365.35*24*3600)</f>
        <v>425932.11456774903</v>
      </c>
      <c r="N142" s="2">
        <f>('L-Values'!J142*'D(Ti_Jollands) Times'!$F142*0.000001)^2/(4*'D(Ti_Jollands) Times'!$C142)/(365.35*24*3600)</f>
        <v>416988.81603735249</v>
      </c>
      <c r="O142" s="2">
        <f>('L-Values'!K142*'D(Ti_Jollands) Times'!$F142*0.000001)^2/(4*'D(Ti_Jollands) Times'!$C142)/(365.35*24*3600)</f>
        <v>388056.67270723352</v>
      </c>
      <c r="P142" s="2">
        <f>('L-Values'!L142*'D(Ti_Jollands) Times'!$F142*0.000001)^2/(4*'D(Ti_Jollands) Times'!$C142)/(365.35*24*3600)</f>
        <v>430028.46770810068</v>
      </c>
      <c r="Q142" s="2">
        <f>('L-Values'!M142*'D(Ti_Jollands) Times'!$F142*0.000001)^2/(4*'D(Ti_Jollands) Times'!$C142)/(365.35*24*3600)</f>
        <v>468693.98754267715</v>
      </c>
      <c r="R142" s="2">
        <f>('L-Values'!N142*'D(Ti_Jollands) Times'!$F142*0.000001)^2/(4*'D(Ti_Jollands) Times'!$C142)/(365.35*24*3600)</f>
        <v>489714.83521597175</v>
      </c>
      <c r="S142" s="2">
        <f>('L-Values'!O142*'D(Ti_Jollands) Times'!$F142*0.000001)^2/(4*'D(Ti_Jollands) Times'!$C142)/(365.35*24*3600)</f>
        <v>260120.52450172475</v>
      </c>
      <c r="T142" s="2"/>
      <c r="U142" s="2">
        <f>('L-Values'!Q142*'D(Ti_Jollands) Times'!$F142*0.000001)^2/(4*'D(Ti_Jollands) Times'!$C142)/(365.35*24*3600)</f>
        <v>381065.66847698099</v>
      </c>
      <c r="V142" s="2">
        <f>('L-Values'!R142*'D(Ti_Jollands) Times'!$F142*0.000001)^2/(4*'D(Ti_Jollands) Times'!$C142)/(365.35*24*3600)</f>
        <v>361812.83692008862</v>
      </c>
      <c r="W142" s="2">
        <f>('L-Values'!S142*'D(Ti_Jollands) Times'!$F142*0.000001)^2/(4*'D(Ti_Jollands) Times'!$C142)/(365.35*24*3600)</f>
        <v>388056.67270723352</v>
      </c>
      <c r="X142" s="2"/>
      <c r="Y142" s="2">
        <f>('L-Values'!U142*'D(Ti_Jollands) Times'!$F142*0.000001)^2/(4*'D(Ti_Jollands) Times'!$C142)/(365.35*24*3600)</f>
        <v>369602.02381647512</v>
      </c>
      <c r="Z142" s="2">
        <f>('L-Values'!V142*'D(Ti_Jollands) Times'!$F142*0.000001)^2/(4*'D(Ti_Jollands) Times'!$C142)/(365.35*24*3600)</f>
        <v>366426.84410889639</v>
      </c>
      <c r="AA142" s="2">
        <f>('L-Values'!W142*'D(Ti_Jollands) Times'!$F142*0.000001)^2/(4*'D(Ti_Jollands) Times'!$C142)/(365.35*24*3600)</f>
        <v>135875.03362925007</v>
      </c>
      <c r="AB142" s="2">
        <f>('L-Values'!X142*'D(Ti_Jollands) Times'!$F142*0.000001)^2/(4*'D(Ti_Jollands) Times'!$C142)/(365.35*24*3600)</f>
        <v>645691.60888380872</v>
      </c>
      <c r="AC142" s="2">
        <f t="shared" si="10"/>
        <v>230551.81047964632</v>
      </c>
      <c r="AD142" s="2">
        <f t="shared" si="11"/>
        <v>279264.76477491233</v>
      </c>
    </row>
    <row r="143" spans="1:30" x14ac:dyDescent="0.2">
      <c r="A143" t="str">
        <f>'L-Values'!A143</f>
        <v>CGI009-qtz01-CL-fit-1-offset</v>
      </c>
      <c r="B143">
        <v>750</v>
      </c>
      <c r="C143">
        <f t="shared" si="8"/>
        <v>6.6965312637759184E-25</v>
      </c>
      <c r="D143">
        <v>1150</v>
      </c>
      <c r="E143">
        <v>1024</v>
      </c>
      <c r="F143">
        <f t="shared" si="9"/>
        <v>1.123046875</v>
      </c>
      <c r="I143" s="2">
        <f>('L-Values'!E143*'D(Ti_Jollands) Times'!$F143*0.000001)^2/(4*'D(Ti_Jollands) Times'!$C143)/(365.35*24*3600)</f>
        <v>27321612.709150683</v>
      </c>
      <c r="J143" s="2">
        <f>('L-Values'!F143*'D(Ti_Jollands) Times'!$F143*0.000001)^2/(4*'D(Ti_Jollands) Times'!$C143)/(365.35*24*3600)</f>
        <v>0</v>
      </c>
      <c r="K143" s="2">
        <f>('L-Values'!G143*'D(Ti_Jollands) Times'!$F143*0.000001)^2/(4*'D(Ti_Jollands) Times'!$C143)/(365.35*24*3600)</f>
        <v>105975.51647568746</v>
      </c>
      <c r="L143" s="2">
        <f>('L-Values'!H143*'D(Ti_Jollands) Times'!$F143*0.000001)^2/(4*'D(Ti_Jollands) Times'!$C143)/(365.35*24*3600)</f>
        <v>56804.985074164353</v>
      </c>
      <c r="M143" s="2">
        <f>('L-Values'!I143*'D(Ti_Jollands) Times'!$F143*0.000001)^2/(4*'D(Ti_Jollands) Times'!$C143)/(365.35*24*3600)</f>
        <v>123490.65870324305</v>
      </c>
      <c r="N143" s="2">
        <f>('L-Values'!J143*'D(Ti_Jollands) Times'!$F143*0.000001)^2/(4*'D(Ti_Jollands) Times'!$C143)/(365.35*24*3600)</f>
        <v>89587.835543324385</v>
      </c>
      <c r="O143" s="2">
        <f>('L-Values'!K143*'D(Ti_Jollands) Times'!$F143*0.000001)^2/(4*'D(Ti_Jollands) Times'!$C143)/(365.35*24*3600)</f>
        <v>139037.64249439171</v>
      </c>
      <c r="P143" s="2">
        <f>('L-Values'!L143*'D(Ti_Jollands) Times'!$F143*0.000001)^2/(4*'D(Ti_Jollands) Times'!$C143)/(365.35*24*3600)</f>
        <v>86710.582086454597</v>
      </c>
      <c r="Q143" s="2">
        <f>('L-Values'!M143*'D(Ti_Jollands) Times'!$F143*0.000001)^2/(4*'D(Ti_Jollands) Times'!$C143)/(365.35*24*3600)</f>
        <v>51269.737908857278</v>
      </c>
      <c r="R143" s="2">
        <f>('L-Values'!N143*'D(Ti_Jollands) Times'!$F143*0.000001)^2/(4*'D(Ti_Jollands) Times'!$C143)/(365.35*24*3600)</f>
        <v>80041.626323713994</v>
      </c>
      <c r="S143" s="2">
        <f>('L-Values'!O143*'D(Ti_Jollands) Times'!$F143*0.000001)^2/(4*'D(Ti_Jollands) Times'!$C143)/(365.35*24*3600)</f>
        <v>150292.27822376162</v>
      </c>
      <c r="T143" s="2"/>
      <c r="U143" s="2">
        <f>('L-Values'!Q143*'D(Ti_Jollands) Times'!$F143*0.000001)^2/(4*'D(Ti_Jollands) Times'!$C143)/(365.35*24*3600)</f>
        <v>114487.3252683335</v>
      </c>
      <c r="V143" s="2">
        <f>('L-Values'!R143*'D(Ti_Jollands) Times'!$F143*0.000001)^2/(4*'D(Ti_Jollands) Times'!$C143)/(365.35*24*3600)</f>
        <v>640956.12302203837</v>
      </c>
      <c r="W143" s="2">
        <f>('L-Values'!S143*'D(Ti_Jollands) Times'!$F143*0.000001)^2/(4*'D(Ti_Jollands) Times'!$C143)/(365.35*24*3600)</f>
        <v>97609.71817877471</v>
      </c>
      <c r="X143" s="2"/>
      <c r="Y143" s="2">
        <f>('L-Values'!U143*'D(Ti_Jollands) Times'!$F143*0.000001)^2/(4*'D(Ti_Jollands) Times'!$C143)/(365.35*24*3600)</f>
        <v>104292.6935121268</v>
      </c>
      <c r="Z143" s="2">
        <f>('L-Values'!V143*'D(Ti_Jollands) Times'!$F143*0.000001)^2/(4*'D(Ti_Jollands) Times'!$C143)/(365.35*24*3600)</f>
        <v>122016.82461495734</v>
      </c>
      <c r="AA143" s="2">
        <f>('L-Values'!W143*'D(Ti_Jollands) Times'!$F143*0.000001)^2/(4*'D(Ti_Jollands) Times'!$C143)/(365.35*24*3600)</f>
        <v>1731.0896392456305</v>
      </c>
      <c r="AB143" s="2">
        <f>('L-Values'!X143*'D(Ti_Jollands) Times'!$F143*0.000001)^2/(4*'D(Ti_Jollands) Times'!$C143)/(365.35*24*3600)</f>
        <v>421885.28276880941</v>
      </c>
      <c r="AC143" s="2">
        <f t="shared" si="10"/>
        <v>120285.7349757117</v>
      </c>
      <c r="AD143" s="2">
        <f t="shared" si="11"/>
        <v>299868.45815385209</v>
      </c>
    </row>
    <row r="144" spans="1:30" x14ac:dyDescent="0.2">
      <c r="A144" t="str">
        <f>'L-Values'!A144</f>
        <v>CGI009-qtz01-CL-fit-2-offset</v>
      </c>
      <c r="B144">
        <v>750</v>
      </c>
      <c r="C144">
        <f t="shared" si="8"/>
        <v>6.6965312637759184E-25</v>
      </c>
      <c r="D144">
        <v>1150</v>
      </c>
      <c r="E144">
        <v>1024</v>
      </c>
      <c r="F144">
        <f t="shared" si="9"/>
        <v>1.123046875</v>
      </c>
      <c r="I144" s="2">
        <f>('L-Values'!E144*'D(Ti_Jollands) Times'!$F144*0.000001)^2/(4*'D(Ti_Jollands) Times'!$C144)/(365.35*24*3600)</f>
        <v>158876.16172592112</v>
      </c>
      <c r="J144" s="2">
        <f>('L-Values'!F144*'D(Ti_Jollands) Times'!$F144*0.000001)^2/(4*'D(Ti_Jollands) Times'!$C144)/(365.35*24*3600)</f>
        <v>216396.74825402338</v>
      </c>
      <c r="K144" s="2">
        <f>('L-Values'!G144*'D(Ti_Jollands) Times'!$F144*0.000001)^2/(4*'D(Ti_Jollands) Times'!$C144)/(365.35*24*3600)</f>
        <v>227834.37323747409</v>
      </c>
      <c r="L144" s="2">
        <f>('L-Values'!H144*'D(Ti_Jollands) Times'!$F144*0.000001)^2/(4*'D(Ti_Jollands) Times'!$C144)/(365.35*24*3600)</f>
        <v>155566.14597989811</v>
      </c>
      <c r="M144" s="2">
        <f>('L-Values'!I144*'D(Ti_Jollands) Times'!$F144*0.000001)^2/(4*'D(Ti_Jollands) Times'!$C144)/(365.35*24*3600)</f>
        <v>186512.2342577696</v>
      </c>
      <c r="N144" s="2">
        <f>('L-Values'!J144*'D(Ti_Jollands) Times'!$F144*0.000001)^2/(4*'D(Ti_Jollands) Times'!$C144)/(365.35*24*3600)</f>
        <v>227738.23688356878</v>
      </c>
      <c r="O144" s="2">
        <f>('L-Values'!K144*'D(Ti_Jollands) Times'!$F144*0.000001)^2/(4*'D(Ti_Jollands) Times'!$C144)/(365.35*24*3600)</f>
        <v>370857.24923837336</v>
      </c>
      <c r="P144" s="2">
        <f>('L-Values'!L144*'D(Ti_Jollands) Times'!$F144*0.000001)^2/(4*'D(Ti_Jollands) Times'!$C144)/(365.35*24*3600)</f>
        <v>256093.72008714033</v>
      </c>
      <c r="Q144" s="2">
        <f>('L-Values'!M144*'D(Ti_Jollands) Times'!$F144*0.000001)^2/(4*'D(Ti_Jollands) Times'!$C144)/(365.35*24*3600)</f>
        <v>130143.27934737912</v>
      </c>
      <c r="R144" s="2">
        <f>('L-Values'!N144*'D(Ti_Jollands) Times'!$F144*0.000001)^2/(4*'D(Ti_Jollands) Times'!$C144)/(365.35*24*3600)</f>
        <v>148846.63986186485</v>
      </c>
      <c r="S144" s="2">
        <f>('L-Values'!O144*'D(Ti_Jollands) Times'!$F144*0.000001)^2/(4*'D(Ti_Jollands) Times'!$C144)/(365.35*24*3600)</f>
        <v>198370.88768648516</v>
      </c>
      <c r="T144" s="2"/>
      <c r="U144" s="2">
        <f>('L-Values'!Q144*'D(Ti_Jollands) Times'!$F144*0.000001)^2/(4*'D(Ti_Jollands) Times'!$C144)/(365.35*24*3600)</f>
        <v>197831.70835674298</v>
      </c>
      <c r="V144" s="2">
        <f>('L-Values'!R144*'D(Ti_Jollands) Times'!$F144*0.000001)^2/(4*'D(Ti_Jollands) Times'!$C144)/(365.35*24*3600)</f>
        <v>202630.29545686801</v>
      </c>
      <c r="W144" s="2">
        <f>('L-Values'!S144*'D(Ti_Jollands) Times'!$F144*0.000001)^2/(4*'D(Ti_Jollands) Times'!$C144)/(365.35*24*3600)</f>
        <v>198370.88768648516</v>
      </c>
      <c r="X144" s="2"/>
      <c r="Y144" s="2">
        <f>('L-Values'!U144*'D(Ti_Jollands) Times'!$F144*0.000001)^2/(4*'D(Ti_Jollands) Times'!$C144)/(365.35*24*3600)</f>
        <v>193090.26440411844</v>
      </c>
      <c r="Z144" s="2">
        <f>('L-Values'!V144*'D(Ti_Jollands) Times'!$F144*0.000001)^2/(4*'D(Ti_Jollands) Times'!$C144)/(365.35*24*3600)</f>
        <v>193349.76031923873</v>
      </c>
      <c r="AA144" s="2">
        <f>('L-Values'!W144*'D(Ti_Jollands) Times'!$F144*0.000001)^2/(4*'D(Ti_Jollands) Times'!$C144)/(365.35*24*3600)</f>
        <v>90625.226127085523</v>
      </c>
      <c r="AB144" s="2">
        <f>('L-Values'!X144*'D(Ti_Jollands) Times'!$F144*0.000001)^2/(4*'D(Ti_Jollands) Times'!$C144)/(365.35*24*3600)</f>
        <v>340041.27226161218</v>
      </c>
      <c r="AC144" s="2">
        <f t="shared" si="10"/>
        <v>102724.53419215321</v>
      </c>
      <c r="AD144" s="2">
        <f t="shared" si="11"/>
        <v>146691.51194237344</v>
      </c>
    </row>
    <row r="145" spans="1:30" x14ac:dyDescent="0.2">
      <c r="A145" t="str">
        <f>'L-Values'!A145</f>
        <v>CGI009-qtz01-CL-fit-3-offset</v>
      </c>
      <c r="B145">
        <v>750</v>
      </c>
      <c r="C145">
        <f t="shared" si="8"/>
        <v>6.6965312637759184E-25</v>
      </c>
      <c r="D145">
        <v>1150</v>
      </c>
      <c r="E145">
        <v>1024</v>
      </c>
      <c r="F145">
        <f t="shared" si="9"/>
        <v>1.123046875</v>
      </c>
      <c r="I145" s="2">
        <f>('L-Values'!E145*'D(Ti_Jollands) Times'!$F145*0.000001)^2/(4*'D(Ti_Jollands) Times'!$C145)/(365.35*24*3600)</f>
        <v>630201.95018184814</v>
      </c>
      <c r="J145" s="2">
        <f>('L-Values'!F145*'D(Ti_Jollands) Times'!$F145*0.000001)^2/(4*'D(Ti_Jollands) Times'!$C145)/(365.35*24*3600)</f>
        <v>394944.93401928275</v>
      </c>
      <c r="K145" s="2">
        <f>('L-Values'!G145*'D(Ti_Jollands) Times'!$F145*0.000001)^2/(4*'D(Ti_Jollands) Times'!$C145)/(365.35*24*3600)</f>
        <v>803624.08243263664</v>
      </c>
      <c r="L145" s="2">
        <f>('L-Values'!H145*'D(Ti_Jollands) Times'!$F145*0.000001)^2/(4*'D(Ti_Jollands) Times'!$C145)/(365.35*24*3600)</f>
        <v>627875.35907665465</v>
      </c>
      <c r="M145" s="2">
        <f>('L-Values'!I145*'D(Ti_Jollands) Times'!$F145*0.000001)^2/(4*'D(Ti_Jollands) Times'!$C145)/(365.35*24*3600)</f>
        <v>661110.05934379052</v>
      </c>
      <c r="N145" s="2">
        <f>('L-Values'!J145*'D(Ti_Jollands) Times'!$F145*0.000001)^2/(4*'D(Ti_Jollands) Times'!$C145)/(365.35*24*3600)</f>
        <v>938952.3743575773</v>
      </c>
      <c r="O145" s="2">
        <f>('L-Values'!K145*'D(Ti_Jollands) Times'!$F145*0.000001)^2/(4*'D(Ti_Jollands) Times'!$C145)/(365.35*24*3600)</f>
        <v>823514.10869451123</v>
      </c>
      <c r="P145" s="2">
        <f>('L-Values'!L145*'D(Ti_Jollands) Times'!$F145*0.000001)^2/(4*'D(Ti_Jollands) Times'!$C145)/(365.35*24*3600)</f>
        <v>1337869.8764647408</v>
      </c>
      <c r="Q145" s="2">
        <f>('L-Values'!M145*'D(Ti_Jollands) Times'!$F145*0.000001)^2/(4*'D(Ti_Jollands) Times'!$C145)/(365.35*24*3600)</f>
        <v>1085877.1895045196</v>
      </c>
      <c r="R145" s="2">
        <f>('L-Values'!N145*'D(Ti_Jollands) Times'!$F145*0.000001)^2/(4*'D(Ti_Jollands) Times'!$C145)/(365.35*24*3600)</f>
        <v>1374132.3093648381</v>
      </c>
      <c r="S145" s="2">
        <f>('L-Values'!O145*'D(Ti_Jollands) Times'!$F145*0.000001)^2/(4*'D(Ti_Jollands) Times'!$C145)/(365.35*24*3600)</f>
        <v>1031802.3848560101</v>
      </c>
      <c r="T145" s="2"/>
      <c r="U145" s="2">
        <f>('L-Values'!Q145*'D(Ti_Jollands) Times'!$F145*0.000001)^2/(4*'D(Ti_Jollands) Times'!$C145)/(365.35*24*3600)</f>
        <v>783024.87940529361</v>
      </c>
      <c r="V145" s="2">
        <f>('L-Values'!R145*'D(Ti_Jollands) Times'!$F145*0.000001)^2/(4*'D(Ti_Jollands) Times'!$C145)/(365.35*24*3600)</f>
        <v>857715.60043489677</v>
      </c>
      <c r="W145" s="2">
        <f>('L-Values'!S145*'D(Ti_Jollands) Times'!$F145*0.000001)^2/(4*'D(Ti_Jollands) Times'!$C145)/(365.35*24*3600)</f>
        <v>823514.10869451123</v>
      </c>
      <c r="X145" s="2"/>
      <c r="Y145" s="2">
        <f>('L-Values'!U145*'D(Ti_Jollands) Times'!$F145*0.000001)^2/(4*'D(Ti_Jollands) Times'!$C145)/(365.35*24*3600)</f>
        <v>847019.03700033366</v>
      </c>
      <c r="Z145" s="2">
        <f>('L-Values'!V145*'D(Ti_Jollands) Times'!$F145*0.000001)^2/(4*'D(Ti_Jollands) Times'!$C145)/(365.35*24*3600)</f>
        <v>1096441.8719951108</v>
      </c>
      <c r="AA145" s="2">
        <f>('L-Values'!W145*'D(Ti_Jollands) Times'!$F145*0.000001)^2/(4*'D(Ti_Jollands) Times'!$C145)/(365.35*24*3600)</f>
        <v>242223.75541249834</v>
      </c>
      <c r="AB145" s="2">
        <f>('L-Values'!X145*'D(Ti_Jollands) Times'!$F145*0.000001)^2/(4*'D(Ti_Jollands) Times'!$C145)/(365.35*24*3600)</f>
        <v>2661735.4636911289</v>
      </c>
      <c r="AC145" s="2">
        <f t="shared" si="10"/>
        <v>854218.11658261239</v>
      </c>
      <c r="AD145" s="2">
        <f t="shared" si="11"/>
        <v>1565293.5916960181</v>
      </c>
    </row>
    <row r="146" spans="1:30" x14ac:dyDescent="0.2">
      <c r="A146" t="str">
        <f>'L-Values'!A146</f>
        <v>CGI009-qtz01-CL-fit-4-offset</v>
      </c>
      <c r="B146">
        <v>750</v>
      </c>
      <c r="C146">
        <f t="shared" si="8"/>
        <v>6.6965312637759184E-25</v>
      </c>
      <c r="D146">
        <v>1150</v>
      </c>
      <c r="E146">
        <v>1024</v>
      </c>
      <c r="F146">
        <f t="shared" si="9"/>
        <v>1.123046875</v>
      </c>
      <c r="I146" s="2">
        <f>('L-Values'!E146*'D(Ti_Jollands) Times'!$F146*0.000001)^2/(4*'D(Ti_Jollands) Times'!$C146)/(365.35*24*3600)</f>
        <v>165098.6115410616</v>
      </c>
      <c r="J146" s="2">
        <f>('L-Values'!F146*'D(Ti_Jollands) Times'!$F146*0.000001)^2/(4*'D(Ti_Jollands) Times'!$C146)/(365.35*24*3600)</f>
        <v>92020.609837569747</v>
      </c>
      <c r="K146" s="2">
        <f>('L-Values'!G146*'D(Ti_Jollands) Times'!$F146*0.000001)^2/(4*'D(Ti_Jollands) Times'!$C146)/(365.35*24*3600)</f>
        <v>125116.15986810155</v>
      </c>
      <c r="L146" s="2">
        <f>('L-Values'!H146*'D(Ti_Jollands) Times'!$F146*0.000001)^2/(4*'D(Ti_Jollands) Times'!$C146)/(365.35*24*3600)</f>
        <v>261475.02493413293</v>
      </c>
      <c r="M146" s="2">
        <f>('L-Values'!I146*'D(Ti_Jollands) Times'!$F146*0.000001)^2/(4*'D(Ti_Jollands) Times'!$C146)/(365.35*24*3600)</f>
        <v>244930.14095348524</v>
      </c>
      <c r="N146" s="2">
        <f>('L-Values'!J146*'D(Ti_Jollands) Times'!$F146*0.000001)^2/(4*'D(Ti_Jollands) Times'!$C146)/(365.35*24*3600)</f>
        <v>179465.57616409095</v>
      </c>
      <c r="O146" s="2">
        <f>('L-Values'!K146*'D(Ti_Jollands) Times'!$F146*0.000001)^2/(4*'D(Ti_Jollands) Times'!$C146)/(365.35*24*3600)</f>
        <v>184196.21204516478</v>
      </c>
      <c r="P146" s="2">
        <f>('L-Values'!L146*'D(Ti_Jollands) Times'!$F146*0.000001)^2/(4*'D(Ti_Jollands) Times'!$C146)/(365.35*24*3600)</f>
        <v>90806.732185845583</v>
      </c>
      <c r="Q146" s="2">
        <f>('L-Values'!M146*'D(Ti_Jollands) Times'!$F146*0.000001)^2/(4*'D(Ti_Jollands) Times'!$C146)/(365.35*24*3600)</f>
        <v>129955.25163585164</v>
      </c>
      <c r="R146" s="2">
        <f>('L-Values'!N146*'D(Ti_Jollands) Times'!$F146*0.000001)^2/(4*'D(Ti_Jollands) Times'!$C146)/(365.35*24*3600)</f>
        <v>138499.60381024005</v>
      </c>
      <c r="S146" s="2">
        <f>('L-Values'!O146*'D(Ti_Jollands) Times'!$F146*0.000001)^2/(4*'D(Ti_Jollands) Times'!$C146)/(365.35*24*3600)</f>
        <v>111021.8084856007</v>
      </c>
      <c r="T146" s="2"/>
      <c r="U146" s="2">
        <f>('L-Values'!Q146*'D(Ti_Jollands) Times'!$F146*0.000001)^2/(4*'D(Ti_Jollands) Times'!$C146)/(365.35*24*3600)</f>
        <v>154753.05958726289</v>
      </c>
      <c r="V146" s="2">
        <f>('L-Values'!R146*'D(Ti_Jollands) Times'!$F146*0.000001)^2/(4*'D(Ti_Jollands) Times'!$C146)/(365.35*24*3600)</f>
        <v>152074.78030009678</v>
      </c>
      <c r="W146" s="2">
        <f>('L-Values'!S146*'D(Ti_Jollands) Times'!$F146*0.000001)^2/(4*'D(Ti_Jollands) Times'!$C146)/(365.35*24*3600)</f>
        <v>138499.60381024005</v>
      </c>
      <c r="X146" s="2"/>
      <c r="Y146" s="2">
        <f>('L-Values'!U146*'D(Ti_Jollands) Times'!$F146*0.000001)^2/(4*'D(Ti_Jollands) Times'!$C146)/(365.35*24*3600)</f>
        <v>153705.58466945429</v>
      </c>
      <c r="Z146" s="2">
        <f>('L-Values'!V146*'D(Ti_Jollands) Times'!$F146*0.000001)^2/(4*'D(Ti_Jollands) Times'!$C146)/(365.35*24*3600)</f>
        <v>154815.68217305042</v>
      </c>
      <c r="AA146" s="2">
        <f>('L-Values'!W146*'D(Ti_Jollands) Times'!$F146*0.000001)^2/(4*'D(Ti_Jollands) Times'!$C146)/(365.35*24*3600)</f>
        <v>65833.04100468503</v>
      </c>
      <c r="AB146" s="2">
        <f>('L-Values'!X146*'D(Ti_Jollands) Times'!$F146*0.000001)^2/(4*'D(Ti_Jollands) Times'!$C146)/(365.35*24*3600)</f>
        <v>286374.38945819275</v>
      </c>
      <c r="AC146" s="2">
        <f t="shared" si="10"/>
        <v>88982.641168365386</v>
      </c>
      <c r="AD146" s="2">
        <f t="shared" si="11"/>
        <v>131558.70728514233</v>
      </c>
    </row>
    <row r="147" spans="1:30" x14ac:dyDescent="0.2">
      <c r="A147" t="str">
        <f>'L-Values'!A147</f>
        <v>CGI009-qtz01-CL-fit-5-offset</v>
      </c>
      <c r="B147">
        <v>750</v>
      </c>
      <c r="C147">
        <f t="shared" si="8"/>
        <v>6.6965312637759184E-25</v>
      </c>
      <c r="D147">
        <v>1150</v>
      </c>
      <c r="E147">
        <v>1024</v>
      </c>
      <c r="F147">
        <f t="shared" si="9"/>
        <v>1.123046875</v>
      </c>
      <c r="I147" s="2">
        <f>('L-Values'!E147*'D(Ti_Jollands) Times'!$F147*0.000001)^2/(4*'D(Ti_Jollands) Times'!$C147)/(365.35*24*3600)</f>
        <v>537744.88012764696</v>
      </c>
      <c r="J147" s="2">
        <f>('L-Values'!F147*'D(Ti_Jollands) Times'!$F147*0.000001)^2/(4*'D(Ti_Jollands) Times'!$C147)/(365.35*24*3600)</f>
        <v>488183.06118427217</v>
      </c>
      <c r="K147" s="2">
        <f>('L-Values'!G147*'D(Ti_Jollands) Times'!$F147*0.000001)^2/(4*'D(Ti_Jollands) Times'!$C147)/(365.35*24*3600)</f>
        <v>572812.23076817847</v>
      </c>
      <c r="L147" s="2">
        <f>('L-Values'!H147*'D(Ti_Jollands) Times'!$F147*0.000001)^2/(4*'D(Ti_Jollands) Times'!$C147)/(365.35*24*3600)</f>
        <v>630703.8291025447</v>
      </c>
      <c r="M147" s="2">
        <f>('L-Values'!I147*'D(Ti_Jollands) Times'!$F147*0.000001)^2/(4*'D(Ti_Jollands) Times'!$C147)/(365.35*24*3600)</f>
        <v>520791.52794091537</v>
      </c>
      <c r="N147" s="2">
        <f>('L-Values'!J147*'D(Ti_Jollands) Times'!$F147*0.000001)^2/(4*'D(Ti_Jollands) Times'!$C147)/(365.35*24*3600)</f>
        <v>646588.85849415313</v>
      </c>
      <c r="O147" s="2">
        <f>('L-Values'!K147*'D(Ti_Jollands) Times'!$F147*0.000001)^2/(4*'D(Ti_Jollands) Times'!$C147)/(365.35*24*3600)</f>
        <v>525623.37108001171</v>
      </c>
      <c r="P147" s="2">
        <f>('L-Values'!L147*'D(Ti_Jollands) Times'!$F147*0.000001)^2/(4*'D(Ti_Jollands) Times'!$C147)/(365.35*24*3600)</f>
        <v>599444.99667127198</v>
      </c>
      <c r="Q147" s="2">
        <f>('L-Values'!M147*'D(Ti_Jollands) Times'!$F147*0.000001)^2/(4*'D(Ti_Jollands) Times'!$C147)/(365.35*24*3600)</f>
        <v>710289.41297167423</v>
      </c>
      <c r="R147" s="2">
        <f>('L-Values'!N147*'D(Ti_Jollands) Times'!$F147*0.000001)^2/(4*'D(Ti_Jollands) Times'!$C147)/(365.35*24*3600)</f>
        <v>562985.50136469852</v>
      </c>
      <c r="S147" s="2">
        <f>('L-Values'!O147*'D(Ti_Jollands) Times'!$F147*0.000001)^2/(4*'D(Ti_Jollands) Times'!$C147)/(365.35*24*3600)</f>
        <v>578144.06609441433</v>
      </c>
      <c r="T147" s="2"/>
      <c r="U147" s="2">
        <f>('L-Values'!Q147*'D(Ti_Jollands) Times'!$F147*0.000001)^2/(4*'D(Ti_Jollands) Times'!$C147)/(365.35*24*3600)</f>
        <v>572241.65767930564</v>
      </c>
      <c r="V147" s="2">
        <f>('L-Values'!R147*'D(Ti_Jollands) Times'!$F147*0.000001)^2/(4*'D(Ti_Jollands) Times'!$C147)/(365.35*24*3600)</f>
        <v>577806.71667292959</v>
      </c>
      <c r="W147" s="2">
        <f>('L-Values'!S147*'D(Ti_Jollands) Times'!$F147*0.000001)^2/(4*'D(Ti_Jollands) Times'!$C147)/(365.35*24*3600)</f>
        <v>572812.23076817847</v>
      </c>
      <c r="X147" s="2"/>
      <c r="Y147" s="2">
        <f>('L-Values'!U147*'D(Ti_Jollands) Times'!$F147*0.000001)^2/(4*'D(Ti_Jollands) Times'!$C147)/(365.35*24*3600)</f>
        <v>564524.99097602221</v>
      </c>
      <c r="Z147" s="2">
        <f>('L-Values'!V147*'D(Ti_Jollands) Times'!$F147*0.000001)^2/(4*'D(Ti_Jollands) Times'!$C147)/(365.35*24*3600)</f>
        <v>576147.19646137359</v>
      </c>
      <c r="AA147" s="2">
        <f>('L-Values'!W147*'D(Ti_Jollands) Times'!$F147*0.000001)^2/(4*'D(Ti_Jollands) Times'!$C147)/(365.35*24*3600)</f>
        <v>410248.19489479129</v>
      </c>
      <c r="AB147" s="2">
        <f>('L-Values'!X147*'D(Ti_Jollands) Times'!$F147*0.000001)^2/(4*'D(Ti_Jollands) Times'!$C147)/(365.35*24*3600)</f>
        <v>811345.53804000816</v>
      </c>
      <c r="AC147" s="2">
        <f t="shared" si="10"/>
        <v>165899.0015665823</v>
      </c>
      <c r="AD147" s="2">
        <f t="shared" si="11"/>
        <v>235198.34157863457</v>
      </c>
    </row>
    <row r="148" spans="1:30" x14ac:dyDescent="0.2">
      <c r="A148" t="str">
        <f>'L-Values'!A148</f>
        <v>CGI009-qtz02-CL-fit-1-offset</v>
      </c>
      <c r="B148">
        <v>750</v>
      </c>
      <c r="C148">
        <f t="shared" si="8"/>
        <v>6.6965312637759184E-25</v>
      </c>
      <c r="D148">
        <v>1750</v>
      </c>
      <c r="E148">
        <v>1024</v>
      </c>
      <c r="F148">
        <f t="shared" si="9"/>
        <v>1.708984375</v>
      </c>
      <c r="I148" s="2">
        <f>('L-Values'!E148*'D(Ti_Jollands) Times'!$F148*0.000001)^2/(4*'D(Ti_Jollands) Times'!$C148)/(365.35*24*3600)</f>
        <v>5015616.4013696611</v>
      </c>
      <c r="J148" s="2">
        <f>('L-Values'!F148*'D(Ti_Jollands) Times'!$F148*0.000001)^2/(4*'D(Ti_Jollands) Times'!$C148)/(365.35*24*3600)</f>
        <v>7932473.0551502192</v>
      </c>
      <c r="K148" s="2">
        <f>('L-Values'!G148*'D(Ti_Jollands) Times'!$F148*0.000001)^2/(4*'D(Ti_Jollands) Times'!$C148)/(365.35*24*3600)</f>
        <v>6725439.1395337209</v>
      </c>
      <c r="L148" s="2">
        <f>('L-Values'!H148*'D(Ti_Jollands) Times'!$F148*0.000001)^2/(4*'D(Ti_Jollands) Times'!$C148)/(365.35*24*3600)</f>
        <v>12368700.347403575</v>
      </c>
      <c r="M148" s="2">
        <f>('L-Values'!I148*'D(Ti_Jollands) Times'!$F148*0.000001)^2/(4*'D(Ti_Jollands) Times'!$C148)/(365.35*24*3600)</f>
        <v>9131012.0922490414</v>
      </c>
      <c r="N148" s="2">
        <f>('L-Values'!J148*'D(Ti_Jollands) Times'!$F148*0.000001)^2/(4*'D(Ti_Jollands) Times'!$C148)/(365.35*24*3600)</f>
        <v>5677219.3286708053</v>
      </c>
      <c r="O148" s="2">
        <f>('L-Values'!K148*'D(Ti_Jollands) Times'!$F148*0.000001)^2/(4*'D(Ti_Jollands) Times'!$C148)/(365.35*24*3600)</f>
        <v>1594404.9577708377</v>
      </c>
      <c r="P148" s="2">
        <f>('L-Values'!L148*'D(Ti_Jollands) Times'!$F148*0.000001)^2/(4*'D(Ti_Jollands) Times'!$C148)/(365.35*24*3600)</f>
        <v>2285581.6166481352</v>
      </c>
      <c r="Q148" s="2">
        <f>('L-Values'!M148*'D(Ti_Jollands) Times'!$F148*0.000001)^2/(4*'D(Ti_Jollands) Times'!$C148)/(365.35*24*3600)</f>
        <v>1520016.3517057989</v>
      </c>
      <c r="R148" s="2">
        <f>('L-Values'!N148*'D(Ti_Jollands) Times'!$F148*0.000001)^2/(4*'D(Ti_Jollands) Times'!$C148)/(365.35*24*3600)</f>
        <v>2633363.5760098156</v>
      </c>
      <c r="S148" s="2">
        <f>('L-Values'!O148*'D(Ti_Jollands) Times'!$F148*0.000001)^2/(4*'D(Ti_Jollands) Times'!$C148)/(365.35*24*3600)</f>
        <v>1892548.0503046082</v>
      </c>
      <c r="T148" s="2"/>
      <c r="U148" s="2">
        <f>('L-Values'!Q148*'D(Ti_Jollands) Times'!$F148*0.000001)^2/(4*'D(Ti_Jollands) Times'!$C148)/(365.35*24*3600)</f>
        <v>4017212.525311213</v>
      </c>
      <c r="V148" s="2">
        <f>('L-Values'!R148*'D(Ti_Jollands) Times'!$F148*0.000001)^2/(4*'D(Ti_Jollands) Times'!$C148)/(365.35*24*3600)</f>
        <v>4593850.0855758851</v>
      </c>
      <c r="W148" s="2">
        <f>('L-Values'!S148*'D(Ti_Jollands) Times'!$F148*0.000001)^2/(4*'D(Ti_Jollands) Times'!$C148)/(365.35*24*3600)</f>
        <v>5015616.4013696611</v>
      </c>
      <c r="X148" s="2"/>
      <c r="Y148" s="2">
        <f>('L-Values'!U148*'D(Ti_Jollands) Times'!$F148*0.000001)^2/(4*'D(Ti_Jollands) Times'!$C148)/(365.35*24*3600)</f>
        <v>4216935.6052072085</v>
      </c>
      <c r="Z148" s="2">
        <f>('L-Values'!V148*'D(Ti_Jollands) Times'!$F148*0.000001)^2/(4*'D(Ti_Jollands) Times'!$C148)/(365.35*24*3600)</f>
        <v>4515234.2945661424</v>
      </c>
      <c r="AA148" s="2">
        <f>('L-Values'!W148*'D(Ti_Jollands) Times'!$F148*0.000001)^2/(4*'D(Ti_Jollands) Times'!$C148)/(365.35*24*3600)</f>
        <v>1537659.8798376424</v>
      </c>
      <c r="AB148" s="2">
        <f>('L-Values'!X148*'D(Ti_Jollands) Times'!$F148*0.000001)^2/(4*'D(Ti_Jollands) Times'!$C148)/(365.35*24*3600)</f>
        <v>10564663.599995699</v>
      </c>
      <c r="AC148" s="2">
        <f t="shared" si="10"/>
        <v>2977574.4147284999</v>
      </c>
      <c r="AD148" s="2">
        <f t="shared" si="11"/>
        <v>6049429.3054295564</v>
      </c>
    </row>
    <row r="149" spans="1:30" x14ac:dyDescent="0.2">
      <c r="A149" t="str">
        <f>'L-Values'!A149</f>
        <v>CGI009-qtz02-CL-fit-2-offset</v>
      </c>
      <c r="B149">
        <v>750</v>
      </c>
      <c r="C149">
        <f t="shared" si="8"/>
        <v>6.6965312637759184E-25</v>
      </c>
      <c r="D149">
        <v>1750</v>
      </c>
      <c r="E149">
        <v>1024</v>
      </c>
      <c r="F149">
        <f t="shared" si="9"/>
        <v>1.708984375</v>
      </c>
      <c r="I149" s="2">
        <f>('L-Values'!E149*'D(Ti_Jollands) Times'!$F149*0.000001)^2/(4*'D(Ti_Jollands) Times'!$C149)/(365.35*24*3600)</f>
        <v>283090.0597111074</v>
      </c>
      <c r="J149" s="2">
        <f>('L-Values'!F149*'D(Ti_Jollands) Times'!$F149*0.000001)^2/(4*'D(Ti_Jollands) Times'!$C149)/(365.35*24*3600)</f>
        <v>619463.18858368369</v>
      </c>
      <c r="K149" s="2">
        <f>('L-Values'!G149*'D(Ti_Jollands) Times'!$F149*0.000001)^2/(4*'D(Ti_Jollands) Times'!$C149)/(365.35*24*3600)</f>
        <v>128440.61745462891</v>
      </c>
      <c r="L149" s="2">
        <f>('L-Values'!H149*'D(Ti_Jollands) Times'!$F149*0.000001)^2/(4*'D(Ti_Jollands) Times'!$C149)/(365.35*24*3600)</f>
        <v>429515.33023731085</v>
      </c>
      <c r="M149" s="2">
        <f>('L-Values'!I149*'D(Ti_Jollands) Times'!$F149*0.000001)^2/(4*'D(Ti_Jollands) Times'!$C149)/(365.35*24*3600)</f>
        <v>789872.01966358628</v>
      </c>
      <c r="N149" s="2">
        <f>('L-Values'!J149*'D(Ti_Jollands) Times'!$F149*0.000001)^2/(4*'D(Ti_Jollands) Times'!$C149)/(365.35*24*3600)</f>
        <v>590580.98127803276</v>
      </c>
      <c r="O149" s="2">
        <f>('L-Values'!K149*'D(Ti_Jollands) Times'!$F149*0.000001)^2/(4*'D(Ti_Jollands) Times'!$C149)/(365.35*24*3600)</f>
        <v>813828.79780690721</v>
      </c>
      <c r="P149" s="2">
        <f>('L-Values'!L149*'D(Ti_Jollands) Times'!$F149*0.000001)^2/(4*'D(Ti_Jollands) Times'!$C149)/(365.35*24*3600)</f>
        <v>334235.28173290635</v>
      </c>
      <c r="Q149" s="2">
        <f>('L-Values'!M149*'D(Ti_Jollands) Times'!$F149*0.000001)^2/(4*'D(Ti_Jollands) Times'!$C149)/(365.35*24*3600)</f>
        <v>615085.74212329183</v>
      </c>
      <c r="R149" s="2">
        <f>('L-Values'!N149*'D(Ti_Jollands) Times'!$F149*0.000001)^2/(4*'D(Ti_Jollands) Times'!$C149)/(365.35*24*3600)</f>
        <v>347328.47349689779</v>
      </c>
      <c r="S149" s="2">
        <f>('L-Values'!O149*'D(Ti_Jollands) Times'!$F149*0.000001)^2/(4*'D(Ti_Jollands) Times'!$C149)/(365.35*24*3600)</f>
        <v>437338.58155834867</v>
      </c>
      <c r="T149" s="2"/>
      <c r="U149" s="2">
        <f>('L-Values'!Q149*'D(Ti_Jollands) Times'!$F149*0.000001)^2/(4*'D(Ti_Jollands) Times'!$C149)/(365.35*24*3600)</f>
        <v>444680.76734574267</v>
      </c>
      <c r="V149" s="2">
        <f>('L-Values'!R149*'D(Ti_Jollands) Times'!$F149*0.000001)^2/(4*'D(Ti_Jollands) Times'!$C149)/(365.35*24*3600)</f>
        <v>465534.95559606474</v>
      </c>
      <c r="W149" s="2">
        <f>('L-Values'!S149*'D(Ti_Jollands) Times'!$F149*0.000001)^2/(4*'D(Ti_Jollands) Times'!$C149)/(365.35*24*3600)</f>
        <v>437338.58155834867</v>
      </c>
      <c r="X149" s="2"/>
      <c r="Y149" s="2">
        <f>('L-Values'!U149*'D(Ti_Jollands) Times'!$F149*0.000001)^2/(4*'D(Ti_Jollands) Times'!$C149)/(365.35*24*3600)</f>
        <v>426829.76842820208</v>
      </c>
      <c r="Z149" s="2">
        <f>('L-Values'!V149*'D(Ti_Jollands) Times'!$F149*0.000001)^2/(4*'D(Ti_Jollands) Times'!$C149)/(365.35*24*3600)</f>
        <v>456560.93796834705</v>
      </c>
      <c r="AA149" s="2">
        <f>('L-Values'!W149*'D(Ti_Jollands) Times'!$F149*0.000001)^2/(4*'D(Ti_Jollands) Times'!$C149)/(365.35*24*3600)</f>
        <v>136380.77192286006</v>
      </c>
      <c r="AB149" s="2">
        <f>('L-Values'!X149*'D(Ti_Jollands) Times'!$F149*0.000001)^2/(4*'D(Ti_Jollands) Times'!$C149)/(365.35*24*3600)</f>
        <v>1344577.1742736385</v>
      </c>
      <c r="AC149" s="2">
        <f t="shared" si="10"/>
        <v>320180.16604548699</v>
      </c>
      <c r="AD149" s="2">
        <f t="shared" si="11"/>
        <v>888016.23630529153</v>
      </c>
    </row>
    <row r="150" spans="1:30" x14ac:dyDescent="0.2">
      <c r="A150" t="str">
        <f>'L-Values'!A150</f>
        <v>CGI009-qtz02-CL-fit-3-offset</v>
      </c>
      <c r="B150">
        <v>750</v>
      </c>
      <c r="C150">
        <f t="shared" si="8"/>
        <v>6.6965312637759184E-25</v>
      </c>
      <c r="D150">
        <v>1750</v>
      </c>
      <c r="E150">
        <v>1024</v>
      </c>
      <c r="F150">
        <f t="shared" si="9"/>
        <v>1.708984375</v>
      </c>
      <c r="I150" s="2">
        <f>('L-Values'!E150*'D(Ti_Jollands) Times'!$F150*0.000001)^2/(4*'D(Ti_Jollands) Times'!$C150)/(365.35*24*3600)</f>
        <v>132504.11173885537</v>
      </c>
      <c r="J150" s="2">
        <f>('L-Values'!F150*'D(Ti_Jollands) Times'!$F150*0.000001)^2/(4*'D(Ti_Jollands) Times'!$C150)/(365.35*24*3600)</f>
        <v>140097.93529402532</v>
      </c>
      <c r="K150" s="2">
        <f>('L-Values'!G150*'D(Ti_Jollands) Times'!$F150*0.000001)^2/(4*'D(Ti_Jollands) Times'!$C150)/(365.35*24*3600)</f>
        <v>57154.090047590296</v>
      </c>
      <c r="L150" s="2">
        <f>('L-Values'!H150*'D(Ti_Jollands) Times'!$F150*0.000001)^2/(4*'D(Ti_Jollands) Times'!$C150)/(365.35*24*3600)</f>
        <v>171454.9278961535</v>
      </c>
      <c r="M150" s="2">
        <f>('L-Values'!I150*'D(Ti_Jollands) Times'!$F150*0.000001)^2/(4*'D(Ti_Jollands) Times'!$C150)/(365.35*24*3600)</f>
        <v>190216.07250777804</v>
      </c>
      <c r="N150" s="2">
        <f>('L-Values'!J150*'D(Ti_Jollands) Times'!$F150*0.000001)^2/(4*'D(Ti_Jollands) Times'!$C150)/(365.35*24*3600)</f>
        <v>113665.18454924987</v>
      </c>
      <c r="O150" s="2">
        <f>('L-Values'!K150*'D(Ti_Jollands) Times'!$F150*0.000001)^2/(4*'D(Ti_Jollands) Times'!$C150)/(365.35*24*3600)</f>
        <v>173781.53990235686</v>
      </c>
      <c r="P150" s="2">
        <f>('L-Values'!L150*'D(Ti_Jollands) Times'!$F150*0.000001)^2/(4*'D(Ti_Jollands) Times'!$C150)/(365.35*24*3600)</f>
        <v>129535.71593078895</v>
      </c>
      <c r="Q150" s="2">
        <f>('L-Values'!M150*'D(Ti_Jollands) Times'!$F150*0.000001)^2/(4*'D(Ti_Jollands) Times'!$C150)/(365.35*24*3600)</f>
        <v>99798.014113050667</v>
      </c>
      <c r="R150" s="2">
        <f>('L-Values'!N150*'D(Ti_Jollands) Times'!$F150*0.000001)^2/(4*'D(Ti_Jollands) Times'!$C150)/(365.35*24*3600)</f>
        <v>74126.563012623505</v>
      </c>
      <c r="S150" s="2">
        <f>('L-Values'!O150*'D(Ti_Jollands) Times'!$F150*0.000001)^2/(4*'D(Ti_Jollands) Times'!$C150)/(365.35*24*3600)</f>
        <v>104764.19240016962</v>
      </c>
      <c r="T150" s="2"/>
      <c r="U150" s="2">
        <f>('L-Values'!Q150*'D(Ti_Jollands) Times'!$F150*0.000001)^2/(4*'D(Ti_Jollands) Times'!$C150)/(365.35*24*3600)</f>
        <v>125427.58650815373</v>
      </c>
      <c r="V150" s="2">
        <f>('L-Values'!R150*'D(Ti_Jollands) Times'!$F150*0.000001)^2/(4*'D(Ti_Jollands) Times'!$C150)/(365.35*24*3600)</f>
        <v>122713.49395100026</v>
      </c>
      <c r="W150" s="2">
        <f>('L-Values'!S150*'D(Ti_Jollands) Times'!$F150*0.000001)^2/(4*'D(Ti_Jollands) Times'!$C150)/(365.35*24*3600)</f>
        <v>129535.71593078895</v>
      </c>
      <c r="X150" s="2"/>
      <c r="Y150" s="2">
        <f>('L-Values'!U150*'D(Ti_Jollands) Times'!$F150*0.000001)^2/(4*'D(Ti_Jollands) Times'!$C150)/(365.35*24*3600)</f>
        <v>125364.75778251285</v>
      </c>
      <c r="Z150" s="2">
        <f>('L-Values'!V150*'D(Ti_Jollands) Times'!$F150*0.000001)^2/(4*'D(Ti_Jollands) Times'!$C150)/(365.35*24*3600)</f>
        <v>111813.16931329474</v>
      </c>
      <c r="AA150" s="2">
        <f>('L-Values'!W150*'D(Ti_Jollands) Times'!$F150*0.000001)^2/(4*'D(Ti_Jollands) Times'!$C150)/(365.35*24*3600)</f>
        <v>1828.8621022339037</v>
      </c>
      <c r="AB150" s="2">
        <f>('L-Values'!X150*'D(Ti_Jollands) Times'!$F150*0.000001)^2/(4*'D(Ti_Jollands) Times'!$C150)/(365.35*24*3600)</f>
        <v>277059.66457432025</v>
      </c>
      <c r="AC150" s="2">
        <f t="shared" si="10"/>
        <v>109984.30721106083</v>
      </c>
      <c r="AD150" s="2">
        <f t="shared" si="11"/>
        <v>165246.4952610255</v>
      </c>
    </row>
    <row r="151" spans="1:30" x14ac:dyDescent="0.2">
      <c r="A151" t="str">
        <f>'L-Values'!A151</f>
        <v>CGI009-qtz03-CL-fit-1-offset</v>
      </c>
      <c r="B151">
        <v>750</v>
      </c>
      <c r="C151">
        <f t="shared" si="8"/>
        <v>6.6965312637759184E-25</v>
      </c>
      <c r="D151">
        <v>1750</v>
      </c>
      <c r="E151">
        <v>1024</v>
      </c>
      <c r="F151">
        <f t="shared" si="9"/>
        <v>1.708984375</v>
      </c>
      <c r="I151" s="2">
        <f>('L-Values'!E151*'D(Ti_Jollands) Times'!$F151*0.000001)^2/(4*'D(Ti_Jollands) Times'!$C151)/(365.35*24*3600)</f>
        <v>669612.70676778548</v>
      </c>
      <c r="J151" s="2">
        <f>('L-Values'!F151*'D(Ti_Jollands) Times'!$F151*0.000001)^2/(4*'D(Ti_Jollands) Times'!$C151)/(365.35*24*3600)</f>
        <v>457619.00340756058</v>
      </c>
      <c r="K151" s="2">
        <f>('L-Values'!G151*'D(Ti_Jollands) Times'!$F151*0.000001)^2/(4*'D(Ti_Jollands) Times'!$C151)/(365.35*24*3600)</f>
        <v>574885.96534635837</v>
      </c>
      <c r="L151" s="2">
        <f>('L-Values'!H151*'D(Ti_Jollands) Times'!$F151*0.000001)^2/(4*'D(Ti_Jollands) Times'!$C151)/(365.35*24*3600)</f>
        <v>443195.32216122816</v>
      </c>
      <c r="M151" s="2">
        <f>('L-Values'!I151*'D(Ti_Jollands) Times'!$F151*0.000001)^2/(4*'D(Ti_Jollands) Times'!$C151)/(365.35*24*3600)</f>
        <v>302175.54927567195</v>
      </c>
      <c r="N151" s="2">
        <f>('L-Values'!J151*'D(Ti_Jollands) Times'!$F151*0.000001)^2/(4*'D(Ti_Jollands) Times'!$C151)/(365.35*24*3600)</f>
        <v>820885.67293278978</v>
      </c>
      <c r="O151" s="2">
        <f>('L-Values'!K151*'D(Ti_Jollands) Times'!$F151*0.000001)^2/(4*'D(Ti_Jollands) Times'!$C151)/(365.35*24*3600)</f>
        <v>424979.69196245552</v>
      </c>
      <c r="P151" s="2">
        <f>('L-Values'!L151*'D(Ti_Jollands) Times'!$F151*0.000001)^2/(4*'D(Ti_Jollands) Times'!$C151)/(365.35*24*3600)</f>
        <v>497173.89024069416</v>
      </c>
      <c r="Q151" s="2">
        <f>('L-Values'!M151*'D(Ti_Jollands) Times'!$F151*0.000001)^2/(4*'D(Ti_Jollands) Times'!$C151)/(365.35*24*3600)</f>
        <v>558568.87353767292</v>
      </c>
      <c r="R151" s="2">
        <f>('L-Values'!N151*'D(Ti_Jollands) Times'!$F151*0.000001)^2/(4*'D(Ti_Jollands) Times'!$C151)/(365.35*24*3600)</f>
        <v>353536.95282624353</v>
      </c>
      <c r="S151" s="2">
        <f>('L-Values'!O151*'D(Ti_Jollands) Times'!$F151*0.000001)^2/(4*'D(Ti_Jollands) Times'!$C151)/(365.35*24*3600)</f>
        <v>394273.09489010659</v>
      </c>
      <c r="T151" s="2"/>
      <c r="U151" s="2">
        <f>('L-Values'!Q151*'D(Ti_Jollands) Times'!$F151*0.000001)^2/(4*'D(Ti_Jollands) Times'!$C151)/(365.35*24*3600)</f>
        <v>478720.52983760444</v>
      </c>
      <c r="V151" s="2">
        <f>('L-Values'!R151*'D(Ti_Jollands) Times'!$F151*0.000001)^2/(4*'D(Ti_Jollands) Times'!$C151)/(365.35*24*3600)</f>
        <v>490169.83740224526</v>
      </c>
      <c r="W151" s="2">
        <f>('L-Values'!S151*'D(Ti_Jollands) Times'!$F151*0.000001)^2/(4*'D(Ti_Jollands) Times'!$C151)/(365.35*24*3600)</f>
        <v>457619.00340756058</v>
      </c>
      <c r="X151" s="2"/>
      <c r="Y151" s="2">
        <f>('L-Values'!U151*'D(Ti_Jollands) Times'!$F151*0.000001)^2/(4*'D(Ti_Jollands) Times'!$C151)/(365.35*24*3600)</f>
        <v>478858.38723445387</v>
      </c>
      <c r="Z151" s="2">
        <f>('L-Values'!V151*'D(Ti_Jollands) Times'!$F151*0.000001)^2/(4*'D(Ti_Jollands) Times'!$C151)/(365.35*24*3600)</f>
        <v>479547.01505466079</v>
      </c>
      <c r="AA151" s="2">
        <f>('L-Values'!W151*'D(Ti_Jollands) Times'!$F151*0.000001)^2/(4*'D(Ti_Jollands) Times'!$C151)/(365.35*24*3600)</f>
        <v>250996.15941995228</v>
      </c>
      <c r="AB151" s="2">
        <f>('L-Values'!X151*'D(Ti_Jollands) Times'!$F151*0.000001)^2/(4*'D(Ti_Jollands) Times'!$C151)/(365.35*24*3600)</f>
        <v>744804.8121519126</v>
      </c>
      <c r="AC151" s="2">
        <f t="shared" si="10"/>
        <v>228550.85563470851</v>
      </c>
      <c r="AD151" s="2">
        <f t="shared" si="11"/>
        <v>265257.79709725181</v>
      </c>
    </row>
    <row r="152" spans="1:30" x14ac:dyDescent="0.2">
      <c r="A152" t="str">
        <f>'L-Values'!A152</f>
        <v>CGI009-qtz03-CL-fit-2-offset</v>
      </c>
      <c r="B152">
        <v>750</v>
      </c>
      <c r="C152">
        <f t="shared" si="8"/>
        <v>6.6965312637759184E-25</v>
      </c>
      <c r="D152">
        <v>1750</v>
      </c>
      <c r="E152">
        <v>1024</v>
      </c>
      <c r="F152">
        <f t="shared" si="9"/>
        <v>1.708984375</v>
      </c>
      <c r="I152" s="2">
        <f>('L-Values'!E152*'D(Ti_Jollands) Times'!$F152*0.000001)^2/(4*'D(Ti_Jollands) Times'!$C152)/(365.35*24*3600)</f>
        <v>507138.13253807608</v>
      </c>
      <c r="J152" s="2">
        <f>('L-Values'!F152*'D(Ti_Jollands) Times'!$F152*0.000001)^2/(4*'D(Ti_Jollands) Times'!$C152)/(365.35*24*3600)</f>
        <v>574667.61605155596</v>
      </c>
      <c r="K152" s="2">
        <f>('L-Values'!G152*'D(Ti_Jollands) Times'!$F152*0.000001)^2/(4*'D(Ti_Jollands) Times'!$C152)/(365.35*24*3600)</f>
        <v>472350.01839359192</v>
      </c>
      <c r="L152" s="2">
        <f>('L-Values'!H152*'D(Ti_Jollands) Times'!$F152*0.000001)^2/(4*'D(Ti_Jollands) Times'!$C152)/(365.35*24*3600)</f>
        <v>261117.27088199966</v>
      </c>
      <c r="M152" s="2">
        <f>('L-Values'!I152*'D(Ti_Jollands) Times'!$F152*0.000001)^2/(4*'D(Ti_Jollands) Times'!$C152)/(365.35*24*3600)</f>
        <v>261641.79035587428</v>
      </c>
      <c r="N152" s="2">
        <f>('L-Values'!J152*'D(Ti_Jollands) Times'!$F152*0.000001)^2/(4*'D(Ti_Jollands) Times'!$C152)/(365.35*24*3600)</f>
        <v>371952.86952377128</v>
      </c>
      <c r="O152" s="2">
        <f>('L-Values'!K152*'D(Ti_Jollands) Times'!$F152*0.000001)^2/(4*'D(Ti_Jollands) Times'!$C152)/(365.35*24*3600)</f>
        <v>359185.97851270519</v>
      </c>
      <c r="P152" s="2">
        <f>('L-Values'!L152*'D(Ti_Jollands) Times'!$F152*0.000001)^2/(4*'D(Ti_Jollands) Times'!$C152)/(365.35*24*3600)</f>
        <v>389530.8710331195</v>
      </c>
      <c r="Q152" s="2">
        <f>('L-Values'!M152*'D(Ti_Jollands) Times'!$F152*0.000001)^2/(4*'D(Ti_Jollands) Times'!$C152)/(365.35*24*3600)</f>
        <v>415492.33692016813</v>
      </c>
      <c r="R152" s="2">
        <f>('L-Values'!N152*'D(Ti_Jollands) Times'!$F152*0.000001)^2/(4*'D(Ti_Jollands) Times'!$C152)/(365.35*24*3600)</f>
        <v>414342.17841444869</v>
      </c>
      <c r="S152" s="2">
        <f>('L-Values'!O152*'D(Ti_Jollands) Times'!$F152*0.000001)^2/(4*'D(Ti_Jollands) Times'!$C152)/(365.35*24*3600)</f>
        <v>406319.58498385595</v>
      </c>
      <c r="T152" s="2"/>
      <c r="U152" s="2">
        <f>('L-Values'!Q152*'D(Ti_Jollands) Times'!$F152*0.000001)^2/(4*'D(Ti_Jollands) Times'!$C152)/(365.35*24*3600)</f>
        <v>400058.28253052779</v>
      </c>
      <c r="V152" s="2">
        <f>('L-Values'!R152*'D(Ti_Jollands) Times'!$F152*0.000001)^2/(4*'D(Ti_Jollands) Times'!$C152)/(365.35*24*3600)</f>
        <v>397934.49921798269</v>
      </c>
      <c r="W152" s="2">
        <f>('L-Values'!S152*'D(Ti_Jollands) Times'!$F152*0.000001)^2/(4*'D(Ti_Jollands) Times'!$C152)/(365.35*24*3600)</f>
        <v>406319.58498385595</v>
      </c>
      <c r="X152" s="2"/>
      <c r="Y152" s="2">
        <f>('L-Values'!U152*'D(Ti_Jollands) Times'!$F152*0.000001)^2/(4*'D(Ti_Jollands) Times'!$C152)/(365.35*24*3600)</f>
        <v>392118.71663167502</v>
      </c>
      <c r="Z152" s="2">
        <f>('L-Values'!V152*'D(Ti_Jollands) Times'!$F152*0.000001)^2/(4*'D(Ti_Jollands) Times'!$C152)/(365.35*24*3600)</f>
        <v>398184.04537288449</v>
      </c>
      <c r="AA152" s="2">
        <f>('L-Values'!W152*'D(Ti_Jollands) Times'!$F152*0.000001)^2/(4*'D(Ti_Jollands) Times'!$C152)/(365.35*24*3600)</f>
        <v>259616.61084749451</v>
      </c>
      <c r="AB152" s="2">
        <f>('L-Values'!X152*'D(Ti_Jollands) Times'!$F152*0.000001)^2/(4*'D(Ti_Jollands) Times'!$C152)/(365.35*24*3600)</f>
        <v>579706.63303089852</v>
      </c>
      <c r="AC152" s="2">
        <f t="shared" si="10"/>
        <v>138567.43452538998</v>
      </c>
      <c r="AD152" s="2">
        <f t="shared" si="11"/>
        <v>181522.58765801403</v>
      </c>
    </row>
    <row r="153" spans="1:30" x14ac:dyDescent="0.2">
      <c r="A153" t="str">
        <f>'L-Values'!A153</f>
        <v>CGI009-qtz03-CL-fit-3-offset</v>
      </c>
      <c r="B153">
        <v>750</v>
      </c>
      <c r="C153">
        <f t="shared" si="8"/>
        <v>6.6965312637759184E-25</v>
      </c>
      <c r="D153">
        <v>1750</v>
      </c>
      <c r="E153">
        <v>1024</v>
      </c>
      <c r="F153">
        <f t="shared" si="9"/>
        <v>1.708984375</v>
      </c>
      <c r="I153" s="2">
        <f>('L-Values'!E153*'D(Ti_Jollands) Times'!$F153*0.000001)^2/(4*'D(Ti_Jollands) Times'!$C153)/(365.35*24*3600)</f>
        <v>284026.08382073179</v>
      </c>
      <c r="J153" s="2">
        <f>('L-Values'!F153*'D(Ti_Jollands) Times'!$F153*0.000001)^2/(4*'D(Ti_Jollands) Times'!$C153)/(365.35*24*3600)</f>
        <v>80911.195868904499</v>
      </c>
      <c r="K153" s="2">
        <f>('L-Values'!G153*'D(Ti_Jollands) Times'!$F153*0.000001)^2/(4*'D(Ti_Jollands) Times'!$C153)/(365.35*24*3600)</f>
        <v>119566.73543137161</v>
      </c>
      <c r="L153" s="2">
        <f>('L-Values'!H153*'D(Ti_Jollands) Times'!$F153*0.000001)^2/(4*'D(Ti_Jollands) Times'!$C153)/(365.35*24*3600)</f>
        <v>178223.14373631688</v>
      </c>
      <c r="M153" s="2">
        <f>('L-Values'!I153*'D(Ti_Jollands) Times'!$F153*0.000001)^2/(4*'D(Ti_Jollands) Times'!$C153)/(365.35*24*3600)</f>
        <v>75162.959411266653</v>
      </c>
      <c r="N153" s="2">
        <f>('L-Values'!J153*'D(Ti_Jollands) Times'!$F153*0.000001)^2/(4*'D(Ti_Jollands) Times'!$C153)/(365.35*24*3600)</f>
        <v>296057.20657654159</v>
      </c>
      <c r="O153" s="2">
        <f>('L-Values'!K153*'D(Ti_Jollands) Times'!$F153*0.000001)^2/(4*'D(Ti_Jollands) Times'!$C153)/(365.35*24*3600)</f>
        <v>239589.26314791667</v>
      </c>
      <c r="P153" s="2">
        <f>('L-Values'!L153*'D(Ti_Jollands) Times'!$F153*0.000001)^2/(4*'D(Ti_Jollands) Times'!$C153)/(365.35*24*3600)</f>
        <v>209803.22258156908</v>
      </c>
      <c r="Q153" s="2">
        <f>('L-Values'!M153*'D(Ti_Jollands) Times'!$F153*0.000001)^2/(4*'D(Ti_Jollands) Times'!$C153)/(365.35*24*3600)</f>
        <v>208258.84422637266</v>
      </c>
      <c r="R153" s="2">
        <f>('L-Values'!N153*'D(Ti_Jollands) Times'!$F153*0.000001)^2/(4*'D(Ti_Jollands) Times'!$C153)/(365.35*24*3600)</f>
        <v>117128.26087531014</v>
      </c>
      <c r="S153" s="2">
        <f>('L-Values'!O153*'D(Ti_Jollands) Times'!$F153*0.000001)^2/(4*'D(Ti_Jollands) Times'!$C153)/(365.35*24*3600)</f>
        <v>142623.77701204448</v>
      </c>
      <c r="T153" s="2"/>
      <c r="U153" s="2">
        <f>('L-Values'!Q153*'D(Ti_Jollands) Times'!$F153*0.000001)^2/(4*'D(Ti_Jollands) Times'!$C153)/(365.35*24*3600)</f>
        <v>160730.55085535938</v>
      </c>
      <c r="V153" s="2">
        <f>('L-Values'!R153*'D(Ti_Jollands) Times'!$F153*0.000001)^2/(4*'D(Ti_Jollands) Times'!$C153)/(365.35*24*3600)</f>
        <v>169398.09172316288</v>
      </c>
      <c r="W153" s="2">
        <f>('L-Values'!S153*'D(Ti_Jollands) Times'!$F153*0.000001)^2/(4*'D(Ti_Jollands) Times'!$C153)/(365.35*24*3600)</f>
        <v>178223.14373631688</v>
      </c>
      <c r="X153" s="2"/>
      <c r="Y153" s="2">
        <f>('L-Values'!U153*'D(Ti_Jollands) Times'!$F153*0.000001)^2/(4*'D(Ti_Jollands) Times'!$C153)/(365.35*24*3600)</f>
        <v>162915.54936317782</v>
      </c>
      <c r="Z153" s="2">
        <f>('L-Values'!V153*'D(Ti_Jollands) Times'!$F153*0.000001)^2/(4*'D(Ti_Jollands) Times'!$C153)/(365.35*24*3600)</f>
        <v>159752.44157366024</v>
      </c>
      <c r="AA153" s="2">
        <f>('L-Values'!W153*'D(Ti_Jollands) Times'!$F153*0.000001)^2/(4*'D(Ti_Jollands) Times'!$C153)/(365.35*24*3600)</f>
        <v>50177.348264343767</v>
      </c>
      <c r="AB153" s="2">
        <f>('L-Values'!X153*'D(Ti_Jollands) Times'!$F153*0.000001)^2/(4*'D(Ti_Jollands) Times'!$C153)/(365.35*24*3600)</f>
        <v>316252.10579281929</v>
      </c>
      <c r="AC153" s="2">
        <f t="shared" si="10"/>
        <v>109575.09330931646</v>
      </c>
      <c r="AD153" s="2">
        <f t="shared" si="11"/>
        <v>156499.66421915905</v>
      </c>
    </row>
    <row r="154" spans="1:30" x14ac:dyDescent="0.2">
      <c r="A154" t="str">
        <f>'L-Values'!A154</f>
        <v>CGI009-qtz03-CL-fit-4-offset</v>
      </c>
      <c r="B154">
        <v>750</v>
      </c>
      <c r="C154">
        <f t="shared" si="8"/>
        <v>6.6965312637759184E-25</v>
      </c>
      <c r="D154">
        <v>1750</v>
      </c>
      <c r="E154">
        <v>1024</v>
      </c>
      <c r="F154">
        <f t="shared" si="9"/>
        <v>1.708984375</v>
      </c>
      <c r="I154" s="2">
        <f>('L-Values'!E154*'D(Ti_Jollands) Times'!$F154*0.000001)^2/(4*'D(Ti_Jollands) Times'!$C154)/(365.35*24*3600)</f>
        <v>163797.89013146132</v>
      </c>
      <c r="J154" s="2">
        <f>('L-Values'!F154*'D(Ti_Jollands) Times'!$F154*0.000001)^2/(4*'D(Ti_Jollands) Times'!$C154)/(365.35*24*3600)</f>
        <v>185543.41094777014</v>
      </c>
      <c r="K154" s="2">
        <f>('L-Values'!G154*'D(Ti_Jollands) Times'!$F154*0.000001)^2/(4*'D(Ti_Jollands) Times'!$C154)/(365.35*24*3600)</f>
        <v>184811.07398310726</v>
      </c>
      <c r="L154" s="2">
        <f>('L-Values'!H154*'D(Ti_Jollands) Times'!$F154*0.000001)^2/(4*'D(Ti_Jollands) Times'!$C154)/(365.35*24*3600)</f>
        <v>268228.51371135534</v>
      </c>
      <c r="M154" s="2">
        <f>('L-Values'!I154*'D(Ti_Jollands) Times'!$F154*0.000001)^2/(4*'D(Ti_Jollands) Times'!$C154)/(365.35*24*3600)</f>
        <v>152880.70200160865</v>
      </c>
      <c r="N154" s="2">
        <f>('L-Values'!J154*'D(Ti_Jollands) Times'!$F154*0.000001)^2/(4*'D(Ti_Jollands) Times'!$C154)/(365.35*24*3600)</f>
        <v>166778.98067513443</v>
      </c>
      <c r="O154" s="2">
        <f>('L-Values'!K154*'D(Ti_Jollands) Times'!$F154*0.000001)^2/(4*'D(Ti_Jollands) Times'!$C154)/(365.35*24*3600)</f>
        <v>217654.33058969444</v>
      </c>
      <c r="P154" s="2">
        <f>('L-Values'!L154*'D(Ti_Jollands) Times'!$F154*0.000001)^2/(4*'D(Ti_Jollands) Times'!$C154)/(365.35*24*3600)</f>
        <v>220699.58010375249</v>
      </c>
      <c r="Q154" s="2">
        <f>('L-Values'!M154*'D(Ti_Jollands) Times'!$F154*0.000001)^2/(4*'D(Ti_Jollands) Times'!$C154)/(365.35*24*3600)</f>
        <v>221462.16430506977</v>
      </c>
      <c r="R154" s="2">
        <f>('L-Values'!N154*'D(Ti_Jollands) Times'!$F154*0.000001)^2/(4*'D(Ti_Jollands) Times'!$C154)/(365.35*24*3600)</f>
        <v>182502.35670040274</v>
      </c>
      <c r="S154" s="2">
        <f>('L-Values'!O154*'D(Ti_Jollands) Times'!$F154*0.000001)^2/(4*'D(Ti_Jollands) Times'!$C154)/(365.35*24*3600)</f>
        <v>175018.01616060743</v>
      </c>
      <c r="T154" s="2"/>
      <c r="U154" s="2">
        <f>('L-Values'!Q154*'D(Ti_Jollands) Times'!$F154*0.000001)^2/(4*'D(Ti_Jollands) Times'!$C154)/(365.35*24*3600)</f>
        <v>198262.38239865852</v>
      </c>
      <c r="V154" s="2">
        <f>('L-Values'!R154*'D(Ti_Jollands) Times'!$F154*0.000001)^2/(4*'D(Ti_Jollands) Times'!$C154)/(365.35*24*3600)</f>
        <v>193210.60837542778</v>
      </c>
      <c r="W154" s="2">
        <f>('L-Values'!S154*'D(Ti_Jollands) Times'!$F154*0.000001)^2/(4*'D(Ti_Jollands) Times'!$C154)/(365.35*24*3600)</f>
        <v>184811.07398310726</v>
      </c>
      <c r="X154" s="2"/>
      <c r="Y154" s="2">
        <f>('L-Values'!U154*'D(Ti_Jollands) Times'!$F154*0.000001)^2/(4*'D(Ti_Jollands) Times'!$C154)/(365.35*24*3600)</f>
        <v>195658.86994005513</v>
      </c>
      <c r="Z154" s="2">
        <f>('L-Values'!V154*'D(Ti_Jollands) Times'!$F154*0.000001)^2/(4*'D(Ti_Jollands) Times'!$C154)/(365.35*24*3600)</f>
        <v>194668.90192230049</v>
      </c>
      <c r="AA154" s="2">
        <f>('L-Values'!W154*'D(Ti_Jollands) Times'!$F154*0.000001)^2/(4*'D(Ti_Jollands) Times'!$C154)/(365.35*24*3600)</f>
        <v>99944.354548839183</v>
      </c>
      <c r="AB154" s="2">
        <f>('L-Values'!X154*'D(Ti_Jollands) Times'!$F154*0.000001)^2/(4*'D(Ti_Jollands) Times'!$C154)/(365.35*24*3600)</f>
        <v>326926.2425176641</v>
      </c>
      <c r="AC154" s="2">
        <f t="shared" si="10"/>
        <v>94724.547373461304</v>
      </c>
      <c r="AD154" s="2">
        <f t="shared" si="11"/>
        <v>132257.34059536361</v>
      </c>
    </row>
    <row r="155" spans="1:30" x14ac:dyDescent="0.2">
      <c r="A155" t="str">
        <f>'L-Values'!A155</f>
        <v>CGI009-qtz03-CL-fit-5-offset</v>
      </c>
      <c r="B155">
        <v>750</v>
      </c>
      <c r="C155">
        <f t="shared" si="8"/>
        <v>6.6965312637759184E-25</v>
      </c>
      <c r="D155">
        <v>1750</v>
      </c>
      <c r="E155">
        <v>1024</v>
      </c>
      <c r="F155">
        <f t="shared" si="9"/>
        <v>1.708984375</v>
      </c>
      <c r="I155" s="2">
        <f>('L-Values'!E155*'D(Ti_Jollands) Times'!$F155*0.000001)^2/(4*'D(Ti_Jollands) Times'!$C155)/(365.35*24*3600)</f>
        <v>449152.17109352804</v>
      </c>
      <c r="J155" s="2">
        <f>('L-Values'!F155*'D(Ti_Jollands) Times'!$F155*0.000001)^2/(4*'D(Ti_Jollands) Times'!$C155)/(365.35*24*3600)</f>
        <v>448842.82792728872</v>
      </c>
      <c r="K155" s="2">
        <f>('L-Values'!G155*'D(Ti_Jollands) Times'!$F155*0.000001)^2/(4*'D(Ti_Jollands) Times'!$C155)/(365.35*24*3600)</f>
        <v>765037.17095370649</v>
      </c>
      <c r="L155" s="2">
        <f>('L-Values'!H155*'D(Ti_Jollands) Times'!$F155*0.000001)^2/(4*'D(Ti_Jollands) Times'!$C155)/(365.35*24*3600)</f>
        <v>226974.93380312689</v>
      </c>
      <c r="M155" s="2">
        <f>('L-Values'!I155*'D(Ti_Jollands) Times'!$F155*0.000001)^2/(4*'D(Ti_Jollands) Times'!$C155)/(365.35*24*3600)</f>
        <v>712212.05009713722</v>
      </c>
      <c r="N155" s="2">
        <f>('L-Values'!J155*'D(Ti_Jollands) Times'!$F155*0.000001)^2/(4*'D(Ti_Jollands) Times'!$C155)/(365.35*24*3600)</f>
        <v>400486.07307621144</v>
      </c>
      <c r="O155" s="2">
        <f>('L-Values'!K155*'D(Ti_Jollands) Times'!$F155*0.000001)^2/(4*'D(Ti_Jollands) Times'!$C155)/(365.35*24*3600)</f>
        <v>604380.29875726206</v>
      </c>
      <c r="P155" s="2">
        <f>('L-Values'!L155*'D(Ti_Jollands) Times'!$F155*0.000001)^2/(4*'D(Ti_Jollands) Times'!$C155)/(365.35*24*3600)</f>
        <v>977442.98354623117</v>
      </c>
      <c r="Q155" s="2">
        <f>('L-Values'!M155*'D(Ti_Jollands) Times'!$F155*0.000001)^2/(4*'D(Ti_Jollands) Times'!$C155)/(365.35*24*3600)</f>
        <v>579572.20715938276</v>
      </c>
      <c r="R155" s="2">
        <f>('L-Values'!N155*'D(Ti_Jollands) Times'!$F155*0.000001)^2/(4*'D(Ti_Jollands) Times'!$C155)/(365.35*24*3600)</f>
        <v>276293.55265380564</v>
      </c>
      <c r="S155" s="2">
        <f>('L-Values'!O155*'D(Ti_Jollands) Times'!$F155*0.000001)^2/(4*'D(Ti_Jollands) Times'!$C155)/(365.35*24*3600)</f>
        <v>730151.65373516025</v>
      </c>
      <c r="T155" s="2"/>
      <c r="U155" s="2">
        <f>('L-Values'!Q155*'D(Ti_Jollands) Times'!$F155*0.000001)^2/(4*'D(Ti_Jollands) Times'!$C155)/(365.35*24*3600)</f>
        <v>531642.3163814724</v>
      </c>
      <c r="V155" s="2">
        <f>('L-Values'!R155*'D(Ti_Jollands) Times'!$F155*0.000001)^2/(4*'D(Ti_Jollands) Times'!$C155)/(365.35*24*3600)</f>
        <v>538955.22017620143</v>
      </c>
      <c r="W155" s="2">
        <f>('L-Values'!S155*'D(Ti_Jollands) Times'!$F155*0.000001)^2/(4*'D(Ti_Jollands) Times'!$C155)/(365.35*24*3600)</f>
        <v>579572.20715938276</v>
      </c>
      <c r="X155" s="2"/>
      <c r="Y155" s="2">
        <f>('L-Values'!U155*'D(Ti_Jollands) Times'!$F155*0.000001)^2/(4*'D(Ti_Jollands) Times'!$C155)/(365.35*24*3600)</f>
        <v>536534.45737105259</v>
      </c>
      <c r="Z155" s="2">
        <f>('L-Values'!V155*'D(Ti_Jollands) Times'!$F155*0.000001)^2/(4*'D(Ti_Jollands) Times'!$C155)/(365.35*24*3600)</f>
        <v>537729.90289803001</v>
      </c>
      <c r="AA155" s="2">
        <f>('L-Values'!W155*'D(Ti_Jollands) Times'!$F155*0.000001)^2/(4*'D(Ti_Jollands) Times'!$C155)/(365.35*24*3600)</f>
        <v>111410.97850822448</v>
      </c>
      <c r="AB155" s="2">
        <f>('L-Values'!X155*'D(Ti_Jollands) Times'!$F155*0.000001)^2/(4*'D(Ti_Jollands) Times'!$C155)/(365.35*24*3600)</f>
        <v>1113032.9259599347</v>
      </c>
      <c r="AC155" s="2">
        <f t="shared" si="10"/>
        <v>426318.92438980553</v>
      </c>
      <c r="AD155" s="2">
        <f t="shared" si="11"/>
        <v>575303.02306190471</v>
      </c>
    </row>
    <row r="156" spans="1:30" x14ac:dyDescent="0.2">
      <c r="A156" t="str">
        <f>'L-Values'!A156</f>
        <v>CGI009-qtz04-CL-fit-1-offset</v>
      </c>
      <c r="B156">
        <v>750</v>
      </c>
      <c r="C156">
        <f t="shared" si="8"/>
        <v>6.6965312637759184E-25</v>
      </c>
      <c r="D156">
        <v>1400</v>
      </c>
      <c r="E156">
        <v>1024</v>
      </c>
      <c r="F156">
        <f t="shared" si="9"/>
        <v>1.3671875</v>
      </c>
      <c r="I156" s="2">
        <f>('L-Values'!E156*'D(Ti_Jollands) Times'!$F156*0.000001)^2/(4*'D(Ti_Jollands) Times'!$C156)/(365.35*24*3600)</f>
        <v>309348.27071136457</v>
      </c>
      <c r="J156" s="2">
        <f>('L-Values'!F156*'D(Ti_Jollands) Times'!$F156*0.000001)^2/(4*'D(Ti_Jollands) Times'!$C156)/(365.35*24*3600)</f>
        <v>369762.13913970004</v>
      </c>
      <c r="K156" s="2">
        <f>('L-Values'!G156*'D(Ti_Jollands) Times'!$F156*0.000001)^2/(4*'D(Ti_Jollands) Times'!$C156)/(365.35*24*3600)</f>
        <v>626866.67911646306</v>
      </c>
      <c r="L156" s="2">
        <f>('L-Values'!H156*'D(Ti_Jollands) Times'!$F156*0.000001)^2/(4*'D(Ti_Jollands) Times'!$C156)/(365.35*24*3600)</f>
        <v>496056.97471272235</v>
      </c>
      <c r="M156" s="2">
        <f>('L-Values'!I156*'D(Ti_Jollands) Times'!$F156*0.000001)^2/(4*'D(Ti_Jollands) Times'!$C156)/(365.35*24*3600)</f>
        <v>254092.10941307532</v>
      </c>
      <c r="N156" s="2">
        <f>('L-Values'!J156*'D(Ti_Jollands) Times'!$F156*0.000001)^2/(4*'D(Ti_Jollands) Times'!$C156)/(365.35*24*3600)</f>
        <v>595210.14236738987</v>
      </c>
      <c r="O156" s="2">
        <f>('L-Values'!K156*'D(Ti_Jollands) Times'!$F156*0.000001)^2/(4*'D(Ti_Jollands) Times'!$C156)/(365.35*24*3600)</f>
        <v>901121.4219650788</v>
      </c>
      <c r="P156" s="2">
        <f>('L-Values'!L156*'D(Ti_Jollands) Times'!$F156*0.000001)^2/(4*'D(Ti_Jollands) Times'!$C156)/(365.35*24*3600)</f>
        <v>589930.04593885422</v>
      </c>
      <c r="Q156" s="2">
        <f>('L-Values'!M156*'D(Ti_Jollands) Times'!$F156*0.000001)^2/(4*'D(Ti_Jollands) Times'!$C156)/(365.35*24*3600)</f>
        <v>737088.40626423853</v>
      </c>
      <c r="R156" s="2">
        <f>('L-Values'!N156*'D(Ti_Jollands) Times'!$F156*0.000001)^2/(4*'D(Ti_Jollands) Times'!$C156)/(365.35*24*3600)</f>
        <v>1011349.2515356794</v>
      </c>
      <c r="S156" s="2">
        <f>('L-Values'!O156*'D(Ti_Jollands) Times'!$F156*0.000001)^2/(4*'D(Ti_Jollands) Times'!$C156)/(365.35*24*3600)</f>
        <v>571350.81410002022</v>
      </c>
      <c r="T156" s="2"/>
      <c r="U156" s="2">
        <f>('L-Values'!Q156*'D(Ti_Jollands) Times'!$F156*0.000001)^2/(4*'D(Ti_Jollands) Times'!$C156)/(365.35*24*3600)</f>
        <v>562712.27517714933</v>
      </c>
      <c r="V156" s="2">
        <f>('L-Values'!R156*'D(Ti_Jollands) Times'!$F156*0.000001)^2/(4*'D(Ti_Jollands) Times'!$C156)/(365.35*24*3600)</f>
        <v>565685.28650489869</v>
      </c>
      <c r="W156" s="2">
        <f>('L-Values'!S156*'D(Ti_Jollands) Times'!$F156*0.000001)^2/(4*'D(Ti_Jollands) Times'!$C156)/(365.35*24*3600)</f>
        <v>589930.04593885422</v>
      </c>
      <c r="X156" s="2"/>
      <c r="Y156" s="2">
        <f>('L-Values'!U156*'D(Ti_Jollands) Times'!$F156*0.000001)^2/(4*'D(Ti_Jollands) Times'!$C156)/(365.35*24*3600)</f>
        <v>554053.9575211535</v>
      </c>
      <c r="Z156" s="2">
        <f>('L-Values'!V156*'D(Ti_Jollands) Times'!$F156*0.000001)^2/(4*'D(Ti_Jollands) Times'!$C156)/(365.35*24*3600)</f>
        <v>554169.67349664343</v>
      </c>
      <c r="AA156" s="2">
        <f>('L-Values'!W156*'D(Ti_Jollands) Times'!$F156*0.000001)^2/(4*'D(Ti_Jollands) Times'!$C156)/(365.35*24*3600)</f>
        <v>202560.87860413213</v>
      </c>
      <c r="AB156" s="2">
        <f>('L-Values'!X156*'D(Ti_Jollands) Times'!$F156*0.000001)^2/(4*'D(Ti_Jollands) Times'!$C156)/(365.35*24*3600)</f>
        <v>1172518.7690036378</v>
      </c>
      <c r="AC156" s="2">
        <f t="shared" si="10"/>
        <v>351608.79489251133</v>
      </c>
      <c r="AD156" s="2">
        <f t="shared" si="11"/>
        <v>618349.0955069944</v>
      </c>
    </row>
    <row r="157" spans="1:30" x14ac:dyDescent="0.2">
      <c r="A157" t="str">
        <f>'L-Values'!A157</f>
        <v>CGI009-qtz04-CL-fit-2-offset</v>
      </c>
      <c r="B157">
        <v>750</v>
      </c>
      <c r="C157">
        <f t="shared" si="8"/>
        <v>6.6965312637759184E-25</v>
      </c>
      <c r="D157">
        <v>1400</v>
      </c>
      <c r="E157">
        <v>1024</v>
      </c>
      <c r="F157">
        <f t="shared" si="9"/>
        <v>1.3671875</v>
      </c>
      <c r="I157" s="2">
        <f>('L-Values'!E157*'D(Ti_Jollands) Times'!$F157*0.000001)^2/(4*'D(Ti_Jollands) Times'!$C157)/(365.35*24*3600)</f>
        <v>415769.05403724348</v>
      </c>
      <c r="J157" s="2">
        <f>('L-Values'!F157*'D(Ti_Jollands) Times'!$F157*0.000001)^2/(4*'D(Ti_Jollands) Times'!$C157)/(365.35*24*3600)</f>
        <v>468599.54605717061</v>
      </c>
      <c r="K157" s="2">
        <f>('L-Values'!G157*'D(Ti_Jollands) Times'!$F157*0.000001)^2/(4*'D(Ti_Jollands) Times'!$C157)/(365.35*24*3600)</f>
        <v>234110.36951969523</v>
      </c>
      <c r="L157" s="2">
        <f>('L-Values'!H157*'D(Ti_Jollands) Times'!$F157*0.000001)^2/(4*'D(Ti_Jollands) Times'!$C157)/(365.35*24*3600)</f>
        <v>199317.36990410226</v>
      </c>
      <c r="M157" s="2">
        <f>('L-Values'!I157*'D(Ti_Jollands) Times'!$F157*0.000001)^2/(4*'D(Ti_Jollands) Times'!$C157)/(365.35*24*3600)</f>
        <v>230363.54770515347</v>
      </c>
      <c r="N157" s="2">
        <f>('L-Values'!J157*'D(Ti_Jollands) Times'!$F157*0.000001)^2/(4*'D(Ti_Jollands) Times'!$C157)/(365.35*24*3600)</f>
        <v>298055.61398583162</v>
      </c>
      <c r="O157" s="2">
        <f>('L-Values'!K157*'D(Ti_Jollands) Times'!$F157*0.000001)^2/(4*'D(Ti_Jollands) Times'!$C157)/(365.35*24*3600)</f>
        <v>346725.26518797799</v>
      </c>
      <c r="P157" s="2">
        <f>('L-Values'!L157*'D(Ti_Jollands) Times'!$F157*0.000001)^2/(4*'D(Ti_Jollands) Times'!$C157)/(365.35*24*3600)</f>
        <v>343574.91794044874</v>
      </c>
      <c r="Q157" s="2">
        <f>('L-Values'!M157*'D(Ti_Jollands) Times'!$F157*0.000001)^2/(4*'D(Ti_Jollands) Times'!$C157)/(365.35*24*3600)</f>
        <v>560650.62210644817</v>
      </c>
      <c r="R157" s="2">
        <f>('L-Values'!N157*'D(Ti_Jollands) Times'!$F157*0.000001)^2/(4*'D(Ti_Jollands) Times'!$C157)/(365.35*24*3600)</f>
        <v>114201.25279653285</v>
      </c>
      <c r="S157" s="2">
        <f>('L-Values'!O157*'D(Ti_Jollands) Times'!$F157*0.000001)^2/(4*'D(Ti_Jollands) Times'!$C157)/(365.35*24*3600)</f>
        <v>817365.72832194064</v>
      </c>
      <c r="T157" s="2"/>
      <c r="U157" s="2">
        <f>('L-Values'!Q157*'D(Ti_Jollands) Times'!$F157*0.000001)^2/(4*'D(Ti_Jollands) Times'!$C157)/(365.35*24*3600)</f>
        <v>351220.06972310611</v>
      </c>
      <c r="V157" s="2">
        <f>('L-Values'!R157*'D(Ti_Jollands) Times'!$F157*0.000001)^2/(4*'D(Ti_Jollands) Times'!$C157)/(365.35*24*3600)</f>
        <v>343963.37190303096</v>
      </c>
      <c r="W157" s="2">
        <f>('L-Values'!S157*'D(Ti_Jollands) Times'!$F157*0.000001)^2/(4*'D(Ti_Jollands) Times'!$C157)/(365.35*24*3600)</f>
        <v>343574.91794044874</v>
      </c>
      <c r="X157" s="2"/>
      <c r="Y157" s="2">
        <f>('L-Values'!U157*'D(Ti_Jollands) Times'!$F157*0.000001)^2/(4*'D(Ti_Jollands) Times'!$C157)/(365.35*24*3600)</f>
        <v>374703.15087153768</v>
      </c>
      <c r="Z157" s="2">
        <f>('L-Values'!V157*'D(Ti_Jollands) Times'!$F157*0.000001)^2/(4*'D(Ti_Jollands) Times'!$C157)/(365.35*24*3600)</f>
        <v>371019.45455223648</v>
      </c>
      <c r="AA157" s="2">
        <f>('L-Values'!W157*'D(Ti_Jollands) Times'!$F157*0.000001)^2/(4*'D(Ti_Jollands) Times'!$C157)/(365.35*24*3600)</f>
        <v>75421.911890418502</v>
      </c>
      <c r="AB157" s="2">
        <f>('L-Values'!X157*'D(Ti_Jollands) Times'!$F157*0.000001)^2/(4*'D(Ti_Jollands) Times'!$C157)/(365.35*24*3600)</f>
        <v>998257.22981959861</v>
      </c>
      <c r="AC157" s="2">
        <f t="shared" si="10"/>
        <v>295597.54266181798</v>
      </c>
      <c r="AD157" s="2">
        <f t="shared" si="11"/>
        <v>627237.77526736213</v>
      </c>
    </row>
    <row r="158" spans="1:30" x14ac:dyDescent="0.2">
      <c r="A158" t="str">
        <f>'L-Values'!A158</f>
        <v>CGI009-qtz04-CL-fit-3-offset</v>
      </c>
      <c r="B158">
        <v>750</v>
      </c>
      <c r="C158">
        <f t="shared" si="8"/>
        <v>6.6965312637759184E-25</v>
      </c>
      <c r="D158">
        <v>1400</v>
      </c>
      <c r="E158">
        <v>1024</v>
      </c>
      <c r="F158">
        <f t="shared" si="9"/>
        <v>1.3671875</v>
      </c>
      <c r="I158" s="2">
        <f>('L-Values'!E158*'D(Ti_Jollands) Times'!$F158*0.000001)^2/(4*'D(Ti_Jollands) Times'!$C158)/(365.35*24*3600)</f>
        <v>222317.89635469424</v>
      </c>
      <c r="J158" s="2">
        <f>('L-Values'!F158*'D(Ti_Jollands) Times'!$F158*0.000001)^2/(4*'D(Ti_Jollands) Times'!$C158)/(365.35*24*3600)</f>
        <v>645821.63085310406</v>
      </c>
      <c r="K158" s="2">
        <f>('L-Values'!G158*'D(Ti_Jollands) Times'!$F158*0.000001)^2/(4*'D(Ti_Jollands) Times'!$C158)/(365.35*24*3600)</f>
        <v>243011.61595596635</v>
      </c>
      <c r="L158" s="2">
        <f>('L-Values'!H158*'D(Ti_Jollands) Times'!$F158*0.000001)^2/(4*'D(Ti_Jollands) Times'!$C158)/(365.35*24*3600)</f>
        <v>80342.185922198274</v>
      </c>
      <c r="M158" s="2">
        <f>('L-Values'!I158*'D(Ti_Jollands) Times'!$F158*0.000001)^2/(4*'D(Ti_Jollands) Times'!$C158)/(365.35*24*3600)</f>
        <v>1236.7856209353338</v>
      </c>
      <c r="N158" s="2">
        <f>('L-Values'!J158*'D(Ti_Jollands) Times'!$F158*0.000001)^2/(4*'D(Ti_Jollands) Times'!$C158)/(365.35*24*3600)</f>
        <v>95294.270938105154</v>
      </c>
      <c r="O158" s="2">
        <f>('L-Values'!K158*'D(Ti_Jollands) Times'!$F158*0.000001)^2/(4*'D(Ti_Jollands) Times'!$C158)/(365.35*24*3600)</f>
        <v>21094.813565236145</v>
      </c>
      <c r="P158" s="2">
        <f>('L-Values'!L158*'D(Ti_Jollands) Times'!$F158*0.000001)^2/(4*'D(Ti_Jollands) Times'!$C158)/(365.35*24*3600)</f>
        <v>604182.46795641538</v>
      </c>
      <c r="Q158" s="2">
        <f>('L-Values'!M158*'D(Ti_Jollands) Times'!$F158*0.000001)^2/(4*'D(Ti_Jollands) Times'!$C158)/(365.35*24*3600)</f>
        <v>209354.05513719303</v>
      </c>
      <c r="R158" s="2">
        <f>('L-Values'!N158*'D(Ti_Jollands) Times'!$F158*0.000001)^2/(4*'D(Ti_Jollands) Times'!$C158)/(365.35*24*3600)</f>
        <v>17374.08330548268</v>
      </c>
      <c r="S158" s="2">
        <f>('L-Values'!O158*'D(Ti_Jollands) Times'!$F158*0.000001)^2/(4*'D(Ti_Jollands) Times'!$C158)/(365.35*24*3600)</f>
        <v>274637.59545899613</v>
      </c>
      <c r="T158" s="2"/>
      <c r="U158" s="2">
        <f>('L-Values'!Q158*'D(Ti_Jollands) Times'!$F158*0.000001)^2/(4*'D(Ti_Jollands) Times'!$C158)/(365.35*24*3600)</f>
        <v>145731.75563152716</v>
      </c>
      <c r="V158" s="2">
        <f>('L-Values'!R158*'D(Ti_Jollands) Times'!$F158*0.000001)^2/(4*'D(Ti_Jollands) Times'!$C158)/(365.35*24*3600)</f>
        <v>162289.22699827069</v>
      </c>
      <c r="W158" s="2">
        <f>('L-Values'!S158*'D(Ti_Jollands) Times'!$F158*0.000001)^2/(4*'D(Ti_Jollands) Times'!$C158)/(365.35*24*3600)</f>
        <v>209354.05513719303</v>
      </c>
      <c r="X158" s="2"/>
      <c r="Y158" s="2">
        <f>('L-Values'!U158*'D(Ti_Jollands) Times'!$F158*0.000001)^2/(4*'D(Ti_Jollands) Times'!$C158)/(365.35*24*3600)</f>
        <v>136868.01539664803</v>
      </c>
      <c r="Z158" s="2">
        <f>('L-Values'!V158*'D(Ti_Jollands) Times'!$F158*0.000001)^2/(4*'D(Ti_Jollands) Times'!$C158)/(365.35*24*3600)</f>
        <v>189127.56421466518</v>
      </c>
      <c r="AA158" s="2">
        <f>('L-Values'!W158*'D(Ti_Jollands) Times'!$F158*0.000001)^2/(4*'D(Ti_Jollands) Times'!$C158)/(365.35*24*3600)</f>
        <v>1336.467412708779</v>
      </c>
      <c r="AB158" s="2">
        <f>('L-Values'!X158*'D(Ti_Jollands) Times'!$F158*0.000001)^2/(4*'D(Ti_Jollands) Times'!$C158)/(365.35*24*3600)</f>
        <v>1709933.6358291472</v>
      </c>
      <c r="AC158" s="2">
        <f t="shared" si="10"/>
        <v>187791.09680195639</v>
      </c>
      <c r="AD158" s="2">
        <f t="shared" si="11"/>
        <v>1520806.071614482</v>
      </c>
    </row>
    <row r="159" spans="1:30" x14ac:dyDescent="0.2">
      <c r="A159" t="str">
        <f>'L-Values'!A159</f>
        <v>CGI009-qtz04-CL-fit-4-offset</v>
      </c>
      <c r="B159">
        <v>750</v>
      </c>
      <c r="C159">
        <f t="shared" si="8"/>
        <v>6.6965312637759184E-25</v>
      </c>
      <c r="D159">
        <v>1400</v>
      </c>
      <c r="E159">
        <v>1024</v>
      </c>
      <c r="F159">
        <f t="shared" si="9"/>
        <v>1.3671875</v>
      </c>
      <c r="I159" s="2">
        <f>('L-Values'!E159*'D(Ti_Jollands) Times'!$F159*0.000001)^2/(4*'D(Ti_Jollands) Times'!$C159)/(365.35*24*3600)</f>
        <v>115031.00379095982</v>
      </c>
      <c r="J159" s="2">
        <f>('L-Values'!F159*'D(Ti_Jollands) Times'!$F159*0.000001)^2/(4*'D(Ti_Jollands) Times'!$C159)/(365.35*24*3600)</f>
        <v>67939.588980726621</v>
      </c>
      <c r="K159" s="2">
        <f>('L-Values'!G159*'D(Ti_Jollands) Times'!$F159*0.000001)^2/(4*'D(Ti_Jollands) Times'!$C159)/(365.35*24*3600)</f>
        <v>59802.645442083885</v>
      </c>
      <c r="L159" s="2">
        <f>('L-Values'!H159*'D(Ti_Jollands) Times'!$F159*0.000001)^2/(4*'D(Ti_Jollands) Times'!$C159)/(365.35*24*3600)</f>
        <v>105261.93953093421</v>
      </c>
      <c r="M159" s="2">
        <f>('L-Values'!I159*'D(Ti_Jollands) Times'!$F159*0.000001)^2/(4*'D(Ti_Jollands) Times'!$C159)/(365.35*24*3600)</f>
        <v>47448.533729940093</v>
      </c>
      <c r="N159" s="2">
        <f>('L-Values'!J159*'D(Ti_Jollands) Times'!$F159*0.000001)^2/(4*'D(Ti_Jollands) Times'!$C159)/(365.35*24*3600)</f>
        <v>55308.997890487713</v>
      </c>
      <c r="O159" s="2">
        <f>('L-Values'!K159*'D(Ti_Jollands) Times'!$F159*0.000001)^2/(4*'D(Ti_Jollands) Times'!$C159)/(365.35*24*3600)</f>
        <v>52642.84081183849</v>
      </c>
      <c r="P159" s="2">
        <f>('L-Values'!L159*'D(Ti_Jollands) Times'!$F159*0.000001)^2/(4*'D(Ti_Jollands) Times'!$C159)/(365.35*24*3600)</f>
        <v>124755.8741462828</v>
      </c>
      <c r="Q159" s="2">
        <f>('L-Values'!M159*'D(Ti_Jollands) Times'!$F159*0.000001)^2/(4*'D(Ti_Jollands) Times'!$C159)/(365.35*24*3600)</f>
        <v>48062.244404252306</v>
      </c>
      <c r="R159" s="2">
        <f>('L-Values'!N159*'D(Ti_Jollands) Times'!$F159*0.000001)^2/(4*'D(Ti_Jollands) Times'!$C159)/(365.35*24*3600)</f>
        <v>98119.799059400757</v>
      </c>
      <c r="S159" s="2">
        <f>('L-Values'!O159*'D(Ti_Jollands) Times'!$F159*0.000001)^2/(4*'D(Ti_Jollands) Times'!$C159)/(365.35*24*3600)</f>
        <v>100003.19086513334</v>
      </c>
      <c r="T159" s="2"/>
      <c r="U159" s="2">
        <f>('L-Values'!Q159*'D(Ti_Jollands) Times'!$F159*0.000001)^2/(4*'D(Ti_Jollands) Times'!$C159)/(365.35*24*3600)</f>
        <v>82555.314916523712</v>
      </c>
      <c r="V159" s="2">
        <f>('L-Values'!R159*'D(Ti_Jollands) Times'!$F159*0.000001)^2/(4*'D(Ti_Jollands) Times'!$C159)/(365.35*24*3600)</f>
        <v>77039.533106589559</v>
      </c>
      <c r="W159" s="2">
        <f>('L-Values'!S159*'D(Ti_Jollands) Times'!$F159*0.000001)^2/(4*'D(Ti_Jollands) Times'!$C159)/(365.35*24*3600)</f>
        <v>67939.588980726621</v>
      </c>
      <c r="X159" s="2"/>
      <c r="Y159" s="2">
        <f>('L-Values'!U159*'D(Ti_Jollands) Times'!$F159*0.000001)^2/(4*'D(Ti_Jollands) Times'!$C159)/(365.35*24*3600)</f>
        <v>79320.690091133583</v>
      </c>
      <c r="Z159" s="2">
        <f>('L-Values'!V159*'D(Ti_Jollands) Times'!$F159*0.000001)^2/(4*'D(Ti_Jollands) Times'!$C159)/(365.35*24*3600)</f>
        <v>78624.061667248228</v>
      </c>
      <c r="AA159" s="2">
        <f>('L-Values'!W159*'D(Ti_Jollands) Times'!$F159*0.000001)^2/(4*'D(Ti_Jollands) Times'!$C159)/(365.35*24*3600)</f>
        <v>18988.747511616461</v>
      </c>
      <c r="AB159" s="2">
        <f>('L-Values'!X159*'D(Ti_Jollands) Times'!$F159*0.000001)^2/(4*'D(Ti_Jollands) Times'!$C159)/(365.35*24*3600)</f>
        <v>196503.33639845075</v>
      </c>
      <c r="AC159" s="2">
        <f t="shared" si="10"/>
        <v>59635.314155631771</v>
      </c>
      <c r="AD159" s="2">
        <f t="shared" si="11"/>
        <v>117879.27473120252</v>
      </c>
    </row>
    <row r="160" spans="1:30" x14ac:dyDescent="0.2">
      <c r="A160" t="str">
        <f>'L-Values'!A160</f>
        <v>CGI009-qtz05-CL-fit-1-offset</v>
      </c>
      <c r="B160">
        <v>750</v>
      </c>
      <c r="C160">
        <f t="shared" si="8"/>
        <v>6.6965312637759184E-25</v>
      </c>
      <c r="D160">
        <v>1500</v>
      </c>
      <c r="E160">
        <v>1024</v>
      </c>
      <c r="F160">
        <f t="shared" si="9"/>
        <v>1.46484375</v>
      </c>
      <c r="I160" s="2">
        <f>('L-Values'!E160*'D(Ti_Jollands) Times'!$F160*0.000001)^2/(4*'D(Ti_Jollands) Times'!$C160)/(365.35*24*3600)</f>
        <v>672912.46519461402</v>
      </c>
      <c r="J160" s="2">
        <f>('L-Values'!F160*'D(Ti_Jollands) Times'!$F160*0.000001)^2/(4*'D(Ti_Jollands) Times'!$C160)/(365.35*24*3600)</f>
        <v>552084.09868874459</v>
      </c>
      <c r="K160" s="2">
        <f>('L-Values'!G160*'D(Ti_Jollands) Times'!$F160*0.000001)^2/(4*'D(Ti_Jollands) Times'!$C160)/(365.35*24*3600)</f>
        <v>654101.21399580152</v>
      </c>
      <c r="L160" s="2">
        <f>('L-Values'!H160*'D(Ti_Jollands) Times'!$F160*0.000001)^2/(4*'D(Ti_Jollands) Times'!$C160)/(365.35*24*3600)</f>
        <v>322222.01823921001</v>
      </c>
      <c r="M160" s="2">
        <f>('L-Values'!I160*'D(Ti_Jollands) Times'!$F160*0.000001)^2/(4*'D(Ti_Jollands) Times'!$C160)/(365.35*24*3600)</f>
        <v>610417.10180968395</v>
      </c>
      <c r="N160" s="2">
        <f>('L-Values'!J160*'D(Ti_Jollands) Times'!$F160*0.000001)^2/(4*'D(Ti_Jollands) Times'!$C160)/(365.35*24*3600)</f>
        <v>530251.26672999107</v>
      </c>
      <c r="O160" s="2">
        <f>('L-Values'!K160*'D(Ti_Jollands) Times'!$F160*0.000001)^2/(4*'D(Ti_Jollands) Times'!$C160)/(365.35*24*3600)</f>
        <v>334845.46331755049</v>
      </c>
      <c r="P160" s="2">
        <f>('L-Values'!L160*'D(Ti_Jollands) Times'!$F160*0.000001)^2/(4*'D(Ti_Jollands) Times'!$C160)/(365.35*24*3600)</f>
        <v>294203.03458714264</v>
      </c>
      <c r="Q160" s="2">
        <f>('L-Values'!M160*'D(Ti_Jollands) Times'!$F160*0.000001)^2/(4*'D(Ti_Jollands) Times'!$C160)/(365.35*24*3600)</f>
        <v>818578.81248646835</v>
      </c>
      <c r="R160" s="2">
        <f>('L-Values'!N160*'D(Ti_Jollands) Times'!$F160*0.000001)^2/(4*'D(Ti_Jollands) Times'!$C160)/(365.35*24*3600)</f>
        <v>297961.83982018958</v>
      </c>
      <c r="S160" s="2">
        <f>('L-Values'!O160*'D(Ti_Jollands) Times'!$F160*0.000001)^2/(4*'D(Ti_Jollands) Times'!$C160)/(365.35*24*3600)</f>
        <v>422772.06820104847</v>
      </c>
      <c r="T160" s="2"/>
      <c r="U160" s="2">
        <f>('L-Values'!Q160*'D(Ti_Jollands) Times'!$F160*0.000001)^2/(4*'D(Ti_Jollands) Times'!$C160)/(365.35*24*3600)</f>
        <v>478702.47406166833</v>
      </c>
      <c r="V160" s="2">
        <f>('L-Values'!R160*'D(Ti_Jollands) Times'!$F160*0.000001)^2/(4*'D(Ti_Jollands) Times'!$C160)/(365.35*24*3600)</f>
        <v>486329.67172176478</v>
      </c>
      <c r="W160" s="2">
        <f>('L-Values'!S160*'D(Ti_Jollands) Times'!$F160*0.000001)^2/(4*'D(Ti_Jollands) Times'!$C160)/(365.35*24*3600)</f>
        <v>530251.26672999107</v>
      </c>
      <c r="X160" s="2"/>
      <c r="Y160" s="2">
        <f>('L-Values'!U160*'D(Ti_Jollands) Times'!$F160*0.000001)^2/(4*'D(Ti_Jollands) Times'!$C160)/(365.35*24*3600)</f>
        <v>472326.7036486374</v>
      </c>
      <c r="Z160" s="2">
        <f>('L-Values'!V160*'D(Ti_Jollands) Times'!$F160*0.000001)^2/(4*'D(Ti_Jollands) Times'!$C160)/(365.35*24*3600)</f>
        <v>481590.10666376934</v>
      </c>
      <c r="AA160" s="2">
        <f>('L-Values'!W160*'D(Ti_Jollands) Times'!$F160*0.000001)^2/(4*'D(Ti_Jollands) Times'!$C160)/(365.35*24*3600)</f>
        <v>218888.36320866772</v>
      </c>
      <c r="AB160" s="2">
        <f>('L-Values'!X160*'D(Ti_Jollands) Times'!$F160*0.000001)^2/(4*'D(Ti_Jollands) Times'!$C160)/(365.35*24*3600)</f>
        <v>976041.85744464956</v>
      </c>
      <c r="AC160" s="2">
        <f t="shared" si="10"/>
        <v>262701.74345510162</v>
      </c>
      <c r="AD160" s="2">
        <f t="shared" si="11"/>
        <v>494451.75078088022</v>
      </c>
    </row>
    <row r="161" spans="1:30" x14ac:dyDescent="0.2">
      <c r="A161" t="str">
        <f>'L-Values'!A161</f>
        <v>CGI009-qtz05-CL-fit-2-offset</v>
      </c>
      <c r="B161">
        <v>750</v>
      </c>
      <c r="C161">
        <f t="shared" si="8"/>
        <v>6.6965312637759184E-25</v>
      </c>
      <c r="D161">
        <v>1500</v>
      </c>
      <c r="E161">
        <v>1024</v>
      </c>
      <c r="F161">
        <f t="shared" si="9"/>
        <v>1.46484375</v>
      </c>
      <c r="I161" s="2">
        <f>('L-Values'!E161*'D(Ti_Jollands) Times'!$F161*0.000001)^2/(4*'D(Ti_Jollands) Times'!$C161)/(365.35*24*3600)</f>
        <v>426756.94832774799</v>
      </c>
      <c r="J161" s="2">
        <f>('L-Values'!F161*'D(Ti_Jollands) Times'!$F161*0.000001)^2/(4*'D(Ti_Jollands) Times'!$C161)/(365.35*24*3600)</f>
        <v>693218.36703600106</v>
      </c>
      <c r="K161" s="2">
        <f>('L-Values'!G161*'D(Ti_Jollands) Times'!$F161*0.000001)^2/(4*'D(Ti_Jollands) Times'!$C161)/(365.35*24*3600)</f>
        <v>739459.45966403815</v>
      </c>
      <c r="L161" s="2">
        <f>('L-Values'!H161*'D(Ti_Jollands) Times'!$F161*0.000001)^2/(4*'D(Ti_Jollands) Times'!$C161)/(365.35*24*3600)</f>
        <v>413794.92182771594</v>
      </c>
      <c r="M161" s="2">
        <f>('L-Values'!I161*'D(Ti_Jollands) Times'!$F161*0.000001)^2/(4*'D(Ti_Jollands) Times'!$C161)/(365.35*24*3600)</f>
        <v>566392.85885421734</v>
      </c>
      <c r="N161" s="2">
        <f>('L-Values'!J161*'D(Ti_Jollands) Times'!$F161*0.000001)^2/(4*'D(Ti_Jollands) Times'!$C161)/(365.35*24*3600)</f>
        <v>246548.99270449032</v>
      </c>
      <c r="O161" s="2">
        <f>('L-Values'!K161*'D(Ti_Jollands) Times'!$F161*0.000001)^2/(4*'D(Ti_Jollands) Times'!$C161)/(365.35*24*3600)</f>
        <v>258578.99526988412</v>
      </c>
      <c r="P161" s="2">
        <f>('L-Values'!L161*'D(Ti_Jollands) Times'!$F161*0.000001)^2/(4*'D(Ti_Jollands) Times'!$C161)/(365.35*24*3600)</f>
        <v>229964.21643542903</v>
      </c>
      <c r="Q161" s="2">
        <f>('L-Values'!M161*'D(Ti_Jollands) Times'!$F161*0.000001)^2/(4*'D(Ti_Jollands) Times'!$C161)/(365.35*24*3600)</f>
        <v>334336.92685042764</v>
      </c>
      <c r="R161" s="2">
        <f>('L-Values'!N161*'D(Ti_Jollands) Times'!$F161*0.000001)^2/(4*'D(Ti_Jollands) Times'!$C161)/(365.35*24*3600)</f>
        <v>476186.3313507131</v>
      </c>
      <c r="S161" s="2">
        <f>('L-Values'!O161*'D(Ti_Jollands) Times'!$F161*0.000001)^2/(4*'D(Ti_Jollands) Times'!$C161)/(365.35*24*3600)</f>
        <v>449337.85353595892</v>
      </c>
      <c r="T161" s="2"/>
      <c r="U161" s="2">
        <f>('L-Values'!Q161*'D(Ti_Jollands) Times'!$F161*0.000001)^2/(4*'D(Ti_Jollands) Times'!$C161)/(365.35*24*3600)</f>
        <v>438073.58212197747</v>
      </c>
      <c r="V161" s="2">
        <f>('L-Values'!R161*'D(Ti_Jollands) Times'!$F161*0.000001)^2/(4*'D(Ti_Jollands) Times'!$C161)/(365.35*24*3600)</f>
        <v>424255.54099656496</v>
      </c>
      <c r="W161" s="2">
        <f>('L-Values'!S161*'D(Ti_Jollands) Times'!$F161*0.000001)^2/(4*'D(Ti_Jollands) Times'!$C161)/(365.35*24*3600)</f>
        <v>426756.94832774799</v>
      </c>
      <c r="X161" s="2"/>
      <c r="Y161" s="2">
        <f>('L-Values'!U161*'D(Ti_Jollands) Times'!$F161*0.000001)^2/(4*'D(Ti_Jollands) Times'!$C161)/(365.35*24*3600)</f>
        <v>415685.99800613406</v>
      </c>
      <c r="Z161" s="2">
        <f>('L-Values'!V161*'D(Ti_Jollands) Times'!$F161*0.000001)^2/(4*'D(Ti_Jollands) Times'!$C161)/(365.35*24*3600)</f>
        <v>423665.75836126361</v>
      </c>
      <c r="AA161" s="2">
        <f>('L-Values'!W161*'D(Ti_Jollands) Times'!$F161*0.000001)^2/(4*'D(Ti_Jollands) Times'!$C161)/(365.35*24*3600)</f>
        <v>219628.29973827169</v>
      </c>
      <c r="AB161" s="2">
        <f>('L-Values'!X161*'D(Ti_Jollands) Times'!$F161*0.000001)^2/(4*'D(Ti_Jollands) Times'!$C161)/(365.35*24*3600)</f>
        <v>810946.17110353208</v>
      </c>
      <c r="AC161" s="2">
        <f t="shared" si="10"/>
        <v>204037.45862299192</v>
      </c>
      <c r="AD161" s="2">
        <f t="shared" si="11"/>
        <v>387280.41274226847</v>
      </c>
    </row>
    <row r="162" spans="1:30" x14ac:dyDescent="0.2">
      <c r="A162" t="str">
        <f>'L-Values'!A162</f>
        <v>CGI009-qtz05-CL-fit-3-offset</v>
      </c>
      <c r="B162">
        <v>750</v>
      </c>
      <c r="C162">
        <f t="shared" si="8"/>
        <v>6.6965312637759184E-25</v>
      </c>
      <c r="D162">
        <v>1500</v>
      </c>
      <c r="E162">
        <v>1024</v>
      </c>
      <c r="F162">
        <f t="shared" si="9"/>
        <v>1.46484375</v>
      </c>
      <c r="I162" s="2">
        <f>('L-Values'!E162*'D(Ti_Jollands) Times'!$F162*0.000001)^2/(4*'D(Ti_Jollands) Times'!$C162)/(365.35*24*3600)</f>
        <v>0</v>
      </c>
      <c r="J162" s="2">
        <f>('L-Values'!F162*'D(Ti_Jollands) Times'!$F162*0.000001)^2/(4*'D(Ti_Jollands) Times'!$C162)/(365.35*24*3600)</f>
        <v>359068.05538136326</v>
      </c>
      <c r="K162" s="2">
        <f>('L-Values'!G162*'D(Ti_Jollands) Times'!$F162*0.000001)^2/(4*'D(Ti_Jollands) Times'!$C162)/(365.35*24*3600)</f>
        <v>377022.08860223391</v>
      </c>
      <c r="L162" s="2">
        <f>('L-Values'!H162*'D(Ti_Jollands) Times'!$F162*0.000001)^2/(4*'D(Ti_Jollands) Times'!$C162)/(365.35*24*3600)</f>
        <v>321488.79905192356</v>
      </c>
      <c r="M162" s="2">
        <f>('L-Values'!I162*'D(Ti_Jollands) Times'!$F162*0.000001)^2/(4*'D(Ti_Jollands) Times'!$C162)/(365.35*24*3600)</f>
        <v>196019.87022285481</v>
      </c>
      <c r="N162" s="2">
        <f>('L-Values'!J162*'D(Ti_Jollands) Times'!$F162*0.000001)^2/(4*'D(Ti_Jollands) Times'!$C162)/(365.35*24*3600)</f>
        <v>461847.15131110389</v>
      </c>
      <c r="O162" s="2">
        <f>('L-Values'!K162*'D(Ti_Jollands) Times'!$F162*0.000001)^2/(4*'D(Ti_Jollands) Times'!$C162)/(365.35*24*3600)</f>
        <v>405144.30051195424</v>
      </c>
      <c r="P162" s="2">
        <f>('L-Values'!L162*'D(Ti_Jollands) Times'!$F162*0.000001)^2/(4*'D(Ti_Jollands) Times'!$C162)/(365.35*24*3600)</f>
        <v>480354.05031482549</v>
      </c>
      <c r="Q162" s="2">
        <f>('L-Values'!M162*'D(Ti_Jollands) Times'!$F162*0.000001)^2/(4*'D(Ti_Jollands) Times'!$C162)/(365.35*24*3600)</f>
        <v>133177.05032073191</v>
      </c>
      <c r="R162" s="2">
        <f>('L-Values'!N162*'D(Ti_Jollands) Times'!$F162*0.000001)^2/(4*'D(Ti_Jollands) Times'!$C162)/(365.35*24*3600)</f>
        <v>268039.76544994465</v>
      </c>
      <c r="S162" s="2">
        <f>('L-Values'!O162*'D(Ti_Jollands) Times'!$F162*0.000001)^2/(4*'D(Ti_Jollands) Times'!$C162)/(365.35*24*3600)</f>
        <v>548946.42921635986</v>
      </c>
      <c r="T162" s="2"/>
      <c r="U162" s="2">
        <f>('L-Values'!Q162*'D(Ti_Jollands) Times'!$F162*0.000001)^2/(4*'D(Ti_Jollands) Times'!$C162)/(365.35*24*3600)</f>
        <v>396008.58227997919</v>
      </c>
      <c r="V162" s="2">
        <f>('L-Values'!R162*'D(Ti_Jollands) Times'!$F162*0.000001)^2/(4*'D(Ti_Jollands) Times'!$C162)/(365.35*24*3600)</f>
        <v>342896.08434571413</v>
      </c>
      <c r="W162" s="2">
        <f>('L-Values'!S162*'D(Ti_Jollands) Times'!$F162*0.000001)^2/(4*'D(Ti_Jollands) Times'!$C162)/(365.35*24*3600)</f>
        <v>367990.32406640903</v>
      </c>
      <c r="X162" s="2"/>
      <c r="Y162" s="2">
        <f>('L-Values'!U162*'D(Ti_Jollands) Times'!$F162*0.000001)^2/(4*'D(Ti_Jollands) Times'!$C162)/(365.35*24*3600)</f>
        <v>343722.42983420717</v>
      </c>
      <c r="Z162" s="2">
        <f>('L-Values'!V162*'D(Ti_Jollands) Times'!$F162*0.000001)^2/(4*'D(Ti_Jollands) Times'!$C162)/(365.35*24*3600)</f>
        <v>329256.24059156381</v>
      </c>
      <c r="AA162" s="2">
        <f>('L-Values'!W162*'D(Ti_Jollands) Times'!$F162*0.000001)^2/(4*'D(Ti_Jollands) Times'!$C162)/(365.35*24*3600)</f>
        <v>109191.20028437646</v>
      </c>
      <c r="AB162" s="2">
        <f>('L-Values'!X162*'D(Ti_Jollands) Times'!$F162*0.000001)^2/(4*'D(Ti_Jollands) Times'!$C162)/(365.35*24*3600)</f>
        <v>620231.70659169683</v>
      </c>
      <c r="AC162" s="2">
        <f t="shared" si="10"/>
        <v>220065.04030718736</v>
      </c>
      <c r="AD162" s="2">
        <f t="shared" si="11"/>
        <v>290975.46600013302</v>
      </c>
    </row>
    <row r="163" spans="1:30" x14ac:dyDescent="0.2">
      <c r="A163" t="str">
        <f>'L-Values'!A163</f>
        <v>CGI009-qtz05-CL-fit-4-offset</v>
      </c>
      <c r="B163">
        <v>750</v>
      </c>
      <c r="C163">
        <f t="shared" si="8"/>
        <v>6.6965312637759184E-25</v>
      </c>
      <c r="D163">
        <v>1500</v>
      </c>
      <c r="E163">
        <v>1024</v>
      </c>
      <c r="F163">
        <f t="shared" si="9"/>
        <v>1.46484375</v>
      </c>
      <c r="I163" s="2">
        <f>('L-Values'!E163*'D(Ti_Jollands) Times'!$F163*0.000001)^2/(4*'D(Ti_Jollands) Times'!$C163)/(365.35*24*3600)</f>
        <v>244410.56176142392</v>
      </c>
      <c r="J163" s="2">
        <f>('L-Values'!F163*'D(Ti_Jollands) Times'!$F163*0.000001)^2/(4*'D(Ti_Jollands) Times'!$C163)/(365.35*24*3600)</f>
        <v>76147.196330186183</v>
      </c>
      <c r="K163" s="2">
        <f>('L-Values'!G163*'D(Ti_Jollands) Times'!$F163*0.000001)^2/(4*'D(Ti_Jollands) Times'!$C163)/(365.35*24*3600)</f>
        <v>121805.562154126</v>
      </c>
      <c r="L163" s="2">
        <f>('L-Values'!H163*'D(Ti_Jollands) Times'!$F163*0.000001)^2/(4*'D(Ti_Jollands) Times'!$C163)/(365.35*24*3600)</f>
        <v>350.63387302397319</v>
      </c>
      <c r="M163" s="2">
        <f>('L-Values'!I163*'D(Ti_Jollands) Times'!$F163*0.000001)^2/(4*'D(Ti_Jollands) Times'!$C163)/(365.35*24*3600)</f>
        <v>19947.444849031435</v>
      </c>
      <c r="N163" s="2">
        <f>('L-Values'!J163*'D(Ti_Jollands) Times'!$F163*0.000001)^2/(4*'D(Ti_Jollands) Times'!$C163)/(365.35*24*3600)</f>
        <v>30.764912211234098</v>
      </c>
      <c r="O163" s="2">
        <f>('L-Values'!K163*'D(Ti_Jollands) Times'!$F163*0.000001)^2/(4*'D(Ti_Jollands) Times'!$C163)/(365.35*24*3600)</f>
        <v>97197.050006976235</v>
      </c>
      <c r="P163" s="2">
        <f>('L-Values'!L163*'D(Ti_Jollands) Times'!$F163*0.000001)^2/(4*'D(Ti_Jollands) Times'!$C163)/(365.35*24*3600)</f>
        <v>18104.214600000658</v>
      </c>
      <c r="Q163" s="2">
        <f>('L-Values'!M163*'D(Ti_Jollands) Times'!$F163*0.000001)^2/(4*'D(Ti_Jollands) Times'!$C163)/(365.35*24*3600)</f>
        <v>82632.603078863263</v>
      </c>
      <c r="R163" s="2">
        <f>('L-Values'!N163*'D(Ti_Jollands) Times'!$F163*0.000001)^2/(4*'D(Ti_Jollands) Times'!$C163)/(365.35*24*3600)</f>
        <v>1474.4281534172699</v>
      </c>
      <c r="S163" s="2">
        <f>('L-Values'!O163*'D(Ti_Jollands) Times'!$F163*0.000001)^2/(4*'D(Ti_Jollands) Times'!$C163)/(365.35*24*3600)</f>
        <v>1642.484132114145</v>
      </c>
      <c r="T163" s="2"/>
      <c r="U163" s="2">
        <f>('L-Values'!Q163*'D(Ti_Jollands) Times'!$F163*0.000001)^2/(4*'D(Ti_Jollands) Times'!$C163)/(365.35*24*3600)</f>
        <v>76844.557438337055</v>
      </c>
      <c r="V163" s="2">
        <f>('L-Values'!R163*'D(Ti_Jollands) Times'!$F163*0.000001)^2/(4*'D(Ti_Jollands) Times'!$C163)/(365.35*24*3600)</f>
        <v>36360.998656743082</v>
      </c>
      <c r="W163" s="2">
        <f>('L-Values'!S163*'D(Ti_Jollands) Times'!$F163*0.000001)^2/(4*'D(Ti_Jollands) Times'!$C163)/(365.35*24*3600)</f>
        <v>19947.444849031435</v>
      </c>
      <c r="X163" s="2"/>
      <c r="Y163" s="2">
        <f>('L-Values'!U163*'D(Ti_Jollands) Times'!$F163*0.000001)^2/(4*'D(Ti_Jollands) Times'!$C163)/(365.35*24*3600)</f>
        <v>58314.146077806094</v>
      </c>
      <c r="Z163" s="2">
        <f>('L-Values'!V163*'D(Ti_Jollands) Times'!$F163*0.000001)^2/(4*'D(Ti_Jollands) Times'!$C163)/(365.35*24*3600)</f>
        <v>57775.517785876829</v>
      </c>
      <c r="AA163" s="2">
        <f>('L-Values'!W163*'D(Ti_Jollands) Times'!$F163*0.000001)^2/(4*'D(Ti_Jollands) Times'!$C163)/(365.35*24*3600)</f>
        <v>17.064814056301785</v>
      </c>
      <c r="AB163" s="2">
        <f>('L-Values'!X163*'D(Ti_Jollands) Times'!$F163*0.000001)^2/(4*'D(Ti_Jollands) Times'!$C163)/(365.35*24*3600)</f>
        <v>409628.98376122065</v>
      </c>
      <c r="AC163" s="2">
        <f t="shared" si="10"/>
        <v>57758.45297182053</v>
      </c>
      <c r="AD163" s="2">
        <f t="shared" si="11"/>
        <v>351853.46597534383</v>
      </c>
    </row>
    <row r="164" spans="1:30" x14ac:dyDescent="0.2">
      <c r="A164" t="str">
        <f>'L-Values'!A164</f>
        <v>CGI009-qtz05-CL-fit-5-offset</v>
      </c>
      <c r="B164">
        <v>750</v>
      </c>
      <c r="C164">
        <f t="shared" si="8"/>
        <v>6.6965312637759184E-25</v>
      </c>
      <c r="D164">
        <v>1500</v>
      </c>
      <c r="E164">
        <v>1024</v>
      </c>
      <c r="F164">
        <f t="shared" si="9"/>
        <v>1.46484375</v>
      </c>
      <c r="I164" s="2">
        <f>('L-Values'!E164*'D(Ti_Jollands) Times'!$F164*0.000001)^2/(4*'D(Ti_Jollands) Times'!$C164)/(365.35*24*3600)</f>
        <v>8468.2947075818411</v>
      </c>
      <c r="J164" s="2">
        <f>('L-Values'!F164*'D(Ti_Jollands) Times'!$F164*0.000001)^2/(4*'D(Ti_Jollands) Times'!$C164)/(365.35*24*3600)</f>
        <v>142769.64061564917</v>
      </c>
      <c r="K164" s="2">
        <f>('L-Values'!G164*'D(Ti_Jollands) Times'!$F164*0.000001)^2/(4*'D(Ti_Jollands) Times'!$C164)/(365.35*24*3600)</f>
        <v>48503.706413669242</v>
      </c>
      <c r="L164" s="2">
        <f>('L-Values'!H164*'D(Ti_Jollands) Times'!$F164*0.000001)^2/(4*'D(Ti_Jollands) Times'!$C164)/(365.35*24*3600)</f>
        <v>223776.76502019545</v>
      </c>
      <c r="M164" s="2">
        <f>('L-Values'!I164*'D(Ti_Jollands) Times'!$F164*0.000001)^2/(4*'D(Ti_Jollands) Times'!$C164)/(365.35*24*3600)</f>
        <v>119914.028793323</v>
      </c>
      <c r="N164" s="2">
        <f>('L-Values'!J164*'D(Ti_Jollands) Times'!$F164*0.000001)^2/(4*'D(Ti_Jollands) Times'!$C164)/(365.35*24*3600)</f>
        <v>100064.8866516237</v>
      </c>
      <c r="O164" s="2">
        <f>('L-Values'!K164*'D(Ti_Jollands) Times'!$F164*0.000001)^2/(4*'D(Ti_Jollands) Times'!$C164)/(365.35*24*3600)</f>
        <v>173098.65460255259</v>
      </c>
      <c r="P164" s="2">
        <f>('L-Values'!L164*'D(Ti_Jollands) Times'!$F164*0.000001)^2/(4*'D(Ti_Jollands) Times'!$C164)/(365.35*24*3600)</f>
        <v>468444.16160977416</v>
      </c>
      <c r="Q164" s="2">
        <f>('L-Values'!M164*'D(Ti_Jollands) Times'!$F164*0.000001)^2/(4*'D(Ti_Jollands) Times'!$C164)/(365.35*24*3600)</f>
        <v>0</v>
      </c>
      <c r="R164" s="2">
        <f>('L-Values'!N164*'D(Ti_Jollands) Times'!$F164*0.000001)^2/(4*'D(Ti_Jollands) Times'!$C164)/(365.35*24*3600)</f>
        <v>3305.0536970878707</v>
      </c>
      <c r="S164" s="2">
        <f>('L-Values'!O164*'D(Ti_Jollands) Times'!$F164*0.000001)^2/(4*'D(Ti_Jollands) Times'!$C164)/(365.35*24*3600)</f>
        <v>105771.86055240937</v>
      </c>
      <c r="T164" s="2"/>
      <c r="U164" s="2">
        <f>('L-Values'!Q164*'D(Ti_Jollands) Times'!$F164*0.000001)^2/(4*'D(Ti_Jollands) Times'!$C164)/(365.35*24*3600)</f>
        <v>158731.60995962593</v>
      </c>
      <c r="V164" s="2">
        <f>('L-Values'!R164*'D(Ti_Jollands) Times'!$F164*0.000001)^2/(4*'D(Ti_Jollands) Times'!$C164)/(365.35*24*3600)</f>
        <v>109492.89222447263</v>
      </c>
      <c r="W164" s="2">
        <f>('L-Values'!S164*'D(Ti_Jollands) Times'!$F164*0.000001)^2/(4*'D(Ti_Jollands) Times'!$C164)/(365.35*24*3600)</f>
        <v>112732.06177528764</v>
      </c>
      <c r="X164" s="2"/>
      <c r="Y164" s="2">
        <f>('L-Values'!U164*'D(Ti_Jollands) Times'!$F164*0.000001)^2/(4*'D(Ti_Jollands) Times'!$C164)/(365.35*24*3600)</f>
        <v>114933.8723491764</v>
      </c>
      <c r="Z164" s="2">
        <f>('L-Values'!V164*'D(Ti_Jollands) Times'!$F164*0.000001)^2/(4*'D(Ti_Jollands) Times'!$C164)/(365.35*24*3600)</f>
        <v>112380.65142145532</v>
      </c>
      <c r="AA164" s="2">
        <f>('L-Values'!W164*'D(Ti_Jollands) Times'!$F164*0.000001)^2/(4*'D(Ti_Jollands) Times'!$C164)/(365.35*24*3600)</f>
        <v>2458.9540258090919</v>
      </c>
      <c r="AB164" s="2">
        <f>('L-Values'!X164*'D(Ti_Jollands) Times'!$F164*0.000001)^2/(4*'D(Ti_Jollands) Times'!$C164)/(365.35*24*3600)</f>
        <v>495564.55795846437</v>
      </c>
      <c r="AC164" s="2">
        <f t="shared" si="10"/>
        <v>109921.69739564623</v>
      </c>
      <c r="AD164" s="2">
        <f t="shared" si="11"/>
        <v>383183.90653700905</v>
      </c>
    </row>
    <row r="165" spans="1:30" x14ac:dyDescent="0.2">
      <c r="A165" t="str">
        <f>'L-Values'!A165</f>
        <v>CGI009-qtz06-CL-fit-1-offset</v>
      </c>
      <c r="B165">
        <v>750</v>
      </c>
      <c r="C165">
        <f t="shared" si="8"/>
        <v>6.6965312637759184E-25</v>
      </c>
      <c r="D165">
        <v>2000</v>
      </c>
      <c r="E165">
        <v>1024</v>
      </c>
      <c r="F165">
        <f t="shared" si="9"/>
        <v>1.953125</v>
      </c>
      <c r="I165" s="2">
        <f>('L-Values'!E165*'D(Ti_Jollands) Times'!$F165*0.000001)^2/(4*'D(Ti_Jollands) Times'!$C165)/(365.35*24*3600)</f>
        <v>1159042.6531823331</v>
      </c>
      <c r="J165" s="2">
        <f>('L-Values'!F165*'D(Ti_Jollands) Times'!$F165*0.000001)^2/(4*'D(Ti_Jollands) Times'!$C165)/(365.35*24*3600)</f>
        <v>1333981.1964512102</v>
      </c>
      <c r="K165" s="2">
        <f>('L-Values'!G165*'D(Ti_Jollands) Times'!$F165*0.000001)^2/(4*'D(Ti_Jollands) Times'!$C165)/(365.35*24*3600)</f>
        <v>1620802.7956427126</v>
      </c>
      <c r="L165" s="2">
        <f>('L-Values'!H165*'D(Ti_Jollands) Times'!$F165*0.000001)^2/(4*'D(Ti_Jollands) Times'!$C165)/(365.35*24*3600)</f>
        <v>1011849.3768908908</v>
      </c>
      <c r="M165" s="2">
        <f>('L-Values'!I165*'D(Ti_Jollands) Times'!$F165*0.000001)^2/(4*'D(Ti_Jollands) Times'!$C165)/(365.35*24*3600)</f>
        <v>0</v>
      </c>
      <c r="N165" s="2">
        <f>('L-Values'!J165*'D(Ti_Jollands) Times'!$F165*0.000001)^2/(4*'D(Ti_Jollands) Times'!$C165)/(365.35*24*3600)</f>
        <v>518595.34218156681</v>
      </c>
      <c r="O165" s="2">
        <f>('L-Values'!K165*'D(Ti_Jollands) Times'!$F165*0.000001)^2/(4*'D(Ti_Jollands) Times'!$C165)/(365.35*24*3600)</f>
        <v>76237.585614598021</v>
      </c>
      <c r="P165" s="2">
        <f>('L-Values'!L165*'D(Ti_Jollands) Times'!$F165*0.000001)^2/(4*'D(Ti_Jollands) Times'!$C165)/(365.35*24*3600)</f>
        <v>0</v>
      </c>
      <c r="Q165" s="2">
        <f>('L-Values'!M165*'D(Ti_Jollands) Times'!$F165*0.000001)^2/(4*'D(Ti_Jollands) Times'!$C165)/(365.35*24*3600)</f>
        <v>689221.76091509999</v>
      </c>
      <c r="R165" s="2">
        <f>('L-Values'!N165*'D(Ti_Jollands) Times'!$F165*0.000001)^2/(4*'D(Ti_Jollands) Times'!$C165)/(365.35*24*3600)</f>
        <v>1002520.5556156813</v>
      </c>
      <c r="S165" s="2">
        <f>('L-Values'!O165*'D(Ti_Jollands) Times'!$F165*0.000001)^2/(4*'D(Ti_Jollands) Times'!$C165)/(365.35*24*3600)</f>
        <v>3212.5199618152674</v>
      </c>
      <c r="T165" s="2"/>
      <c r="U165" s="2">
        <f>('L-Values'!Q165*'D(Ti_Jollands) Times'!$F165*0.000001)^2/(4*'D(Ti_Jollands) Times'!$C165)/(365.35*24*3600)</f>
        <v>1408238.44503075</v>
      </c>
      <c r="V165" s="2">
        <f>('L-Values'!R165*'D(Ti_Jollands) Times'!$F165*0.000001)^2/(4*'D(Ti_Jollands) Times'!$C165)/(365.35*24*3600)</f>
        <v>675129.50545801071</v>
      </c>
      <c r="W165" s="2">
        <f>('L-Values'!S165*'D(Ti_Jollands) Times'!$F165*0.000001)^2/(4*'D(Ti_Jollands) Times'!$C165)/(365.35*24*3600)</f>
        <v>1002520.5556156813</v>
      </c>
      <c r="X165" s="2"/>
      <c r="Y165" s="2">
        <f>('L-Values'!U165*'D(Ti_Jollands) Times'!$F165*0.000001)^2/(4*'D(Ti_Jollands) Times'!$C165)/(365.35*24*3600)</f>
        <v>1068483.567033431</v>
      </c>
      <c r="Z165" s="2">
        <f>('L-Values'!V165*'D(Ti_Jollands) Times'!$F165*0.000001)^2/(4*'D(Ti_Jollands) Times'!$C165)/(365.35*24*3600)</f>
        <v>1661181.9552740334</v>
      </c>
      <c r="AA165" s="2">
        <f>('L-Values'!W165*'D(Ti_Jollands) Times'!$F165*0.000001)^2/(4*'D(Ti_Jollands) Times'!$C165)/(365.35*24*3600)</f>
        <v>10.069572621723365</v>
      </c>
      <c r="AB165" s="2">
        <f>('L-Values'!X165*'D(Ti_Jollands) Times'!$F165*0.000001)^2/(4*'D(Ti_Jollands) Times'!$C165)/(365.35*24*3600)</f>
        <v>15498433.294537978</v>
      </c>
      <c r="AC165" s="2">
        <f t="shared" si="10"/>
        <v>1661171.8857014116</v>
      </c>
      <c r="AD165" s="2">
        <f t="shared" si="11"/>
        <v>13837251.339263946</v>
      </c>
    </row>
    <row r="166" spans="1:30" x14ac:dyDescent="0.2">
      <c r="A166" t="str">
        <f>'L-Values'!A166</f>
        <v>CGI009-qtz06-CL-fit-2-offset</v>
      </c>
      <c r="B166">
        <v>750</v>
      </c>
      <c r="C166">
        <f t="shared" si="8"/>
        <v>6.6965312637759184E-25</v>
      </c>
      <c r="D166">
        <v>2000</v>
      </c>
      <c r="E166">
        <v>1024</v>
      </c>
      <c r="F166">
        <f t="shared" si="9"/>
        <v>1.953125</v>
      </c>
      <c r="I166" s="2">
        <f>('L-Values'!E166*'D(Ti_Jollands) Times'!$F166*0.000001)^2/(4*'D(Ti_Jollands) Times'!$C166)/(365.35*24*3600)</f>
        <v>136247.97632341995</v>
      </c>
      <c r="J166" s="2">
        <f>('L-Values'!F166*'D(Ti_Jollands) Times'!$F166*0.000001)^2/(4*'D(Ti_Jollands) Times'!$C166)/(365.35*24*3600)</f>
        <v>150762.75840320007</v>
      </c>
      <c r="K166" s="2">
        <f>('L-Values'!G166*'D(Ti_Jollands) Times'!$F166*0.000001)^2/(4*'D(Ti_Jollands) Times'!$C166)/(365.35*24*3600)</f>
        <v>41888.315193573064</v>
      </c>
      <c r="L166" s="2">
        <f>('L-Values'!H166*'D(Ti_Jollands) Times'!$F166*0.000001)^2/(4*'D(Ti_Jollands) Times'!$C166)/(365.35*24*3600)</f>
        <v>1725190.3691856544</v>
      </c>
      <c r="M166" s="2">
        <f>('L-Values'!I166*'D(Ti_Jollands) Times'!$F166*0.000001)^2/(4*'D(Ti_Jollands) Times'!$C166)/(365.35*24*3600)</f>
        <v>786344.8078756904</v>
      </c>
      <c r="N166" s="2">
        <f>('L-Values'!J166*'D(Ti_Jollands) Times'!$F166*0.000001)^2/(4*'D(Ti_Jollands) Times'!$C166)/(365.35*24*3600)</f>
        <v>855142.03056382958</v>
      </c>
      <c r="O166" s="2">
        <f>('L-Values'!K166*'D(Ti_Jollands) Times'!$F166*0.000001)^2/(4*'D(Ti_Jollands) Times'!$C166)/(365.35*24*3600)</f>
        <v>567676.94905784132</v>
      </c>
      <c r="P166" s="2">
        <f>('L-Values'!L166*'D(Ti_Jollands) Times'!$F166*0.000001)^2/(4*'D(Ti_Jollands) Times'!$C166)/(365.35*24*3600)</f>
        <v>573554.23318445042</v>
      </c>
      <c r="Q166" s="2">
        <f>('L-Values'!M166*'D(Ti_Jollands) Times'!$F166*0.000001)^2/(4*'D(Ti_Jollands) Times'!$C166)/(365.35*24*3600)</f>
        <v>871950.731710564</v>
      </c>
      <c r="R166" s="2">
        <f>('L-Values'!N166*'D(Ti_Jollands) Times'!$F166*0.000001)^2/(4*'D(Ti_Jollands) Times'!$C166)/(365.35*24*3600)</f>
        <v>94586.789424221934</v>
      </c>
      <c r="S166" s="2">
        <f>('L-Values'!O166*'D(Ti_Jollands) Times'!$F166*0.000001)^2/(4*'D(Ti_Jollands) Times'!$C166)/(365.35*24*3600)</f>
        <v>298035.07113283029</v>
      </c>
      <c r="T166" s="2"/>
      <c r="U166" s="2">
        <f>('L-Values'!Q166*'D(Ti_Jollands) Times'!$F166*0.000001)^2/(4*'D(Ti_Jollands) Times'!$C166)/(365.35*24*3600)</f>
        <v>502685.92281591345</v>
      </c>
      <c r="V166" s="2">
        <f>('L-Values'!R166*'D(Ti_Jollands) Times'!$F166*0.000001)^2/(4*'D(Ti_Jollands) Times'!$C166)/(365.35*24*3600)</f>
        <v>450737.2315364948</v>
      </c>
      <c r="W166" s="2">
        <f>('L-Values'!S166*'D(Ti_Jollands) Times'!$F166*0.000001)^2/(4*'D(Ti_Jollands) Times'!$C166)/(365.35*24*3600)</f>
        <v>567676.94905784132</v>
      </c>
      <c r="X166" s="2"/>
      <c r="Y166" s="2">
        <f>('L-Values'!U166*'D(Ti_Jollands) Times'!$F166*0.000001)^2/(4*'D(Ti_Jollands) Times'!$C166)/(365.35*24*3600)</f>
        <v>498699.88051486772</v>
      </c>
      <c r="Z166" s="2">
        <f>('L-Values'!V166*'D(Ti_Jollands) Times'!$F166*0.000001)^2/(4*'D(Ti_Jollands) Times'!$C166)/(365.35*24*3600)</f>
        <v>475825.41895741539</v>
      </c>
      <c r="AA166" s="2">
        <f>('L-Values'!W166*'D(Ti_Jollands) Times'!$F166*0.000001)^2/(4*'D(Ti_Jollands) Times'!$C166)/(365.35*24*3600)</f>
        <v>65334.07644389294</v>
      </c>
      <c r="AB166" s="2">
        <f>('L-Values'!X166*'D(Ti_Jollands) Times'!$F166*0.000001)^2/(4*'D(Ti_Jollands) Times'!$C166)/(365.35*24*3600)</f>
        <v>1331490.0413839177</v>
      </c>
      <c r="AC166" s="2">
        <f t="shared" si="10"/>
        <v>410491.34251352242</v>
      </c>
      <c r="AD166" s="2">
        <f t="shared" si="11"/>
        <v>855664.62242650229</v>
      </c>
    </row>
    <row r="167" spans="1:30" x14ac:dyDescent="0.2">
      <c r="A167" t="str">
        <f>'L-Values'!A167</f>
        <v>CGI009-qtz06-CL-fit-3-offset</v>
      </c>
      <c r="B167">
        <v>750</v>
      </c>
      <c r="C167">
        <f t="shared" si="8"/>
        <v>6.6965312637759184E-25</v>
      </c>
      <c r="D167">
        <v>2000</v>
      </c>
      <c r="E167">
        <v>1024</v>
      </c>
      <c r="F167">
        <f t="shared" si="9"/>
        <v>1.953125</v>
      </c>
      <c r="I167" s="2">
        <f>('L-Values'!E167*'D(Ti_Jollands) Times'!$F167*0.000001)^2/(4*'D(Ti_Jollands) Times'!$C167)/(365.35*24*3600)</f>
        <v>730423.90947211569</v>
      </c>
      <c r="J167" s="2">
        <f>('L-Values'!F167*'D(Ti_Jollands) Times'!$F167*0.000001)^2/(4*'D(Ti_Jollands) Times'!$C167)/(365.35*24*3600)</f>
        <v>429454.85470782104</v>
      </c>
      <c r="K167" s="2">
        <f>('L-Values'!G167*'D(Ti_Jollands) Times'!$F167*0.000001)^2/(4*'D(Ti_Jollands) Times'!$C167)/(365.35*24*3600)</f>
        <v>668742.22126401064</v>
      </c>
      <c r="L167" s="2">
        <f>('L-Values'!H167*'D(Ti_Jollands) Times'!$F167*0.000001)^2/(4*'D(Ti_Jollands) Times'!$C167)/(365.35*24*3600)</f>
        <v>225877.30128503518</v>
      </c>
      <c r="M167" s="2">
        <f>('L-Values'!I167*'D(Ti_Jollands) Times'!$F167*0.000001)^2/(4*'D(Ti_Jollands) Times'!$C167)/(365.35*24*3600)</f>
        <v>463848.92269502155</v>
      </c>
      <c r="N167" s="2">
        <f>('L-Values'!J167*'D(Ti_Jollands) Times'!$F167*0.000001)^2/(4*'D(Ti_Jollands) Times'!$C167)/(365.35*24*3600)</f>
        <v>295168.2753057619</v>
      </c>
      <c r="O167" s="2">
        <f>('L-Values'!K167*'D(Ti_Jollands) Times'!$F167*0.000001)^2/(4*'D(Ti_Jollands) Times'!$C167)/(365.35*24*3600)</f>
        <v>1219710.4905569088</v>
      </c>
      <c r="P167" s="2">
        <f>('L-Values'!L167*'D(Ti_Jollands) Times'!$F167*0.000001)^2/(4*'D(Ti_Jollands) Times'!$C167)/(365.35*24*3600)</f>
        <v>571844.03053121862</v>
      </c>
      <c r="Q167" s="2">
        <f>('L-Values'!M167*'D(Ti_Jollands) Times'!$F167*0.000001)^2/(4*'D(Ti_Jollands) Times'!$C167)/(365.35*24*3600)</f>
        <v>561591.0664633133</v>
      </c>
      <c r="R167" s="2">
        <f>('L-Values'!N167*'D(Ti_Jollands) Times'!$F167*0.000001)^2/(4*'D(Ti_Jollands) Times'!$C167)/(365.35*24*3600)</f>
        <v>490935.77539223142</v>
      </c>
      <c r="S167" s="2">
        <f>('L-Values'!O167*'D(Ti_Jollands) Times'!$F167*0.000001)^2/(4*'D(Ti_Jollands) Times'!$C167)/(365.35*24*3600)</f>
        <v>798348.41644568136</v>
      </c>
      <c r="T167" s="2"/>
      <c r="U167" s="2">
        <f>('L-Values'!Q167*'D(Ti_Jollands) Times'!$F167*0.000001)^2/(4*'D(Ti_Jollands) Times'!$C167)/(365.35*24*3600)</f>
        <v>562453.27466381376</v>
      </c>
      <c r="V167" s="2">
        <f>('L-Values'!R167*'D(Ti_Jollands) Times'!$F167*0.000001)^2/(4*'D(Ti_Jollands) Times'!$C167)/(365.35*24*3600)</f>
        <v>559985.69555199193</v>
      </c>
      <c r="W167" s="2">
        <f>('L-Values'!S167*'D(Ti_Jollands) Times'!$F167*0.000001)^2/(4*'D(Ti_Jollands) Times'!$C167)/(365.35*24*3600)</f>
        <v>561591.0664633133</v>
      </c>
      <c r="X167" s="2"/>
      <c r="Y167" s="2">
        <f>('L-Values'!U167*'D(Ti_Jollands) Times'!$F167*0.000001)^2/(4*'D(Ti_Jollands) Times'!$C167)/(365.35*24*3600)</f>
        <v>576670.6636809312</v>
      </c>
      <c r="Z167" s="2">
        <f>('L-Values'!V167*'D(Ti_Jollands) Times'!$F167*0.000001)^2/(4*'D(Ti_Jollands) Times'!$C167)/(365.35*24*3600)</f>
        <v>586146.63657582109</v>
      </c>
      <c r="AA167" s="2">
        <f>('L-Values'!W167*'D(Ti_Jollands) Times'!$F167*0.000001)^2/(4*'D(Ti_Jollands) Times'!$C167)/(365.35*24*3600)</f>
        <v>148538.9518378317</v>
      </c>
      <c r="AB167" s="2">
        <f>('L-Values'!X167*'D(Ti_Jollands) Times'!$F167*0.000001)^2/(4*'D(Ti_Jollands) Times'!$C167)/(365.35*24*3600)</f>
        <v>1488978.5263416918</v>
      </c>
      <c r="AC167" s="2">
        <f t="shared" si="10"/>
        <v>437607.68473798939</v>
      </c>
      <c r="AD167" s="2">
        <f t="shared" si="11"/>
        <v>902831.88976587076</v>
      </c>
    </row>
    <row r="168" spans="1:30" x14ac:dyDescent="0.2">
      <c r="A168" t="str">
        <f>'L-Values'!A168</f>
        <v>CGI009-qtz06-CL-fit-4-offset</v>
      </c>
      <c r="B168">
        <v>750</v>
      </c>
      <c r="C168">
        <f t="shared" si="8"/>
        <v>6.6965312637759184E-25</v>
      </c>
      <c r="D168">
        <v>2000</v>
      </c>
      <c r="E168">
        <v>1024</v>
      </c>
      <c r="F168">
        <f t="shared" si="9"/>
        <v>1.953125</v>
      </c>
      <c r="I168" s="2">
        <f>('L-Values'!E168*'D(Ti_Jollands) Times'!$F168*0.000001)^2/(4*'D(Ti_Jollands) Times'!$C168)/(365.35*24*3600)</f>
        <v>135715.193405306</v>
      </c>
      <c r="J168" s="2">
        <f>('L-Values'!F168*'D(Ti_Jollands) Times'!$F168*0.000001)^2/(4*'D(Ti_Jollands) Times'!$C168)/(365.35*24*3600)</f>
        <v>61214.712677663687</v>
      </c>
      <c r="K168" s="2">
        <f>('L-Values'!G168*'D(Ti_Jollands) Times'!$F168*0.000001)^2/(4*'D(Ti_Jollands) Times'!$C168)/(365.35*24*3600)</f>
        <v>1343.5607085433246</v>
      </c>
      <c r="L168" s="2">
        <f>('L-Values'!H168*'D(Ti_Jollands) Times'!$F168*0.000001)^2/(4*'D(Ti_Jollands) Times'!$C168)/(365.35*24*3600)</f>
        <v>116227.82922911001</v>
      </c>
      <c r="M168" s="2">
        <f>('L-Values'!I168*'D(Ti_Jollands) Times'!$F168*0.000001)^2/(4*'D(Ti_Jollands) Times'!$C168)/(365.35*24*3600)</f>
        <v>70437.417488586711</v>
      </c>
      <c r="N168" s="2">
        <f>('L-Values'!J168*'D(Ti_Jollands) Times'!$F168*0.000001)^2/(4*'D(Ti_Jollands) Times'!$C168)/(365.35*24*3600)</f>
        <v>91941.492074257665</v>
      </c>
      <c r="O168" s="2">
        <f>('L-Values'!K168*'D(Ti_Jollands) Times'!$F168*0.000001)^2/(4*'D(Ti_Jollands) Times'!$C168)/(365.35*24*3600)</f>
        <v>4676.3202761909251</v>
      </c>
      <c r="P168" s="2">
        <f>('L-Values'!L168*'D(Ti_Jollands) Times'!$F168*0.000001)^2/(4*'D(Ti_Jollands) Times'!$C168)/(365.35*24*3600)</f>
        <v>98827.464061416351</v>
      </c>
      <c r="Q168" s="2">
        <f>('L-Values'!M168*'D(Ti_Jollands) Times'!$F168*0.000001)^2/(4*'D(Ti_Jollands) Times'!$C168)/(365.35*24*3600)</f>
        <v>743054.36693886539</v>
      </c>
      <c r="R168" s="2">
        <f>('L-Values'!N168*'D(Ti_Jollands) Times'!$F168*0.000001)^2/(4*'D(Ti_Jollands) Times'!$C168)/(365.35*24*3600)</f>
        <v>2748.0376122703274</v>
      </c>
      <c r="S168" s="2">
        <f>('L-Values'!O168*'D(Ti_Jollands) Times'!$F168*0.000001)^2/(4*'D(Ti_Jollands) Times'!$C168)/(365.35*24*3600)</f>
        <v>264530.88558453874</v>
      </c>
      <c r="T168" s="2"/>
      <c r="U168" s="2">
        <f>('L-Values'!Q168*'D(Ti_Jollands) Times'!$F168*0.000001)^2/(4*'D(Ti_Jollands) Times'!$C168)/(365.35*24*3600)</f>
        <v>87487.458208295575</v>
      </c>
      <c r="V168" s="2">
        <f>('L-Values'!R168*'D(Ti_Jollands) Times'!$F168*0.000001)^2/(4*'D(Ti_Jollands) Times'!$C168)/(365.35*24*3600)</f>
        <v>94054.438536641595</v>
      </c>
      <c r="W168" s="2">
        <f>('L-Values'!S168*'D(Ti_Jollands) Times'!$F168*0.000001)^2/(4*'D(Ti_Jollands) Times'!$C168)/(365.35*24*3600)</f>
        <v>91941.492074257665</v>
      </c>
      <c r="X168" s="2"/>
      <c r="Y168" s="2">
        <f>('L-Values'!U168*'D(Ti_Jollands) Times'!$F168*0.000001)^2/(4*'D(Ti_Jollands) Times'!$C168)/(365.35*24*3600)</f>
        <v>63444.260738869736</v>
      </c>
      <c r="Z168" s="2">
        <f>('L-Values'!V168*'D(Ti_Jollands) Times'!$F168*0.000001)^2/(4*'D(Ti_Jollands) Times'!$C168)/(365.35*24*3600)</f>
        <v>93227.219323644589</v>
      </c>
      <c r="AA168" s="2">
        <f>('L-Values'!W168*'D(Ti_Jollands) Times'!$F168*0.000001)^2/(4*'D(Ti_Jollands) Times'!$C168)/(365.35*24*3600)</f>
        <v>20.40921164699202</v>
      </c>
      <c r="AB168" s="2">
        <f>('L-Values'!X168*'D(Ti_Jollands) Times'!$F168*0.000001)^2/(4*'D(Ti_Jollands) Times'!$C168)/(365.35*24*3600)</f>
        <v>1249490.0747519839</v>
      </c>
      <c r="AC168" s="2">
        <f t="shared" si="10"/>
        <v>93206.810111997591</v>
      </c>
      <c r="AD168" s="2">
        <f t="shared" si="11"/>
        <v>1156262.8554283392</v>
      </c>
    </row>
    <row r="169" spans="1:30" x14ac:dyDescent="0.2">
      <c r="A169" t="str">
        <f>'L-Values'!A169</f>
        <v>CGI009-qtz06-CL-fit-5-offset</v>
      </c>
      <c r="B169">
        <v>750</v>
      </c>
      <c r="C169">
        <f t="shared" si="8"/>
        <v>6.6965312637759184E-25</v>
      </c>
      <c r="D169">
        <v>2000</v>
      </c>
      <c r="E169">
        <v>1024</v>
      </c>
      <c r="F169">
        <f t="shared" si="9"/>
        <v>1.953125</v>
      </c>
      <c r="I169" s="2">
        <f>('L-Values'!E169*'D(Ti_Jollands) Times'!$F169*0.000001)^2/(4*'D(Ti_Jollands) Times'!$C169)/(365.35*24*3600)</f>
        <v>169226.32139481819</v>
      </c>
      <c r="J169" s="2">
        <f>('L-Values'!F169*'D(Ti_Jollands) Times'!$F169*0.000001)^2/(4*'D(Ti_Jollands) Times'!$C169)/(365.35*24*3600)</f>
        <v>376090.72203237639</v>
      </c>
      <c r="K169" s="2">
        <f>('L-Values'!G169*'D(Ti_Jollands) Times'!$F169*0.000001)^2/(4*'D(Ti_Jollands) Times'!$C169)/(365.35*24*3600)</f>
        <v>178280.01569208509</v>
      </c>
      <c r="L169" s="2">
        <f>('L-Values'!H169*'D(Ti_Jollands) Times'!$F169*0.000001)^2/(4*'D(Ti_Jollands) Times'!$C169)/(365.35*24*3600)</f>
        <v>333685.98217575788</v>
      </c>
      <c r="M169" s="2">
        <f>('L-Values'!I169*'D(Ti_Jollands) Times'!$F169*0.000001)^2/(4*'D(Ti_Jollands) Times'!$C169)/(365.35*24*3600)</f>
        <v>140712.31148812556</v>
      </c>
      <c r="N169" s="2">
        <f>('L-Values'!J169*'D(Ti_Jollands) Times'!$F169*0.000001)^2/(4*'D(Ti_Jollands) Times'!$C169)/(365.35*24*3600)</f>
        <v>265194.12899809697</v>
      </c>
      <c r="O169" s="2">
        <f>('L-Values'!K169*'D(Ti_Jollands) Times'!$F169*0.000001)^2/(4*'D(Ti_Jollands) Times'!$C169)/(365.35*24*3600)</f>
        <v>209738.57111259809</v>
      </c>
      <c r="P169" s="2">
        <f>('L-Values'!L169*'D(Ti_Jollands) Times'!$F169*0.000001)^2/(4*'D(Ti_Jollands) Times'!$C169)/(365.35*24*3600)</f>
        <v>375918.39253363543</v>
      </c>
      <c r="Q169" s="2">
        <f>('L-Values'!M169*'D(Ti_Jollands) Times'!$F169*0.000001)^2/(4*'D(Ti_Jollands) Times'!$C169)/(365.35*24*3600)</f>
        <v>158671.89034035307</v>
      </c>
      <c r="R169" s="2">
        <f>('L-Values'!N169*'D(Ti_Jollands) Times'!$F169*0.000001)^2/(4*'D(Ti_Jollands) Times'!$C169)/(365.35*24*3600)</f>
        <v>296332.79065788334</v>
      </c>
      <c r="S169" s="2">
        <f>('L-Values'!O169*'D(Ti_Jollands) Times'!$F169*0.000001)^2/(4*'D(Ti_Jollands) Times'!$C169)/(365.35*24*3600)</f>
        <v>196038.17419908231</v>
      </c>
      <c r="T169" s="2"/>
      <c r="U169" s="2">
        <f>('L-Values'!Q169*'D(Ti_Jollands) Times'!$F169*0.000001)^2/(4*'D(Ti_Jollands) Times'!$C169)/(365.35*24*3600)</f>
        <v>249014.27919370314</v>
      </c>
      <c r="V169" s="2">
        <f>('L-Values'!R169*'D(Ti_Jollands) Times'!$F169*0.000001)^2/(4*'D(Ti_Jollands) Times'!$C169)/(365.35*24*3600)</f>
        <v>238424.89303097027</v>
      </c>
      <c r="W169" s="2">
        <f>('L-Values'!S169*'D(Ti_Jollands) Times'!$F169*0.000001)^2/(4*'D(Ti_Jollands) Times'!$C169)/(365.35*24*3600)</f>
        <v>209738.57111259809</v>
      </c>
      <c r="X169" s="2"/>
      <c r="Y169" s="2">
        <f>('L-Values'!U169*'D(Ti_Jollands) Times'!$F169*0.000001)^2/(4*'D(Ti_Jollands) Times'!$C169)/(365.35*24*3600)</f>
        <v>228477.82015757711</v>
      </c>
      <c r="Z169" s="2">
        <f>('L-Values'!V169*'D(Ti_Jollands) Times'!$F169*0.000001)^2/(4*'D(Ti_Jollands) Times'!$C169)/(365.35*24*3600)</f>
        <v>230347.15676576394</v>
      </c>
      <c r="AA169" s="2">
        <f>('L-Values'!W169*'D(Ti_Jollands) Times'!$F169*0.000001)^2/(4*'D(Ti_Jollands) Times'!$C169)/(365.35*24*3600)</f>
        <v>69837.755239468461</v>
      </c>
      <c r="AB169" s="2">
        <f>('L-Values'!X169*'D(Ti_Jollands) Times'!$F169*0.000001)^2/(4*'D(Ti_Jollands) Times'!$C169)/(365.35*24*3600)</f>
        <v>490478.71869215957</v>
      </c>
      <c r="AC169" s="2">
        <f t="shared" si="10"/>
        <v>160509.40152629546</v>
      </c>
      <c r="AD169" s="2">
        <f t="shared" si="11"/>
        <v>260131.56192639563</v>
      </c>
    </row>
    <row r="170" spans="1:30" x14ac:dyDescent="0.2">
      <c r="A170" t="str">
        <f>'L-Values'!A170</f>
        <v>CGI009-qtz07-CL-fit-1-offset</v>
      </c>
      <c r="B170">
        <v>750</v>
      </c>
      <c r="C170">
        <f t="shared" si="8"/>
        <v>6.6965312637759184E-25</v>
      </c>
      <c r="D170">
        <v>1200</v>
      </c>
      <c r="E170">
        <v>1024</v>
      </c>
      <c r="F170">
        <f t="shared" si="9"/>
        <v>1.171875</v>
      </c>
      <c r="I170" s="2">
        <f>('L-Values'!E170*'D(Ti_Jollands) Times'!$F170*0.000001)^2/(4*'D(Ti_Jollands) Times'!$C170)/(365.35*24*3600)</f>
        <v>325903.08601045911</v>
      </c>
      <c r="J170" s="2">
        <f>('L-Values'!F170*'D(Ti_Jollands) Times'!$F170*0.000001)^2/(4*'D(Ti_Jollands) Times'!$C170)/(365.35*24*3600)</f>
        <v>127988.93333459638</v>
      </c>
      <c r="K170" s="2">
        <f>('L-Values'!G170*'D(Ti_Jollands) Times'!$F170*0.000001)^2/(4*'D(Ti_Jollands) Times'!$C170)/(365.35*24*3600)</f>
        <v>225361.95032392605</v>
      </c>
      <c r="L170" s="2">
        <f>('L-Values'!H170*'D(Ti_Jollands) Times'!$F170*0.000001)^2/(4*'D(Ti_Jollands) Times'!$C170)/(365.35*24*3600)</f>
        <v>145365.60441200982</v>
      </c>
      <c r="M170" s="2">
        <f>('L-Values'!I170*'D(Ti_Jollands) Times'!$F170*0.000001)^2/(4*'D(Ti_Jollands) Times'!$C170)/(365.35*24*3600)</f>
        <v>177041.63870172703</v>
      </c>
      <c r="N170" s="2">
        <f>('L-Values'!J170*'D(Ti_Jollands) Times'!$F170*0.000001)^2/(4*'D(Ti_Jollands) Times'!$C170)/(365.35*24*3600)</f>
        <v>113465.04428965317</v>
      </c>
      <c r="O170" s="2">
        <f>('L-Values'!K170*'D(Ti_Jollands) Times'!$F170*0.000001)^2/(4*'D(Ti_Jollands) Times'!$C170)/(365.35*24*3600)</f>
        <v>216428.92976971349</v>
      </c>
      <c r="P170" s="2">
        <f>('L-Values'!L170*'D(Ti_Jollands) Times'!$F170*0.000001)^2/(4*'D(Ti_Jollands) Times'!$C170)/(365.35*24*3600)</f>
        <v>297809.27747965255</v>
      </c>
      <c r="Q170" s="2">
        <f>('L-Values'!M170*'D(Ti_Jollands) Times'!$F170*0.000001)^2/(4*'D(Ti_Jollands) Times'!$C170)/(365.35*24*3600)</f>
        <v>186684.31880752812</v>
      </c>
      <c r="R170" s="2">
        <f>('L-Values'!N170*'D(Ti_Jollands) Times'!$F170*0.000001)^2/(4*'D(Ti_Jollands) Times'!$C170)/(365.35*24*3600)</f>
        <v>272803.27854054549</v>
      </c>
      <c r="S170" s="2">
        <f>('L-Values'!O170*'D(Ti_Jollands) Times'!$F170*0.000001)^2/(4*'D(Ti_Jollands) Times'!$C170)/(365.35*24*3600)</f>
        <v>335942.23094216269</v>
      </c>
      <c r="T170" s="2"/>
      <c r="U170" s="2">
        <f>('L-Values'!Q170*'D(Ti_Jollands) Times'!$F170*0.000001)^2/(4*'D(Ti_Jollands) Times'!$C170)/(365.35*24*3600)</f>
        <v>218895.19819786507</v>
      </c>
      <c r="V170" s="2">
        <f>('L-Values'!R170*'D(Ti_Jollands) Times'!$F170*0.000001)^2/(4*'D(Ti_Jollands) Times'!$C170)/(365.35*24*3600)</f>
        <v>213877.15667439546</v>
      </c>
      <c r="W170" s="2">
        <f>('L-Values'!S170*'D(Ti_Jollands) Times'!$F170*0.000001)^2/(4*'D(Ti_Jollands) Times'!$C170)/(365.35*24*3600)</f>
        <v>216428.92976971349</v>
      </c>
      <c r="X170" s="2"/>
      <c r="Y170" s="2">
        <f>('L-Values'!U170*'D(Ti_Jollands) Times'!$F170*0.000001)^2/(4*'D(Ti_Jollands) Times'!$C170)/(365.35*24*3600)</f>
        <v>211119.48947670677</v>
      </c>
      <c r="Z170" s="2">
        <f>('L-Values'!V170*'D(Ti_Jollands) Times'!$F170*0.000001)^2/(4*'D(Ti_Jollands) Times'!$C170)/(365.35*24*3600)</f>
        <v>222878.31297760777</v>
      </c>
      <c r="AA170" s="2">
        <f>('L-Values'!W170*'D(Ti_Jollands) Times'!$F170*0.000001)^2/(4*'D(Ti_Jollands) Times'!$C170)/(365.35*24*3600)</f>
        <v>66357.297938129079</v>
      </c>
      <c r="AB170" s="2">
        <f>('L-Values'!X170*'D(Ti_Jollands) Times'!$F170*0.000001)^2/(4*'D(Ti_Jollands) Times'!$C170)/(365.35*24*3600)</f>
        <v>539331.26009483205</v>
      </c>
      <c r="AC170" s="2">
        <f t="shared" si="10"/>
        <v>156521.01503947869</v>
      </c>
      <c r="AD170" s="2">
        <f t="shared" si="11"/>
        <v>316452.94711722428</v>
      </c>
    </row>
    <row r="171" spans="1:30" x14ac:dyDescent="0.2">
      <c r="A171" t="str">
        <f>'L-Values'!A171</f>
        <v>CGI009-qtz07-CL-fit-2-offset</v>
      </c>
      <c r="B171">
        <v>750</v>
      </c>
      <c r="C171">
        <f t="shared" si="8"/>
        <v>6.6965312637759184E-25</v>
      </c>
      <c r="D171">
        <v>1200</v>
      </c>
      <c r="E171">
        <v>1024</v>
      </c>
      <c r="F171">
        <f t="shared" si="9"/>
        <v>1.171875</v>
      </c>
      <c r="I171" s="2">
        <f>('L-Values'!E171*'D(Ti_Jollands) Times'!$F171*0.000001)^2/(4*'D(Ti_Jollands) Times'!$C171)/(365.35*24*3600)</f>
        <v>30607.41268228336</v>
      </c>
      <c r="J171" s="2">
        <f>('L-Values'!F171*'D(Ti_Jollands) Times'!$F171*0.000001)^2/(4*'D(Ti_Jollands) Times'!$C171)/(365.35*24*3600)</f>
        <v>24407.944301686515</v>
      </c>
      <c r="K171" s="2">
        <f>('L-Values'!G171*'D(Ti_Jollands) Times'!$F171*0.000001)^2/(4*'D(Ti_Jollands) Times'!$C171)/(365.35*24*3600)</f>
        <v>10933.441619048503</v>
      </c>
      <c r="L171" s="2">
        <f>('L-Values'!H171*'D(Ti_Jollands) Times'!$F171*0.000001)^2/(4*'D(Ti_Jollands) Times'!$C171)/(365.35*24*3600)</f>
        <v>673.31713887432534</v>
      </c>
      <c r="M171" s="2">
        <f>('L-Values'!I171*'D(Ti_Jollands) Times'!$F171*0.000001)^2/(4*'D(Ti_Jollands) Times'!$C171)/(365.35*24*3600)</f>
        <v>10963.340299310077</v>
      </c>
      <c r="N171" s="2">
        <f>('L-Values'!J171*'D(Ti_Jollands) Times'!$F171*0.000001)^2/(4*'D(Ti_Jollands) Times'!$C171)/(365.35*24*3600)</f>
        <v>53655.370462174134</v>
      </c>
      <c r="O171" s="2">
        <f>('L-Values'!K171*'D(Ti_Jollands) Times'!$F171*0.000001)^2/(4*'D(Ti_Jollands) Times'!$C171)/(365.35*24*3600)</f>
        <v>2.1410324560150631</v>
      </c>
      <c r="P171" s="2">
        <f>('L-Values'!L171*'D(Ti_Jollands) Times'!$F171*0.000001)^2/(4*'D(Ti_Jollands) Times'!$C171)/(365.35*24*3600)</f>
        <v>210468.45577577123</v>
      </c>
      <c r="Q171" s="2">
        <f>('L-Values'!M171*'D(Ti_Jollands) Times'!$F171*0.000001)^2/(4*'D(Ti_Jollands) Times'!$C171)/(365.35*24*3600)</f>
        <v>53609.541497300823</v>
      </c>
      <c r="R171" s="2">
        <f>('L-Values'!N171*'D(Ti_Jollands) Times'!$F171*0.000001)^2/(4*'D(Ti_Jollands) Times'!$C171)/(365.35*24*3600)</f>
        <v>112186.31416415803</v>
      </c>
      <c r="S171" s="2">
        <f>('L-Values'!O171*'D(Ti_Jollands) Times'!$F171*0.000001)^2/(4*'D(Ti_Jollands) Times'!$C171)/(365.35*24*3600)</f>
        <v>7049.2510878239054</v>
      </c>
      <c r="T171" s="2"/>
      <c r="U171" s="2">
        <f>('L-Values'!Q171*'D(Ti_Jollands) Times'!$F171*0.000001)^2/(4*'D(Ti_Jollands) Times'!$C171)/(365.35*24*3600)</f>
        <v>43744.889300376941</v>
      </c>
      <c r="V171" s="2">
        <f>('L-Values'!R171*'D(Ti_Jollands) Times'!$F171*0.000001)^2/(4*'D(Ti_Jollands) Times'!$C171)/(365.35*24*3600)</f>
        <v>30108.715058875623</v>
      </c>
      <c r="W171" s="2">
        <f>('L-Values'!S171*'D(Ti_Jollands) Times'!$F171*0.000001)^2/(4*'D(Ti_Jollands) Times'!$C171)/(365.35*24*3600)</f>
        <v>24407.944301686515</v>
      </c>
      <c r="X171" s="2"/>
      <c r="Y171" s="2">
        <f>('L-Values'!U171*'D(Ti_Jollands) Times'!$F171*0.000001)^2/(4*'D(Ti_Jollands) Times'!$C171)/(365.35*24*3600)</f>
        <v>45825.246626189037</v>
      </c>
      <c r="Z171" s="2">
        <f>('L-Values'!V171*'D(Ti_Jollands) Times'!$F171*0.000001)^2/(4*'D(Ti_Jollands) Times'!$C171)/(365.35*24*3600)</f>
        <v>47137.41243832685</v>
      </c>
      <c r="AA171" s="2">
        <f>('L-Values'!W171*'D(Ti_Jollands) Times'!$F171*0.000001)^2/(4*'D(Ti_Jollands) Times'!$C171)/(365.35*24*3600)</f>
        <v>94.649590656263968</v>
      </c>
      <c r="AB171" s="2">
        <f>('L-Values'!X171*'D(Ti_Jollands) Times'!$F171*0.000001)^2/(4*'D(Ti_Jollands) Times'!$C171)/(365.35*24*3600)</f>
        <v>333325.70578740805</v>
      </c>
      <c r="AC171" s="2">
        <f t="shared" si="10"/>
        <v>47042.762847670587</v>
      </c>
      <c r="AD171" s="2">
        <f t="shared" si="11"/>
        <v>286188.29334908118</v>
      </c>
    </row>
    <row r="172" spans="1:30" x14ac:dyDescent="0.2">
      <c r="A172" t="str">
        <f>'L-Values'!A172</f>
        <v>CGI009-qtz07-CL-fit-3-offset</v>
      </c>
      <c r="B172">
        <v>750</v>
      </c>
      <c r="C172">
        <f t="shared" si="8"/>
        <v>6.6965312637759184E-25</v>
      </c>
      <c r="D172">
        <v>1200</v>
      </c>
      <c r="E172">
        <v>1024</v>
      </c>
      <c r="F172">
        <f t="shared" si="9"/>
        <v>1.171875</v>
      </c>
      <c r="I172" s="2">
        <f>('L-Values'!E172*'D(Ti_Jollands) Times'!$F172*0.000001)^2/(4*'D(Ti_Jollands) Times'!$C172)/(365.35*24*3600)</f>
        <v>94808.045578759091</v>
      </c>
      <c r="J172" s="2">
        <f>('L-Values'!F172*'D(Ti_Jollands) Times'!$F172*0.000001)^2/(4*'D(Ti_Jollands) Times'!$C172)/(365.35*24*3600)</f>
        <v>80696.38518215029</v>
      </c>
      <c r="K172" s="2">
        <f>('L-Values'!G172*'D(Ti_Jollands) Times'!$F172*0.000001)^2/(4*'D(Ti_Jollands) Times'!$C172)/(365.35*24*3600)</f>
        <v>34059.293153155617</v>
      </c>
      <c r="L172" s="2">
        <f>('L-Values'!H172*'D(Ti_Jollands) Times'!$F172*0.000001)^2/(4*'D(Ti_Jollands) Times'!$C172)/(365.35*24*3600)</f>
        <v>87467.470718670578</v>
      </c>
      <c r="M172" s="2">
        <f>('L-Values'!I172*'D(Ti_Jollands) Times'!$F172*0.000001)^2/(4*'D(Ti_Jollands) Times'!$C172)/(365.35*24*3600)</f>
        <v>183022.37404068201</v>
      </c>
      <c r="N172" s="2">
        <f>('L-Values'!J172*'D(Ti_Jollands) Times'!$F172*0.000001)^2/(4*'D(Ti_Jollands) Times'!$C172)/(365.35*24*3600)</f>
        <v>68115.835203471579</v>
      </c>
      <c r="O172" s="2">
        <f>('L-Values'!K172*'D(Ti_Jollands) Times'!$F172*0.000001)^2/(4*'D(Ti_Jollands) Times'!$C172)/(365.35*24*3600)</f>
        <v>81111.028723187017</v>
      </c>
      <c r="P172" s="2">
        <f>('L-Values'!L172*'D(Ti_Jollands) Times'!$F172*0.000001)^2/(4*'D(Ti_Jollands) Times'!$C172)/(365.35*24*3600)</f>
        <v>39996.180521958617</v>
      </c>
      <c r="Q172" s="2">
        <f>('L-Values'!M172*'D(Ti_Jollands) Times'!$F172*0.000001)^2/(4*'D(Ti_Jollands) Times'!$C172)/(365.35*24*3600)</f>
        <v>62553.248178131529</v>
      </c>
      <c r="R172" s="2">
        <f>('L-Values'!N172*'D(Ti_Jollands) Times'!$F172*0.000001)^2/(4*'D(Ti_Jollands) Times'!$C172)/(365.35*24*3600)</f>
        <v>71201.042731367648</v>
      </c>
      <c r="S172" s="2">
        <f>('L-Values'!O172*'D(Ti_Jollands) Times'!$F172*0.000001)^2/(4*'D(Ti_Jollands) Times'!$C172)/(365.35*24*3600)</f>
        <v>107765.13480399927</v>
      </c>
      <c r="T172" s="2"/>
      <c r="U172" s="2">
        <f>('L-Values'!Q172*'D(Ti_Jollands) Times'!$F172*0.000001)^2/(4*'D(Ti_Jollands) Times'!$C172)/(365.35*24*3600)</f>
        <v>75445.702535607837</v>
      </c>
      <c r="V172" s="2">
        <f>('L-Values'!R172*'D(Ti_Jollands) Times'!$F172*0.000001)^2/(4*'D(Ti_Jollands) Times'!$C172)/(365.35*24*3600)</f>
        <v>78965.610291852281</v>
      </c>
      <c r="W172" s="2">
        <f>('L-Values'!S172*'D(Ti_Jollands) Times'!$F172*0.000001)^2/(4*'D(Ti_Jollands) Times'!$C172)/(365.35*24*3600)</f>
        <v>80696.38518215029</v>
      </c>
      <c r="X172" s="2"/>
      <c r="Y172" s="2">
        <f>('L-Values'!U172*'D(Ti_Jollands) Times'!$F172*0.000001)^2/(4*'D(Ti_Jollands) Times'!$C172)/(365.35*24*3600)</f>
        <v>77613.254315939892</v>
      </c>
      <c r="Z172" s="2">
        <f>('L-Values'!V172*'D(Ti_Jollands) Times'!$F172*0.000001)^2/(4*'D(Ti_Jollands) Times'!$C172)/(365.35*24*3600)</f>
        <v>77962.7855424398</v>
      </c>
      <c r="AA172" s="2">
        <f>('L-Values'!W172*'D(Ti_Jollands) Times'!$F172*0.000001)^2/(4*'D(Ti_Jollands) Times'!$C172)/(365.35*24*3600)</f>
        <v>13635.101363934195</v>
      </c>
      <c r="AB172" s="2">
        <f>('L-Values'!X172*'D(Ti_Jollands) Times'!$F172*0.000001)^2/(4*'D(Ti_Jollands) Times'!$C172)/(365.35*24*3600)</f>
        <v>228937.84114283154</v>
      </c>
      <c r="AC172" s="2">
        <f t="shared" si="10"/>
        <v>64327.684178505602</v>
      </c>
      <c r="AD172" s="2">
        <f t="shared" si="11"/>
        <v>150975.05560039176</v>
      </c>
    </row>
    <row r="173" spans="1:30" x14ac:dyDescent="0.2">
      <c r="A173" t="str">
        <f>'L-Values'!A173</f>
        <v>CGI009-qtz07-CL-fit-4-offset</v>
      </c>
      <c r="B173">
        <v>750</v>
      </c>
      <c r="C173">
        <f t="shared" si="8"/>
        <v>6.6965312637759184E-25</v>
      </c>
      <c r="D173">
        <v>1200</v>
      </c>
      <c r="E173">
        <v>1024</v>
      </c>
      <c r="F173">
        <f t="shared" si="9"/>
        <v>1.171875</v>
      </c>
      <c r="I173" s="2">
        <f>('L-Values'!E173*'D(Ti_Jollands) Times'!$F173*0.000001)^2/(4*'D(Ti_Jollands) Times'!$C173)/(365.35*24*3600)</f>
        <v>3573.6919708789064</v>
      </c>
      <c r="J173" s="2">
        <f>('L-Values'!F173*'D(Ti_Jollands) Times'!$F173*0.000001)^2/(4*'D(Ti_Jollands) Times'!$C173)/(365.35*24*3600)</f>
        <v>95973.816594717369</v>
      </c>
      <c r="K173" s="2">
        <f>('L-Values'!G173*'D(Ti_Jollands) Times'!$F173*0.000001)^2/(4*'D(Ti_Jollands) Times'!$C173)/(365.35*24*3600)</f>
        <v>111430.63778616591</v>
      </c>
      <c r="L173" s="2">
        <f>('L-Values'!H173*'D(Ti_Jollands) Times'!$F173*0.000001)^2/(4*'D(Ti_Jollands) Times'!$C173)/(365.35*24*3600)</f>
        <v>19873.796711507519</v>
      </c>
      <c r="M173" s="2">
        <f>('L-Values'!I173*'D(Ti_Jollands) Times'!$F173*0.000001)^2/(4*'D(Ti_Jollands) Times'!$C173)/(365.35*24*3600)</f>
        <v>63630.213672902115</v>
      </c>
      <c r="N173" s="2">
        <f>('L-Values'!J173*'D(Ti_Jollands) Times'!$F173*0.000001)^2/(4*'D(Ti_Jollands) Times'!$C173)/(365.35*24*3600)</f>
        <v>34616.346448286349</v>
      </c>
      <c r="O173" s="2">
        <f>('L-Values'!K173*'D(Ti_Jollands) Times'!$F173*0.000001)^2/(4*'D(Ti_Jollands) Times'!$C173)/(365.35*24*3600)</f>
        <v>64382.611381407522</v>
      </c>
      <c r="P173" s="2">
        <f>('L-Values'!L173*'D(Ti_Jollands) Times'!$F173*0.000001)^2/(4*'D(Ti_Jollands) Times'!$C173)/(365.35*24*3600)</f>
        <v>115632.75301872498</v>
      </c>
      <c r="Q173" s="2">
        <f>('L-Values'!M173*'D(Ti_Jollands) Times'!$F173*0.000001)^2/(4*'D(Ti_Jollands) Times'!$C173)/(365.35*24*3600)</f>
        <v>100725.51515408764</v>
      </c>
      <c r="R173" s="2">
        <f>('L-Values'!N173*'D(Ti_Jollands) Times'!$F173*0.000001)^2/(4*'D(Ti_Jollands) Times'!$C173)/(365.35*24*3600)</f>
        <v>18.25271201414817</v>
      </c>
      <c r="S173" s="2">
        <f>('L-Values'!O173*'D(Ti_Jollands) Times'!$F173*0.000001)^2/(4*'D(Ti_Jollands) Times'!$C173)/(365.35*24*3600)</f>
        <v>15997.489847033536</v>
      </c>
      <c r="T173" s="2"/>
      <c r="U173" s="2">
        <f>('L-Values'!Q173*'D(Ti_Jollands) Times'!$F173*0.000001)^2/(4*'D(Ti_Jollands) Times'!$C173)/(365.35*24*3600)</f>
        <v>48031.502298556035</v>
      </c>
      <c r="V173" s="2">
        <f>('L-Values'!R173*'D(Ti_Jollands) Times'!$F173*0.000001)^2/(4*'D(Ti_Jollands) Times'!$C173)/(365.35*24*3600)</f>
        <v>44658.458600432401</v>
      </c>
      <c r="W173" s="2">
        <f>('L-Values'!S173*'D(Ti_Jollands) Times'!$F173*0.000001)^2/(4*'D(Ti_Jollands) Times'!$C173)/(365.35*24*3600)</f>
        <v>63630.213672902115</v>
      </c>
      <c r="X173" s="2"/>
      <c r="Y173" s="2">
        <f>('L-Values'!U173*'D(Ti_Jollands) Times'!$F173*0.000001)^2/(4*'D(Ti_Jollands) Times'!$C173)/(365.35*24*3600)</f>
        <v>35777.779152013354</v>
      </c>
      <c r="Z173" s="2">
        <f>('L-Values'!V173*'D(Ti_Jollands) Times'!$F173*0.000001)^2/(4*'D(Ti_Jollands) Times'!$C173)/(365.35*24*3600)</f>
        <v>43397.891681848843</v>
      </c>
      <c r="AA173" s="2">
        <f>('L-Values'!W173*'D(Ti_Jollands) Times'!$F173*0.000001)^2/(4*'D(Ti_Jollands) Times'!$C173)/(365.35*24*3600)</f>
        <v>2.0675139628822238E-8</v>
      </c>
      <c r="AB173" s="2">
        <f>('L-Values'!X173*'D(Ti_Jollands) Times'!$F173*0.000001)^2/(4*'D(Ti_Jollands) Times'!$C173)/(365.35*24*3600)</f>
        <v>354393.7521353669</v>
      </c>
      <c r="AC173" s="2">
        <f t="shared" si="10"/>
        <v>43397.891681828165</v>
      </c>
      <c r="AD173" s="2">
        <f t="shared" si="11"/>
        <v>310995.86045351805</v>
      </c>
    </row>
    <row r="174" spans="1:30" x14ac:dyDescent="0.2">
      <c r="A174" t="str">
        <f>'L-Values'!A174</f>
        <v>CGI009-qtz08-CL-fit-1-offset</v>
      </c>
      <c r="B174">
        <v>750</v>
      </c>
      <c r="C174">
        <f t="shared" si="8"/>
        <v>6.6965312637759184E-25</v>
      </c>
      <c r="D174">
        <v>2300</v>
      </c>
      <c r="E174">
        <v>1024</v>
      </c>
      <c r="F174">
        <f t="shared" si="9"/>
        <v>2.24609375</v>
      </c>
      <c r="I174" s="2">
        <f>('L-Values'!E174*'D(Ti_Jollands) Times'!$F174*0.000001)^2/(4*'D(Ti_Jollands) Times'!$C174)/(365.35*24*3600)</f>
        <v>291079.98662041937</v>
      </c>
      <c r="J174" s="2">
        <f>('L-Values'!F174*'D(Ti_Jollands) Times'!$F174*0.000001)^2/(4*'D(Ti_Jollands) Times'!$C174)/(365.35*24*3600)</f>
        <v>1869675.0415280492</v>
      </c>
      <c r="K174" s="2">
        <f>('L-Values'!G174*'D(Ti_Jollands) Times'!$F174*0.000001)^2/(4*'D(Ti_Jollands) Times'!$C174)/(365.35*24*3600)</f>
        <v>563979.94975196011</v>
      </c>
      <c r="L174" s="2">
        <f>('L-Values'!H174*'D(Ti_Jollands) Times'!$F174*0.000001)^2/(4*'D(Ti_Jollands) Times'!$C174)/(365.35*24*3600)</f>
        <v>655670.23930264299</v>
      </c>
      <c r="M174" s="2">
        <f>('L-Values'!I174*'D(Ti_Jollands) Times'!$F174*0.000001)^2/(4*'D(Ti_Jollands) Times'!$C174)/(365.35*24*3600)</f>
        <v>2333810.9108582735</v>
      </c>
      <c r="N174" s="2">
        <f>('L-Values'!J174*'D(Ti_Jollands) Times'!$F174*0.000001)^2/(4*'D(Ti_Jollands) Times'!$C174)/(365.35*24*3600)</f>
        <v>1318921.1279319108</v>
      </c>
      <c r="O174" s="2">
        <f>('L-Values'!K174*'D(Ti_Jollands) Times'!$F174*0.000001)^2/(4*'D(Ti_Jollands) Times'!$C174)/(365.35*24*3600)</f>
        <v>746401.59356462676</v>
      </c>
      <c r="P174" s="2">
        <f>('L-Values'!L174*'D(Ti_Jollands) Times'!$F174*0.000001)^2/(4*'D(Ti_Jollands) Times'!$C174)/(365.35*24*3600)</f>
        <v>512467.82945424737</v>
      </c>
      <c r="Q174" s="2">
        <f>('L-Values'!M174*'D(Ti_Jollands) Times'!$F174*0.000001)^2/(4*'D(Ti_Jollands) Times'!$C174)/(365.35*24*3600)</f>
        <v>713411.47421440296</v>
      </c>
      <c r="R174" s="2">
        <f>('L-Values'!N174*'D(Ti_Jollands) Times'!$F174*0.000001)^2/(4*'D(Ti_Jollands) Times'!$C174)/(365.35*24*3600)</f>
        <v>793687.82363569154</v>
      </c>
      <c r="S174" s="2">
        <f>('L-Values'!O174*'D(Ti_Jollands) Times'!$F174*0.000001)^2/(4*'D(Ti_Jollands) Times'!$C174)/(365.35*24*3600)</f>
        <v>633896.30011834588</v>
      </c>
      <c r="T174" s="2"/>
      <c r="U174" s="2">
        <f>('L-Values'!Q174*'D(Ti_Jollands) Times'!$F174*0.000001)^2/(4*'D(Ti_Jollands) Times'!$C174)/(365.35*24*3600)</f>
        <v>921155.87270558474</v>
      </c>
      <c r="V174" s="2">
        <f>('L-Values'!R174*'D(Ti_Jollands) Times'!$F174*0.000001)^2/(4*'D(Ti_Jollands) Times'!$C174)/(365.35*24*3600)</f>
        <v>869173.54281609447</v>
      </c>
      <c r="W174" s="2">
        <f>('L-Values'!S174*'D(Ti_Jollands) Times'!$F174*0.000001)^2/(4*'D(Ti_Jollands) Times'!$C174)/(365.35*24*3600)</f>
        <v>713411.47421440296</v>
      </c>
      <c r="X174" s="2"/>
      <c r="Y174" s="2">
        <f>('L-Values'!U174*'D(Ti_Jollands) Times'!$F174*0.000001)^2/(4*'D(Ti_Jollands) Times'!$C174)/(365.35*24*3600)</f>
        <v>797053.01009434822</v>
      </c>
      <c r="Z174" s="2">
        <f>('L-Values'!V174*'D(Ti_Jollands) Times'!$F174*0.000001)^2/(4*'D(Ti_Jollands) Times'!$C174)/(365.35*24*3600)</f>
        <v>789246.5935624605</v>
      </c>
      <c r="AA174" s="2">
        <f>('L-Values'!W174*'D(Ti_Jollands) Times'!$F174*0.000001)^2/(4*'D(Ti_Jollands) Times'!$C174)/(365.35*24*3600)</f>
        <v>28198.767227818633</v>
      </c>
      <c r="AB174" s="2">
        <f>('L-Values'!X174*'D(Ti_Jollands) Times'!$F174*0.000001)^2/(4*'D(Ti_Jollands) Times'!$C174)/(365.35*24*3600)</f>
        <v>2354557.9632159988</v>
      </c>
      <c r="AC174" s="2">
        <f t="shared" si="10"/>
        <v>761047.8263346419</v>
      </c>
      <c r="AD174" s="2">
        <f t="shared" si="11"/>
        <v>1565311.3696535383</v>
      </c>
    </row>
    <row r="175" spans="1:30" x14ac:dyDescent="0.2">
      <c r="A175" t="str">
        <f>'L-Values'!A175</f>
        <v>CGI009-qtz08-CL-fit-2-offset</v>
      </c>
      <c r="B175">
        <v>750</v>
      </c>
      <c r="C175">
        <f t="shared" si="8"/>
        <v>6.6965312637759184E-25</v>
      </c>
      <c r="D175">
        <v>2300</v>
      </c>
      <c r="E175">
        <v>1024</v>
      </c>
      <c r="F175">
        <f t="shared" si="9"/>
        <v>2.24609375</v>
      </c>
      <c r="I175" s="2">
        <f>('L-Values'!E175*'D(Ti_Jollands) Times'!$F175*0.000001)^2/(4*'D(Ti_Jollands) Times'!$C175)/(365.35*24*3600)</f>
        <v>1576839.3522748977</v>
      </c>
      <c r="J175" s="2">
        <f>('L-Values'!F175*'D(Ti_Jollands) Times'!$F175*0.000001)^2/(4*'D(Ti_Jollands) Times'!$C175)/(365.35*24*3600)</f>
        <v>1246844.313193718</v>
      </c>
      <c r="K175" s="2">
        <f>('L-Values'!G175*'D(Ti_Jollands) Times'!$F175*0.000001)^2/(4*'D(Ti_Jollands) Times'!$C175)/(365.35*24*3600)</f>
        <v>1875088.5007959271</v>
      </c>
      <c r="L175" s="2">
        <f>('L-Values'!H175*'D(Ti_Jollands) Times'!$F175*0.000001)^2/(4*'D(Ti_Jollands) Times'!$C175)/(365.35*24*3600)</f>
        <v>1676181.8133226447</v>
      </c>
      <c r="M175" s="2">
        <f>('L-Values'!I175*'D(Ti_Jollands) Times'!$F175*0.000001)^2/(4*'D(Ti_Jollands) Times'!$C175)/(365.35*24*3600)</f>
        <v>1909446.7881505485</v>
      </c>
      <c r="N175" s="2">
        <f>('L-Values'!J175*'D(Ti_Jollands) Times'!$F175*0.000001)^2/(4*'D(Ti_Jollands) Times'!$C175)/(365.35*24*3600)</f>
        <v>1258910.4216457128</v>
      </c>
      <c r="O175" s="2">
        <f>('L-Values'!K175*'D(Ti_Jollands) Times'!$F175*0.000001)^2/(4*'D(Ti_Jollands) Times'!$C175)/(365.35*24*3600)</f>
        <v>2695102.7430545134</v>
      </c>
      <c r="P175" s="2">
        <f>('L-Values'!L175*'D(Ti_Jollands) Times'!$F175*0.000001)^2/(4*'D(Ti_Jollands) Times'!$C175)/(365.35*24*3600)</f>
        <v>1530273.7388784837</v>
      </c>
      <c r="Q175" s="2">
        <f>('L-Values'!M175*'D(Ti_Jollands) Times'!$F175*0.000001)^2/(4*'D(Ti_Jollands) Times'!$C175)/(365.35*24*3600)</f>
        <v>2299679.0317019019</v>
      </c>
      <c r="R175" s="2">
        <f>('L-Values'!N175*'D(Ti_Jollands) Times'!$F175*0.000001)^2/(4*'D(Ti_Jollands) Times'!$C175)/(365.35*24*3600)</f>
        <v>1773189.5111155559</v>
      </c>
      <c r="S175" s="2">
        <f>('L-Values'!O175*'D(Ti_Jollands) Times'!$F175*0.000001)^2/(4*'D(Ti_Jollands) Times'!$C175)/(365.35*24*3600)</f>
        <v>1998627.297377581</v>
      </c>
      <c r="T175" s="2"/>
      <c r="U175" s="2">
        <f>('L-Values'!Q175*'D(Ti_Jollands) Times'!$F175*0.000001)^2/(4*'D(Ti_Jollands) Times'!$C175)/(365.35*24*3600)</f>
        <v>1791429.4607195265</v>
      </c>
      <c r="V175" s="2">
        <f>('L-Values'!R175*'D(Ti_Jollands) Times'!$F175*0.000001)^2/(4*'D(Ti_Jollands) Times'!$C175)/(365.35*24*3600)</f>
        <v>1781187.4634316177</v>
      </c>
      <c r="W175" s="2">
        <f>('L-Values'!S175*'D(Ti_Jollands) Times'!$F175*0.000001)^2/(4*'D(Ti_Jollands) Times'!$C175)/(365.35*24*3600)</f>
        <v>1773189.5111155559</v>
      </c>
      <c r="X175" s="2"/>
      <c r="Y175" s="2">
        <f>('L-Values'!U175*'D(Ti_Jollands) Times'!$F175*0.000001)^2/(4*'D(Ti_Jollands) Times'!$C175)/(365.35*24*3600)</f>
        <v>1785199.7279685682</v>
      </c>
      <c r="Z175" s="2">
        <f>('L-Values'!V175*'D(Ti_Jollands) Times'!$F175*0.000001)^2/(4*'D(Ti_Jollands) Times'!$C175)/(365.35*24*3600)</f>
        <v>1820254.8269884211</v>
      </c>
      <c r="AA175" s="2">
        <f>('L-Values'!W175*'D(Ti_Jollands) Times'!$F175*0.000001)^2/(4*'D(Ti_Jollands) Times'!$C175)/(365.35*24*3600)</f>
        <v>1079188.2261061633</v>
      </c>
      <c r="AB175" s="2">
        <f>('L-Values'!X175*'D(Ti_Jollands) Times'!$F175*0.000001)^2/(4*'D(Ti_Jollands) Times'!$C175)/(365.35*24*3600)</f>
        <v>2895746.449967538</v>
      </c>
      <c r="AC175" s="2">
        <f t="shared" si="10"/>
        <v>741066.6008822578</v>
      </c>
      <c r="AD175" s="2">
        <f t="shared" si="11"/>
        <v>1075491.6229791169</v>
      </c>
    </row>
    <row r="176" spans="1:30" x14ac:dyDescent="0.2">
      <c r="A176" t="str">
        <f>'L-Values'!A176</f>
        <v>CGI009-qtz08-CL-fit-3-offset</v>
      </c>
      <c r="B176">
        <v>750</v>
      </c>
      <c r="C176">
        <f t="shared" si="8"/>
        <v>6.6965312637759184E-25</v>
      </c>
      <c r="D176">
        <v>2300</v>
      </c>
      <c r="E176">
        <v>1024</v>
      </c>
      <c r="F176">
        <f t="shared" si="9"/>
        <v>2.24609375</v>
      </c>
      <c r="I176" s="2">
        <f>('L-Values'!E176*'D(Ti_Jollands) Times'!$F176*0.000001)^2/(4*'D(Ti_Jollands) Times'!$C176)/(365.35*24*3600)</f>
        <v>1309937.5097227651</v>
      </c>
      <c r="J176" s="2">
        <f>('L-Values'!F176*'D(Ti_Jollands) Times'!$F176*0.000001)^2/(4*'D(Ti_Jollands) Times'!$C176)/(365.35*24*3600)</f>
        <v>1434008.2494595721</v>
      </c>
      <c r="K176" s="2">
        <f>('L-Values'!G176*'D(Ti_Jollands) Times'!$F176*0.000001)^2/(4*'D(Ti_Jollands) Times'!$C176)/(365.35*24*3600)</f>
        <v>2410326.3804288395</v>
      </c>
      <c r="L176" s="2">
        <f>('L-Values'!H176*'D(Ti_Jollands) Times'!$F176*0.000001)^2/(4*'D(Ti_Jollands) Times'!$C176)/(365.35*24*3600)</f>
        <v>1154864.1899430624</v>
      </c>
      <c r="M176" s="2">
        <f>('L-Values'!I176*'D(Ti_Jollands) Times'!$F176*0.000001)^2/(4*'D(Ti_Jollands) Times'!$C176)/(365.35*24*3600)</f>
        <v>894234.36167470168</v>
      </c>
      <c r="N176" s="2">
        <f>('L-Values'!J176*'D(Ti_Jollands) Times'!$F176*0.000001)^2/(4*'D(Ti_Jollands) Times'!$C176)/(365.35*24*3600)</f>
        <v>841192.50301527535</v>
      </c>
      <c r="O176" s="2">
        <f>('L-Values'!K176*'D(Ti_Jollands) Times'!$F176*0.000001)^2/(4*'D(Ti_Jollands) Times'!$C176)/(365.35*24*3600)</f>
        <v>1764734.0515123482</v>
      </c>
      <c r="P176" s="2">
        <f>('L-Values'!L176*'D(Ti_Jollands) Times'!$F176*0.000001)^2/(4*'D(Ti_Jollands) Times'!$C176)/(365.35*24*3600)</f>
        <v>614174.90316374728</v>
      </c>
      <c r="Q176" s="2">
        <f>('L-Values'!M176*'D(Ti_Jollands) Times'!$F176*0.000001)^2/(4*'D(Ti_Jollands) Times'!$C176)/(365.35*24*3600)</f>
        <v>1810340.2470149724</v>
      </c>
      <c r="R176" s="2">
        <f>('L-Values'!N176*'D(Ti_Jollands) Times'!$F176*0.000001)^2/(4*'D(Ti_Jollands) Times'!$C176)/(365.35*24*3600)</f>
        <v>1191727.6019831456</v>
      </c>
      <c r="S176" s="2">
        <f>('L-Values'!O176*'D(Ti_Jollands) Times'!$F176*0.000001)^2/(4*'D(Ti_Jollands) Times'!$C176)/(365.35*24*3600)</f>
        <v>2159695.150737117</v>
      </c>
      <c r="T176" s="2"/>
      <c r="U176" s="2">
        <f>('L-Values'!Q176*'D(Ti_Jollands) Times'!$F176*0.000001)^2/(4*'D(Ti_Jollands) Times'!$C176)/(365.35*24*3600)</f>
        <v>1365547.5126798358</v>
      </c>
      <c r="V176" s="2">
        <f>('L-Values'!R176*'D(Ti_Jollands) Times'!$F176*0.000001)^2/(4*'D(Ti_Jollands) Times'!$C176)/(365.35*24*3600)</f>
        <v>1364833.0080881417</v>
      </c>
      <c r="W176" s="2">
        <f>('L-Values'!S176*'D(Ti_Jollands) Times'!$F176*0.000001)^2/(4*'D(Ti_Jollands) Times'!$C176)/(365.35*24*3600)</f>
        <v>1309937.5097227651</v>
      </c>
      <c r="X176" s="2"/>
      <c r="Y176" s="2">
        <f>('L-Values'!U176*'D(Ti_Jollands) Times'!$F176*0.000001)^2/(4*'D(Ti_Jollands) Times'!$C176)/(365.35*24*3600)</f>
        <v>1359593.2492477112</v>
      </c>
      <c r="Z176" s="2">
        <f>('L-Values'!V176*'D(Ti_Jollands) Times'!$F176*0.000001)^2/(4*'D(Ti_Jollands) Times'!$C176)/(365.35*24*3600)</f>
        <v>1412779.3422204726</v>
      </c>
      <c r="AA176" s="2">
        <f>('L-Values'!W176*'D(Ti_Jollands) Times'!$F176*0.000001)^2/(4*'D(Ti_Jollands) Times'!$C176)/(365.35*24*3600)</f>
        <v>437430.18819635099</v>
      </c>
      <c r="AB176" s="2">
        <f>('L-Values'!X176*'D(Ti_Jollands) Times'!$F176*0.000001)^2/(4*'D(Ti_Jollands) Times'!$C176)/(365.35*24*3600)</f>
        <v>3291529.3714533057</v>
      </c>
      <c r="AC176" s="2">
        <f t="shared" si="10"/>
        <v>975349.15402412158</v>
      </c>
      <c r="AD176" s="2">
        <f t="shared" si="11"/>
        <v>1878750.0292328331</v>
      </c>
    </row>
    <row r="177" spans="1:30" x14ac:dyDescent="0.2">
      <c r="A177" t="str">
        <f>'L-Values'!A177</f>
        <v>CGI009-qtz08-CL-fit-4-offset</v>
      </c>
      <c r="B177">
        <v>750</v>
      </c>
      <c r="C177">
        <f t="shared" si="8"/>
        <v>6.6965312637759184E-25</v>
      </c>
      <c r="D177">
        <v>2300</v>
      </c>
      <c r="E177">
        <v>1024</v>
      </c>
      <c r="F177">
        <f t="shared" si="9"/>
        <v>2.24609375</v>
      </c>
      <c r="I177" s="2">
        <f>('L-Values'!E177*'D(Ti_Jollands) Times'!$F177*0.000001)^2/(4*'D(Ti_Jollands) Times'!$C177)/(365.35*24*3600)</f>
        <v>0</v>
      </c>
      <c r="J177" s="2">
        <f>('L-Values'!F177*'D(Ti_Jollands) Times'!$F177*0.000001)^2/(4*'D(Ti_Jollands) Times'!$C177)/(365.35*24*3600)</f>
        <v>1077047.6519644321</v>
      </c>
      <c r="K177" s="2">
        <f>('L-Values'!G177*'D(Ti_Jollands) Times'!$F177*0.000001)^2/(4*'D(Ti_Jollands) Times'!$C177)/(365.35*24*3600)</f>
        <v>1919931.4622578013</v>
      </c>
      <c r="L177" s="2">
        <f>('L-Values'!H177*'D(Ti_Jollands) Times'!$F177*0.000001)^2/(4*'D(Ti_Jollands) Times'!$C177)/(365.35*24*3600)</f>
        <v>1535431.6826362519</v>
      </c>
      <c r="M177" s="2">
        <f>('L-Values'!I177*'D(Ti_Jollands) Times'!$F177*0.000001)^2/(4*'D(Ti_Jollands) Times'!$C177)/(365.35*24*3600)</f>
        <v>1567574.0540553706</v>
      </c>
      <c r="N177" s="2">
        <f>('L-Values'!J177*'D(Ti_Jollands) Times'!$F177*0.000001)^2/(4*'D(Ti_Jollands) Times'!$C177)/(365.35*24*3600)</f>
        <v>504051.04669443611</v>
      </c>
      <c r="O177" s="2">
        <f>('L-Values'!K177*'D(Ti_Jollands) Times'!$F177*0.000001)^2/(4*'D(Ti_Jollands) Times'!$C177)/(365.35*24*3600)</f>
        <v>266896.51953271887</v>
      </c>
      <c r="P177" s="2">
        <f>('L-Values'!L177*'D(Ti_Jollands) Times'!$F177*0.000001)^2/(4*'D(Ti_Jollands) Times'!$C177)/(365.35*24*3600)</f>
        <v>1551126.0652821322</v>
      </c>
      <c r="Q177" s="2">
        <f>('L-Values'!M177*'D(Ti_Jollands) Times'!$F177*0.000001)^2/(4*'D(Ti_Jollands) Times'!$C177)/(365.35*24*3600)</f>
        <v>50312.158833525486</v>
      </c>
      <c r="R177" s="2">
        <f>('L-Values'!N177*'D(Ti_Jollands) Times'!$F177*0.000001)^2/(4*'D(Ti_Jollands) Times'!$C177)/(365.35*24*3600)</f>
        <v>1850088.3967622346</v>
      </c>
      <c r="S177" s="2">
        <f>('L-Values'!O177*'D(Ti_Jollands) Times'!$F177*0.000001)^2/(4*'D(Ti_Jollands) Times'!$C177)/(365.35*24*3600)</f>
        <v>187.08887690033762</v>
      </c>
      <c r="T177" s="2"/>
      <c r="U177" s="2">
        <f>('L-Values'!Q177*'D(Ti_Jollands) Times'!$F177*0.000001)^2/(4*'D(Ti_Jollands) Times'!$C177)/(365.35*24*3600)</f>
        <v>1264547.8773136204</v>
      </c>
      <c r="V177" s="2">
        <f>('L-Values'!R177*'D(Ti_Jollands) Times'!$F177*0.000001)^2/(4*'D(Ti_Jollands) Times'!$C177)/(365.35*24*3600)</f>
        <v>807260.4812173557</v>
      </c>
      <c r="W177" s="2">
        <f>('L-Values'!S177*'D(Ti_Jollands) Times'!$F177*0.000001)^2/(4*'D(Ti_Jollands) Times'!$C177)/(365.35*24*3600)</f>
        <v>1296107.6034668242</v>
      </c>
      <c r="X177" s="2"/>
      <c r="Y177" s="2">
        <f>('L-Values'!U177*'D(Ti_Jollands) Times'!$F177*0.000001)^2/(4*'D(Ti_Jollands) Times'!$C177)/(365.35*24*3600)</f>
        <v>131822.84521722034</v>
      </c>
      <c r="Z177" s="2">
        <f>('L-Values'!V177*'D(Ti_Jollands) Times'!$F177*0.000001)^2/(4*'D(Ti_Jollands) Times'!$C177)/(365.35*24*3600)</f>
        <v>409351.85186701483</v>
      </c>
      <c r="AA177" s="2">
        <f>('L-Values'!W177*'D(Ti_Jollands) Times'!$F177*0.000001)^2/(4*'D(Ti_Jollands) Times'!$C177)/(365.35*24*3600)</f>
        <v>4.7988993101924615</v>
      </c>
      <c r="AB177" s="2">
        <f>('L-Values'!X177*'D(Ti_Jollands) Times'!$F177*0.000001)^2/(4*'D(Ti_Jollands) Times'!$C177)/(365.35*24*3600)</f>
        <v>5607687.6560519701</v>
      </c>
      <c r="AC177" s="2">
        <f t="shared" si="10"/>
        <v>409347.05296770466</v>
      </c>
      <c r="AD177" s="2">
        <f t="shared" si="11"/>
        <v>5198335.8041849555</v>
      </c>
    </row>
    <row r="178" spans="1:30" x14ac:dyDescent="0.2">
      <c r="A178" t="str">
        <f>'L-Values'!A178</f>
        <v>CGI009-qtz08-CL-fit-5-offset</v>
      </c>
      <c r="B178">
        <v>750</v>
      </c>
      <c r="C178">
        <f t="shared" si="8"/>
        <v>6.6965312637759184E-25</v>
      </c>
      <c r="D178">
        <v>2300</v>
      </c>
      <c r="E178">
        <v>1024</v>
      </c>
      <c r="F178">
        <f t="shared" si="9"/>
        <v>2.24609375</v>
      </c>
      <c r="I178" s="2">
        <f>('L-Values'!E178*'D(Ti_Jollands) Times'!$F178*0.000001)^2/(4*'D(Ti_Jollands) Times'!$C178)/(365.35*24*3600)</f>
        <v>264260.03087184072</v>
      </c>
      <c r="J178" s="2">
        <f>('L-Values'!F178*'D(Ti_Jollands) Times'!$F178*0.000001)^2/(4*'D(Ti_Jollands) Times'!$C178)/(365.35*24*3600)</f>
        <v>201453.55078601051</v>
      </c>
      <c r="K178" s="2">
        <f>('L-Values'!G178*'D(Ti_Jollands) Times'!$F178*0.000001)^2/(4*'D(Ti_Jollands) Times'!$C178)/(365.35*24*3600)</f>
        <v>308384.93207380059</v>
      </c>
      <c r="L178" s="2">
        <f>('L-Values'!H178*'D(Ti_Jollands) Times'!$F178*0.000001)^2/(4*'D(Ti_Jollands) Times'!$C178)/(365.35*24*3600)</f>
        <v>294325.92055296694</v>
      </c>
      <c r="M178" s="2">
        <f>('L-Values'!I178*'D(Ti_Jollands) Times'!$F178*0.000001)^2/(4*'D(Ti_Jollands) Times'!$C178)/(365.35*24*3600)</f>
        <v>550255.62509014842</v>
      </c>
      <c r="N178" s="2">
        <f>('L-Values'!J178*'D(Ti_Jollands) Times'!$F178*0.000001)^2/(4*'D(Ti_Jollands) Times'!$C178)/(365.35*24*3600)</f>
        <v>126216.17073858241</v>
      </c>
      <c r="O178" s="2">
        <f>('L-Values'!K178*'D(Ti_Jollands) Times'!$F178*0.000001)^2/(4*'D(Ti_Jollands) Times'!$C178)/(365.35*24*3600)</f>
        <v>318844.603233225</v>
      </c>
      <c r="P178" s="2">
        <f>('L-Values'!L178*'D(Ti_Jollands) Times'!$F178*0.000001)^2/(4*'D(Ti_Jollands) Times'!$C178)/(365.35*24*3600)</f>
        <v>315269.19351754978</v>
      </c>
      <c r="Q178" s="2">
        <f>('L-Values'!M178*'D(Ti_Jollands) Times'!$F178*0.000001)^2/(4*'D(Ti_Jollands) Times'!$C178)/(365.35*24*3600)</f>
        <v>480475.36443996127</v>
      </c>
      <c r="R178" s="2">
        <f>('L-Values'!N178*'D(Ti_Jollands) Times'!$F178*0.000001)^2/(4*'D(Ti_Jollands) Times'!$C178)/(365.35*24*3600)</f>
        <v>419007.05206693435</v>
      </c>
      <c r="S178" s="2">
        <f>('L-Values'!O178*'D(Ti_Jollands) Times'!$F178*0.000001)^2/(4*'D(Ti_Jollands) Times'!$C178)/(365.35*24*3600)</f>
        <v>358937.31503834395</v>
      </c>
      <c r="T178" s="2"/>
      <c r="U178" s="2">
        <f>('L-Values'!Q178*'D(Ti_Jollands) Times'!$F178*0.000001)^2/(4*'D(Ti_Jollands) Times'!$C178)/(365.35*24*3600)</f>
        <v>320750.12252356659</v>
      </c>
      <c r="V178" s="2">
        <f>('L-Values'!R178*'D(Ti_Jollands) Times'!$F178*0.000001)^2/(4*'D(Ti_Jollands) Times'!$C178)/(365.35*24*3600)</f>
        <v>320102.68111633975</v>
      </c>
      <c r="W178" s="2">
        <f>('L-Values'!S178*'D(Ti_Jollands) Times'!$F178*0.000001)^2/(4*'D(Ti_Jollands) Times'!$C178)/(365.35*24*3600)</f>
        <v>315269.19351754978</v>
      </c>
      <c r="X178" s="2"/>
      <c r="Y178" s="2">
        <f>('L-Values'!U178*'D(Ti_Jollands) Times'!$F178*0.000001)^2/(4*'D(Ti_Jollands) Times'!$C178)/(365.35*24*3600)</f>
        <v>293163.17533292394</v>
      </c>
      <c r="Z178" s="2">
        <f>('L-Values'!V178*'D(Ti_Jollands) Times'!$F178*0.000001)^2/(4*'D(Ti_Jollands) Times'!$C178)/(365.35*24*3600)</f>
        <v>308815.11305299413</v>
      </c>
      <c r="AA178" s="2">
        <f>('L-Values'!W178*'D(Ti_Jollands) Times'!$F178*0.000001)^2/(4*'D(Ti_Jollands) Times'!$C178)/(365.35*24*3600)</f>
        <v>90813.074486845027</v>
      </c>
      <c r="AB178" s="2">
        <f>('L-Values'!X178*'D(Ti_Jollands) Times'!$F178*0.000001)^2/(4*'D(Ti_Jollands) Times'!$C178)/(365.35*24*3600)</f>
        <v>768204.81741456024</v>
      </c>
      <c r="AC178" s="2">
        <f t="shared" si="10"/>
        <v>218002.0385661491</v>
      </c>
      <c r="AD178" s="2">
        <f t="shared" si="11"/>
        <v>459389.70436156611</v>
      </c>
    </row>
    <row r="179" spans="1:30" x14ac:dyDescent="0.2">
      <c r="A179" t="str">
        <f>'L-Values'!A179</f>
        <v>CGI009-qtz09-CL-fit-1-offset</v>
      </c>
      <c r="B179">
        <v>750</v>
      </c>
      <c r="C179">
        <f t="shared" si="8"/>
        <v>6.6965312637759184E-25</v>
      </c>
      <c r="D179">
        <v>2100</v>
      </c>
      <c r="E179">
        <v>1024</v>
      </c>
      <c r="F179">
        <f t="shared" si="9"/>
        <v>2.05078125</v>
      </c>
      <c r="I179" s="2">
        <f>('L-Values'!E179*'D(Ti_Jollands) Times'!$F179*0.000001)^2/(4*'D(Ti_Jollands) Times'!$C179)/(365.35*24*3600)</f>
        <v>1360968.4393850737</v>
      </c>
      <c r="J179" s="2">
        <f>('L-Values'!F179*'D(Ti_Jollands) Times'!$F179*0.000001)^2/(4*'D(Ti_Jollands) Times'!$C179)/(365.35*24*3600)</f>
        <v>829598.08432450204</v>
      </c>
      <c r="K179" s="2">
        <f>('L-Values'!G179*'D(Ti_Jollands) Times'!$F179*0.000001)^2/(4*'D(Ti_Jollands) Times'!$C179)/(365.35*24*3600)</f>
        <v>973167.89428317815</v>
      </c>
      <c r="L179" s="2">
        <f>('L-Values'!H179*'D(Ti_Jollands) Times'!$F179*0.000001)^2/(4*'D(Ti_Jollands) Times'!$C179)/(365.35*24*3600)</f>
        <v>1125329.599003691</v>
      </c>
      <c r="M179" s="2">
        <f>('L-Values'!I179*'D(Ti_Jollands) Times'!$F179*0.000001)^2/(4*'D(Ti_Jollands) Times'!$C179)/(365.35*24*3600)</f>
        <v>938045.08372016181</v>
      </c>
      <c r="N179" s="2">
        <f>('L-Values'!J179*'D(Ti_Jollands) Times'!$F179*0.000001)^2/(4*'D(Ti_Jollands) Times'!$C179)/(365.35*24*3600)</f>
        <v>925594.54500887636</v>
      </c>
      <c r="O179" s="2">
        <f>('L-Values'!K179*'D(Ti_Jollands) Times'!$F179*0.000001)^2/(4*'D(Ti_Jollands) Times'!$C179)/(365.35*24*3600)</f>
        <v>963676.034425308</v>
      </c>
      <c r="P179" s="2">
        <f>('L-Values'!L179*'D(Ti_Jollands) Times'!$F179*0.000001)^2/(4*'D(Ti_Jollands) Times'!$C179)/(365.35*24*3600)</f>
        <v>1516163.0784049577</v>
      </c>
      <c r="Q179" s="2">
        <f>('L-Values'!M179*'D(Ti_Jollands) Times'!$F179*0.000001)^2/(4*'D(Ti_Jollands) Times'!$C179)/(365.35*24*3600)</f>
        <v>1439941.5920337359</v>
      </c>
      <c r="R179" s="2">
        <f>('L-Values'!N179*'D(Ti_Jollands) Times'!$F179*0.000001)^2/(4*'D(Ti_Jollands) Times'!$C179)/(365.35*24*3600)</f>
        <v>1005813.6235630109</v>
      </c>
      <c r="S179" s="2">
        <f>('L-Values'!O179*'D(Ti_Jollands) Times'!$F179*0.000001)^2/(4*'D(Ti_Jollands) Times'!$C179)/(365.35*24*3600)</f>
        <v>866810.41339252959</v>
      </c>
      <c r="T179" s="2"/>
      <c r="U179" s="2">
        <f>('L-Values'!Q179*'D(Ti_Jollands) Times'!$F179*0.000001)^2/(4*'D(Ti_Jollands) Times'!$C179)/(365.35*24*3600)</f>
        <v>1084200.108656513</v>
      </c>
      <c r="V179" s="2">
        <f>('L-Values'!R179*'D(Ti_Jollands) Times'!$F179*0.000001)^2/(4*'D(Ti_Jollands) Times'!$C179)/(365.35*24*3600)</f>
        <v>1074472.2030836686</v>
      </c>
      <c r="W179" s="2">
        <f>('L-Values'!S179*'D(Ti_Jollands) Times'!$F179*0.000001)^2/(4*'D(Ti_Jollands) Times'!$C179)/(365.35*24*3600)</f>
        <v>973167.89428317815</v>
      </c>
      <c r="X179" s="2"/>
      <c r="Y179" s="2">
        <f>('L-Values'!U179*'D(Ti_Jollands) Times'!$F179*0.000001)^2/(4*'D(Ti_Jollands) Times'!$C179)/(365.35*24*3600)</f>
        <v>1092440.5740977258</v>
      </c>
      <c r="Z179" s="2">
        <f>('L-Values'!V179*'D(Ti_Jollands) Times'!$F179*0.000001)^2/(4*'D(Ti_Jollands) Times'!$C179)/(365.35*24*3600)</f>
        <v>1156259.5256860838</v>
      </c>
      <c r="AA179" s="2">
        <f>('L-Values'!W179*'D(Ti_Jollands) Times'!$F179*0.000001)^2/(4*'D(Ti_Jollands) Times'!$C179)/(365.35*24*3600)</f>
        <v>662860.72003228334</v>
      </c>
      <c r="AB179" s="2">
        <f>('L-Values'!X179*'D(Ti_Jollands) Times'!$F179*0.000001)^2/(4*'D(Ti_Jollands) Times'!$C179)/(365.35*24*3600)</f>
        <v>2138183.973220468</v>
      </c>
      <c r="AC179" s="2">
        <f t="shared" si="10"/>
        <v>493398.80565380049</v>
      </c>
      <c r="AD179" s="2">
        <f t="shared" si="11"/>
        <v>981924.44753438421</v>
      </c>
    </row>
    <row r="180" spans="1:30" x14ac:dyDescent="0.2">
      <c r="A180" t="str">
        <f>'L-Values'!A180</f>
        <v>CGI009-qtz09-CL-fit-2-offset</v>
      </c>
      <c r="B180">
        <v>750</v>
      </c>
      <c r="C180">
        <f t="shared" si="8"/>
        <v>6.6965312637759184E-25</v>
      </c>
      <c r="D180">
        <v>2100</v>
      </c>
      <c r="E180">
        <v>1024</v>
      </c>
      <c r="F180">
        <f t="shared" si="9"/>
        <v>2.05078125</v>
      </c>
      <c r="I180" s="2">
        <f>('L-Values'!E180*'D(Ti_Jollands) Times'!$F180*0.000001)^2/(4*'D(Ti_Jollands) Times'!$C180)/(365.35*24*3600)</f>
        <v>820860.37879115995</v>
      </c>
      <c r="J180" s="2">
        <f>('L-Values'!F180*'D(Ti_Jollands) Times'!$F180*0.000001)^2/(4*'D(Ti_Jollands) Times'!$C180)/(365.35*24*3600)</f>
        <v>1421034.250034306</v>
      </c>
      <c r="K180" s="2">
        <f>('L-Values'!G180*'D(Ti_Jollands) Times'!$F180*0.000001)^2/(4*'D(Ti_Jollands) Times'!$C180)/(365.35*24*3600)</f>
        <v>1056388.0634990735</v>
      </c>
      <c r="L180" s="2">
        <f>('L-Values'!H180*'D(Ti_Jollands) Times'!$F180*0.000001)^2/(4*'D(Ti_Jollands) Times'!$C180)/(365.35*24*3600)</f>
        <v>3138197.6723440662</v>
      </c>
      <c r="M180" s="2">
        <f>('L-Values'!I180*'D(Ti_Jollands) Times'!$F180*0.000001)^2/(4*'D(Ti_Jollands) Times'!$C180)/(365.35*24*3600)</f>
        <v>1149368.3333399466</v>
      </c>
      <c r="N180" s="2">
        <f>('L-Values'!J180*'D(Ti_Jollands) Times'!$F180*0.000001)^2/(4*'D(Ti_Jollands) Times'!$C180)/(365.35*24*3600)</f>
        <v>1510475.390866382</v>
      </c>
      <c r="O180" s="2">
        <f>('L-Values'!K180*'D(Ti_Jollands) Times'!$F180*0.000001)^2/(4*'D(Ti_Jollands) Times'!$C180)/(365.35*24*3600)</f>
        <v>1223747.0187537798</v>
      </c>
      <c r="P180" s="2">
        <f>('L-Values'!L180*'D(Ti_Jollands) Times'!$F180*0.000001)^2/(4*'D(Ti_Jollands) Times'!$C180)/(365.35*24*3600)</f>
        <v>1128255.2209257057</v>
      </c>
      <c r="Q180" s="2">
        <f>('L-Values'!M180*'D(Ti_Jollands) Times'!$F180*0.000001)^2/(4*'D(Ti_Jollands) Times'!$C180)/(365.35*24*3600)</f>
        <v>1737640.1047374331</v>
      </c>
      <c r="R180" s="2">
        <f>('L-Values'!N180*'D(Ti_Jollands) Times'!$F180*0.000001)^2/(4*'D(Ti_Jollands) Times'!$C180)/(365.35*24*3600)</f>
        <v>1258632.6591296359</v>
      </c>
      <c r="S180" s="2">
        <f>('L-Values'!O180*'D(Ti_Jollands) Times'!$F180*0.000001)^2/(4*'D(Ti_Jollands) Times'!$C180)/(365.35*24*3600)</f>
        <v>952508.25061633484</v>
      </c>
      <c r="T180" s="2"/>
      <c r="U180" s="2">
        <f>('L-Values'!Q180*'D(Ti_Jollands) Times'!$F180*0.000001)^2/(4*'D(Ti_Jollands) Times'!$C180)/(365.35*24*3600)</f>
        <v>1300814.0881225832</v>
      </c>
      <c r="V180" s="2">
        <f>('L-Values'!R180*'D(Ti_Jollands) Times'!$F180*0.000001)^2/(4*'D(Ti_Jollands) Times'!$C180)/(365.35*24*3600)</f>
        <v>1350447.2021373934</v>
      </c>
      <c r="W180" s="2">
        <f>('L-Values'!S180*'D(Ti_Jollands) Times'!$F180*0.000001)^2/(4*'D(Ti_Jollands) Times'!$C180)/(365.35*24*3600)</f>
        <v>1223747.0187537798</v>
      </c>
      <c r="X180" s="2"/>
      <c r="Y180" s="2">
        <f>('L-Values'!U180*'D(Ti_Jollands) Times'!$F180*0.000001)^2/(4*'D(Ti_Jollands) Times'!$C180)/(365.35*24*3600)</f>
        <v>1327498.347192121</v>
      </c>
      <c r="Z180" s="2">
        <f>('L-Values'!V180*'D(Ti_Jollands) Times'!$F180*0.000001)^2/(4*'D(Ti_Jollands) Times'!$C180)/(365.35*24*3600)</f>
        <v>1299845.4513783285</v>
      </c>
      <c r="AA180" s="2">
        <f>('L-Values'!W180*'D(Ti_Jollands) Times'!$F180*0.000001)^2/(4*'D(Ti_Jollands) Times'!$C180)/(365.35*24*3600)</f>
        <v>650600.49926674273</v>
      </c>
      <c r="AB180" s="2">
        <f>('L-Values'!X180*'D(Ti_Jollands) Times'!$F180*0.000001)^2/(4*'D(Ti_Jollands) Times'!$C180)/(365.35*24*3600)</f>
        <v>2334344.8688446442</v>
      </c>
      <c r="AC180" s="2">
        <f t="shared" si="10"/>
        <v>649244.95211158576</v>
      </c>
      <c r="AD180" s="2">
        <f t="shared" si="11"/>
        <v>1034499.4174663157</v>
      </c>
    </row>
    <row r="181" spans="1:30" x14ac:dyDescent="0.2">
      <c r="A181" t="str">
        <f>'L-Values'!A181</f>
        <v>CGI009-qtz09-CL-fit-3-offset</v>
      </c>
      <c r="B181">
        <v>750</v>
      </c>
      <c r="C181">
        <f t="shared" si="8"/>
        <v>6.6965312637759184E-25</v>
      </c>
      <c r="D181">
        <v>2100</v>
      </c>
      <c r="E181">
        <v>1024</v>
      </c>
      <c r="F181">
        <f t="shared" si="9"/>
        <v>2.05078125</v>
      </c>
      <c r="I181" s="2">
        <f>('L-Values'!E181*'D(Ti_Jollands) Times'!$F181*0.000001)^2/(4*'D(Ti_Jollands) Times'!$C181)/(365.35*24*3600)</f>
        <v>501614.33910883812</v>
      </c>
      <c r="J181" s="2">
        <f>('L-Values'!F181*'D(Ti_Jollands) Times'!$F181*0.000001)^2/(4*'D(Ti_Jollands) Times'!$C181)/(365.35*24*3600)</f>
        <v>252229.90675505562</v>
      </c>
      <c r="K181" s="2">
        <f>('L-Values'!G181*'D(Ti_Jollands) Times'!$F181*0.000001)^2/(4*'D(Ti_Jollands) Times'!$C181)/(365.35*24*3600)</f>
        <v>351567.99346794497</v>
      </c>
      <c r="L181" s="2">
        <f>('L-Values'!H181*'D(Ti_Jollands) Times'!$F181*0.000001)^2/(4*'D(Ti_Jollands) Times'!$C181)/(365.35*24*3600)</f>
        <v>229086.13954117484</v>
      </c>
      <c r="M181" s="2">
        <f>('L-Values'!I181*'D(Ti_Jollands) Times'!$F181*0.000001)^2/(4*'D(Ti_Jollands) Times'!$C181)/(365.35*24*3600)</f>
        <v>473093.90552172239</v>
      </c>
      <c r="N181" s="2">
        <f>('L-Values'!J181*'D(Ti_Jollands) Times'!$F181*0.000001)^2/(4*'D(Ti_Jollands) Times'!$C181)/(365.35*24*3600)</f>
        <v>398161.02153804869</v>
      </c>
      <c r="O181" s="2">
        <f>('L-Values'!K181*'D(Ti_Jollands) Times'!$F181*0.000001)^2/(4*'D(Ti_Jollands) Times'!$C181)/(365.35*24*3600)</f>
        <v>289603.0112229333</v>
      </c>
      <c r="P181" s="2">
        <f>('L-Values'!L181*'D(Ti_Jollands) Times'!$F181*0.000001)^2/(4*'D(Ti_Jollands) Times'!$C181)/(365.35*24*3600)</f>
        <v>319670.04298694071</v>
      </c>
      <c r="Q181" s="2">
        <f>('L-Values'!M181*'D(Ti_Jollands) Times'!$F181*0.000001)^2/(4*'D(Ti_Jollands) Times'!$C181)/(365.35*24*3600)</f>
        <v>301963.83500922768</v>
      </c>
      <c r="R181" s="2">
        <f>('L-Values'!N181*'D(Ti_Jollands) Times'!$F181*0.000001)^2/(4*'D(Ti_Jollands) Times'!$C181)/(365.35*24*3600)</f>
        <v>306536.1424010073</v>
      </c>
      <c r="S181" s="2">
        <f>('L-Values'!O181*'D(Ti_Jollands) Times'!$F181*0.000001)^2/(4*'D(Ti_Jollands) Times'!$C181)/(365.35*24*3600)</f>
        <v>468316.5470777853</v>
      </c>
      <c r="T181" s="2"/>
      <c r="U181" s="2">
        <f>('L-Values'!Q181*'D(Ti_Jollands) Times'!$F181*0.000001)^2/(4*'D(Ti_Jollands) Times'!$C181)/(365.35*24*3600)</f>
        <v>348703.37498007959</v>
      </c>
      <c r="V181" s="2">
        <f>('L-Values'!R181*'D(Ti_Jollands) Times'!$F181*0.000001)^2/(4*'D(Ti_Jollands) Times'!$C181)/(365.35*24*3600)</f>
        <v>348303.75808844162</v>
      </c>
      <c r="W181" s="2">
        <f>('L-Values'!S181*'D(Ti_Jollands) Times'!$F181*0.000001)^2/(4*'D(Ti_Jollands) Times'!$C181)/(365.35*24*3600)</f>
        <v>319670.04298694071</v>
      </c>
      <c r="X181" s="2"/>
      <c r="Y181" s="2">
        <f>('L-Values'!U181*'D(Ti_Jollands) Times'!$F181*0.000001)^2/(4*'D(Ti_Jollands) Times'!$C181)/(365.35*24*3600)</f>
        <v>347516.12741844624</v>
      </c>
      <c r="Z181" s="2">
        <f>('L-Values'!V181*'D(Ti_Jollands) Times'!$F181*0.000001)^2/(4*'D(Ti_Jollands) Times'!$C181)/(365.35*24*3600)</f>
        <v>345281.49182885111</v>
      </c>
      <c r="AA181" s="2">
        <f>('L-Values'!W181*'D(Ti_Jollands) Times'!$F181*0.000001)^2/(4*'D(Ti_Jollands) Times'!$C181)/(365.35*24*3600)</f>
        <v>174252.09436247969</v>
      </c>
      <c r="AB181" s="2">
        <f>('L-Values'!X181*'D(Ti_Jollands) Times'!$F181*0.000001)^2/(4*'D(Ti_Jollands) Times'!$C181)/(365.35*24*3600)</f>
        <v>598790.70611146861</v>
      </c>
      <c r="AC181" s="2">
        <f t="shared" si="10"/>
        <v>171029.39746637142</v>
      </c>
      <c r="AD181" s="2">
        <f t="shared" si="11"/>
        <v>253509.2142826175</v>
      </c>
    </row>
    <row r="182" spans="1:30" x14ac:dyDescent="0.2">
      <c r="A182" t="str">
        <f>'L-Values'!A182</f>
        <v>CGI009-qtz09-CL-fit-4-offset</v>
      </c>
      <c r="B182">
        <v>750</v>
      </c>
      <c r="C182">
        <f t="shared" si="8"/>
        <v>6.6965312637759184E-25</v>
      </c>
      <c r="D182">
        <v>2100</v>
      </c>
      <c r="E182">
        <v>1024</v>
      </c>
      <c r="F182">
        <f t="shared" si="9"/>
        <v>2.05078125</v>
      </c>
      <c r="I182" s="2">
        <f>('L-Values'!E182*'D(Ti_Jollands) Times'!$F182*0.000001)^2/(4*'D(Ti_Jollands) Times'!$C182)/(365.35*24*3600)</f>
        <v>113586.25569493581</v>
      </c>
      <c r="J182" s="2">
        <f>('L-Values'!F182*'D(Ti_Jollands) Times'!$F182*0.000001)^2/(4*'D(Ti_Jollands) Times'!$C182)/(365.35*24*3600)</f>
        <v>96461.087266869494</v>
      </c>
      <c r="K182" s="2">
        <f>('L-Values'!G182*'D(Ti_Jollands) Times'!$F182*0.000001)^2/(4*'D(Ti_Jollands) Times'!$C182)/(365.35*24*3600)</f>
        <v>86981.963320456591</v>
      </c>
      <c r="L182" s="2">
        <f>('L-Values'!H182*'D(Ti_Jollands) Times'!$F182*0.000001)^2/(4*'D(Ti_Jollands) Times'!$C182)/(365.35*24*3600)</f>
        <v>87638.233403159102</v>
      </c>
      <c r="M182" s="2">
        <f>('L-Values'!I182*'D(Ti_Jollands) Times'!$F182*0.000001)^2/(4*'D(Ti_Jollands) Times'!$C182)/(365.35*24*3600)</f>
        <v>191145.17148547844</v>
      </c>
      <c r="N182" s="2">
        <f>('L-Values'!J182*'D(Ti_Jollands) Times'!$F182*0.000001)^2/(4*'D(Ti_Jollands) Times'!$C182)/(365.35*24*3600)</f>
        <v>129839.90440053961</v>
      </c>
      <c r="O182" s="2">
        <f>('L-Values'!K182*'D(Ti_Jollands) Times'!$F182*0.000001)^2/(4*'D(Ti_Jollands) Times'!$C182)/(365.35*24*3600)</f>
        <v>82539.907205042822</v>
      </c>
      <c r="P182" s="2">
        <f>('L-Values'!L182*'D(Ti_Jollands) Times'!$F182*0.000001)^2/(4*'D(Ti_Jollands) Times'!$C182)/(365.35*24*3600)</f>
        <v>39203.625089665657</v>
      </c>
      <c r="Q182" s="2">
        <f>('L-Values'!M182*'D(Ti_Jollands) Times'!$F182*0.000001)^2/(4*'D(Ti_Jollands) Times'!$C182)/(365.35*24*3600)</f>
        <v>56131.447735153495</v>
      </c>
      <c r="R182" s="2">
        <f>('L-Values'!N182*'D(Ti_Jollands) Times'!$F182*0.000001)^2/(4*'D(Ti_Jollands) Times'!$C182)/(365.35*24*3600)</f>
        <v>74685.16964885917</v>
      </c>
      <c r="S182" s="2">
        <f>('L-Values'!O182*'D(Ti_Jollands) Times'!$F182*0.000001)^2/(4*'D(Ti_Jollands) Times'!$C182)/(365.35*24*3600)</f>
        <v>32550.488320034317</v>
      </c>
      <c r="T182" s="2"/>
      <c r="U182" s="2">
        <f>('L-Values'!Q182*'D(Ti_Jollands) Times'!$F182*0.000001)^2/(4*'D(Ti_Jollands) Times'!$C182)/(365.35*24*3600)</f>
        <v>99542.523002349015</v>
      </c>
      <c r="V182" s="2">
        <f>('L-Values'!R182*'D(Ti_Jollands) Times'!$F182*0.000001)^2/(4*'D(Ti_Jollands) Times'!$C182)/(365.35*24*3600)</f>
        <v>85265.4572392759</v>
      </c>
      <c r="W182" s="2">
        <f>('L-Values'!S182*'D(Ti_Jollands) Times'!$F182*0.000001)^2/(4*'D(Ti_Jollands) Times'!$C182)/(365.35*24*3600)</f>
        <v>86981.963320456591</v>
      </c>
      <c r="X182" s="2"/>
      <c r="Y182" s="2">
        <f>('L-Values'!U182*'D(Ti_Jollands) Times'!$F182*0.000001)^2/(4*'D(Ti_Jollands) Times'!$C182)/(365.35*24*3600)</f>
        <v>75985.735601445325</v>
      </c>
      <c r="Z182" s="2">
        <f>('L-Values'!V182*'D(Ti_Jollands) Times'!$F182*0.000001)^2/(4*'D(Ti_Jollands) Times'!$C182)/(365.35*24*3600)</f>
        <v>69859.44104895393</v>
      </c>
      <c r="AA182" s="2">
        <f>('L-Values'!W182*'D(Ti_Jollands) Times'!$F182*0.000001)^2/(4*'D(Ti_Jollands) Times'!$C182)/(365.35*24*3600)</f>
        <v>5851.6901759168768</v>
      </c>
      <c r="AB182" s="2">
        <f>('L-Values'!X182*'D(Ti_Jollands) Times'!$F182*0.000001)^2/(4*'D(Ti_Jollands) Times'!$C182)/(365.35*24*3600)</f>
        <v>219929.56047291643</v>
      </c>
      <c r="AC182" s="2">
        <f t="shared" si="10"/>
        <v>64007.750873037054</v>
      </c>
      <c r="AD182" s="2">
        <f t="shared" si="11"/>
        <v>150070.11942396249</v>
      </c>
    </row>
    <row r="183" spans="1:30" x14ac:dyDescent="0.2">
      <c r="A183" t="str">
        <f>'L-Values'!A183</f>
        <v>CGI009-qtz10-CL-fit-1-offset</v>
      </c>
      <c r="B183">
        <v>750</v>
      </c>
      <c r="C183">
        <f t="shared" si="8"/>
        <v>6.6965312637759184E-25</v>
      </c>
      <c r="D183">
        <v>1900</v>
      </c>
      <c r="E183">
        <v>1024</v>
      </c>
      <c r="F183">
        <f t="shared" si="9"/>
        <v>1.85546875</v>
      </c>
      <c r="I183" s="2">
        <f>('L-Values'!E183*'D(Ti_Jollands) Times'!$F183*0.000001)^2/(4*'D(Ti_Jollands) Times'!$C183)/(365.35*24*3600)</f>
        <v>1422006.1353563294</v>
      </c>
      <c r="J183" s="2">
        <f>('L-Values'!F183*'D(Ti_Jollands) Times'!$F183*0.000001)^2/(4*'D(Ti_Jollands) Times'!$C183)/(365.35*24*3600)</f>
        <v>985249.25428033934</v>
      </c>
      <c r="K183" s="2">
        <f>('L-Values'!G183*'D(Ti_Jollands) Times'!$F183*0.000001)^2/(4*'D(Ti_Jollands) Times'!$C183)/(365.35*24*3600)</f>
        <v>1192558.7452204626</v>
      </c>
      <c r="L183" s="2">
        <f>('L-Values'!H183*'D(Ti_Jollands) Times'!$F183*0.000001)^2/(4*'D(Ti_Jollands) Times'!$C183)/(365.35*24*3600)</f>
        <v>1189416.8762463036</v>
      </c>
      <c r="M183" s="2">
        <f>('L-Values'!I183*'D(Ti_Jollands) Times'!$F183*0.000001)^2/(4*'D(Ti_Jollands) Times'!$C183)/(365.35*24*3600)</f>
        <v>1270280.8041163525</v>
      </c>
      <c r="N183" s="2">
        <f>('L-Values'!J183*'D(Ti_Jollands) Times'!$F183*0.000001)^2/(4*'D(Ti_Jollands) Times'!$C183)/(365.35*24*3600)</f>
        <v>1329394.9062589984</v>
      </c>
      <c r="O183" s="2">
        <f>('L-Values'!K183*'D(Ti_Jollands) Times'!$F183*0.000001)^2/(4*'D(Ti_Jollands) Times'!$C183)/(365.35*24*3600)</f>
        <v>1242761.491041132</v>
      </c>
      <c r="P183" s="2">
        <f>('L-Values'!L183*'D(Ti_Jollands) Times'!$F183*0.000001)^2/(4*'D(Ti_Jollands) Times'!$C183)/(365.35*24*3600)</f>
        <v>1276310.2464958576</v>
      </c>
      <c r="Q183" s="2">
        <f>('L-Values'!M183*'D(Ti_Jollands) Times'!$F183*0.000001)^2/(4*'D(Ti_Jollands) Times'!$C183)/(365.35*24*3600)</f>
        <v>1154630.0223246971</v>
      </c>
      <c r="R183" s="2">
        <f>('L-Values'!N183*'D(Ti_Jollands) Times'!$F183*0.000001)^2/(4*'D(Ti_Jollands) Times'!$C183)/(365.35*24*3600)</f>
        <v>1297636.0183857235</v>
      </c>
      <c r="S183" s="2">
        <f>('L-Values'!O183*'D(Ti_Jollands) Times'!$F183*0.000001)^2/(4*'D(Ti_Jollands) Times'!$C183)/(365.35*24*3600)</f>
        <v>1174848.6550974248</v>
      </c>
      <c r="T183" s="2"/>
      <c r="U183" s="2">
        <f>('L-Values'!Q183*'D(Ti_Jollands) Times'!$F183*0.000001)^2/(4*'D(Ti_Jollands) Times'!$C183)/(365.35*24*3600)</f>
        <v>1234317.468459253</v>
      </c>
      <c r="V183" s="2">
        <f>('L-Values'!R183*'D(Ti_Jollands) Times'!$F183*0.000001)^2/(4*'D(Ti_Jollands) Times'!$C183)/(365.35*24*3600)</f>
        <v>1228045.9141741877</v>
      </c>
      <c r="W183" s="2">
        <f>('L-Values'!S183*'D(Ti_Jollands) Times'!$F183*0.000001)^2/(4*'D(Ti_Jollands) Times'!$C183)/(365.35*24*3600)</f>
        <v>1242761.491041132</v>
      </c>
      <c r="X183" s="2"/>
      <c r="Y183" s="2">
        <f>('L-Values'!U183*'D(Ti_Jollands) Times'!$F183*0.000001)^2/(4*'D(Ti_Jollands) Times'!$C183)/(365.35*24*3600)</f>
        <v>1224663.2986232941</v>
      </c>
      <c r="Z183" s="2">
        <f>('L-Values'!V183*'D(Ti_Jollands) Times'!$F183*0.000001)^2/(4*'D(Ti_Jollands) Times'!$C183)/(365.35*24*3600)</f>
        <v>1226326.6387354231</v>
      </c>
      <c r="AA183" s="2">
        <f>('L-Values'!W183*'D(Ti_Jollands) Times'!$F183*0.000001)^2/(4*'D(Ti_Jollands) Times'!$C183)/(365.35*24*3600)</f>
        <v>836208.46149364824</v>
      </c>
      <c r="AB183" s="2">
        <f>('L-Values'!X183*'D(Ti_Jollands) Times'!$F183*0.000001)^2/(4*'D(Ti_Jollands) Times'!$C183)/(365.35*24*3600)</f>
        <v>1689297.435639184</v>
      </c>
      <c r="AC183" s="2">
        <f t="shared" si="10"/>
        <v>390118.17724177486</v>
      </c>
      <c r="AD183" s="2">
        <f t="shared" si="11"/>
        <v>462970.79690376087</v>
      </c>
    </row>
    <row r="184" spans="1:30" x14ac:dyDescent="0.2">
      <c r="A184" t="str">
        <f>'L-Values'!A184</f>
        <v>CGI009-qtz10-CL-fit-2-offset</v>
      </c>
      <c r="B184">
        <v>750</v>
      </c>
      <c r="C184">
        <f t="shared" si="8"/>
        <v>6.6965312637759184E-25</v>
      </c>
      <c r="D184">
        <v>1900</v>
      </c>
      <c r="E184">
        <v>1024</v>
      </c>
      <c r="F184">
        <f t="shared" si="9"/>
        <v>1.85546875</v>
      </c>
      <c r="I184" s="2">
        <f>('L-Values'!E184*'D(Ti_Jollands) Times'!$F184*0.000001)^2/(4*'D(Ti_Jollands) Times'!$C184)/(365.35*24*3600)</f>
        <v>272944.16189049964</v>
      </c>
      <c r="J184" s="2">
        <f>('L-Values'!F184*'D(Ti_Jollands) Times'!$F184*0.000001)^2/(4*'D(Ti_Jollands) Times'!$C184)/(365.35*24*3600)</f>
        <v>670052.70212011924</v>
      </c>
      <c r="K184" s="2">
        <f>('L-Values'!G184*'D(Ti_Jollands) Times'!$F184*0.000001)^2/(4*'D(Ti_Jollands) Times'!$C184)/(365.35*24*3600)</f>
        <v>510068.65539212193</v>
      </c>
      <c r="L184" s="2">
        <f>('L-Values'!H184*'D(Ti_Jollands) Times'!$F184*0.000001)^2/(4*'D(Ti_Jollands) Times'!$C184)/(365.35*24*3600)</f>
        <v>664461.22682833555</v>
      </c>
      <c r="M184" s="2">
        <f>('L-Values'!I184*'D(Ti_Jollands) Times'!$F184*0.000001)^2/(4*'D(Ti_Jollands) Times'!$C184)/(365.35*24*3600)</f>
        <v>588715.26678936265</v>
      </c>
      <c r="N184" s="2">
        <f>('L-Values'!J184*'D(Ti_Jollands) Times'!$F184*0.000001)^2/(4*'D(Ti_Jollands) Times'!$C184)/(365.35*24*3600)</f>
        <v>430807.96431527892</v>
      </c>
      <c r="O184" s="2">
        <f>('L-Values'!K184*'D(Ti_Jollands) Times'!$F184*0.000001)^2/(4*'D(Ti_Jollands) Times'!$C184)/(365.35*24*3600)</f>
        <v>172350.24632029285</v>
      </c>
      <c r="P184" s="2">
        <f>('L-Values'!L184*'D(Ti_Jollands) Times'!$F184*0.000001)^2/(4*'D(Ti_Jollands) Times'!$C184)/(365.35*24*3600)</f>
        <v>560190.57197748369</v>
      </c>
      <c r="Q184" s="2">
        <f>('L-Values'!M184*'D(Ti_Jollands) Times'!$F184*0.000001)^2/(4*'D(Ti_Jollands) Times'!$C184)/(365.35*24*3600)</f>
        <v>507990.27809930965</v>
      </c>
      <c r="R184" s="2">
        <f>('L-Values'!N184*'D(Ti_Jollands) Times'!$F184*0.000001)^2/(4*'D(Ti_Jollands) Times'!$C184)/(365.35*24*3600)</f>
        <v>464058.76618629991</v>
      </c>
      <c r="S184" s="2">
        <f>('L-Values'!O184*'D(Ti_Jollands) Times'!$F184*0.000001)^2/(4*'D(Ti_Jollands) Times'!$C184)/(365.35*24*3600)</f>
        <v>553127.2794650282</v>
      </c>
      <c r="T184" s="2"/>
      <c r="U184" s="2">
        <f>('L-Values'!Q184*'D(Ti_Jollands) Times'!$F184*0.000001)^2/(4*'D(Ti_Jollands) Times'!$C184)/(365.35*24*3600)</f>
        <v>483471.6601555568</v>
      </c>
      <c r="V184" s="2">
        <f>('L-Values'!R184*'D(Ti_Jollands) Times'!$F184*0.000001)^2/(4*'D(Ti_Jollands) Times'!$C184)/(365.35*24*3600)</f>
        <v>476761.27824217424</v>
      </c>
      <c r="W184" s="2">
        <f>('L-Values'!S184*'D(Ti_Jollands) Times'!$F184*0.000001)^2/(4*'D(Ti_Jollands) Times'!$C184)/(365.35*24*3600)</f>
        <v>510068.65539212193</v>
      </c>
      <c r="X184" s="2"/>
      <c r="Y184" s="2">
        <f>('L-Values'!U184*'D(Ti_Jollands) Times'!$F184*0.000001)^2/(4*'D(Ti_Jollands) Times'!$C184)/(365.35*24*3600)</f>
        <v>466942.13662186125</v>
      </c>
      <c r="Z184" s="2">
        <f>('L-Values'!V184*'D(Ti_Jollands) Times'!$F184*0.000001)^2/(4*'D(Ti_Jollands) Times'!$C184)/(365.35*24*3600)</f>
        <v>455449.03545964567</v>
      </c>
      <c r="AA184" s="2">
        <f>('L-Values'!W184*'D(Ti_Jollands) Times'!$F184*0.000001)^2/(4*'D(Ti_Jollands) Times'!$C184)/(365.35*24*3600)</f>
        <v>200061.77456970207</v>
      </c>
      <c r="AB184" s="2">
        <f>('L-Values'!X184*'D(Ti_Jollands) Times'!$F184*0.000001)^2/(4*'D(Ti_Jollands) Times'!$C184)/(365.35*24*3600)</f>
        <v>843696.82040842623</v>
      </c>
      <c r="AC184" s="2">
        <f t="shared" si="10"/>
        <v>255387.2608899436</v>
      </c>
      <c r="AD184" s="2">
        <f t="shared" si="11"/>
        <v>388247.78494878055</v>
      </c>
    </row>
    <row r="185" spans="1:30" x14ac:dyDescent="0.2">
      <c r="A185" t="str">
        <f>'L-Values'!A185</f>
        <v>CGI009-qtz10-CL-fit-3-offset</v>
      </c>
      <c r="B185">
        <v>750</v>
      </c>
      <c r="C185">
        <f t="shared" si="8"/>
        <v>6.6965312637759184E-25</v>
      </c>
      <c r="D185">
        <v>1900</v>
      </c>
      <c r="E185">
        <v>1024</v>
      </c>
      <c r="F185">
        <f t="shared" si="9"/>
        <v>1.85546875</v>
      </c>
      <c r="I185" s="2">
        <f>('L-Values'!E185*'D(Ti_Jollands) Times'!$F185*0.000001)^2/(4*'D(Ti_Jollands) Times'!$C185)/(365.35*24*3600)</f>
        <v>412052.38551912457</v>
      </c>
      <c r="J185" s="2">
        <f>('L-Values'!F185*'D(Ti_Jollands) Times'!$F185*0.000001)^2/(4*'D(Ti_Jollands) Times'!$C185)/(365.35*24*3600)</f>
        <v>332343.46343209082</v>
      </c>
      <c r="K185" s="2">
        <f>('L-Values'!G185*'D(Ti_Jollands) Times'!$F185*0.000001)^2/(4*'D(Ti_Jollands) Times'!$C185)/(365.35*24*3600)</f>
        <v>346272.74905633641</v>
      </c>
      <c r="L185" s="2">
        <f>('L-Values'!H185*'D(Ti_Jollands) Times'!$F185*0.000001)^2/(4*'D(Ti_Jollands) Times'!$C185)/(365.35*24*3600)</f>
        <v>318646.42312824458</v>
      </c>
      <c r="M185" s="2">
        <f>('L-Values'!I185*'D(Ti_Jollands) Times'!$F185*0.000001)^2/(4*'D(Ti_Jollands) Times'!$C185)/(365.35*24*3600)</f>
        <v>302454.77838456532</v>
      </c>
      <c r="N185" s="2">
        <f>('L-Values'!J185*'D(Ti_Jollands) Times'!$F185*0.000001)^2/(4*'D(Ti_Jollands) Times'!$C185)/(365.35*24*3600)</f>
        <v>393699.42948249803</v>
      </c>
      <c r="O185" s="2">
        <f>('L-Values'!K185*'D(Ti_Jollands) Times'!$F185*0.000001)^2/(4*'D(Ti_Jollands) Times'!$C185)/(365.35*24*3600)</f>
        <v>403220.27778372011</v>
      </c>
      <c r="P185" s="2">
        <f>('L-Values'!L185*'D(Ti_Jollands) Times'!$F185*0.000001)^2/(4*'D(Ti_Jollands) Times'!$C185)/(365.35*24*3600)</f>
        <v>381357.9852066561</v>
      </c>
      <c r="Q185" s="2">
        <f>('L-Values'!M185*'D(Ti_Jollands) Times'!$F185*0.000001)^2/(4*'D(Ti_Jollands) Times'!$C185)/(365.35*24*3600)</f>
        <v>475443.73349898093</v>
      </c>
      <c r="R185" s="2">
        <f>('L-Values'!N185*'D(Ti_Jollands) Times'!$F185*0.000001)^2/(4*'D(Ti_Jollands) Times'!$C185)/(365.35*24*3600)</f>
        <v>348821.03994049982</v>
      </c>
      <c r="S185" s="2">
        <f>('L-Values'!O185*'D(Ti_Jollands) Times'!$F185*0.000001)^2/(4*'D(Ti_Jollands) Times'!$C185)/(365.35*24*3600)</f>
        <v>224068.09995122557</v>
      </c>
      <c r="T185" s="2"/>
      <c r="U185" s="2">
        <f>('L-Values'!Q185*'D(Ti_Jollands) Times'!$F185*0.000001)^2/(4*'D(Ti_Jollands) Times'!$C185)/(365.35*24*3600)</f>
        <v>361034.6931171582</v>
      </c>
      <c r="V185" s="2">
        <f>('L-Values'!R185*'D(Ti_Jollands) Times'!$F185*0.000001)^2/(4*'D(Ti_Jollands) Times'!$C185)/(365.35*24*3600)</f>
        <v>355084.6496459936</v>
      </c>
      <c r="W185" s="2">
        <f>('L-Values'!S185*'D(Ti_Jollands) Times'!$F185*0.000001)^2/(4*'D(Ti_Jollands) Times'!$C185)/(365.35*24*3600)</f>
        <v>348821.03994049982</v>
      </c>
      <c r="X185" s="2"/>
      <c r="Y185" s="2">
        <f>('L-Values'!U185*'D(Ti_Jollands) Times'!$F185*0.000001)^2/(4*'D(Ti_Jollands) Times'!$C185)/(365.35*24*3600)</f>
        <v>357048.27951879374</v>
      </c>
      <c r="Z185" s="2">
        <f>('L-Values'!V185*'D(Ti_Jollands) Times'!$F185*0.000001)^2/(4*'D(Ti_Jollands) Times'!$C185)/(365.35*24*3600)</f>
        <v>356893.6799579584</v>
      </c>
      <c r="AA185" s="2">
        <f>('L-Values'!W185*'D(Ti_Jollands) Times'!$F185*0.000001)^2/(4*'D(Ti_Jollands) Times'!$C185)/(365.35*24*3600)</f>
        <v>229098.62897350089</v>
      </c>
      <c r="AB185" s="2">
        <f>('L-Values'!X185*'D(Ti_Jollands) Times'!$F185*0.000001)^2/(4*'D(Ti_Jollands) Times'!$C185)/(365.35*24*3600)</f>
        <v>487485.21264704206</v>
      </c>
      <c r="AC185" s="2">
        <f t="shared" si="10"/>
        <v>127795.05098445751</v>
      </c>
      <c r="AD185" s="2">
        <f t="shared" si="11"/>
        <v>130591.53268908366</v>
      </c>
    </row>
    <row r="186" spans="1:30" x14ac:dyDescent="0.2">
      <c r="A186" t="str">
        <f>'L-Values'!A186</f>
        <v>CGI009-qtz10-CL-fit-4-offset</v>
      </c>
      <c r="B186">
        <v>750</v>
      </c>
      <c r="C186">
        <f t="shared" si="8"/>
        <v>6.6965312637759184E-25</v>
      </c>
      <c r="D186">
        <v>1900</v>
      </c>
      <c r="E186">
        <v>1024</v>
      </c>
      <c r="F186">
        <f t="shared" si="9"/>
        <v>1.85546875</v>
      </c>
      <c r="I186" s="2">
        <f>('L-Values'!E186*'D(Ti_Jollands) Times'!$F186*0.000001)^2/(4*'D(Ti_Jollands) Times'!$C186)/(365.35*24*3600)</f>
        <v>129788.54395592549</v>
      </c>
      <c r="J186" s="2">
        <f>('L-Values'!F186*'D(Ti_Jollands) Times'!$F186*0.000001)^2/(4*'D(Ti_Jollands) Times'!$C186)/(365.35*24*3600)</f>
        <v>166891.28031050984</v>
      </c>
      <c r="K186" s="2">
        <f>('L-Values'!G186*'D(Ti_Jollands) Times'!$F186*0.000001)^2/(4*'D(Ti_Jollands) Times'!$C186)/(365.35*24*3600)</f>
        <v>211793.88925368252</v>
      </c>
      <c r="L186" s="2">
        <f>('L-Values'!H186*'D(Ti_Jollands) Times'!$F186*0.000001)^2/(4*'D(Ti_Jollands) Times'!$C186)/(365.35*24*3600)</f>
        <v>171771.13207449912</v>
      </c>
      <c r="M186" s="2">
        <f>('L-Values'!I186*'D(Ti_Jollands) Times'!$F186*0.000001)^2/(4*'D(Ti_Jollands) Times'!$C186)/(365.35*24*3600)</f>
        <v>254012.69632816417</v>
      </c>
      <c r="N186" s="2">
        <f>('L-Values'!J186*'D(Ti_Jollands) Times'!$F186*0.000001)^2/(4*'D(Ti_Jollands) Times'!$C186)/(365.35*24*3600)</f>
        <v>108802.74578977356</v>
      </c>
      <c r="O186" s="2">
        <f>('L-Values'!K186*'D(Ti_Jollands) Times'!$F186*0.000001)^2/(4*'D(Ti_Jollands) Times'!$C186)/(365.35*24*3600)</f>
        <v>166488.97169763673</v>
      </c>
      <c r="P186" s="2">
        <f>('L-Values'!L186*'D(Ti_Jollands) Times'!$F186*0.000001)^2/(4*'D(Ti_Jollands) Times'!$C186)/(365.35*24*3600)</f>
        <v>233496.60625282823</v>
      </c>
      <c r="Q186" s="2">
        <f>('L-Values'!M186*'D(Ti_Jollands) Times'!$F186*0.000001)^2/(4*'D(Ti_Jollands) Times'!$C186)/(365.35*24*3600)</f>
        <v>116028.71204450307</v>
      </c>
      <c r="R186" s="2">
        <f>('L-Values'!N186*'D(Ti_Jollands) Times'!$F186*0.000001)^2/(4*'D(Ti_Jollands) Times'!$C186)/(365.35*24*3600)</f>
        <v>122952.93345557628</v>
      </c>
      <c r="S186" s="2">
        <f>('L-Values'!O186*'D(Ti_Jollands) Times'!$F186*0.000001)^2/(4*'D(Ti_Jollands) Times'!$C186)/(365.35*24*3600)</f>
        <v>132975.99004500237</v>
      </c>
      <c r="T186" s="2"/>
      <c r="U186" s="2">
        <f>('L-Values'!Q186*'D(Ti_Jollands) Times'!$F186*0.000001)^2/(4*'D(Ti_Jollands) Times'!$C186)/(365.35*24*3600)</f>
        <v>164750.86255400904</v>
      </c>
      <c r="V186" s="2">
        <f>('L-Values'!R186*'D(Ti_Jollands) Times'!$F186*0.000001)^2/(4*'D(Ti_Jollands) Times'!$C186)/(365.35*24*3600)</f>
        <v>161785.20175345623</v>
      </c>
      <c r="W186" s="2">
        <f>('L-Values'!S186*'D(Ti_Jollands) Times'!$F186*0.000001)^2/(4*'D(Ti_Jollands) Times'!$C186)/(365.35*24*3600)</f>
        <v>166488.97169763673</v>
      </c>
      <c r="X186" s="2"/>
      <c r="Y186" s="2">
        <f>('L-Values'!U186*'D(Ti_Jollands) Times'!$F186*0.000001)^2/(4*'D(Ti_Jollands) Times'!$C186)/(365.35*24*3600)</f>
        <v>155381.46101875135</v>
      </c>
      <c r="Z186" s="2">
        <f>('L-Values'!V186*'D(Ti_Jollands) Times'!$F186*0.000001)^2/(4*'D(Ti_Jollands) Times'!$C186)/(365.35*24*3600)</f>
        <v>159072.34761545301</v>
      </c>
      <c r="AA186" s="2">
        <f>('L-Values'!W186*'D(Ti_Jollands) Times'!$F186*0.000001)^2/(4*'D(Ti_Jollands) Times'!$C186)/(365.35*24*3600)</f>
        <v>78656.090933164873</v>
      </c>
      <c r="AB186" s="2">
        <f>('L-Values'!X186*'D(Ti_Jollands) Times'!$F186*0.000001)^2/(4*'D(Ti_Jollands) Times'!$C186)/(365.35*24*3600)</f>
        <v>292987.65768158901</v>
      </c>
      <c r="AC186" s="2">
        <f t="shared" si="10"/>
        <v>80416.256682288134</v>
      </c>
      <c r="AD186" s="2">
        <f t="shared" si="11"/>
        <v>133915.31006613601</v>
      </c>
    </row>
    <row r="187" spans="1:30" x14ac:dyDescent="0.2">
      <c r="A187" t="str">
        <f>'L-Values'!A187</f>
        <v>CGI009-qtz10-CL-fit-5-offset</v>
      </c>
      <c r="B187">
        <v>750</v>
      </c>
      <c r="C187">
        <f t="shared" si="8"/>
        <v>6.6965312637759184E-25</v>
      </c>
      <c r="D187">
        <v>1900</v>
      </c>
      <c r="E187">
        <v>1024</v>
      </c>
      <c r="F187">
        <f t="shared" si="9"/>
        <v>1.85546875</v>
      </c>
      <c r="I187" s="2">
        <f>('L-Values'!E187*'D(Ti_Jollands) Times'!$F187*0.000001)^2/(4*'D(Ti_Jollands) Times'!$C187)/(365.35*24*3600)</f>
        <v>28757.295942870252</v>
      </c>
      <c r="J187" s="2">
        <f>('L-Values'!F187*'D(Ti_Jollands) Times'!$F187*0.000001)^2/(4*'D(Ti_Jollands) Times'!$C187)/(365.35*24*3600)</f>
        <v>0.54464307409882484</v>
      </c>
      <c r="K187" s="2">
        <f>('L-Values'!G187*'D(Ti_Jollands) Times'!$F187*0.000001)^2/(4*'D(Ti_Jollands) Times'!$C187)/(365.35*24*3600)</f>
        <v>13782.104881931169</v>
      </c>
      <c r="L187" s="2">
        <f>('L-Values'!H187*'D(Ti_Jollands) Times'!$F187*0.000001)^2/(4*'D(Ti_Jollands) Times'!$C187)/(365.35*24*3600)</f>
        <v>83146.385541456359</v>
      </c>
      <c r="M187" s="2">
        <f>('L-Values'!I187*'D(Ti_Jollands) Times'!$F187*0.000001)^2/(4*'D(Ti_Jollands) Times'!$C187)/(365.35*24*3600)</f>
        <v>1585.6906793112398</v>
      </c>
      <c r="N187" s="2">
        <f>('L-Values'!J187*'D(Ti_Jollands) Times'!$F187*0.000001)^2/(4*'D(Ti_Jollands) Times'!$C187)/(365.35*24*3600)</f>
        <v>2015.5051379515489</v>
      </c>
      <c r="O187" s="2">
        <f>('L-Values'!K187*'D(Ti_Jollands) Times'!$F187*0.000001)^2/(4*'D(Ti_Jollands) Times'!$C187)/(365.35*24*3600)</f>
        <v>35755.045709791775</v>
      </c>
      <c r="P187" s="2">
        <f>('L-Values'!L187*'D(Ti_Jollands) Times'!$F187*0.000001)^2/(4*'D(Ti_Jollands) Times'!$C187)/(365.35*24*3600)</f>
        <v>2944.5091740176358</v>
      </c>
      <c r="Q187" s="2">
        <f>('L-Values'!M187*'D(Ti_Jollands) Times'!$F187*0.000001)^2/(4*'D(Ti_Jollands) Times'!$C187)/(365.35*24*3600)</f>
        <v>1068.5595942043569</v>
      </c>
      <c r="R187" s="2">
        <f>('L-Values'!N187*'D(Ti_Jollands) Times'!$F187*0.000001)^2/(4*'D(Ti_Jollands) Times'!$C187)/(365.35*24*3600)</f>
        <v>1353.7214378765816</v>
      </c>
      <c r="S187" s="2">
        <f>('L-Values'!O187*'D(Ti_Jollands) Times'!$F187*0.000001)^2/(4*'D(Ti_Jollands) Times'!$C187)/(365.35*24*3600)</f>
        <v>1371.0996852550174</v>
      </c>
      <c r="T187" s="2"/>
      <c r="U187" s="2">
        <f>('L-Values'!Q187*'D(Ti_Jollands) Times'!$F187*0.000001)^2/(4*'D(Ti_Jollands) Times'!$C187)/(365.35*24*3600)</f>
        <v>21145.02930642078</v>
      </c>
      <c r="V187" s="2">
        <f>('L-Values'!R187*'D(Ti_Jollands) Times'!$F187*0.000001)^2/(4*'D(Ti_Jollands) Times'!$C187)/(365.35*24*3600)</f>
        <v>8441.3456449821279</v>
      </c>
      <c r="W187" s="2">
        <f>('L-Values'!S187*'D(Ti_Jollands) Times'!$F187*0.000001)^2/(4*'D(Ti_Jollands) Times'!$C187)/(365.35*24*3600)</f>
        <v>2015.5051379515489</v>
      </c>
      <c r="X187" s="2"/>
      <c r="Y187" s="2">
        <f>('L-Values'!U187*'D(Ti_Jollands) Times'!$F187*0.000001)^2/(4*'D(Ti_Jollands) Times'!$C187)/(365.35*24*3600)</f>
        <v>7431.2218270430567</v>
      </c>
      <c r="Z187" s="2">
        <f>('L-Values'!V187*'D(Ti_Jollands) Times'!$F187*0.000001)^2/(4*'D(Ti_Jollands) Times'!$C187)/(365.35*24*3600)</f>
        <v>12071.846342698003</v>
      </c>
      <c r="AA187" s="2">
        <f>('L-Values'!W187*'D(Ti_Jollands) Times'!$F187*0.000001)^2/(4*'D(Ti_Jollands) Times'!$C187)/(365.35*24*3600)</f>
        <v>98.360865205262215</v>
      </c>
      <c r="AB187" s="2">
        <f>('L-Values'!X187*'D(Ti_Jollands) Times'!$F187*0.000001)^2/(4*'D(Ti_Jollands) Times'!$C187)/(365.35*24*3600)</f>
        <v>80982.123808484292</v>
      </c>
      <c r="AC187" s="2">
        <f t="shared" si="10"/>
        <v>11973.485477492741</v>
      </c>
      <c r="AD187" s="2">
        <f t="shared" si="11"/>
        <v>68910.27746578629</v>
      </c>
    </row>
    <row r="188" spans="1:30" x14ac:dyDescent="0.2">
      <c r="A188" t="str">
        <f>'L-Values'!A188</f>
        <v>CGI009-qtz11-CL-fit-1-offset</v>
      </c>
      <c r="B188">
        <v>750</v>
      </c>
      <c r="C188">
        <f t="shared" si="8"/>
        <v>6.6965312637759184E-25</v>
      </c>
      <c r="D188">
        <v>1700</v>
      </c>
      <c r="E188">
        <v>1024</v>
      </c>
      <c r="F188">
        <f t="shared" si="9"/>
        <v>1.66015625</v>
      </c>
      <c r="I188" s="2">
        <f>('L-Values'!E188*'D(Ti_Jollands) Times'!$F188*0.000001)^2/(4*'D(Ti_Jollands) Times'!$C188)/(365.35*24*3600)</f>
        <v>600686.39919513767</v>
      </c>
      <c r="J188" s="2">
        <f>('L-Values'!F188*'D(Ti_Jollands) Times'!$F188*0.000001)^2/(4*'D(Ti_Jollands) Times'!$C188)/(365.35*24*3600)</f>
        <v>2905.2874592587345</v>
      </c>
      <c r="K188" s="2">
        <f>('L-Values'!G188*'D(Ti_Jollands) Times'!$F188*0.000001)^2/(4*'D(Ti_Jollands) Times'!$C188)/(365.35*24*3600)</f>
        <v>40719.745357582156</v>
      </c>
      <c r="L188" s="2">
        <f>('L-Values'!H188*'D(Ti_Jollands) Times'!$F188*0.000001)^2/(4*'D(Ti_Jollands) Times'!$C188)/(365.35*24*3600)</f>
        <v>4481.5233589065738</v>
      </c>
      <c r="M188" s="2">
        <f>('L-Values'!I188*'D(Ti_Jollands) Times'!$F188*0.000001)^2/(4*'D(Ti_Jollands) Times'!$C188)/(365.35*24*3600)</f>
        <v>47817.989539504095</v>
      </c>
      <c r="N188" s="2">
        <f>('L-Values'!J188*'D(Ti_Jollands) Times'!$F188*0.000001)^2/(4*'D(Ti_Jollands) Times'!$C188)/(365.35*24*3600)</f>
        <v>143227.24718272319</v>
      </c>
      <c r="O188" s="2">
        <f>('L-Values'!K188*'D(Ti_Jollands) Times'!$F188*0.000001)^2/(4*'D(Ti_Jollands) Times'!$C188)/(365.35*24*3600)</f>
        <v>569847.7939930557</v>
      </c>
      <c r="P188" s="2">
        <f>('L-Values'!L188*'D(Ti_Jollands) Times'!$F188*0.000001)^2/(4*'D(Ti_Jollands) Times'!$C188)/(365.35*24*3600)</f>
        <v>53525.225652866546</v>
      </c>
      <c r="Q188" s="2">
        <f>('L-Values'!M188*'D(Ti_Jollands) Times'!$F188*0.000001)^2/(4*'D(Ti_Jollands) Times'!$C188)/(365.35*24*3600)</f>
        <v>2354.3952052386767</v>
      </c>
      <c r="R188" s="2">
        <f>('L-Values'!N188*'D(Ti_Jollands) Times'!$F188*0.000001)^2/(4*'D(Ti_Jollands) Times'!$C188)/(365.35*24*3600)</f>
        <v>2387.0162162228125</v>
      </c>
      <c r="S188" s="2">
        <f>('L-Values'!O188*'D(Ti_Jollands) Times'!$F188*0.000001)^2/(4*'D(Ti_Jollands) Times'!$C188)/(365.35*24*3600)</f>
        <v>31898.795857618941</v>
      </c>
      <c r="T188" s="2"/>
      <c r="U188" s="2">
        <f>('L-Values'!Q188*'D(Ti_Jollands) Times'!$F188*0.000001)^2/(4*'D(Ti_Jollands) Times'!$C188)/(365.35*24*3600)</f>
        <v>84473.269739305921</v>
      </c>
      <c r="V188" s="2">
        <f>('L-Values'!R188*'D(Ti_Jollands) Times'!$F188*0.000001)^2/(4*'D(Ti_Jollands) Times'!$C188)/(365.35*24*3600)</f>
        <v>72264.301818483742</v>
      </c>
      <c r="W188" s="2">
        <f>('L-Values'!S188*'D(Ti_Jollands) Times'!$F188*0.000001)^2/(4*'D(Ti_Jollands) Times'!$C188)/(365.35*24*3600)</f>
        <v>40719.745357582156</v>
      </c>
      <c r="X188" s="2"/>
      <c r="Y188" s="2">
        <f>('L-Values'!U188*'D(Ti_Jollands) Times'!$F188*0.000001)^2/(4*'D(Ti_Jollands) Times'!$C188)/(365.35*24*3600)</f>
        <v>72840.619429790182</v>
      </c>
      <c r="Z188" s="2">
        <f>('L-Values'!V188*'D(Ti_Jollands) Times'!$F188*0.000001)^2/(4*'D(Ti_Jollands) Times'!$C188)/(365.35*24*3600)</f>
        <v>191688.94652146366</v>
      </c>
      <c r="AA188" s="2">
        <f>('L-Values'!W188*'D(Ti_Jollands) Times'!$F188*0.000001)^2/(4*'D(Ti_Jollands) Times'!$C188)/(365.35*24*3600)</f>
        <v>0.70589937136691694</v>
      </c>
      <c r="AB188" s="2">
        <f>('L-Values'!X188*'D(Ti_Jollands) Times'!$F188*0.000001)^2/(4*'D(Ti_Jollands) Times'!$C188)/(365.35*24*3600)</f>
        <v>7711830.7559547657</v>
      </c>
      <c r="AC188" s="2">
        <f t="shared" si="10"/>
        <v>191688.2406220923</v>
      </c>
      <c r="AD188" s="2">
        <f t="shared" si="11"/>
        <v>7520141.8094333019</v>
      </c>
    </row>
    <row r="189" spans="1:30" x14ac:dyDescent="0.2">
      <c r="A189" t="str">
        <f>'L-Values'!A189</f>
        <v>CGI009-qtz11-CL-fit-2-offset</v>
      </c>
      <c r="B189">
        <v>750</v>
      </c>
      <c r="C189">
        <f t="shared" si="8"/>
        <v>6.6965312637759184E-25</v>
      </c>
      <c r="D189">
        <v>1700</v>
      </c>
      <c r="E189">
        <v>1024</v>
      </c>
      <c r="F189">
        <f t="shared" si="9"/>
        <v>1.66015625</v>
      </c>
      <c r="I189" s="2">
        <f>('L-Values'!E189*'D(Ti_Jollands) Times'!$F189*0.000001)^2/(4*'D(Ti_Jollands) Times'!$C189)/(365.35*24*3600)</f>
        <v>210067.29519507173</v>
      </c>
      <c r="J189" s="2">
        <f>('L-Values'!F189*'D(Ti_Jollands) Times'!$F189*0.000001)^2/(4*'D(Ti_Jollands) Times'!$C189)/(365.35*24*3600)</f>
        <v>129872.07368914399</v>
      </c>
      <c r="K189" s="2">
        <f>('L-Values'!G189*'D(Ti_Jollands) Times'!$F189*0.000001)^2/(4*'D(Ti_Jollands) Times'!$C189)/(365.35*24*3600)</f>
        <v>182221.41883402001</v>
      </c>
      <c r="L189" s="2">
        <f>('L-Values'!H189*'D(Ti_Jollands) Times'!$F189*0.000001)^2/(4*'D(Ti_Jollands) Times'!$C189)/(365.35*24*3600)</f>
        <v>300675.52540445764</v>
      </c>
      <c r="M189" s="2">
        <f>('L-Values'!I189*'D(Ti_Jollands) Times'!$F189*0.000001)^2/(4*'D(Ti_Jollands) Times'!$C189)/(365.35*24*3600)</f>
        <v>176330.73584401092</v>
      </c>
      <c r="N189" s="2">
        <f>('L-Values'!J189*'D(Ti_Jollands) Times'!$F189*0.000001)^2/(4*'D(Ti_Jollands) Times'!$C189)/(365.35*24*3600)</f>
        <v>164189.10420384217</v>
      </c>
      <c r="O189" s="2">
        <f>('L-Values'!K189*'D(Ti_Jollands) Times'!$F189*0.000001)^2/(4*'D(Ti_Jollands) Times'!$C189)/(365.35*24*3600)</f>
        <v>561999.01702725654</v>
      </c>
      <c r="P189" s="2">
        <f>('L-Values'!L189*'D(Ti_Jollands) Times'!$F189*0.000001)^2/(4*'D(Ti_Jollands) Times'!$C189)/(365.35*24*3600)</f>
        <v>311435.8958788212</v>
      </c>
      <c r="Q189" s="2">
        <f>('L-Values'!M189*'D(Ti_Jollands) Times'!$F189*0.000001)^2/(4*'D(Ti_Jollands) Times'!$C189)/(365.35*24*3600)</f>
        <v>212629.5849702702</v>
      </c>
      <c r="R189" s="2">
        <f>('L-Values'!N189*'D(Ti_Jollands) Times'!$F189*0.000001)^2/(4*'D(Ti_Jollands) Times'!$C189)/(365.35*24*3600)</f>
        <v>68035.365554043674</v>
      </c>
      <c r="S189" s="2">
        <f>('L-Values'!O189*'D(Ti_Jollands) Times'!$F189*0.000001)^2/(4*'D(Ti_Jollands) Times'!$C189)/(365.35*24*3600)</f>
        <v>110404.05034991511</v>
      </c>
      <c r="T189" s="2"/>
      <c r="U189" s="2">
        <f>('L-Values'!Q189*'D(Ti_Jollands) Times'!$F189*0.000001)^2/(4*'D(Ti_Jollands) Times'!$C189)/(365.35*24*3600)</f>
        <v>197467.29107060417</v>
      </c>
      <c r="V189" s="2">
        <f>('L-Values'!R189*'D(Ti_Jollands) Times'!$F189*0.000001)^2/(4*'D(Ti_Jollands) Times'!$C189)/(365.35*24*3600)</f>
        <v>205044.0339481032</v>
      </c>
      <c r="W189" s="2">
        <f>('L-Values'!S189*'D(Ti_Jollands) Times'!$F189*0.000001)^2/(4*'D(Ti_Jollands) Times'!$C189)/(365.35*24*3600)</f>
        <v>182221.41883402001</v>
      </c>
      <c r="X189" s="2"/>
      <c r="Y189" s="2">
        <f>('L-Values'!U189*'D(Ti_Jollands) Times'!$F189*0.000001)^2/(4*'D(Ti_Jollands) Times'!$C189)/(365.35*24*3600)</f>
        <v>201726.98189825335</v>
      </c>
      <c r="Z189" s="2">
        <f>('L-Values'!V189*'D(Ti_Jollands) Times'!$F189*0.000001)^2/(4*'D(Ti_Jollands) Times'!$C189)/(365.35*24*3600)</f>
        <v>196727.87390608934</v>
      </c>
      <c r="AA189" s="2">
        <f>('L-Values'!W189*'D(Ti_Jollands) Times'!$F189*0.000001)^2/(4*'D(Ti_Jollands) Times'!$C189)/(365.35*24*3600)</f>
        <v>4137.8874801501424</v>
      </c>
      <c r="AB189" s="2">
        <f>('L-Values'!X189*'D(Ti_Jollands) Times'!$F189*0.000001)^2/(4*'D(Ti_Jollands) Times'!$C189)/(365.35*24*3600)</f>
        <v>533388.05151225964</v>
      </c>
      <c r="AC189" s="2">
        <f t="shared" si="10"/>
        <v>192589.98642593919</v>
      </c>
      <c r="AD189" s="2">
        <f t="shared" si="11"/>
        <v>336660.1776061703</v>
      </c>
    </row>
    <row r="190" spans="1:30" x14ac:dyDescent="0.2">
      <c r="A190" t="str">
        <f>'L-Values'!A190</f>
        <v>CGI009-qtz11-CL-fit-3-offset</v>
      </c>
      <c r="B190">
        <v>750</v>
      </c>
      <c r="C190">
        <f t="shared" si="8"/>
        <v>6.6965312637759184E-25</v>
      </c>
      <c r="D190">
        <v>1700</v>
      </c>
      <c r="E190">
        <v>1024</v>
      </c>
      <c r="F190">
        <f t="shared" si="9"/>
        <v>1.66015625</v>
      </c>
      <c r="I190" s="2">
        <f>('L-Values'!E190*'D(Ti_Jollands) Times'!$F190*0.000001)^2/(4*'D(Ti_Jollands) Times'!$C190)/(365.35*24*3600)</f>
        <v>432641.72703875601</v>
      </c>
      <c r="J190" s="2">
        <f>('L-Values'!F190*'D(Ti_Jollands) Times'!$F190*0.000001)^2/(4*'D(Ti_Jollands) Times'!$C190)/(365.35*24*3600)</f>
        <v>409385.2999191889</v>
      </c>
      <c r="K190" s="2">
        <f>('L-Values'!G190*'D(Ti_Jollands) Times'!$F190*0.000001)^2/(4*'D(Ti_Jollands) Times'!$C190)/(365.35*24*3600)</f>
        <v>425627.41492665606</v>
      </c>
      <c r="L190" s="2">
        <f>('L-Values'!H190*'D(Ti_Jollands) Times'!$F190*0.000001)^2/(4*'D(Ti_Jollands) Times'!$C190)/(365.35*24*3600)</f>
        <v>504486.08137574431</v>
      </c>
      <c r="M190" s="2">
        <f>('L-Values'!I190*'D(Ti_Jollands) Times'!$F190*0.000001)^2/(4*'D(Ti_Jollands) Times'!$C190)/(365.35*24*3600)</f>
        <v>523771.2514984415</v>
      </c>
      <c r="N190" s="2">
        <f>('L-Values'!J190*'D(Ti_Jollands) Times'!$F190*0.000001)^2/(4*'D(Ti_Jollands) Times'!$C190)/(365.35*24*3600)</f>
        <v>378790.10695300961</v>
      </c>
      <c r="O190" s="2">
        <f>('L-Values'!K190*'D(Ti_Jollands) Times'!$F190*0.000001)^2/(4*'D(Ti_Jollands) Times'!$C190)/(365.35*24*3600)</f>
        <v>629664.73305615364</v>
      </c>
      <c r="P190" s="2">
        <f>('L-Values'!L190*'D(Ti_Jollands) Times'!$F190*0.000001)^2/(4*'D(Ti_Jollands) Times'!$C190)/(365.35*24*3600)</f>
        <v>454459.3709839505</v>
      </c>
      <c r="Q190" s="2">
        <f>('L-Values'!M190*'D(Ti_Jollands) Times'!$F190*0.000001)^2/(4*'D(Ti_Jollands) Times'!$C190)/(365.35*24*3600)</f>
        <v>444888.06909219513</v>
      </c>
      <c r="R190" s="2">
        <f>('L-Values'!N190*'D(Ti_Jollands) Times'!$F190*0.000001)^2/(4*'D(Ti_Jollands) Times'!$C190)/(365.35*24*3600)</f>
        <v>343125.10899020964</v>
      </c>
      <c r="S190" s="2">
        <f>('L-Values'!O190*'D(Ti_Jollands) Times'!$F190*0.000001)^2/(4*'D(Ti_Jollands) Times'!$C190)/(365.35*24*3600)</f>
        <v>407335.37316648243</v>
      </c>
      <c r="T190" s="2"/>
      <c r="U190" s="2">
        <f>('L-Values'!Q190*'D(Ti_Jollands) Times'!$F190*0.000001)^2/(4*'D(Ti_Jollands) Times'!$C190)/(365.35*24*3600)</f>
        <v>462041.39997284656</v>
      </c>
      <c r="V190" s="2">
        <f>('L-Values'!R190*'D(Ti_Jollands) Times'!$F190*0.000001)^2/(4*'D(Ti_Jollands) Times'!$C190)/(365.35*24*3600)</f>
        <v>447449.91846055002</v>
      </c>
      <c r="W190" s="2">
        <f>('L-Values'!S190*'D(Ti_Jollands) Times'!$F190*0.000001)^2/(4*'D(Ti_Jollands) Times'!$C190)/(365.35*24*3600)</f>
        <v>432641.72703875601</v>
      </c>
      <c r="X190" s="2"/>
      <c r="Y190" s="2">
        <f>('L-Values'!U190*'D(Ti_Jollands) Times'!$F190*0.000001)^2/(4*'D(Ti_Jollands) Times'!$C190)/(365.35*24*3600)</f>
        <v>447945.69193391496</v>
      </c>
      <c r="Z190" s="2">
        <f>('L-Values'!V190*'D(Ti_Jollands) Times'!$F190*0.000001)^2/(4*'D(Ti_Jollands) Times'!$C190)/(365.35*24*3600)</f>
        <v>451020.10264493513</v>
      </c>
      <c r="AA190" s="2">
        <f>('L-Values'!W190*'D(Ti_Jollands) Times'!$F190*0.000001)^2/(4*'D(Ti_Jollands) Times'!$C190)/(365.35*24*3600)</f>
        <v>247675.96638902067</v>
      </c>
      <c r="AB190" s="2">
        <f>('L-Values'!X190*'D(Ti_Jollands) Times'!$F190*0.000001)^2/(4*'D(Ti_Jollands) Times'!$C190)/(365.35*24*3600)</f>
        <v>680948.43286270776</v>
      </c>
      <c r="AC190" s="2">
        <f t="shared" si="10"/>
        <v>203344.13625591446</v>
      </c>
      <c r="AD190" s="2">
        <f t="shared" si="11"/>
        <v>229928.33021777263</v>
      </c>
    </row>
    <row r="191" spans="1:30" x14ac:dyDescent="0.2">
      <c r="A191" t="str">
        <f>'L-Values'!A191</f>
        <v>CGI009-qtz11-CL-fit-4-offset</v>
      </c>
      <c r="B191">
        <v>750</v>
      </c>
      <c r="C191">
        <f t="shared" si="8"/>
        <v>6.6965312637759184E-25</v>
      </c>
      <c r="D191">
        <v>1700</v>
      </c>
      <c r="E191">
        <v>1024</v>
      </c>
      <c r="F191">
        <f t="shared" si="9"/>
        <v>1.66015625</v>
      </c>
      <c r="I191" s="2">
        <f>('L-Values'!E191*'D(Ti_Jollands) Times'!$F191*0.000001)^2/(4*'D(Ti_Jollands) Times'!$C191)/(365.35*24*3600)</f>
        <v>131107.42155837972</v>
      </c>
      <c r="J191" s="2">
        <f>('L-Values'!F191*'D(Ti_Jollands) Times'!$F191*0.000001)^2/(4*'D(Ti_Jollands) Times'!$C191)/(365.35*24*3600)</f>
        <v>908253.6707293354</v>
      </c>
      <c r="K191" s="2">
        <f>('L-Values'!G191*'D(Ti_Jollands) Times'!$F191*0.000001)^2/(4*'D(Ti_Jollands) Times'!$C191)/(365.35*24*3600)</f>
        <v>680098.35322344967</v>
      </c>
      <c r="L191" s="2">
        <f>('L-Values'!H191*'D(Ti_Jollands) Times'!$F191*0.000001)^2/(4*'D(Ti_Jollands) Times'!$C191)/(365.35*24*3600)</f>
        <v>115266.19576707527</v>
      </c>
      <c r="M191" s="2">
        <f>('L-Values'!I191*'D(Ti_Jollands) Times'!$F191*0.000001)^2/(4*'D(Ti_Jollands) Times'!$C191)/(365.35*24*3600)</f>
        <v>246504.93009970686</v>
      </c>
      <c r="N191" s="2">
        <f>('L-Values'!J191*'D(Ti_Jollands) Times'!$F191*0.000001)^2/(4*'D(Ti_Jollands) Times'!$C191)/(365.35*24*3600)</f>
        <v>53502.760460220954</v>
      </c>
      <c r="O191" s="2">
        <f>('L-Values'!K191*'D(Ti_Jollands) Times'!$F191*0.000001)^2/(4*'D(Ti_Jollands) Times'!$C191)/(365.35*24*3600)</f>
        <v>66105.403535066915</v>
      </c>
      <c r="P191" s="2">
        <f>('L-Values'!L191*'D(Ti_Jollands) Times'!$F191*0.000001)^2/(4*'D(Ti_Jollands) Times'!$C191)/(365.35*24*3600)</f>
        <v>61.673782790643031</v>
      </c>
      <c r="Q191" s="2">
        <f>('L-Values'!M191*'D(Ti_Jollands) Times'!$F191*0.000001)^2/(4*'D(Ti_Jollands) Times'!$C191)/(365.35*24*3600)</f>
        <v>128334.14155947836</v>
      </c>
      <c r="R191" s="2">
        <f>('L-Values'!N191*'D(Ti_Jollands) Times'!$F191*0.000001)^2/(4*'D(Ti_Jollands) Times'!$C191)/(365.35*24*3600)</f>
        <v>3226.6223808466907</v>
      </c>
      <c r="S191" s="2">
        <f>('L-Values'!O191*'D(Ti_Jollands) Times'!$F191*0.000001)^2/(4*'D(Ti_Jollands) Times'!$C191)/(365.35*24*3600)</f>
        <v>265876.37589737569</v>
      </c>
      <c r="T191" s="2"/>
      <c r="U191" s="2">
        <f>('L-Values'!Q191*'D(Ti_Jollands) Times'!$F191*0.000001)^2/(4*'D(Ti_Jollands) Times'!$C191)/(365.35*24*3600)</f>
        <v>88977.854838382234</v>
      </c>
      <c r="V191" s="2">
        <f>('L-Values'!R191*'D(Ti_Jollands) Times'!$F191*0.000001)^2/(4*'D(Ti_Jollands) Times'!$C191)/(365.35*24*3600)</f>
        <v>160199.02281966474</v>
      </c>
      <c r="W191" s="2">
        <f>('L-Values'!S191*'D(Ti_Jollands) Times'!$F191*0.000001)^2/(4*'D(Ti_Jollands) Times'!$C191)/(365.35*24*3600)</f>
        <v>128334.14155947836</v>
      </c>
      <c r="X191" s="2"/>
      <c r="Y191" s="2">
        <f>('L-Values'!U191*'D(Ti_Jollands) Times'!$F191*0.000001)^2/(4*'D(Ti_Jollands) Times'!$C191)/(365.35*24*3600)</f>
        <v>96572.905919413432</v>
      </c>
      <c r="Z191" s="2">
        <f>('L-Values'!V191*'D(Ti_Jollands) Times'!$F191*0.000001)^2/(4*'D(Ti_Jollands) Times'!$C191)/(365.35*24*3600)</f>
        <v>208362.18338599167</v>
      </c>
      <c r="AA191" s="2">
        <f>('L-Values'!W191*'D(Ti_Jollands) Times'!$F191*0.000001)^2/(4*'D(Ti_Jollands) Times'!$C191)/(365.35*24*3600)</f>
        <v>3690.2160203777298</v>
      </c>
      <c r="AB191" s="2">
        <f>('L-Values'!X191*'D(Ti_Jollands) Times'!$F191*0.000001)^2/(4*'D(Ti_Jollands) Times'!$C191)/(365.35*24*3600)</f>
        <v>2110063.2899693414</v>
      </c>
      <c r="AC191" s="2">
        <f t="shared" si="10"/>
        <v>204671.96736561393</v>
      </c>
      <c r="AD191" s="2">
        <f t="shared" si="11"/>
        <v>1901701.1065833496</v>
      </c>
    </row>
    <row r="192" spans="1:30" x14ac:dyDescent="0.2">
      <c r="A192" t="str">
        <f>'L-Values'!A192</f>
        <v>CGI009-qtz11-CL-fit-5-offset</v>
      </c>
      <c r="B192">
        <v>750</v>
      </c>
      <c r="C192">
        <f t="shared" si="8"/>
        <v>6.6965312637759184E-25</v>
      </c>
      <c r="D192">
        <v>1700</v>
      </c>
      <c r="E192">
        <v>1024</v>
      </c>
      <c r="F192">
        <f t="shared" si="9"/>
        <v>1.66015625</v>
      </c>
      <c r="I192" s="2">
        <f>('L-Values'!E192*'D(Ti_Jollands) Times'!$F192*0.000001)^2/(4*'D(Ti_Jollands) Times'!$C192)/(365.35*24*3600)</f>
        <v>71025.206915706411</v>
      </c>
      <c r="J192" s="2">
        <f>('L-Values'!F192*'D(Ti_Jollands) Times'!$F192*0.000001)^2/(4*'D(Ti_Jollands) Times'!$C192)/(365.35*24*3600)</f>
        <v>121613.30390616258</v>
      </c>
      <c r="K192" s="2">
        <f>('L-Values'!G192*'D(Ti_Jollands) Times'!$F192*0.000001)^2/(4*'D(Ti_Jollands) Times'!$C192)/(365.35*24*3600)</f>
        <v>50316.179110860488</v>
      </c>
      <c r="L192" s="2">
        <f>('L-Values'!H192*'D(Ti_Jollands) Times'!$F192*0.000001)^2/(4*'D(Ti_Jollands) Times'!$C192)/(365.35*24*3600)</f>
        <v>102909.16090391255</v>
      </c>
      <c r="M192" s="2">
        <f>('L-Values'!I192*'D(Ti_Jollands) Times'!$F192*0.000001)^2/(4*'D(Ti_Jollands) Times'!$C192)/(365.35*24*3600)</f>
        <v>150691.37148840565</v>
      </c>
      <c r="N192" s="2">
        <f>('L-Values'!J192*'D(Ti_Jollands) Times'!$F192*0.000001)^2/(4*'D(Ti_Jollands) Times'!$C192)/(365.35*24*3600)</f>
        <v>42303.78105027914</v>
      </c>
      <c r="O192" s="2">
        <f>('L-Values'!K192*'D(Ti_Jollands) Times'!$F192*0.000001)^2/(4*'D(Ti_Jollands) Times'!$C192)/(365.35*24*3600)</f>
        <v>82265.326146213716</v>
      </c>
      <c r="P192" s="2">
        <f>('L-Values'!L192*'D(Ti_Jollands) Times'!$F192*0.000001)^2/(4*'D(Ti_Jollands) Times'!$C192)/(365.35*24*3600)</f>
        <v>63044.68049816518</v>
      </c>
      <c r="Q192" s="2">
        <f>('L-Values'!M192*'D(Ti_Jollands) Times'!$F192*0.000001)^2/(4*'D(Ti_Jollands) Times'!$C192)/(365.35*24*3600)</f>
        <v>36352.282051240727</v>
      </c>
      <c r="R192" s="2">
        <f>('L-Values'!N192*'D(Ti_Jollands) Times'!$F192*0.000001)^2/(4*'D(Ti_Jollands) Times'!$C192)/(365.35*24*3600)</f>
        <v>41380.272846054097</v>
      </c>
      <c r="S192" s="2">
        <f>('L-Values'!O192*'D(Ti_Jollands) Times'!$F192*0.000001)^2/(4*'D(Ti_Jollands) Times'!$C192)/(365.35*24*3600)</f>
        <v>78891.96545336589</v>
      </c>
      <c r="T192" s="2"/>
      <c r="U192" s="2">
        <f>('L-Values'!Q192*'D(Ti_Jollands) Times'!$F192*0.000001)^2/(4*'D(Ti_Jollands) Times'!$C192)/(365.35*24*3600)</f>
        <v>69631.690018931185</v>
      </c>
      <c r="V192" s="2">
        <f>('L-Values'!R192*'D(Ti_Jollands) Times'!$F192*0.000001)^2/(4*'D(Ti_Jollands) Times'!$C192)/(365.35*24*3600)</f>
        <v>72756.7306031958</v>
      </c>
      <c r="W192" s="2">
        <f>('L-Values'!S192*'D(Ti_Jollands) Times'!$F192*0.000001)^2/(4*'D(Ti_Jollands) Times'!$C192)/(365.35*24*3600)</f>
        <v>71025.206915706411</v>
      </c>
      <c r="X192" s="2"/>
      <c r="Y192" s="2">
        <f>('L-Values'!U192*'D(Ti_Jollands) Times'!$F192*0.000001)^2/(4*'D(Ti_Jollands) Times'!$C192)/(365.35*24*3600)</f>
        <v>65693.310311284193</v>
      </c>
      <c r="Z192" s="2">
        <f>('L-Values'!V192*'D(Ti_Jollands) Times'!$F192*0.000001)^2/(4*'D(Ti_Jollands) Times'!$C192)/(365.35*24*3600)</f>
        <v>66155.53451350359</v>
      </c>
      <c r="AA192" s="2">
        <f>('L-Values'!W192*'D(Ti_Jollands) Times'!$F192*0.000001)^2/(4*'D(Ti_Jollands) Times'!$C192)/(365.35*24*3600)</f>
        <v>2600.6160030509586</v>
      </c>
      <c r="AB192" s="2">
        <f>('L-Values'!X192*'D(Ti_Jollands) Times'!$F192*0.000001)^2/(4*'D(Ti_Jollands) Times'!$C192)/(365.35*24*3600)</f>
        <v>141283.54439376155</v>
      </c>
      <c r="AC192" s="2">
        <f t="shared" si="10"/>
        <v>63554.918510452633</v>
      </c>
      <c r="AD192" s="2">
        <f t="shared" si="11"/>
        <v>75128.00988025796</v>
      </c>
    </row>
    <row r="193" spans="1:30" x14ac:dyDescent="0.2">
      <c r="A193" t="str">
        <f>'L-Values'!A193</f>
        <v>CGI009-qtz12-CL-fit-1-offset</v>
      </c>
      <c r="B193">
        <v>750</v>
      </c>
      <c r="C193">
        <f t="shared" si="8"/>
        <v>6.6965312637759184E-25</v>
      </c>
      <c r="D193">
        <v>2000</v>
      </c>
      <c r="E193">
        <v>1024</v>
      </c>
      <c r="F193">
        <f t="shared" si="9"/>
        <v>1.953125</v>
      </c>
      <c r="I193" s="2">
        <f>('L-Values'!E193*'D(Ti_Jollands) Times'!$F193*0.000001)^2/(4*'D(Ti_Jollands) Times'!$C193)/(365.35*24*3600)</f>
        <v>2174357.8378808121</v>
      </c>
      <c r="J193" s="2">
        <f>('L-Values'!F193*'D(Ti_Jollands) Times'!$F193*0.000001)^2/(4*'D(Ti_Jollands) Times'!$C193)/(365.35*24*3600)</f>
        <v>781679.14808955044</v>
      </c>
      <c r="K193" s="2">
        <f>('L-Values'!G193*'D(Ti_Jollands) Times'!$F193*0.000001)^2/(4*'D(Ti_Jollands) Times'!$C193)/(365.35*24*3600)</f>
        <v>1088426.875197161</v>
      </c>
      <c r="L193" s="2">
        <f>('L-Values'!H193*'D(Ti_Jollands) Times'!$F193*0.000001)^2/(4*'D(Ti_Jollands) Times'!$C193)/(365.35*24*3600)</f>
        <v>1373468.3665596549</v>
      </c>
      <c r="M193" s="2">
        <f>('L-Values'!I193*'D(Ti_Jollands) Times'!$F193*0.000001)^2/(4*'D(Ti_Jollands) Times'!$C193)/(365.35*24*3600)</f>
        <v>1717451.8109658407</v>
      </c>
      <c r="N193" s="2">
        <f>('L-Values'!J193*'D(Ti_Jollands) Times'!$F193*0.000001)^2/(4*'D(Ti_Jollands) Times'!$C193)/(365.35*24*3600)</f>
        <v>2249768.7088525514</v>
      </c>
      <c r="O193" s="2">
        <f>('L-Values'!K193*'D(Ti_Jollands) Times'!$F193*0.000001)^2/(4*'D(Ti_Jollands) Times'!$C193)/(365.35*24*3600)</f>
        <v>1249659.6167819074</v>
      </c>
      <c r="P193" s="2">
        <f>('L-Values'!L193*'D(Ti_Jollands) Times'!$F193*0.000001)^2/(4*'D(Ti_Jollands) Times'!$C193)/(365.35*24*3600)</f>
        <v>1459711.2987203596</v>
      </c>
      <c r="Q193" s="2">
        <f>('L-Values'!M193*'D(Ti_Jollands) Times'!$F193*0.000001)^2/(4*'D(Ti_Jollands) Times'!$C193)/(365.35*24*3600)</f>
        <v>1589493.5906389034</v>
      </c>
      <c r="R193" s="2">
        <f>('L-Values'!N193*'D(Ti_Jollands) Times'!$F193*0.000001)^2/(4*'D(Ti_Jollands) Times'!$C193)/(365.35*24*3600)</f>
        <v>2171265.3475848045</v>
      </c>
      <c r="S193" s="2">
        <f>('L-Values'!O193*'D(Ti_Jollands) Times'!$F193*0.000001)^2/(4*'D(Ti_Jollands) Times'!$C193)/(365.35*24*3600)</f>
        <v>2172562.7050703932</v>
      </c>
      <c r="T193" s="2"/>
      <c r="U193" s="2">
        <f>('L-Values'!Q193*'D(Ti_Jollands) Times'!$F193*0.000001)^2/(4*'D(Ti_Jollands) Times'!$C193)/(365.35*24*3600)</f>
        <v>1604820.6059104824</v>
      </c>
      <c r="V193" s="2">
        <f>('L-Values'!R193*'D(Ti_Jollands) Times'!$F193*0.000001)^2/(4*'D(Ti_Jollands) Times'!$C193)/(365.35*24*3600)</f>
        <v>1601067.847298041</v>
      </c>
      <c r="W193" s="2">
        <f>('L-Values'!S193*'D(Ti_Jollands) Times'!$F193*0.000001)^2/(4*'D(Ti_Jollands) Times'!$C193)/(365.35*24*3600)</f>
        <v>1589493.5906389034</v>
      </c>
      <c r="X193" s="2"/>
      <c r="Y193" s="2">
        <f>('L-Values'!U193*'D(Ti_Jollands) Times'!$F193*0.000001)^2/(4*'D(Ti_Jollands) Times'!$C193)/(365.35*24*3600)</f>
        <v>1624755.4610509691</v>
      </c>
      <c r="Z193" s="2">
        <f>('L-Values'!V193*'D(Ti_Jollands) Times'!$F193*0.000001)^2/(4*'D(Ti_Jollands) Times'!$C193)/(365.35*24*3600)</f>
        <v>1620338.9266679559</v>
      </c>
      <c r="AA193" s="2">
        <f>('L-Values'!W193*'D(Ti_Jollands) Times'!$F193*0.000001)^2/(4*'D(Ti_Jollands) Times'!$C193)/(365.35*24*3600)</f>
        <v>934412.72536312882</v>
      </c>
      <c r="AB193" s="2">
        <f>('L-Values'!X193*'D(Ti_Jollands) Times'!$F193*0.000001)^2/(4*'D(Ti_Jollands) Times'!$C193)/(365.35*24*3600)</f>
        <v>2743281.2372295666</v>
      </c>
      <c r="AC193" s="2">
        <f t="shared" si="10"/>
        <v>685926.20130482712</v>
      </c>
      <c r="AD193" s="2">
        <f t="shared" si="11"/>
        <v>1122942.3105616106</v>
      </c>
    </row>
    <row r="194" spans="1:30" x14ac:dyDescent="0.2">
      <c r="A194" t="str">
        <f>'L-Values'!A194</f>
        <v>CGI009-qtz12-CL-fit-2-offset</v>
      </c>
      <c r="B194">
        <v>750</v>
      </c>
      <c r="C194">
        <f t="shared" si="8"/>
        <v>6.6965312637759184E-25</v>
      </c>
      <c r="D194">
        <v>2000</v>
      </c>
      <c r="E194">
        <v>1024</v>
      </c>
      <c r="F194">
        <f t="shared" si="9"/>
        <v>1.953125</v>
      </c>
      <c r="I194" s="2">
        <f>('L-Values'!E194*'D(Ti_Jollands) Times'!$F194*0.000001)^2/(4*'D(Ti_Jollands) Times'!$C194)/(365.35*24*3600)</f>
        <v>593131.6703314553</v>
      </c>
      <c r="J194" s="2">
        <f>('L-Values'!F194*'D(Ti_Jollands) Times'!$F194*0.000001)^2/(4*'D(Ti_Jollands) Times'!$C194)/(365.35*24*3600)</f>
        <v>294147.71095514356</v>
      </c>
      <c r="K194" s="2">
        <f>('L-Values'!G194*'D(Ti_Jollands) Times'!$F194*0.000001)^2/(4*'D(Ti_Jollands) Times'!$C194)/(365.35*24*3600)</f>
        <v>144800.42595016179</v>
      </c>
      <c r="L194" s="2">
        <f>('L-Values'!H194*'D(Ti_Jollands) Times'!$F194*0.000001)^2/(4*'D(Ti_Jollands) Times'!$C194)/(365.35*24*3600)</f>
        <v>197095.81652544974</v>
      </c>
      <c r="M194" s="2">
        <f>('L-Values'!I194*'D(Ti_Jollands) Times'!$F194*0.000001)^2/(4*'D(Ti_Jollands) Times'!$C194)/(365.35*24*3600)</f>
        <v>353299.69241768966</v>
      </c>
      <c r="N194" s="2">
        <f>('L-Values'!J194*'D(Ti_Jollands) Times'!$F194*0.000001)^2/(4*'D(Ti_Jollands) Times'!$C194)/(365.35*24*3600)</f>
        <v>182629.5359766988</v>
      </c>
      <c r="O194" s="2">
        <f>('L-Values'!K194*'D(Ti_Jollands) Times'!$F194*0.000001)^2/(4*'D(Ti_Jollands) Times'!$C194)/(365.35*24*3600)</f>
        <v>226623.63520154511</v>
      </c>
      <c r="P194" s="2">
        <f>('L-Values'!L194*'D(Ti_Jollands) Times'!$F194*0.000001)^2/(4*'D(Ti_Jollands) Times'!$C194)/(365.35*24*3600)</f>
        <v>101119.21601014548</v>
      </c>
      <c r="Q194" s="2">
        <f>('L-Values'!M194*'D(Ti_Jollands) Times'!$F194*0.000001)^2/(4*'D(Ti_Jollands) Times'!$C194)/(365.35*24*3600)</f>
        <v>716950.63574672153</v>
      </c>
      <c r="R194" s="2">
        <f>('L-Values'!N194*'D(Ti_Jollands) Times'!$F194*0.000001)^2/(4*'D(Ti_Jollands) Times'!$C194)/(365.35*24*3600)</f>
        <v>479236.51700870035</v>
      </c>
      <c r="S194" s="2">
        <f>('L-Values'!O194*'D(Ti_Jollands) Times'!$F194*0.000001)^2/(4*'D(Ti_Jollands) Times'!$C194)/(365.35*24*3600)</f>
        <v>1038133.7583730274</v>
      </c>
      <c r="T194" s="2"/>
      <c r="U194" s="2">
        <f>('L-Values'!Q194*'D(Ti_Jollands) Times'!$F194*0.000001)^2/(4*'D(Ti_Jollands) Times'!$C194)/(365.35*24*3600)</f>
        <v>341897.81267280842</v>
      </c>
      <c r="V194" s="2">
        <f>('L-Values'!R194*'D(Ti_Jollands) Times'!$F194*0.000001)^2/(4*'D(Ti_Jollands) Times'!$C194)/(365.35*24*3600)</f>
        <v>350319.45739616972</v>
      </c>
      <c r="W194" s="2">
        <f>('L-Values'!S194*'D(Ti_Jollands) Times'!$F194*0.000001)^2/(4*'D(Ti_Jollands) Times'!$C194)/(365.35*24*3600)</f>
        <v>294147.71095514356</v>
      </c>
      <c r="X194" s="2"/>
      <c r="Y194" s="2">
        <f>('L-Values'!U194*'D(Ti_Jollands) Times'!$F194*0.000001)^2/(4*'D(Ti_Jollands) Times'!$C194)/(365.35*24*3600)</f>
        <v>349922.40971768118</v>
      </c>
      <c r="Z194" s="2">
        <f>('L-Values'!V194*'D(Ti_Jollands) Times'!$F194*0.000001)^2/(4*'D(Ti_Jollands) Times'!$C194)/(365.35*24*3600)</f>
        <v>330014.40289940266</v>
      </c>
      <c r="AA194" s="2">
        <f>('L-Values'!W194*'D(Ti_Jollands) Times'!$F194*0.000001)^2/(4*'D(Ti_Jollands) Times'!$C194)/(365.35*24*3600)</f>
        <v>85158.232665091316</v>
      </c>
      <c r="AB194" s="2">
        <f>('L-Values'!X194*'D(Ti_Jollands) Times'!$F194*0.000001)^2/(4*'D(Ti_Jollands) Times'!$C194)/(365.35*24*3600)</f>
        <v>646076.45947588084</v>
      </c>
      <c r="AC194" s="2">
        <f t="shared" si="10"/>
        <v>244856.17023431134</v>
      </c>
      <c r="AD194" s="2">
        <f t="shared" si="11"/>
        <v>316062.05657647818</v>
      </c>
    </row>
    <row r="195" spans="1:30" x14ac:dyDescent="0.2">
      <c r="A195" t="str">
        <f>'L-Values'!A195</f>
        <v>CGI009-qtz12-CL-fit-3-offset</v>
      </c>
      <c r="B195">
        <v>750</v>
      </c>
      <c r="C195">
        <f t="shared" ref="C195:C258" si="12">10^(-8.3-(311/(2.303*0.00831451*(B195+273.15))))</f>
        <v>6.6965312637759184E-25</v>
      </c>
      <c r="D195">
        <v>2000</v>
      </c>
      <c r="E195">
        <v>1024</v>
      </c>
      <c r="F195">
        <f t="shared" ref="F195:F258" si="13">D195/E195</f>
        <v>1.953125</v>
      </c>
      <c r="I195" s="2">
        <f>('L-Values'!E195*'D(Ti_Jollands) Times'!$F195*0.000001)^2/(4*'D(Ti_Jollands) Times'!$C195)/(365.35*24*3600)</f>
        <v>97942.651805725895</v>
      </c>
      <c r="J195" s="2">
        <f>('L-Values'!F195*'D(Ti_Jollands) Times'!$F195*0.000001)^2/(4*'D(Ti_Jollands) Times'!$C195)/(365.35*24*3600)</f>
        <v>46066.532700053365</v>
      </c>
      <c r="K195" s="2">
        <f>('L-Values'!G195*'D(Ti_Jollands) Times'!$F195*0.000001)^2/(4*'D(Ti_Jollands) Times'!$C195)/(365.35*24*3600)</f>
        <v>202539.03482653532</v>
      </c>
      <c r="L195" s="2">
        <f>('L-Values'!H195*'D(Ti_Jollands) Times'!$F195*0.000001)^2/(4*'D(Ti_Jollands) Times'!$C195)/(365.35*24*3600)</f>
        <v>224842.25346747888</v>
      </c>
      <c r="M195" s="2">
        <f>('L-Values'!I195*'D(Ti_Jollands) Times'!$F195*0.000001)^2/(4*'D(Ti_Jollands) Times'!$C195)/(365.35*24*3600)</f>
        <v>337692.67166259076</v>
      </c>
      <c r="N195" s="2">
        <f>('L-Values'!J195*'D(Ti_Jollands) Times'!$F195*0.000001)^2/(4*'D(Ti_Jollands) Times'!$C195)/(365.35*24*3600)</f>
        <v>415298.90197695419</v>
      </c>
      <c r="O195" s="2">
        <f>('L-Values'!K195*'D(Ti_Jollands) Times'!$F195*0.000001)^2/(4*'D(Ti_Jollands) Times'!$C195)/(365.35*24*3600)</f>
        <v>451.4743778130516</v>
      </c>
      <c r="P195" s="2">
        <f>('L-Values'!L195*'D(Ti_Jollands) Times'!$F195*0.000001)^2/(4*'D(Ti_Jollands) Times'!$C195)/(365.35*24*3600)</f>
        <v>63543.809855389423</v>
      </c>
      <c r="Q195" s="2">
        <f>('L-Values'!M195*'D(Ti_Jollands) Times'!$F195*0.000001)^2/(4*'D(Ti_Jollands) Times'!$C195)/(365.35*24*3600)</f>
        <v>242956.25005862382</v>
      </c>
      <c r="R195" s="2">
        <f>('L-Values'!N195*'D(Ti_Jollands) Times'!$F195*0.000001)^2/(4*'D(Ti_Jollands) Times'!$C195)/(365.35*24*3600)</f>
        <v>8294.1733234731473</v>
      </c>
      <c r="S195" s="2">
        <f>('L-Values'!O195*'D(Ti_Jollands) Times'!$F195*0.000001)^2/(4*'D(Ti_Jollands) Times'!$C195)/(365.35*24*3600)</f>
        <v>56984.699769831517</v>
      </c>
      <c r="T195" s="2"/>
      <c r="U195" s="2">
        <f>('L-Values'!Q195*'D(Ti_Jollands) Times'!$F195*0.000001)^2/(4*'D(Ti_Jollands) Times'!$C195)/(365.35*24*3600)</f>
        <v>171660.11313591283</v>
      </c>
      <c r="V195" s="2">
        <f>('L-Values'!R195*'D(Ti_Jollands) Times'!$F195*0.000001)^2/(4*'D(Ti_Jollands) Times'!$C195)/(365.35*24*3600)</f>
        <v>117672.56371045884</v>
      </c>
      <c r="W195" s="2">
        <f>('L-Values'!S195*'D(Ti_Jollands) Times'!$F195*0.000001)^2/(4*'D(Ti_Jollands) Times'!$C195)/(365.35*24*3600)</f>
        <v>97942.651805725895</v>
      </c>
      <c r="X195" s="2"/>
      <c r="Y195" s="2">
        <f>('L-Values'!U195*'D(Ti_Jollands) Times'!$F195*0.000001)^2/(4*'D(Ti_Jollands) Times'!$C195)/(365.35*24*3600)</f>
        <v>129755.54233508841</v>
      </c>
      <c r="Z195" s="2">
        <f>('L-Values'!V195*'D(Ti_Jollands) Times'!$F195*0.000001)^2/(4*'D(Ti_Jollands) Times'!$C195)/(365.35*24*3600)</f>
        <v>168468.346145241</v>
      </c>
      <c r="AA195" s="2">
        <f>('L-Values'!W195*'D(Ti_Jollands) Times'!$F195*0.000001)^2/(4*'D(Ti_Jollands) Times'!$C195)/(365.35*24*3600)</f>
        <v>937.35449042428979</v>
      </c>
      <c r="AB195" s="2">
        <f>('L-Values'!X195*'D(Ti_Jollands) Times'!$F195*0.000001)^2/(4*'D(Ti_Jollands) Times'!$C195)/(365.35*24*3600)</f>
        <v>1568859.3897987129</v>
      </c>
      <c r="AC195" s="2">
        <f t="shared" ref="AC195:AC258" si="14">Z195-AA195</f>
        <v>167530.99165481669</v>
      </c>
      <c r="AD195" s="2">
        <f t="shared" ref="AD195:AD258" si="15">AB195-Z195</f>
        <v>1400391.0436534719</v>
      </c>
    </row>
    <row r="196" spans="1:30" x14ac:dyDescent="0.2">
      <c r="A196" t="str">
        <f>'L-Values'!A196</f>
        <v>CGI009-qtz12-CL-fit-4-offset</v>
      </c>
      <c r="B196">
        <v>750</v>
      </c>
      <c r="C196">
        <f t="shared" si="12"/>
        <v>6.6965312637759184E-25</v>
      </c>
      <c r="D196">
        <v>2000</v>
      </c>
      <c r="E196">
        <v>1024</v>
      </c>
      <c r="F196">
        <f t="shared" si="13"/>
        <v>1.953125</v>
      </c>
      <c r="I196" s="2">
        <f>('L-Values'!E196*'D(Ti_Jollands) Times'!$F196*0.000001)^2/(4*'D(Ti_Jollands) Times'!$C196)/(365.35*24*3600)</f>
        <v>338277.91444958065</v>
      </c>
      <c r="J196" s="2">
        <f>('L-Values'!F196*'D(Ti_Jollands) Times'!$F196*0.000001)^2/(4*'D(Ti_Jollands) Times'!$C196)/(365.35*24*3600)</f>
        <v>163479.55591376184</v>
      </c>
      <c r="K196" s="2">
        <f>('L-Values'!G196*'D(Ti_Jollands) Times'!$F196*0.000001)^2/(4*'D(Ti_Jollands) Times'!$C196)/(365.35*24*3600)</f>
        <v>112027.79652580417</v>
      </c>
      <c r="L196" s="2">
        <f>('L-Values'!H196*'D(Ti_Jollands) Times'!$F196*0.000001)^2/(4*'D(Ti_Jollands) Times'!$C196)/(365.35*24*3600)</f>
        <v>260979.3123798437</v>
      </c>
      <c r="M196" s="2">
        <f>('L-Values'!I196*'D(Ti_Jollands) Times'!$F196*0.000001)^2/(4*'D(Ti_Jollands) Times'!$C196)/(365.35*24*3600)</f>
        <v>146225.9109137452</v>
      </c>
      <c r="N196" s="2">
        <f>('L-Values'!J196*'D(Ti_Jollands) Times'!$F196*0.000001)^2/(4*'D(Ti_Jollands) Times'!$C196)/(365.35*24*3600)</f>
        <v>150712.16993278734</v>
      </c>
      <c r="O196" s="2">
        <f>('L-Values'!K196*'D(Ti_Jollands) Times'!$F196*0.000001)^2/(4*'D(Ti_Jollands) Times'!$C196)/(365.35*24*3600)</f>
        <v>143955.7162217116</v>
      </c>
      <c r="P196" s="2">
        <f>('L-Values'!L196*'D(Ti_Jollands) Times'!$F196*0.000001)^2/(4*'D(Ti_Jollands) Times'!$C196)/(365.35*24*3600)</f>
        <v>96254.70225855535</v>
      </c>
      <c r="Q196" s="2">
        <f>('L-Values'!M196*'D(Ti_Jollands) Times'!$F196*0.000001)^2/(4*'D(Ti_Jollands) Times'!$C196)/(365.35*24*3600)</f>
        <v>30345.121068110697</v>
      </c>
      <c r="R196" s="2">
        <f>('L-Values'!N196*'D(Ti_Jollands) Times'!$F196*0.000001)^2/(4*'D(Ti_Jollands) Times'!$C196)/(365.35*24*3600)</f>
        <v>266446.23305699549</v>
      </c>
      <c r="S196" s="2">
        <f>('L-Values'!O196*'D(Ti_Jollands) Times'!$F196*0.000001)^2/(4*'D(Ti_Jollands) Times'!$C196)/(365.35*24*3600)</f>
        <v>1004844.9452094185</v>
      </c>
      <c r="T196" s="2"/>
      <c r="U196" s="2">
        <f>('L-Values'!Q196*'D(Ti_Jollands) Times'!$F196*0.000001)^2/(4*'D(Ti_Jollands) Times'!$C196)/(365.35*24*3600)</f>
        <v>145073.55991012932</v>
      </c>
      <c r="V196" s="2">
        <f>('L-Values'!R196*'D(Ti_Jollands) Times'!$F196*0.000001)^2/(4*'D(Ti_Jollands) Times'!$C196)/(365.35*24*3600)</f>
        <v>205339.80885788641</v>
      </c>
      <c r="W196" s="2">
        <f>('L-Values'!S196*'D(Ti_Jollands) Times'!$F196*0.000001)^2/(4*'D(Ti_Jollands) Times'!$C196)/(365.35*24*3600)</f>
        <v>150712.16993278734</v>
      </c>
      <c r="X196" s="2"/>
      <c r="Y196" s="2">
        <f>('L-Values'!U196*'D(Ti_Jollands) Times'!$F196*0.000001)^2/(4*'D(Ti_Jollands) Times'!$C196)/(365.35*24*3600)</f>
        <v>113418.01655756087</v>
      </c>
      <c r="Z196" s="2">
        <f>('L-Values'!V196*'D(Ti_Jollands) Times'!$F196*0.000001)^2/(4*'D(Ti_Jollands) Times'!$C196)/(365.35*24*3600)</f>
        <v>127378.82581056778</v>
      </c>
      <c r="AA196" s="2">
        <f>('L-Values'!W196*'D(Ti_Jollands) Times'!$F196*0.000001)^2/(4*'D(Ti_Jollands) Times'!$C196)/(365.35*24*3600)</f>
        <v>2.691908736219828</v>
      </c>
      <c r="AB196" s="2">
        <f>('L-Values'!X196*'D(Ti_Jollands) Times'!$F196*0.000001)^2/(4*'D(Ti_Jollands) Times'!$C196)/(365.35*24*3600)</f>
        <v>693659.42182104324</v>
      </c>
      <c r="AC196" s="2">
        <f t="shared" si="14"/>
        <v>127376.13390183156</v>
      </c>
      <c r="AD196" s="2">
        <f t="shared" si="15"/>
        <v>566280.59601047542</v>
      </c>
    </row>
    <row r="197" spans="1:30" x14ac:dyDescent="0.2">
      <c r="A197" t="str">
        <f>'L-Values'!A197</f>
        <v>CGI011-qtz01-CL-fit-1-offset</v>
      </c>
      <c r="B197">
        <v>750</v>
      </c>
      <c r="C197">
        <f t="shared" si="12"/>
        <v>6.6965312637759184E-25</v>
      </c>
      <c r="D197">
        <v>2000</v>
      </c>
      <c r="E197">
        <v>1024</v>
      </c>
      <c r="F197">
        <f t="shared" si="13"/>
        <v>1.953125</v>
      </c>
      <c r="I197" s="2">
        <f>('L-Values'!E197*'D(Ti_Jollands) Times'!$F197*0.000001)^2/(4*'D(Ti_Jollands) Times'!$C197)/(365.35*24*3600)</f>
        <v>1001163.0975486074</v>
      </c>
      <c r="J197" s="2">
        <f>('L-Values'!F197*'D(Ti_Jollands) Times'!$F197*0.000001)^2/(4*'D(Ti_Jollands) Times'!$C197)/(365.35*24*3600)</f>
        <v>967414.06273750518</v>
      </c>
      <c r="K197" s="2">
        <f>('L-Values'!G197*'D(Ti_Jollands) Times'!$F197*0.000001)^2/(4*'D(Ti_Jollands) Times'!$C197)/(365.35*24*3600)</f>
        <v>647257.79041465942</v>
      </c>
      <c r="L197" s="2">
        <f>('L-Values'!H197*'D(Ti_Jollands) Times'!$F197*0.000001)^2/(4*'D(Ti_Jollands) Times'!$C197)/(365.35*24*3600)</f>
        <v>1542232.0402198981</v>
      </c>
      <c r="M197" s="2">
        <f>('L-Values'!I197*'D(Ti_Jollands) Times'!$F197*0.000001)^2/(4*'D(Ti_Jollands) Times'!$C197)/(365.35*24*3600)</f>
        <v>834082.53933243651</v>
      </c>
      <c r="N197" s="2">
        <f>('L-Values'!J197*'D(Ti_Jollands) Times'!$F197*0.000001)^2/(4*'D(Ti_Jollands) Times'!$C197)/(365.35*24*3600)</f>
        <v>817031.11566250469</v>
      </c>
      <c r="O197" s="2">
        <f>('L-Values'!K197*'D(Ti_Jollands) Times'!$F197*0.000001)^2/(4*'D(Ti_Jollands) Times'!$C197)/(365.35*24*3600)</f>
        <v>1068207.6961798347</v>
      </c>
      <c r="P197" s="2">
        <f>('L-Values'!L197*'D(Ti_Jollands) Times'!$F197*0.000001)^2/(4*'D(Ti_Jollands) Times'!$C197)/(365.35*24*3600)</f>
        <v>1808937.2651484141</v>
      </c>
      <c r="Q197" s="2">
        <f>('L-Values'!M197*'D(Ti_Jollands) Times'!$F197*0.000001)^2/(4*'D(Ti_Jollands) Times'!$C197)/(365.35*24*3600)</f>
        <v>1106654.2694343184</v>
      </c>
      <c r="R197" s="2">
        <f>('L-Values'!N197*'D(Ti_Jollands) Times'!$F197*0.000001)^2/(4*'D(Ti_Jollands) Times'!$C197)/(365.35*24*3600)</f>
        <v>608231.33868079179</v>
      </c>
      <c r="S197" s="2">
        <f>('L-Values'!O197*'D(Ti_Jollands) Times'!$F197*0.000001)^2/(4*'D(Ti_Jollands) Times'!$C197)/(365.35*24*3600)</f>
        <v>1184156.9577139905</v>
      </c>
      <c r="T197" s="2"/>
      <c r="U197" s="2">
        <f>('L-Values'!Q197*'D(Ti_Jollands) Times'!$F197*0.000001)^2/(4*'D(Ti_Jollands) Times'!$C197)/(365.35*24*3600)</f>
        <v>1007863.0613649042</v>
      </c>
      <c r="V197" s="2">
        <f>('L-Values'!R197*'D(Ti_Jollands) Times'!$F197*0.000001)^2/(4*'D(Ti_Jollands) Times'!$C197)/(365.35*24*3600)</f>
        <v>1026774.8284941094</v>
      </c>
      <c r="W197" s="2">
        <f>('L-Values'!S197*'D(Ti_Jollands) Times'!$F197*0.000001)^2/(4*'D(Ti_Jollands) Times'!$C197)/(365.35*24*3600)</f>
        <v>1001163.0975486074</v>
      </c>
      <c r="X197" s="2"/>
      <c r="Y197" s="2">
        <f>('L-Values'!U197*'D(Ti_Jollands) Times'!$F197*0.000001)^2/(4*'D(Ti_Jollands) Times'!$C197)/(365.35*24*3600)</f>
        <v>981149.24940136622</v>
      </c>
      <c r="Z197" s="2">
        <f>('L-Values'!V197*'D(Ti_Jollands) Times'!$F197*0.000001)^2/(4*'D(Ti_Jollands) Times'!$C197)/(365.35*24*3600)</f>
        <v>1002967.5822453501</v>
      </c>
      <c r="AA197" s="2">
        <f>('L-Values'!W197*'D(Ti_Jollands) Times'!$F197*0.000001)^2/(4*'D(Ti_Jollands) Times'!$C197)/(365.35*24*3600)</f>
        <v>465698.28567251255</v>
      </c>
      <c r="AB197" s="2">
        <f>('L-Values'!X197*'D(Ti_Jollands) Times'!$F197*0.000001)^2/(4*'D(Ti_Jollands) Times'!$C197)/(365.35*24*3600)</f>
        <v>1982467.5937086949</v>
      </c>
      <c r="AC197" s="2">
        <f t="shared" si="14"/>
        <v>537269.29657283751</v>
      </c>
      <c r="AD197" s="2">
        <f t="shared" si="15"/>
        <v>979500.0114633448</v>
      </c>
    </row>
    <row r="198" spans="1:30" x14ac:dyDescent="0.2">
      <c r="A198" t="str">
        <f>'L-Values'!A198</f>
        <v>CGI011-qtz01-CL-fit-2-offset</v>
      </c>
      <c r="B198">
        <v>750</v>
      </c>
      <c r="C198">
        <f t="shared" si="12"/>
        <v>6.6965312637759184E-25</v>
      </c>
      <c r="D198">
        <v>2000</v>
      </c>
      <c r="E198">
        <v>1024</v>
      </c>
      <c r="F198">
        <f t="shared" si="13"/>
        <v>1.953125</v>
      </c>
      <c r="I198" s="2">
        <f>('L-Values'!E198*'D(Ti_Jollands) Times'!$F198*0.000001)^2/(4*'D(Ti_Jollands) Times'!$C198)/(365.35*24*3600)</f>
        <v>87708.493080075132</v>
      </c>
      <c r="J198" s="2">
        <f>('L-Values'!F198*'D(Ti_Jollands) Times'!$F198*0.000001)^2/(4*'D(Ti_Jollands) Times'!$C198)/(365.35*24*3600)</f>
        <v>1325162.6010764199</v>
      </c>
      <c r="K198" s="2">
        <f>('L-Values'!G198*'D(Ti_Jollands) Times'!$F198*0.000001)^2/(4*'D(Ti_Jollands) Times'!$C198)/(365.35*24*3600)</f>
        <v>1054371.5423157187</v>
      </c>
      <c r="L198" s="2">
        <f>('L-Values'!H198*'D(Ti_Jollands) Times'!$F198*0.000001)^2/(4*'D(Ti_Jollands) Times'!$C198)/(365.35*24*3600)</f>
        <v>318442.68541132077</v>
      </c>
      <c r="M198" s="2">
        <f>('L-Values'!I198*'D(Ti_Jollands) Times'!$F198*0.000001)^2/(4*'D(Ti_Jollands) Times'!$C198)/(365.35*24*3600)</f>
        <v>874691.0591150492</v>
      </c>
      <c r="N198" s="2">
        <f>('L-Values'!J198*'D(Ti_Jollands) Times'!$F198*0.000001)^2/(4*'D(Ti_Jollands) Times'!$C198)/(365.35*24*3600)</f>
        <v>233190.02323344391</v>
      </c>
      <c r="O198" s="2">
        <f>('L-Values'!K198*'D(Ti_Jollands) Times'!$F198*0.000001)^2/(4*'D(Ti_Jollands) Times'!$C198)/(365.35*24*3600)</f>
        <v>372968.47625029628</v>
      </c>
      <c r="P198" s="2">
        <f>('L-Values'!L198*'D(Ti_Jollands) Times'!$F198*0.000001)^2/(4*'D(Ti_Jollands) Times'!$C198)/(365.35*24*3600)</f>
        <v>1047983.4711753811</v>
      </c>
      <c r="Q198" s="2">
        <f>('L-Values'!M198*'D(Ti_Jollands) Times'!$F198*0.000001)^2/(4*'D(Ti_Jollands) Times'!$C198)/(365.35*24*3600)</f>
        <v>135289.72298214707</v>
      </c>
      <c r="R198" s="2">
        <f>('L-Values'!N198*'D(Ti_Jollands) Times'!$F198*0.000001)^2/(4*'D(Ti_Jollands) Times'!$C198)/(365.35*24*3600)</f>
        <v>367978.4783210475</v>
      </c>
      <c r="S198" s="2">
        <f>('L-Values'!O198*'D(Ti_Jollands) Times'!$F198*0.000001)^2/(4*'D(Ti_Jollands) Times'!$C198)/(365.35*24*3600)</f>
        <v>186828.02655028403</v>
      </c>
      <c r="T198" s="2"/>
      <c r="U198" s="2">
        <f>('L-Values'!Q198*'D(Ti_Jollands) Times'!$F198*0.000001)^2/(4*'D(Ti_Jollands) Times'!$C198)/(365.35*24*3600)</f>
        <v>436792.31774717348</v>
      </c>
      <c r="V198" s="2">
        <f>('L-Values'!R198*'D(Ti_Jollands) Times'!$F198*0.000001)^2/(4*'D(Ti_Jollands) Times'!$C198)/(365.35*24*3600)</f>
        <v>464588.62117660354</v>
      </c>
      <c r="W198" s="2">
        <f>('L-Values'!S198*'D(Ti_Jollands) Times'!$F198*0.000001)^2/(4*'D(Ti_Jollands) Times'!$C198)/(365.35*24*3600)</f>
        <v>367978.4783210475</v>
      </c>
      <c r="X198" s="2"/>
      <c r="Y198" s="2">
        <f>('L-Values'!U198*'D(Ti_Jollands) Times'!$F198*0.000001)^2/(4*'D(Ti_Jollands) Times'!$C198)/(365.35*24*3600)</f>
        <v>456519.84414798795</v>
      </c>
      <c r="Z198" s="2">
        <f>('L-Values'!V198*'D(Ti_Jollands) Times'!$F198*0.000001)^2/(4*'D(Ti_Jollands) Times'!$C198)/(365.35*24*3600)</f>
        <v>489743.00047623517</v>
      </c>
      <c r="AA198" s="2">
        <f>('L-Values'!W198*'D(Ti_Jollands) Times'!$F198*0.000001)^2/(4*'D(Ti_Jollands) Times'!$C198)/(365.35*24*3600)</f>
        <v>58959.82960501768</v>
      </c>
      <c r="AB198" s="2">
        <f>('L-Values'!X198*'D(Ti_Jollands) Times'!$F198*0.000001)^2/(4*'D(Ti_Jollands) Times'!$C198)/(365.35*24*3600)</f>
        <v>1669450.1487076827</v>
      </c>
      <c r="AC198" s="2">
        <f t="shared" si="14"/>
        <v>430783.1708712175</v>
      </c>
      <c r="AD198" s="2">
        <f t="shared" si="15"/>
        <v>1179707.1482314477</v>
      </c>
    </row>
    <row r="199" spans="1:30" x14ac:dyDescent="0.2">
      <c r="A199" t="str">
        <f>'L-Values'!A199</f>
        <v>CGI011-qtz01-CL-fit-3-offset</v>
      </c>
      <c r="B199">
        <v>750</v>
      </c>
      <c r="C199">
        <f t="shared" si="12"/>
        <v>6.6965312637759184E-25</v>
      </c>
      <c r="D199">
        <v>2000</v>
      </c>
      <c r="E199">
        <v>1024</v>
      </c>
      <c r="F199">
        <f t="shared" si="13"/>
        <v>1.953125</v>
      </c>
      <c r="I199" s="2">
        <f>('L-Values'!E199*'D(Ti_Jollands) Times'!$F199*0.000001)^2/(4*'D(Ti_Jollands) Times'!$C199)/(365.35*24*3600)</f>
        <v>231300.61251662122</v>
      </c>
      <c r="J199" s="2">
        <f>('L-Values'!F199*'D(Ti_Jollands) Times'!$F199*0.000001)^2/(4*'D(Ti_Jollands) Times'!$C199)/(365.35*24*3600)</f>
        <v>236480.12907551019</v>
      </c>
      <c r="K199" s="2">
        <f>('L-Values'!G199*'D(Ti_Jollands) Times'!$F199*0.000001)^2/(4*'D(Ti_Jollands) Times'!$C199)/(365.35*24*3600)</f>
        <v>376371.30207212555</v>
      </c>
      <c r="L199" s="2">
        <f>('L-Values'!H199*'D(Ti_Jollands) Times'!$F199*0.000001)^2/(4*'D(Ti_Jollands) Times'!$C199)/(365.35*24*3600)</f>
        <v>420331.76172015915</v>
      </c>
      <c r="M199" s="2">
        <f>('L-Values'!I199*'D(Ti_Jollands) Times'!$F199*0.000001)^2/(4*'D(Ti_Jollands) Times'!$C199)/(365.35*24*3600)</f>
        <v>237198.90298175983</v>
      </c>
      <c r="N199" s="2">
        <f>('L-Values'!J199*'D(Ti_Jollands) Times'!$F199*0.000001)^2/(4*'D(Ti_Jollands) Times'!$C199)/(365.35*24*3600)</f>
        <v>277177.78864488949</v>
      </c>
      <c r="O199" s="2">
        <f>('L-Values'!K199*'D(Ti_Jollands) Times'!$F199*0.000001)^2/(4*'D(Ti_Jollands) Times'!$C199)/(365.35*24*3600)</f>
        <v>397698.10684655944</v>
      </c>
      <c r="P199" s="2">
        <f>('L-Values'!L199*'D(Ti_Jollands) Times'!$F199*0.000001)^2/(4*'D(Ti_Jollands) Times'!$C199)/(365.35*24*3600)</f>
        <v>401855.80849045457</v>
      </c>
      <c r="Q199" s="2">
        <f>('L-Values'!M199*'D(Ti_Jollands) Times'!$F199*0.000001)^2/(4*'D(Ti_Jollands) Times'!$C199)/(365.35*24*3600)</f>
        <v>199839.8683456424</v>
      </c>
      <c r="R199" s="2">
        <f>('L-Values'!N199*'D(Ti_Jollands) Times'!$F199*0.000001)^2/(4*'D(Ti_Jollands) Times'!$C199)/(365.35*24*3600)</f>
        <v>200214.87840826795</v>
      </c>
      <c r="S199" s="2">
        <f>('L-Values'!O199*'D(Ti_Jollands) Times'!$F199*0.000001)^2/(4*'D(Ti_Jollands) Times'!$C199)/(365.35*24*3600)</f>
        <v>602424.93935608235</v>
      </c>
      <c r="T199" s="2"/>
      <c r="U199" s="2">
        <f>('L-Values'!Q199*'D(Ti_Jollands) Times'!$F199*0.000001)^2/(4*'D(Ti_Jollands) Times'!$C199)/(365.35*24*3600)</f>
        <v>303651.28144197364</v>
      </c>
      <c r="V199" s="2">
        <f>('L-Values'!R199*'D(Ti_Jollands) Times'!$F199*0.000001)^2/(4*'D(Ti_Jollands) Times'!$C199)/(365.35*24*3600)</f>
        <v>315410.97289082478</v>
      </c>
      <c r="W199" s="2">
        <f>('L-Values'!S199*'D(Ti_Jollands) Times'!$F199*0.000001)^2/(4*'D(Ti_Jollands) Times'!$C199)/(365.35*24*3600)</f>
        <v>277177.78864488949</v>
      </c>
      <c r="X199" s="2"/>
      <c r="Y199" s="2">
        <f>('L-Values'!U199*'D(Ti_Jollands) Times'!$F199*0.000001)^2/(4*'D(Ti_Jollands) Times'!$C199)/(365.35*24*3600)</f>
        <v>280325.70247259521</v>
      </c>
      <c r="Z199" s="2">
        <f>('L-Values'!V199*'D(Ti_Jollands) Times'!$F199*0.000001)^2/(4*'D(Ti_Jollands) Times'!$C199)/(365.35*24*3600)</f>
        <v>300608.96216790879</v>
      </c>
      <c r="AA199" s="2">
        <f>('L-Values'!W199*'D(Ti_Jollands) Times'!$F199*0.000001)^2/(4*'D(Ti_Jollands) Times'!$C199)/(365.35*24*3600)</f>
        <v>119391.19851155208</v>
      </c>
      <c r="AB199" s="2">
        <f>('L-Values'!X199*'D(Ti_Jollands) Times'!$F199*0.000001)^2/(4*'D(Ti_Jollands) Times'!$C199)/(365.35*24*3600)</f>
        <v>655305.55813313671</v>
      </c>
      <c r="AC199" s="2">
        <f t="shared" si="14"/>
        <v>181217.76365635672</v>
      </c>
      <c r="AD199" s="2">
        <f t="shared" si="15"/>
        <v>354696.59596522793</v>
      </c>
    </row>
    <row r="200" spans="1:30" x14ac:dyDescent="0.2">
      <c r="A200" t="str">
        <f>'L-Values'!A200</f>
        <v>CGI011-qtz01-CL-fit-4-offset</v>
      </c>
      <c r="B200">
        <v>750</v>
      </c>
      <c r="C200">
        <f t="shared" si="12"/>
        <v>6.6965312637759184E-25</v>
      </c>
      <c r="D200">
        <v>2000</v>
      </c>
      <c r="E200">
        <v>1024</v>
      </c>
      <c r="F200">
        <f t="shared" si="13"/>
        <v>1.953125</v>
      </c>
      <c r="I200" s="2">
        <f>('L-Values'!E200*'D(Ti_Jollands) Times'!$F200*0.000001)^2/(4*'D(Ti_Jollands) Times'!$C200)/(365.35*24*3600)</f>
        <v>1200343.4501165508</v>
      </c>
      <c r="J200" s="2">
        <f>('L-Values'!F200*'D(Ti_Jollands) Times'!$F200*0.000001)^2/(4*'D(Ti_Jollands) Times'!$C200)/(365.35*24*3600)</f>
        <v>2583273.3089173012</v>
      </c>
      <c r="K200" s="2">
        <f>('L-Values'!G200*'D(Ti_Jollands) Times'!$F200*0.000001)^2/(4*'D(Ti_Jollands) Times'!$C200)/(365.35*24*3600)</f>
        <v>74070.449419036813</v>
      </c>
      <c r="L200" s="2">
        <f>('L-Values'!H200*'D(Ti_Jollands) Times'!$F200*0.000001)^2/(4*'D(Ti_Jollands) Times'!$C200)/(365.35*24*3600)</f>
        <v>4279203.5861211121</v>
      </c>
      <c r="M200" s="2">
        <f>('L-Values'!I200*'D(Ti_Jollands) Times'!$F200*0.000001)^2/(4*'D(Ti_Jollands) Times'!$C200)/(365.35*24*3600)</f>
        <v>1509736.6263339098</v>
      </c>
      <c r="N200" s="2">
        <f>('L-Values'!J200*'D(Ti_Jollands) Times'!$F200*0.000001)^2/(4*'D(Ti_Jollands) Times'!$C200)/(365.35*24*3600)</f>
        <v>2180027.8932345021</v>
      </c>
      <c r="O200" s="2">
        <f>('L-Values'!K200*'D(Ti_Jollands) Times'!$F200*0.000001)^2/(4*'D(Ti_Jollands) Times'!$C200)/(365.35*24*3600)</f>
        <v>529943.05380314833</v>
      </c>
      <c r="P200" s="2">
        <f>('L-Values'!L200*'D(Ti_Jollands) Times'!$F200*0.000001)^2/(4*'D(Ti_Jollands) Times'!$C200)/(365.35*24*3600)</f>
        <v>2427504.5445871968</v>
      </c>
      <c r="Q200" s="2">
        <f>('L-Values'!M200*'D(Ti_Jollands) Times'!$F200*0.000001)^2/(4*'D(Ti_Jollands) Times'!$C200)/(365.35*24*3600)</f>
        <v>98410.976289031692</v>
      </c>
      <c r="R200" s="2">
        <f>('L-Values'!N200*'D(Ti_Jollands) Times'!$F200*0.000001)^2/(4*'D(Ti_Jollands) Times'!$C200)/(365.35*24*3600)</f>
        <v>3437306.4761636849</v>
      </c>
      <c r="S200" s="2">
        <f>('L-Values'!O200*'D(Ti_Jollands) Times'!$F200*0.000001)^2/(4*'D(Ti_Jollands) Times'!$C200)/(365.35*24*3600)</f>
        <v>2129492.0437334245</v>
      </c>
      <c r="T200" s="2"/>
      <c r="U200" s="2">
        <f>('L-Values'!Q200*'D(Ti_Jollands) Times'!$F200*0.000001)^2/(4*'D(Ti_Jollands) Times'!$C200)/(365.35*24*3600)</f>
        <v>1863396.4985237145</v>
      </c>
      <c r="V200" s="2">
        <f>('L-Values'!R200*'D(Ti_Jollands) Times'!$F200*0.000001)^2/(4*'D(Ti_Jollands) Times'!$C200)/(365.35*24*3600)</f>
        <v>1542528.6616703027</v>
      </c>
      <c r="W200" s="2">
        <f>('L-Values'!S200*'D(Ti_Jollands) Times'!$F200*0.000001)^2/(4*'D(Ti_Jollands) Times'!$C200)/(365.35*24*3600)</f>
        <v>2129492.0437334245</v>
      </c>
      <c r="X200" s="2"/>
      <c r="Y200" s="2">
        <f>('L-Values'!U200*'D(Ti_Jollands) Times'!$F200*0.000001)^2/(4*'D(Ti_Jollands) Times'!$C200)/(365.35*24*3600)</f>
        <v>1734969.7289007767</v>
      </c>
      <c r="Z200" s="2">
        <f>('L-Values'!V200*'D(Ti_Jollands) Times'!$F200*0.000001)^2/(4*'D(Ti_Jollands) Times'!$C200)/(365.35*24*3600)</f>
        <v>1662777.546014759</v>
      </c>
      <c r="AA200" s="2">
        <f>('L-Values'!W200*'D(Ti_Jollands) Times'!$F200*0.000001)^2/(4*'D(Ti_Jollands) Times'!$C200)/(365.35*24*3600)</f>
        <v>86332.010643089481</v>
      </c>
      <c r="AB200" s="2">
        <f>('L-Values'!X200*'D(Ti_Jollands) Times'!$F200*0.000001)^2/(4*'D(Ti_Jollands) Times'!$C200)/(365.35*24*3600)</f>
        <v>5587351.5493500913</v>
      </c>
      <c r="AC200" s="2">
        <f t="shared" si="14"/>
        <v>1576445.5353716696</v>
      </c>
      <c r="AD200" s="2">
        <f t="shared" si="15"/>
        <v>3924574.0033353325</v>
      </c>
    </row>
    <row r="201" spans="1:30" x14ac:dyDescent="0.2">
      <c r="A201" t="str">
        <f>'L-Values'!A201</f>
        <v>CGI011-qtz01-CL-fit-5-offset</v>
      </c>
      <c r="B201">
        <v>750</v>
      </c>
      <c r="C201">
        <f t="shared" si="12"/>
        <v>6.6965312637759184E-25</v>
      </c>
      <c r="D201">
        <v>2000</v>
      </c>
      <c r="E201">
        <v>1024</v>
      </c>
      <c r="F201">
        <f t="shared" si="13"/>
        <v>1.953125</v>
      </c>
      <c r="I201" s="2">
        <f>('L-Values'!E201*'D(Ti_Jollands) Times'!$F201*0.000001)^2/(4*'D(Ti_Jollands) Times'!$C201)/(365.35*24*3600)</f>
        <v>9225.2094531974471</v>
      </c>
      <c r="J201" s="2">
        <f>('L-Values'!F201*'D(Ti_Jollands) Times'!$F201*0.000001)^2/(4*'D(Ti_Jollands) Times'!$C201)/(365.35*24*3600)</f>
        <v>114359.35802087314</v>
      </c>
      <c r="K201" s="2">
        <f>('L-Values'!G201*'D(Ti_Jollands) Times'!$F201*0.000001)^2/(4*'D(Ti_Jollands) Times'!$C201)/(365.35*24*3600)</f>
        <v>123427.10737692924</v>
      </c>
      <c r="L201" s="2">
        <f>('L-Values'!H201*'D(Ti_Jollands) Times'!$F201*0.000001)^2/(4*'D(Ti_Jollands) Times'!$C201)/(365.35*24*3600)</f>
        <v>51173.096765804294</v>
      </c>
      <c r="M201" s="2">
        <f>('L-Values'!I201*'D(Ti_Jollands) Times'!$F201*0.000001)^2/(4*'D(Ti_Jollands) Times'!$C201)/(365.35*24*3600)</f>
        <v>103268.54153471178</v>
      </c>
      <c r="N201" s="2">
        <f>('L-Values'!J201*'D(Ti_Jollands) Times'!$F201*0.000001)^2/(4*'D(Ti_Jollands) Times'!$C201)/(365.35*24*3600)</f>
        <v>145640.21082565849</v>
      </c>
      <c r="O201" s="2">
        <f>('L-Values'!K201*'D(Ti_Jollands) Times'!$F201*0.000001)^2/(4*'D(Ti_Jollands) Times'!$C201)/(365.35*24*3600)</f>
        <v>107299.70502429422</v>
      </c>
      <c r="P201" s="2">
        <f>('L-Values'!L201*'D(Ti_Jollands) Times'!$F201*0.000001)^2/(4*'D(Ti_Jollands) Times'!$C201)/(365.35*24*3600)</f>
        <v>52.364993782728007</v>
      </c>
      <c r="Q201" s="2">
        <f>('L-Values'!M201*'D(Ti_Jollands) Times'!$F201*0.000001)^2/(4*'D(Ti_Jollands) Times'!$C201)/(365.35*24*3600)</f>
        <v>147777.22392097174</v>
      </c>
      <c r="R201" s="2">
        <f>('L-Values'!N201*'D(Ti_Jollands) Times'!$F201*0.000001)^2/(4*'D(Ti_Jollands) Times'!$C201)/(365.35*24*3600)</f>
        <v>87131.873986585662</v>
      </c>
      <c r="S201" s="2">
        <f>('L-Values'!O201*'D(Ti_Jollands) Times'!$F201*0.000001)^2/(4*'D(Ti_Jollands) Times'!$C201)/(365.35*24*3600)</f>
        <v>251286.93972917166</v>
      </c>
      <c r="T201" s="2"/>
      <c r="U201" s="2">
        <f>('L-Values'!Q201*'D(Ti_Jollands) Times'!$F201*0.000001)^2/(4*'D(Ti_Jollands) Times'!$C201)/(365.35*24*3600)</f>
        <v>129400.25416141051</v>
      </c>
      <c r="V201" s="2">
        <f>('L-Values'!R201*'D(Ti_Jollands) Times'!$F201*0.000001)^2/(4*'D(Ti_Jollands) Times'!$C201)/(365.35*24*3600)</f>
        <v>86245.001543703343</v>
      </c>
      <c r="W201" s="2">
        <f>('L-Values'!S201*'D(Ti_Jollands) Times'!$F201*0.000001)^2/(4*'D(Ti_Jollands) Times'!$C201)/(365.35*24*3600)</f>
        <v>107299.70502429422</v>
      </c>
      <c r="X201" s="2"/>
      <c r="Y201" s="2">
        <f>('L-Values'!U201*'D(Ti_Jollands) Times'!$F201*0.000001)^2/(4*'D(Ti_Jollands) Times'!$C201)/(365.35*24*3600)</f>
        <v>107613.84321303734</v>
      </c>
      <c r="Z201" s="2">
        <f>('L-Values'!V201*'D(Ti_Jollands) Times'!$F201*0.000001)^2/(4*'D(Ti_Jollands) Times'!$C201)/(365.35*24*3600)</f>
        <v>110929.55730884202</v>
      </c>
      <c r="AA201" s="2">
        <f>('L-Values'!W201*'D(Ti_Jollands) Times'!$F201*0.000001)^2/(4*'D(Ti_Jollands) Times'!$C201)/(365.35*24*3600)</f>
        <v>2825.9902567558825</v>
      </c>
      <c r="AB201" s="2">
        <f>('L-Values'!X201*'D(Ti_Jollands) Times'!$F201*0.000001)^2/(4*'D(Ti_Jollands) Times'!$C201)/(365.35*24*3600)</f>
        <v>382158.69478825398</v>
      </c>
      <c r="AC201" s="2">
        <f t="shared" si="14"/>
        <v>108103.56705208613</v>
      </c>
      <c r="AD201" s="2">
        <f t="shared" si="15"/>
        <v>271229.13747941196</v>
      </c>
    </row>
    <row r="202" spans="1:30" x14ac:dyDescent="0.2">
      <c r="A202" t="str">
        <f>'L-Values'!A202</f>
        <v>CGI011-qtz02-CL-fit-1-offset</v>
      </c>
      <c r="B202">
        <v>750</v>
      </c>
      <c r="C202">
        <f t="shared" si="12"/>
        <v>6.6965312637759184E-25</v>
      </c>
      <c r="D202">
        <v>1600</v>
      </c>
      <c r="E202">
        <v>1024</v>
      </c>
      <c r="F202">
        <f t="shared" si="13"/>
        <v>1.5625</v>
      </c>
      <c r="I202" s="2">
        <f>('L-Values'!E202*'D(Ti_Jollands) Times'!$F202*0.000001)^2/(4*'D(Ti_Jollands) Times'!$C202)/(365.35*24*3600)</f>
        <v>1400710.9570360128</v>
      </c>
      <c r="J202" s="2">
        <f>('L-Values'!F202*'D(Ti_Jollands) Times'!$F202*0.000001)^2/(4*'D(Ti_Jollands) Times'!$C202)/(365.35*24*3600)</f>
        <v>937044.80366757256</v>
      </c>
      <c r="K202" s="2">
        <f>('L-Values'!G202*'D(Ti_Jollands) Times'!$F202*0.000001)^2/(4*'D(Ti_Jollands) Times'!$C202)/(365.35*24*3600)</f>
        <v>462326.43626688921</v>
      </c>
      <c r="L202" s="2">
        <f>('L-Values'!H202*'D(Ti_Jollands) Times'!$F202*0.000001)^2/(4*'D(Ti_Jollands) Times'!$C202)/(365.35*24*3600)</f>
        <v>3191902.4154306334</v>
      </c>
      <c r="M202" s="2">
        <f>('L-Values'!I202*'D(Ti_Jollands) Times'!$F202*0.000001)^2/(4*'D(Ti_Jollands) Times'!$C202)/(365.35*24*3600)</f>
        <v>1003398.372371649</v>
      </c>
      <c r="N202" s="2">
        <f>('L-Values'!J202*'D(Ti_Jollands) Times'!$F202*0.000001)^2/(4*'D(Ti_Jollands) Times'!$C202)/(365.35*24*3600)</f>
        <v>78466.490138034846</v>
      </c>
      <c r="O202" s="2">
        <f>('L-Values'!K202*'D(Ti_Jollands) Times'!$F202*0.000001)^2/(4*'D(Ti_Jollands) Times'!$C202)/(365.35*24*3600)</f>
        <v>1481242.3122940632</v>
      </c>
      <c r="P202" s="2">
        <f>('L-Values'!L202*'D(Ti_Jollands) Times'!$F202*0.000001)^2/(4*'D(Ti_Jollands) Times'!$C202)/(365.35*24*3600)</f>
        <v>1615784.7134995502</v>
      </c>
      <c r="Q202" s="2">
        <f>('L-Values'!M202*'D(Ti_Jollands) Times'!$F202*0.000001)^2/(4*'D(Ti_Jollands) Times'!$C202)/(365.35*24*3600)</f>
        <v>2244379.8093438987</v>
      </c>
      <c r="R202" s="2">
        <f>('L-Values'!N202*'D(Ti_Jollands) Times'!$F202*0.000001)^2/(4*'D(Ti_Jollands) Times'!$C202)/(365.35*24*3600)</f>
        <v>444122.516204104</v>
      </c>
      <c r="S202" s="2">
        <f>('L-Values'!O202*'D(Ti_Jollands) Times'!$F202*0.000001)^2/(4*'D(Ti_Jollands) Times'!$C202)/(365.35*24*3600)</f>
        <v>570693.22434405028</v>
      </c>
      <c r="T202" s="2"/>
      <c r="U202" s="2">
        <f>('L-Values'!Q202*'D(Ti_Jollands) Times'!$F202*0.000001)^2/(4*'D(Ti_Jollands) Times'!$C202)/(365.35*24*3600)</f>
        <v>1056076.6114813639</v>
      </c>
      <c r="V202" s="2">
        <f>('L-Values'!R202*'D(Ti_Jollands) Times'!$F202*0.000001)^2/(4*'D(Ti_Jollands) Times'!$C202)/(365.35*24*3600)</f>
        <v>1056797.1334762711</v>
      </c>
      <c r="W202" s="2">
        <f>('L-Values'!S202*'D(Ti_Jollands) Times'!$F202*0.000001)^2/(4*'D(Ti_Jollands) Times'!$C202)/(365.35*24*3600)</f>
        <v>1003398.372371649</v>
      </c>
      <c r="X202" s="2"/>
      <c r="Y202" s="2">
        <f>('L-Values'!U202*'D(Ti_Jollands) Times'!$F202*0.000001)^2/(4*'D(Ti_Jollands) Times'!$C202)/(365.35*24*3600)</f>
        <v>815238.91245435318</v>
      </c>
      <c r="Z202" s="2">
        <f>('L-Values'!V202*'D(Ti_Jollands) Times'!$F202*0.000001)^2/(4*'D(Ti_Jollands) Times'!$C202)/(365.35*24*3600)</f>
        <v>1268514.7304871925</v>
      </c>
      <c r="AA202" s="2">
        <f>('L-Values'!W202*'D(Ti_Jollands) Times'!$F202*0.000001)^2/(4*'D(Ti_Jollands) Times'!$C202)/(365.35*24*3600)</f>
        <v>196089.71718201062</v>
      </c>
      <c r="AB202" s="2">
        <f>('L-Values'!X202*'D(Ti_Jollands) Times'!$F202*0.000001)^2/(4*'D(Ti_Jollands) Times'!$C202)/(365.35*24*3600)</f>
        <v>8333653.1749369586</v>
      </c>
      <c r="AC202" s="2">
        <f t="shared" si="14"/>
        <v>1072425.0133051819</v>
      </c>
      <c r="AD202" s="2">
        <f t="shared" si="15"/>
        <v>7065138.4444497656</v>
      </c>
    </row>
    <row r="203" spans="1:30" x14ac:dyDescent="0.2">
      <c r="A203" t="str">
        <f>'L-Values'!A203</f>
        <v>CGI011-qtz02-CL-fit-2-offset</v>
      </c>
      <c r="B203">
        <v>750</v>
      </c>
      <c r="C203">
        <f t="shared" si="12"/>
        <v>6.6965312637759184E-25</v>
      </c>
      <c r="D203">
        <v>1600</v>
      </c>
      <c r="E203">
        <v>1024</v>
      </c>
      <c r="F203">
        <f t="shared" si="13"/>
        <v>1.5625</v>
      </c>
      <c r="I203" s="2">
        <f>('L-Values'!E203*'D(Ti_Jollands) Times'!$F203*0.000001)^2/(4*'D(Ti_Jollands) Times'!$C203)/(365.35*24*3600)</f>
        <v>1745790.3930630472</v>
      </c>
      <c r="J203" s="2">
        <f>('L-Values'!F203*'D(Ti_Jollands) Times'!$F203*0.000001)^2/(4*'D(Ti_Jollands) Times'!$C203)/(365.35*24*3600)</f>
        <v>2096227.3532085032</v>
      </c>
      <c r="K203" s="2">
        <f>('L-Values'!G203*'D(Ti_Jollands) Times'!$F203*0.000001)^2/(4*'D(Ti_Jollands) Times'!$C203)/(365.35*24*3600)</f>
        <v>1304582.4262589167</v>
      </c>
      <c r="L203" s="2">
        <f>('L-Values'!H203*'D(Ti_Jollands) Times'!$F203*0.000001)^2/(4*'D(Ti_Jollands) Times'!$C203)/(365.35*24*3600)</f>
        <v>1682889.9198048955</v>
      </c>
      <c r="M203" s="2">
        <f>('L-Values'!I203*'D(Ti_Jollands) Times'!$F203*0.000001)^2/(4*'D(Ti_Jollands) Times'!$C203)/(365.35*24*3600)</f>
        <v>2324091.519233102</v>
      </c>
      <c r="N203" s="2">
        <f>('L-Values'!J203*'D(Ti_Jollands) Times'!$F203*0.000001)^2/(4*'D(Ti_Jollands) Times'!$C203)/(365.35*24*3600)</f>
        <v>1569334.6798160998</v>
      </c>
      <c r="O203" s="2">
        <f>('L-Values'!K203*'D(Ti_Jollands) Times'!$F203*0.000001)^2/(4*'D(Ti_Jollands) Times'!$C203)/(365.35*24*3600)</f>
        <v>941156.78497574676</v>
      </c>
      <c r="P203" s="2">
        <f>('L-Values'!L203*'D(Ti_Jollands) Times'!$F203*0.000001)^2/(4*'D(Ti_Jollands) Times'!$C203)/(365.35*24*3600)</f>
        <v>792987.83324335353</v>
      </c>
      <c r="Q203" s="2">
        <f>('L-Values'!M203*'D(Ti_Jollands) Times'!$F203*0.000001)^2/(4*'D(Ti_Jollands) Times'!$C203)/(365.35*24*3600)</f>
        <v>599965.5804373828</v>
      </c>
      <c r="R203" s="2">
        <f>('L-Values'!N203*'D(Ti_Jollands) Times'!$F203*0.000001)^2/(4*'D(Ti_Jollands) Times'!$C203)/(365.35*24*3600)</f>
        <v>360991.08960666734</v>
      </c>
      <c r="S203" s="2">
        <f>('L-Values'!O203*'D(Ti_Jollands) Times'!$F203*0.000001)^2/(4*'D(Ti_Jollands) Times'!$C203)/(365.35*24*3600)</f>
        <v>552502.60951619653</v>
      </c>
      <c r="T203" s="2"/>
      <c r="U203" s="2">
        <f>('L-Values'!Q203*'D(Ti_Jollands) Times'!$F203*0.000001)^2/(4*'D(Ti_Jollands) Times'!$C203)/(365.35*24*3600)</f>
        <v>1185464.0672107043</v>
      </c>
      <c r="V203" s="2">
        <f>('L-Values'!R203*'D(Ti_Jollands) Times'!$F203*0.000001)^2/(4*'D(Ti_Jollands) Times'!$C203)/(365.35*24*3600)</f>
        <v>1183176.069024896</v>
      </c>
      <c r="W203" s="2">
        <f>('L-Values'!S203*'D(Ti_Jollands) Times'!$F203*0.000001)^2/(4*'D(Ti_Jollands) Times'!$C203)/(365.35*24*3600)</f>
        <v>1304582.4262589167</v>
      </c>
      <c r="X203" s="2"/>
      <c r="Y203" s="2">
        <f>('L-Values'!U203*'D(Ti_Jollands) Times'!$F203*0.000001)^2/(4*'D(Ti_Jollands) Times'!$C203)/(365.35*24*3600)</f>
        <v>1106168.9797722595</v>
      </c>
      <c r="Z203" s="2">
        <f>('L-Values'!V203*'D(Ti_Jollands) Times'!$F203*0.000001)^2/(4*'D(Ti_Jollands) Times'!$C203)/(365.35*24*3600)</f>
        <v>1104572.6310863723</v>
      </c>
      <c r="AA203" s="2">
        <f>('L-Values'!W203*'D(Ti_Jollands) Times'!$F203*0.000001)^2/(4*'D(Ti_Jollands) Times'!$C203)/(365.35*24*3600)</f>
        <v>400660.47789452731</v>
      </c>
      <c r="AB203" s="2">
        <f>('L-Values'!X203*'D(Ti_Jollands) Times'!$F203*0.000001)^2/(4*'D(Ti_Jollands) Times'!$C203)/(365.35*24*3600)</f>
        <v>2416599.4272319418</v>
      </c>
      <c r="AC203" s="2">
        <f t="shared" si="14"/>
        <v>703912.15319184493</v>
      </c>
      <c r="AD203" s="2">
        <f t="shared" si="15"/>
        <v>1312026.7961455695</v>
      </c>
    </row>
    <row r="204" spans="1:30" x14ac:dyDescent="0.2">
      <c r="A204" t="str">
        <f>'L-Values'!A204</f>
        <v>CGI011-qtz02-CL-fit-3-offset</v>
      </c>
      <c r="B204">
        <v>750</v>
      </c>
      <c r="C204">
        <f t="shared" si="12"/>
        <v>6.6965312637759184E-25</v>
      </c>
      <c r="D204">
        <v>1600</v>
      </c>
      <c r="E204">
        <v>1024</v>
      </c>
      <c r="F204">
        <f t="shared" si="13"/>
        <v>1.5625</v>
      </c>
      <c r="I204" s="2">
        <f>('L-Values'!E204*'D(Ti_Jollands) Times'!$F204*0.000001)^2/(4*'D(Ti_Jollands) Times'!$C204)/(365.35*24*3600)</f>
        <v>330479.73615727498</v>
      </c>
      <c r="J204" s="2">
        <f>('L-Values'!F204*'D(Ti_Jollands) Times'!$F204*0.000001)^2/(4*'D(Ti_Jollands) Times'!$C204)/(365.35*24*3600)</f>
        <v>174646.77458147399</v>
      </c>
      <c r="K204" s="2">
        <f>('L-Values'!G204*'D(Ti_Jollands) Times'!$F204*0.000001)^2/(4*'D(Ti_Jollands) Times'!$C204)/(365.35*24*3600)</f>
        <v>223703.66790390515</v>
      </c>
      <c r="L204" s="2">
        <f>('L-Values'!H204*'D(Ti_Jollands) Times'!$F204*0.000001)^2/(4*'D(Ti_Jollands) Times'!$C204)/(365.35*24*3600)</f>
        <v>240774.63525084048</v>
      </c>
      <c r="M204" s="2">
        <f>('L-Values'!I204*'D(Ti_Jollands) Times'!$F204*0.000001)^2/(4*'D(Ti_Jollands) Times'!$C204)/(365.35*24*3600)</f>
        <v>364787.37667089107</v>
      </c>
      <c r="N204" s="2">
        <f>('L-Values'!J204*'D(Ti_Jollands) Times'!$F204*0.000001)^2/(4*'D(Ti_Jollands) Times'!$C204)/(365.35*24*3600)</f>
        <v>312427.55135450169</v>
      </c>
      <c r="O204" s="2">
        <f>('L-Values'!K204*'D(Ti_Jollands) Times'!$F204*0.000001)^2/(4*'D(Ti_Jollands) Times'!$C204)/(365.35*24*3600)</f>
        <v>209159.60814114424</v>
      </c>
      <c r="P204" s="2">
        <f>('L-Values'!L204*'D(Ti_Jollands) Times'!$F204*0.000001)^2/(4*'D(Ti_Jollands) Times'!$C204)/(365.35*24*3600)</f>
        <v>395279.28432261467</v>
      </c>
      <c r="Q204" s="2">
        <f>('L-Values'!M204*'D(Ti_Jollands) Times'!$F204*0.000001)^2/(4*'D(Ti_Jollands) Times'!$C204)/(365.35*24*3600)</f>
        <v>52481.868627524309</v>
      </c>
      <c r="R204" s="2">
        <f>('L-Values'!N204*'D(Ti_Jollands) Times'!$F204*0.000001)^2/(4*'D(Ti_Jollands) Times'!$C204)/(365.35*24*3600)</f>
        <v>161642.43174748277</v>
      </c>
      <c r="S204" s="2">
        <f>('L-Values'!O204*'D(Ti_Jollands) Times'!$F204*0.000001)^2/(4*'D(Ti_Jollands) Times'!$C204)/(365.35*24*3600)</f>
        <v>174240.31163821617</v>
      </c>
      <c r="T204" s="2"/>
      <c r="U204" s="2">
        <f>('L-Values'!Q204*'D(Ti_Jollands) Times'!$F204*0.000001)^2/(4*'D(Ti_Jollands) Times'!$C204)/(365.35*24*3600)</f>
        <v>221766.59864804757</v>
      </c>
      <c r="V204" s="2">
        <f>('L-Values'!R204*'D(Ti_Jollands) Times'!$F204*0.000001)^2/(4*'D(Ti_Jollands) Times'!$C204)/(365.35*24*3600)</f>
        <v>228134.85182010441</v>
      </c>
      <c r="W204" s="2">
        <f>('L-Values'!S204*'D(Ti_Jollands) Times'!$F204*0.000001)^2/(4*'D(Ti_Jollands) Times'!$C204)/(365.35*24*3600)</f>
        <v>223703.66790390515</v>
      </c>
      <c r="X204" s="2"/>
      <c r="Y204" s="2">
        <f>('L-Values'!U204*'D(Ti_Jollands) Times'!$F204*0.000001)^2/(4*'D(Ti_Jollands) Times'!$C204)/(365.35*24*3600)</f>
        <v>218943.78962808955</v>
      </c>
      <c r="Z204" s="2">
        <f>('L-Values'!V204*'D(Ti_Jollands) Times'!$F204*0.000001)^2/(4*'D(Ti_Jollands) Times'!$C204)/(365.35*24*3600)</f>
        <v>221131.0740802807</v>
      </c>
      <c r="AA204" s="2">
        <f>('L-Values'!W204*'D(Ti_Jollands) Times'!$F204*0.000001)^2/(4*'D(Ti_Jollands) Times'!$C204)/(365.35*24*3600)</f>
        <v>89570.902666418799</v>
      </c>
      <c r="AB204" s="2">
        <f>('L-Values'!X204*'D(Ti_Jollands) Times'!$F204*0.000001)^2/(4*'D(Ti_Jollands) Times'!$C204)/(365.35*24*3600)</f>
        <v>416467.66662084853</v>
      </c>
      <c r="AC204" s="2">
        <f t="shared" si="14"/>
        <v>131560.17141386191</v>
      </c>
      <c r="AD204" s="2">
        <f t="shared" si="15"/>
        <v>195336.59254056783</v>
      </c>
    </row>
    <row r="205" spans="1:30" x14ac:dyDescent="0.2">
      <c r="A205" t="str">
        <f>'L-Values'!A205</f>
        <v>CGI011-qtz02-CL-fit-4-offset</v>
      </c>
      <c r="B205">
        <v>750</v>
      </c>
      <c r="C205">
        <f t="shared" si="12"/>
        <v>6.6965312637759184E-25</v>
      </c>
      <c r="D205">
        <v>1600</v>
      </c>
      <c r="E205">
        <v>1024</v>
      </c>
      <c r="F205">
        <f t="shared" si="13"/>
        <v>1.5625</v>
      </c>
      <c r="I205" s="2">
        <f>('L-Values'!E205*'D(Ti_Jollands) Times'!$F205*0.000001)^2/(4*'D(Ti_Jollands) Times'!$C205)/(365.35*24*3600)</f>
        <v>229842.74530339707</v>
      </c>
      <c r="J205" s="2">
        <f>('L-Values'!F205*'D(Ti_Jollands) Times'!$F205*0.000001)^2/(4*'D(Ti_Jollands) Times'!$C205)/(365.35*24*3600)</f>
        <v>335896.06143616297</v>
      </c>
      <c r="K205" s="2">
        <f>('L-Values'!G205*'D(Ti_Jollands) Times'!$F205*0.000001)^2/(4*'D(Ti_Jollands) Times'!$C205)/(365.35*24*3600)</f>
        <v>218183.47136255517</v>
      </c>
      <c r="L205" s="2">
        <f>('L-Values'!H205*'D(Ti_Jollands) Times'!$F205*0.000001)^2/(4*'D(Ti_Jollands) Times'!$C205)/(365.35*24*3600)</f>
        <v>234945.84367178509</v>
      </c>
      <c r="M205" s="2">
        <f>('L-Values'!I205*'D(Ti_Jollands) Times'!$F205*0.000001)^2/(4*'D(Ti_Jollands) Times'!$C205)/(365.35*24*3600)</f>
        <v>338034.31495529297</v>
      </c>
      <c r="N205" s="2">
        <f>('L-Values'!J205*'D(Ti_Jollands) Times'!$F205*0.000001)^2/(4*'D(Ti_Jollands) Times'!$C205)/(365.35*24*3600)</f>
        <v>153538.44286437304</v>
      </c>
      <c r="O205" s="2">
        <f>('L-Values'!K205*'D(Ti_Jollands) Times'!$F205*0.000001)^2/(4*'D(Ti_Jollands) Times'!$C205)/(365.35*24*3600)</f>
        <v>496306.87056415662</v>
      </c>
      <c r="P205" s="2">
        <f>('L-Values'!L205*'D(Ti_Jollands) Times'!$F205*0.000001)^2/(4*'D(Ti_Jollands) Times'!$C205)/(365.35*24*3600)</f>
        <v>101716.00275808176</v>
      </c>
      <c r="Q205" s="2">
        <f>('L-Values'!M205*'D(Ti_Jollands) Times'!$F205*0.000001)^2/(4*'D(Ti_Jollands) Times'!$C205)/(365.35*24*3600)</f>
        <v>311942.22629017063</v>
      </c>
      <c r="R205" s="2">
        <f>('L-Values'!N205*'D(Ti_Jollands) Times'!$F205*0.000001)^2/(4*'D(Ti_Jollands) Times'!$C205)/(365.35*24*3600)</f>
        <v>92355.816450904123</v>
      </c>
      <c r="S205" s="2">
        <f>('L-Values'!O205*'D(Ti_Jollands) Times'!$F205*0.000001)^2/(4*'D(Ti_Jollands) Times'!$C205)/(365.35*24*3600)</f>
        <v>254012.37145144824</v>
      </c>
      <c r="T205" s="2"/>
      <c r="U205" s="2">
        <f>('L-Values'!Q205*'D(Ti_Jollands) Times'!$F205*0.000001)^2/(4*'D(Ti_Jollands) Times'!$C205)/(365.35*24*3600)</f>
        <v>252981.03692888614</v>
      </c>
      <c r="V205" s="2">
        <f>('L-Values'!R205*'D(Ti_Jollands) Times'!$F205*0.000001)^2/(4*'D(Ti_Jollands) Times'!$C205)/(365.35*24*3600)</f>
        <v>238666.01058166489</v>
      </c>
      <c r="W205" s="2">
        <f>('L-Values'!S205*'D(Ti_Jollands) Times'!$F205*0.000001)^2/(4*'D(Ti_Jollands) Times'!$C205)/(365.35*24*3600)</f>
        <v>234945.84367178509</v>
      </c>
      <c r="X205" s="2"/>
      <c r="Y205" s="2">
        <f>('L-Values'!U205*'D(Ti_Jollands) Times'!$F205*0.000001)^2/(4*'D(Ti_Jollands) Times'!$C205)/(365.35*24*3600)</f>
        <v>242622.78252860392</v>
      </c>
      <c r="Z205" s="2">
        <f>('L-Values'!V205*'D(Ti_Jollands) Times'!$F205*0.000001)^2/(4*'D(Ti_Jollands) Times'!$C205)/(365.35*24*3600)</f>
        <v>237725.1758457128</v>
      </c>
      <c r="AA205" s="2">
        <f>('L-Values'!W205*'D(Ti_Jollands) Times'!$F205*0.000001)^2/(4*'D(Ti_Jollands) Times'!$C205)/(365.35*24*3600)</f>
        <v>70700.786080133199</v>
      </c>
      <c r="AB205" s="2">
        <f>('L-Values'!X205*'D(Ti_Jollands) Times'!$F205*0.000001)^2/(4*'D(Ti_Jollands) Times'!$C205)/(365.35*24*3600)</f>
        <v>531603.90355766285</v>
      </c>
      <c r="AC205" s="2">
        <f t="shared" si="14"/>
        <v>167024.3897655796</v>
      </c>
      <c r="AD205" s="2">
        <f t="shared" si="15"/>
        <v>293878.72771195008</v>
      </c>
    </row>
    <row r="206" spans="1:30" x14ac:dyDescent="0.2">
      <c r="A206" t="str">
        <f>'L-Values'!A206</f>
        <v>CGI011-qtz02-CL-fit-5-offset</v>
      </c>
      <c r="B206">
        <v>750</v>
      </c>
      <c r="C206">
        <f t="shared" si="12"/>
        <v>6.6965312637759184E-25</v>
      </c>
      <c r="D206">
        <v>1600</v>
      </c>
      <c r="E206">
        <v>1024</v>
      </c>
      <c r="F206">
        <f t="shared" si="13"/>
        <v>1.5625</v>
      </c>
      <c r="I206" s="2">
        <f>('L-Values'!E206*'D(Ti_Jollands) Times'!$F206*0.000001)^2/(4*'D(Ti_Jollands) Times'!$C206)/(365.35*24*3600)</f>
        <v>21164.463843888014</v>
      </c>
      <c r="J206" s="2">
        <f>('L-Values'!F206*'D(Ti_Jollands) Times'!$F206*0.000001)^2/(4*'D(Ti_Jollands) Times'!$C206)/(365.35*24*3600)</f>
        <v>41624.413326583439</v>
      </c>
      <c r="K206" s="2">
        <f>('L-Values'!G206*'D(Ti_Jollands) Times'!$F206*0.000001)^2/(4*'D(Ti_Jollands) Times'!$C206)/(365.35*24*3600)</f>
        <v>38978.451675052202</v>
      </c>
      <c r="L206" s="2">
        <f>('L-Values'!H206*'D(Ti_Jollands) Times'!$F206*0.000001)^2/(4*'D(Ti_Jollands) Times'!$C206)/(365.35*24*3600)</f>
        <v>31893.085742929085</v>
      </c>
      <c r="M206" s="2">
        <f>('L-Values'!I206*'D(Ti_Jollands) Times'!$F206*0.000001)^2/(4*'D(Ti_Jollands) Times'!$C206)/(365.35*24*3600)</f>
        <v>67921.577832792333</v>
      </c>
      <c r="N206" s="2">
        <f>('L-Values'!J206*'D(Ti_Jollands) Times'!$F206*0.000001)^2/(4*'D(Ti_Jollands) Times'!$C206)/(365.35*24*3600)</f>
        <v>24961.644774311713</v>
      </c>
      <c r="O206" s="2">
        <f>('L-Values'!K206*'D(Ti_Jollands) Times'!$F206*0.000001)^2/(4*'D(Ti_Jollands) Times'!$C206)/(365.35*24*3600)</f>
        <v>139400.40078836057</v>
      </c>
      <c r="P206" s="2">
        <f>('L-Values'!L206*'D(Ti_Jollands) Times'!$F206*0.000001)^2/(4*'D(Ti_Jollands) Times'!$C206)/(365.35*24*3600)</f>
        <v>79902.049852585696</v>
      </c>
      <c r="Q206" s="2">
        <f>('L-Values'!M206*'D(Ti_Jollands) Times'!$F206*0.000001)^2/(4*'D(Ti_Jollands) Times'!$C206)/(365.35*24*3600)</f>
        <v>117654.23649613858</v>
      </c>
      <c r="R206" s="2">
        <f>('L-Values'!N206*'D(Ti_Jollands) Times'!$F206*0.000001)^2/(4*'D(Ti_Jollands) Times'!$C206)/(365.35*24*3600)</f>
        <v>30552.851932856931</v>
      </c>
      <c r="S206" s="2">
        <f>('L-Values'!O206*'D(Ti_Jollands) Times'!$F206*0.000001)^2/(4*'D(Ti_Jollands) Times'!$C206)/(365.35*24*3600)</f>
        <v>275.44113091930467</v>
      </c>
      <c r="T206" s="2"/>
      <c r="U206" s="2">
        <f>('L-Values'!Q206*'D(Ti_Jollands) Times'!$F206*0.000001)^2/(4*'D(Ti_Jollands) Times'!$C206)/(365.35*24*3600)</f>
        <v>63190.008530850428</v>
      </c>
      <c r="V206" s="2">
        <f>('L-Values'!R206*'D(Ti_Jollands) Times'!$F206*0.000001)^2/(4*'D(Ti_Jollands) Times'!$C206)/(365.35*24*3600)</f>
        <v>45042.648066337686</v>
      </c>
      <c r="W206" s="2">
        <f>('L-Values'!S206*'D(Ti_Jollands) Times'!$F206*0.000001)^2/(4*'D(Ti_Jollands) Times'!$C206)/(365.35*24*3600)</f>
        <v>38978.451675052202</v>
      </c>
      <c r="X206" s="2"/>
      <c r="Y206" s="2">
        <f>('L-Values'!U206*'D(Ti_Jollands) Times'!$F206*0.000001)^2/(4*'D(Ti_Jollands) Times'!$C206)/(365.35*24*3600)</f>
        <v>56024.642540527857</v>
      </c>
      <c r="Z206" s="2">
        <f>('L-Values'!V206*'D(Ti_Jollands) Times'!$F206*0.000001)^2/(4*'D(Ti_Jollands) Times'!$C206)/(365.35*24*3600)</f>
        <v>57853.389078996006</v>
      </c>
      <c r="AA206" s="2">
        <f>('L-Values'!W206*'D(Ti_Jollands) Times'!$F206*0.000001)^2/(4*'D(Ti_Jollands) Times'!$C206)/(365.35*24*3600)</f>
        <v>1945.3691792778263</v>
      </c>
      <c r="AB206" s="2">
        <f>('L-Values'!X206*'D(Ti_Jollands) Times'!$F206*0.000001)^2/(4*'D(Ti_Jollands) Times'!$C206)/(365.35*24*3600)</f>
        <v>214682.61583727045</v>
      </c>
      <c r="AC206" s="2">
        <f t="shared" si="14"/>
        <v>55908.01989971818</v>
      </c>
      <c r="AD206" s="2">
        <f t="shared" si="15"/>
        <v>156829.22675827445</v>
      </c>
    </row>
    <row r="207" spans="1:30" x14ac:dyDescent="0.2">
      <c r="A207" t="str">
        <f>'L-Values'!A207</f>
        <v>CGI011-qtz03-CL-fit-1-offset</v>
      </c>
      <c r="B207">
        <v>750</v>
      </c>
      <c r="C207">
        <f t="shared" si="12"/>
        <v>6.6965312637759184E-25</v>
      </c>
      <c r="D207">
        <v>1550</v>
      </c>
      <c r="E207">
        <v>1024</v>
      </c>
      <c r="F207">
        <f t="shared" si="13"/>
        <v>1.513671875</v>
      </c>
      <c r="I207" s="2">
        <f>('L-Values'!E207*'D(Ti_Jollands) Times'!$F207*0.000001)^2/(4*'D(Ti_Jollands) Times'!$C207)/(365.35*24*3600)</f>
        <v>3417300.085527454</v>
      </c>
      <c r="J207" s="2">
        <f>('L-Values'!F207*'D(Ti_Jollands) Times'!$F207*0.000001)^2/(4*'D(Ti_Jollands) Times'!$C207)/(365.35*24*3600)</f>
        <v>1637756.9454375077</v>
      </c>
      <c r="K207" s="2">
        <f>('L-Values'!G207*'D(Ti_Jollands) Times'!$F207*0.000001)^2/(4*'D(Ti_Jollands) Times'!$C207)/(365.35*24*3600)</f>
        <v>3159788.2955363714</v>
      </c>
      <c r="L207" s="2">
        <f>('L-Values'!H207*'D(Ti_Jollands) Times'!$F207*0.000001)^2/(4*'D(Ti_Jollands) Times'!$C207)/(365.35*24*3600)</f>
        <v>1221458.8651460153</v>
      </c>
      <c r="M207" s="2">
        <f>('L-Values'!I207*'D(Ti_Jollands) Times'!$F207*0.000001)^2/(4*'D(Ti_Jollands) Times'!$C207)/(365.35*24*3600)</f>
        <v>1449633.4334241971</v>
      </c>
      <c r="N207" s="2">
        <f>('L-Values'!J207*'D(Ti_Jollands) Times'!$F207*0.000001)^2/(4*'D(Ti_Jollands) Times'!$C207)/(365.35*24*3600)</f>
        <v>1436383.0792132728</v>
      </c>
      <c r="O207" s="2">
        <f>('L-Values'!K207*'D(Ti_Jollands) Times'!$F207*0.000001)^2/(4*'D(Ti_Jollands) Times'!$C207)/(365.35*24*3600)</f>
        <v>1179004.9543224727</v>
      </c>
      <c r="P207" s="2">
        <f>('L-Values'!L207*'D(Ti_Jollands) Times'!$F207*0.000001)^2/(4*'D(Ti_Jollands) Times'!$C207)/(365.35*24*3600)</f>
        <v>957651.21952004137</v>
      </c>
      <c r="Q207" s="2">
        <f>('L-Values'!M207*'D(Ti_Jollands) Times'!$F207*0.000001)^2/(4*'D(Ti_Jollands) Times'!$C207)/(365.35*24*3600)</f>
        <v>1050072.2370545599</v>
      </c>
      <c r="R207" s="2">
        <f>('L-Values'!N207*'D(Ti_Jollands) Times'!$F207*0.000001)^2/(4*'D(Ti_Jollands) Times'!$C207)/(365.35*24*3600)</f>
        <v>1166465.7781911371</v>
      </c>
      <c r="S207" s="2">
        <f>('L-Values'!O207*'D(Ti_Jollands) Times'!$F207*0.000001)^2/(4*'D(Ti_Jollands) Times'!$C207)/(365.35*24*3600)</f>
        <v>1536113.2481626819</v>
      </c>
      <c r="T207" s="2"/>
      <c r="U207" s="2">
        <f>('L-Values'!Q207*'D(Ti_Jollands) Times'!$F207*0.000001)^2/(4*'D(Ti_Jollands) Times'!$C207)/(365.35*24*3600)</f>
        <v>1507315.3792917072</v>
      </c>
      <c r="V207" s="2">
        <f>('L-Values'!R207*'D(Ti_Jollands) Times'!$F207*0.000001)^2/(4*'D(Ti_Jollands) Times'!$C207)/(365.35*24*3600)</f>
        <v>1578951.1170894196</v>
      </c>
      <c r="W207" s="2">
        <f>('L-Values'!S207*'D(Ti_Jollands) Times'!$F207*0.000001)^2/(4*'D(Ti_Jollands) Times'!$C207)/(365.35*24*3600)</f>
        <v>1436383.0792132728</v>
      </c>
      <c r="X207" s="2"/>
      <c r="Y207" s="2">
        <f>('L-Values'!U207*'D(Ti_Jollands) Times'!$F207*0.000001)^2/(4*'D(Ti_Jollands) Times'!$C207)/(365.35*24*3600)</f>
        <v>1485602.0539324242</v>
      </c>
      <c r="Z207" s="2">
        <f>('L-Values'!V207*'D(Ti_Jollands) Times'!$F207*0.000001)^2/(4*'D(Ti_Jollands) Times'!$C207)/(365.35*24*3600)</f>
        <v>1509750.9069757881</v>
      </c>
      <c r="AA207" s="2">
        <f>('L-Values'!W207*'D(Ti_Jollands) Times'!$F207*0.000001)^2/(4*'D(Ti_Jollands) Times'!$C207)/(365.35*24*3600)</f>
        <v>898973.45522692252</v>
      </c>
      <c r="AB207" s="2">
        <f>('L-Values'!X207*'D(Ti_Jollands) Times'!$F207*0.000001)^2/(4*'D(Ti_Jollands) Times'!$C207)/(365.35*24*3600)</f>
        <v>2438604.8382359953</v>
      </c>
      <c r="AC207" s="2">
        <f t="shared" si="14"/>
        <v>610777.45174886554</v>
      </c>
      <c r="AD207" s="2">
        <f t="shared" si="15"/>
        <v>928853.9312602072</v>
      </c>
    </row>
    <row r="208" spans="1:30" x14ac:dyDescent="0.2">
      <c r="A208" t="str">
        <f>'L-Values'!A208</f>
        <v>CGI011-qtz03-CL-fit-2-offset</v>
      </c>
      <c r="B208">
        <v>750</v>
      </c>
      <c r="C208">
        <f t="shared" si="12"/>
        <v>6.6965312637759184E-25</v>
      </c>
      <c r="D208">
        <v>1550</v>
      </c>
      <c r="E208">
        <v>1024</v>
      </c>
      <c r="F208">
        <f t="shared" si="13"/>
        <v>1.513671875</v>
      </c>
      <c r="I208" s="2">
        <f>('L-Values'!E208*'D(Ti_Jollands) Times'!$F208*0.000001)^2/(4*'D(Ti_Jollands) Times'!$C208)/(365.35*24*3600)</f>
        <v>551524.02451846737</v>
      </c>
      <c r="J208" s="2">
        <f>('L-Values'!F208*'D(Ti_Jollands) Times'!$F208*0.000001)^2/(4*'D(Ti_Jollands) Times'!$C208)/(365.35*24*3600)</f>
        <v>1152996.4153958112</v>
      </c>
      <c r="K208" s="2">
        <f>('L-Values'!G208*'D(Ti_Jollands) Times'!$F208*0.000001)^2/(4*'D(Ti_Jollands) Times'!$C208)/(365.35*24*3600)</f>
        <v>1035497.2050811339</v>
      </c>
      <c r="L208" s="2">
        <f>('L-Values'!H208*'D(Ti_Jollands) Times'!$F208*0.000001)^2/(4*'D(Ti_Jollands) Times'!$C208)/(365.35*24*3600)</f>
        <v>701530.6017247861</v>
      </c>
      <c r="M208" s="2">
        <f>('L-Values'!I208*'D(Ti_Jollands) Times'!$F208*0.000001)^2/(4*'D(Ti_Jollands) Times'!$C208)/(365.35*24*3600)</f>
        <v>857468.99333716242</v>
      </c>
      <c r="N208" s="2">
        <f>('L-Values'!J208*'D(Ti_Jollands) Times'!$F208*0.000001)^2/(4*'D(Ti_Jollands) Times'!$C208)/(365.35*24*3600)</f>
        <v>1339989.3983632331</v>
      </c>
      <c r="O208" s="2">
        <f>('L-Values'!K208*'D(Ti_Jollands) Times'!$F208*0.000001)^2/(4*'D(Ti_Jollands) Times'!$C208)/(365.35*24*3600)</f>
        <v>897782.35064414202</v>
      </c>
      <c r="P208" s="2">
        <f>('L-Values'!L208*'D(Ti_Jollands) Times'!$F208*0.000001)^2/(4*'D(Ti_Jollands) Times'!$C208)/(365.35*24*3600)</f>
        <v>814314.87784501002</v>
      </c>
      <c r="Q208" s="2">
        <f>('L-Values'!M208*'D(Ti_Jollands) Times'!$F208*0.000001)^2/(4*'D(Ti_Jollands) Times'!$C208)/(365.35*24*3600)</f>
        <v>89660.045448881094</v>
      </c>
      <c r="R208" s="2">
        <f>('L-Values'!N208*'D(Ti_Jollands) Times'!$F208*0.000001)^2/(4*'D(Ti_Jollands) Times'!$C208)/(365.35*24*3600)</f>
        <v>1346382.3688625558</v>
      </c>
      <c r="S208" s="2">
        <f>('L-Values'!O208*'D(Ti_Jollands) Times'!$F208*0.000001)^2/(4*'D(Ti_Jollands) Times'!$C208)/(365.35*24*3600)</f>
        <v>860980.03553225717</v>
      </c>
      <c r="T208" s="2"/>
      <c r="U208" s="2">
        <f>('L-Values'!Q208*'D(Ti_Jollands) Times'!$F208*0.000001)^2/(4*'D(Ti_Jollands) Times'!$C208)/(365.35*24*3600)</f>
        <v>896093.76093731821</v>
      </c>
      <c r="V208" s="2">
        <f>('L-Values'!R208*'D(Ti_Jollands) Times'!$F208*0.000001)^2/(4*'D(Ti_Jollands) Times'!$C208)/(365.35*24*3600)</f>
        <v>825245.82987767179</v>
      </c>
      <c r="W208" s="2">
        <f>('L-Values'!S208*'D(Ti_Jollands) Times'!$F208*0.000001)^2/(4*'D(Ti_Jollands) Times'!$C208)/(365.35*24*3600)</f>
        <v>860980.03553225717</v>
      </c>
      <c r="X208" s="2"/>
      <c r="Y208" s="2">
        <f>('L-Values'!U208*'D(Ti_Jollands) Times'!$F208*0.000001)^2/(4*'D(Ti_Jollands) Times'!$C208)/(365.35*24*3600)</f>
        <v>843998.39922421391</v>
      </c>
      <c r="Z208" s="2">
        <f>('L-Values'!V208*'D(Ti_Jollands) Times'!$F208*0.000001)^2/(4*'D(Ti_Jollands) Times'!$C208)/(365.35*24*3600)</f>
        <v>865326.04165468598</v>
      </c>
      <c r="AA208" s="2">
        <f>('L-Values'!W208*'D(Ti_Jollands) Times'!$F208*0.000001)^2/(4*'D(Ti_Jollands) Times'!$C208)/(365.35*24*3600)</f>
        <v>484864.17212692258</v>
      </c>
      <c r="AB208" s="2">
        <f>('L-Values'!X208*'D(Ti_Jollands) Times'!$F208*0.000001)^2/(4*'D(Ti_Jollands) Times'!$C208)/(365.35*24*3600)</f>
        <v>1508602.7088570951</v>
      </c>
      <c r="AC208" s="2">
        <f t="shared" si="14"/>
        <v>380461.8695277634</v>
      </c>
      <c r="AD208" s="2">
        <f t="shared" si="15"/>
        <v>643276.66720240912</v>
      </c>
    </row>
    <row r="209" spans="1:30" x14ac:dyDescent="0.2">
      <c r="A209" t="str">
        <f>'L-Values'!A209</f>
        <v>CGI011-qtz03-CL-fit-3-offset</v>
      </c>
      <c r="B209">
        <v>750</v>
      </c>
      <c r="C209">
        <f t="shared" si="12"/>
        <v>6.6965312637759184E-25</v>
      </c>
      <c r="D209">
        <v>1550</v>
      </c>
      <c r="E209">
        <v>1024</v>
      </c>
      <c r="F209">
        <f t="shared" si="13"/>
        <v>1.513671875</v>
      </c>
      <c r="I209" s="2">
        <f>('L-Values'!E209*'D(Ti_Jollands) Times'!$F209*0.000001)^2/(4*'D(Ti_Jollands) Times'!$C209)/(365.35*24*3600)</f>
        <v>269890.65575158788</v>
      </c>
      <c r="J209" s="2">
        <f>('L-Values'!F209*'D(Ti_Jollands) Times'!$F209*0.000001)^2/(4*'D(Ti_Jollands) Times'!$C209)/(365.35*24*3600)</f>
        <v>162785.60055842361</v>
      </c>
      <c r="K209" s="2">
        <f>('L-Values'!G209*'D(Ti_Jollands) Times'!$F209*0.000001)^2/(4*'D(Ti_Jollands) Times'!$C209)/(365.35*24*3600)</f>
        <v>166655.26206953052</v>
      </c>
      <c r="L209" s="2">
        <f>('L-Values'!H209*'D(Ti_Jollands) Times'!$F209*0.000001)^2/(4*'D(Ti_Jollands) Times'!$C209)/(365.35*24*3600)</f>
        <v>183006.52436428741</v>
      </c>
      <c r="M209" s="2">
        <f>('L-Values'!I209*'D(Ti_Jollands) Times'!$F209*0.000001)^2/(4*'D(Ti_Jollands) Times'!$C209)/(365.35*24*3600)</f>
        <v>341842.12604277919</v>
      </c>
      <c r="N209" s="2">
        <f>('L-Values'!J209*'D(Ti_Jollands) Times'!$F209*0.000001)^2/(4*'D(Ti_Jollands) Times'!$C209)/(365.35*24*3600)</f>
        <v>345056.73049152631</v>
      </c>
      <c r="O209" s="2">
        <f>('L-Values'!K209*'D(Ti_Jollands) Times'!$F209*0.000001)^2/(4*'D(Ti_Jollands) Times'!$C209)/(365.35*24*3600)</f>
        <v>278782.81566683506</v>
      </c>
      <c r="P209" s="2">
        <f>('L-Values'!L209*'D(Ti_Jollands) Times'!$F209*0.000001)^2/(4*'D(Ti_Jollands) Times'!$C209)/(365.35*24*3600)</f>
        <v>300686.53789876058</v>
      </c>
      <c r="Q209" s="2">
        <f>('L-Values'!M209*'D(Ti_Jollands) Times'!$F209*0.000001)^2/(4*'D(Ti_Jollands) Times'!$C209)/(365.35*24*3600)</f>
        <v>213275.08242766149</v>
      </c>
      <c r="R209" s="2">
        <f>('L-Values'!N209*'D(Ti_Jollands) Times'!$F209*0.000001)^2/(4*'D(Ti_Jollands) Times'!$C209)/(365.35*24*3600)</f>
        <v>295811.70207365236</v>
      </c>
      <c r="S209" s="2">
        <f>('L-Values'!O209*'D(Ti_Jollands) Times'!$F209*0.000001)^2/(4*'D(Ti_Jollands) Times'!$C209)/(365.35*24*3600)</f>
        <v>243094.2266992298</v>
      </c>
      <c r="T209" s="2"/>
      <c r="U209" s="2">
        <f>('L-Values'!Q209*'D(Ti_Jollands) Times'!$F209*0.000001)^2/(4*'D(Ti_Jollands) Times'!$C209)/(365.35*24*3600)</f>
        <v>250457.78783384789</v>
      </c>
      <c r="V209" s="2">
        <f>('L-Values'!R209*'D(Ti_Jollands) Times'!$F209*0.000001)^2/(4*'D(Ti_Jollands) Times'!$C209)/(365.35*24*3600)</f>
        <v>250562.90333646917</v>
      </c>
      <c r="W209" s="2">
        <f>('L-Values'!S209*'D(Ti_Jollands) Times'!$F209*0.000001)^2/(4*'D(Ti_Jollands) Times'!$C209)/(365.35*24*3600)</f>
        <v>269890.65575158788</v>
      </c>
      <c r="X209" s="2"/>
      <c r="Y209" s="2">
        <f>('L-Values'!U209*'D(Ti_Jollands) Times'!$F209*0.000001)^2/(4*'D(Ti_Jollands) Times'!$C209)/(365.35*24*3600)</f>
        <v>238799.16683317543</v>
      </c>
      <c r="Z209" s="2">
        <f>('L-Values'!V209*'D(Ti_Jollands) Times'!$F209*0.000001)^2/(4*'D(Ti_Jollands) Times'!$C209)/(365.35*24*3600)</f>
        <v>239752.50073259984</v>
      </c>
      <c r="AA209" s="2">
        <f>('L-Values'!W209*'D(Ti_Jollands) Times'!$F209*0.000001)^2/(4*'D(Ti_Jollands) Times'!$C209)/(365.35*24*3600)</f>
        <v>138389.3949048284</v>
      </c>
      <c r="AB209" s="2">
        <f>('L-Values'!X209*'D(Ti_Jollands) Times'!$F209*0.000001)^2/(4*'D(Ti_Jollands) Times'!$C209)/(365.35*24*3600)</f>
        <v>399800.02236847242</v>
      </c>
      <c r="AC209" s="2">
        <f t="shared" si="14"/>
        <v>101363.10582777145</v>
      </c>
      <c r="AD209" s="2">
        <f t="shared" si="15"/>
        <v>160047.52163587257</v>
      </c>
    </row>
    <row r="210" spans="1:30" x14ac:dyDescent="0.2">
      <c r="A210" t="str">
        <f>'L-Values'!A210</f>
        <v>CGI011-qtz04-CL-fit-1-offset</v>
      </c>
      <c r="B210">
        <v>750</v>
      </c>
      <c r="C210">
        <f t="shared" si="12"/>
        <v>6.6965312637759184E-25</v>
      </c>
      <c r="D210">
        <v>1800</v>
      </c>
      <c r="E210">
        <v>1024</v>
      </c>
      <c r="F210">
        <f t="shared" si="13"/>
        <v>1.7578125</v>
      </c>
      <c r="I210" s="2">
        <f>('L-Values'!E210*'D(Ti_Jollands) Times'!$F210*0.000001)^2/(4*'D(Ti_Jollands) Times'!$C210)/(365.35*24*3600)</f>
        <v>615494.86660356261</v>
      </c>
      <c r="J210" s="2">
        <f>('L-Values'!F210*'D(Ti_Jollands) Times'!$F210*0.000001)^2/(4*'D(Ti_Jollands) Times'!$C210)/(365.35*24*3600)</f>
        <v>143593.73178365719</v>
      </c>
      <c r="K210" s="2">
        <f>('L-Values'!G210*'D(Ti_Jollands) Times'!$F210*0.000001)^2/(4*'D(Ti_Jollands) Times'!$C210)/(365.35*24*3600)</f>
        <v>212097.83429913202</v>
      </c>
      <c r="L210" s="2">
        <f>('L-Values'!H210*'D(Ti_Jollands) Times'!$F210*0.000001)^2/(4*'D(Ti_Jollands) Times'!$C210)/(365.35*24*3600)</f>
        <v>500017.40531367663</v>
      </c>
      <c r="M210" s="2">
        <f>('L-Values'!I210*'D(Ti_Jollands) Times'!$F210*0.000001)^2/(4*'D(Ti_Jollands) Times'!$C210)/(365.35*24*3600)</f>
        <v>887137.86898725084</v>
      </c>
      <c r="N210" s="2">
        <f>('L-Values'!J210*'D(Ti_Jollands) Times'!$F210*0.000001)^2/(4*'D(Ti_Jollands) Times'!$C210)/(365.35*24*3600)</f>
        <v>307117.15580860851</v>
      </c>
      <c r="O210" s="2">
        <f>('L-Values'!K210*'D(Ti_Jollands) Times'!$F210*0.000001)^2/(4*'D(Ti_Jollands) Times'!$C210)/(365.35*24*3600)</f>
        <v>1036632.9397162137</v>
      </c>
      <c r="P210" s="2">
        <f>('L-Values'!L210*'D(Ti_Jollands) Times'!$F210*0.000001)^2/(4*'D(Ti_Jollands) Times'!$C210)/(365.35*24*3600)</f>
        <v>307956.49184809078</v>
      </c>
      <c r="Q210" s="2">
        <f>('L-Values'!M210*'D(Ti_Jollands) Times'!$F210*0.000001)^2/(4*'D(Ti_Jollands) Times'!$C210)/(365.35*24*3600)</f>
        <v>318847.96731026622</v>
      </c>
      <c r="R210" s="2">
        <f>('L-Values'!N210*'D(Ti_Jollands) Times'!$F210*0.000001)^2/(4*'D(Ti_Jollands) Times'!$C210)/(365.35*24*3600)</f>
        <v>415164.34614908992</v>
      </c>
      <c r="S210" s="2">
        <f>('L-Values'!O210*'D(Ti_Jollands) Times'!$F210*0.000001)^2/(4*'D(Ti_Jollands) Times'!$C210)/(365.35*24*3600)</f>
        <v>886905.61648443306</v>
      </c>
      <c r="T210" s="2"/>
      <c r="U210" s="2">
        <f>('L-Values'!Q210*'D(Ti_Jollands) Times'!$F210*0.000001)^2/(4*'D(Ti_Jollands) Times'!$C210)/(365.35*24*3600)</f>
        <v>415911.73750170361</v>
      </c>
      <c r="V210" s="2">
        <f>('L-Values'!R210*'D(Ti_Jollands) Times'!$F210*0.000001)^2/(4*'D(Ti_Jollands) Times'!$C210)/(365.35*24*3600)</f>
        <v>471224.73790099582</v>
      </c>
      <c r="W210" s="2">
        <f>('L-Values'!S210*'D(Ti_Jollands) Times'!$F210*0.000001)^2/(4*'D(Ti_Jollands) Times'!$C210)/(365.35*24*3600)</f>
        <v>415164.34614908992</v>
      </c>
      <c r="X210" s="2"/>
      <c r="Y210" s="2">
        <f>('L-Values'!U210*'D(Ti_Jollands) Times'!$F210*0.000001)^2/(4*'D(Ti_Jollands) Times'!$C210)/(365.35*24*3600)</f>
        <v>379803.854419343</v>
      </c>
      <c r="Z210" s="2">
        <f>('L-Values'!V210*'D(Ti_Jollands) Times'!$F210*0.000001)^2/(4*'D(Ti_Jollands) Times'!$C210)/(365.35*24*3600)</f>
        <v>425382.45236315049</v>
      </c>
      <c r="AA210" s="2">
        <f>('L-Values'!W210*'D(Ti_Jollands) Times'!$F210*0.000001)^2/(4*'D(Ti_Jollands) Times'!$C210)/(365.35*24*3600)</f>
        <v>139550.86208834633</v>
      </c>
      <c r="AB210" s="2">
        <f>('L-Values'!X210*'D(Ti_Jollands) Times'!$F210*0.000001)^2/(4*'D(Ti_Jollands) Times'!$C210)/(365.35*24*3600)</f>
        <v>1269742.0392175685</v>
      </c>
      <c r="AC210" s="2">
        <f t="shared" si="14"/>
        <v>285831.59027480416</v>
      </c>
      <c r="AD210" s="2">
        <f t="shared" si="15"/>
        <v>844359.58685441804</v>
      </c>
    </row>
    <row r="211" spans="1:30" x14ac:dyDescent="0.2">
      <c r="A211" t="str">
        <f>'L-Values'!A211</f>
        <v>CGI011-qtz04-CL-fit-2-offset</v>
      </c>
      <c r="B211">
        <v>750</v>
      </c>
      <c r="C211">
        <f t="shared" si="12"/>
        <v>6.6965312637759184E-25</v>
      </c>
      <c r="D211">
        <v>1800</v>
      </c>
      <c r="E211">
        <v>1024</v>
      </c>
      <c r="F211">
        <f t="shared" si="13"/>
        <v>1.7578125</v>
      </c>
      <c r="I211" s="2">
        <f>('L-Values'!E211*'D(Ti_Jollands) Times'!$F211*0.000001)^2/(4*'D(Ti_Jollands) Times'!$C211)/(365.35*24*3600)</f>
        <v>228629.5188144976</v>
      </c>
      <c r="J211" s="2">
        <f>('L-Values'!F211*'D(Ti_Jollands) Times'!$F211*0.000001)^2/(4*'D(Ti_Jollands) Times'!$C211)/(365.35*24*3600)</f>
        <v>323283.20804158482</v>
      </c>
      <c r="K211" s="2">
        <f>('L-Values'!G211*'D(Ti_Jollands) Times'!$F211*0.000001)^2/(4*'D(Ti_Jollands) Times'!$C211)/(365.35*24*3600)</f>
        <v>93622.80940155017</v>
      </c>
      <c r="L211" s="2">
        <f>('L-Values'!H211*'D(Ti_Jollands) Times'!$F211*0.000001)^2/(4*'D(Ti_Jollands) Times'!$C211)/(365.35*24*3600)</f>
        <v>372484.61075747863</v>
      </c>
      <c r="M211" s="2">
        <f>('L-Values'!I211*'D(Ti_Jollands) Times'!$F211*0.000001)^2/(4*'D(Ti_Jollands) Times'!$C211)/(365.35*24*3600)</f>
        <v>233191.96148518022</v>
      </c>
      <c r="N211" s="2">
        <f>('L-Values'!J211*'D(Ti_Jollands) Times'!$F211*0.000001)^2/(4*'D(Ti_Jollands) Times'!$C211)/(365.35*24*3600)</f>
        <v>73056.296356326959</v>
      </c>
      <c r="O211" s="2">
        <f>('L-Values'!K211*'D(Ti_Jollands) Times'!$F211*0.000001)^2/(4*'D(Ti_Jollands) Times'!$C211)/(365.35*24*3600)</f>
        <v>203399.04229342489</v>
      </c>
      <c r="P211" s="2">
        <f>('L-Values'!L211*'D(Ti_Jollands) Times'!$F211*0.000001)^2/(4*'D(Ti_Jollands) Times'!$C211)/(365.35*24*3600)</f>
        <v>353279.86865560163</v>
      </c>
      <c r="Q211" s="2">
        <f>('L-Values'!M211*'D(Ti_Jollands) Times'!$F211*0.000001)^2/(4*'D(Ti_Jollands) Times'!$C211)/(365.35*24*3600)</f>
        <v>757767.95606523252</v>
      </c>
      <c r="R211" s="2">
        <f>('L-Values'!N211*'D(Ti_Jollands) Times'!$F211*0.000001)^2/(4*'D(Ti_Jollands) Times'!$C211)/(365.35*24*3600)</f>
        <v>92805.551888092305</v>
      </c>
      <c r="S211" s="2">
        <f>('L-Values'!O211*'D(Ti_Jollands) Times'!$F211*0.000001)^2/(4*'D(Ti_Jollands) Times'!$C211)/(365.35*24*3600)</f>
        <v>251895.03540452974</v>
      </c>
      <c r="T211" s="2"/>
      <c r="U211" s="2">
        <f>('L-Values'!Q211*'D(Ti_Jollands) Times'!$F211*0.000001)^2/(4*'D(Ti_Jollands) Times'!$C211)/(365.35*24*3600)</f>
        <v>230483.56591732166</v>
      </c>
      <c r="V211" s="2">
        <f>('L-Values'!R211*'D(Ti_Jollands) Times'!$F211*0.000001)^2/(4*'D(Ti_Jollands) Times'!$C211)/(365.35*24*3600)</f>
        <v>244450.78923660633</v>
      </c>
      <c r="W211" s="2">
        <f>('L-Values'!S211*'D(Ti_Jollands) Times'!$F211*0.000001)^2/(4*'D(Ti_Jollands) Times'!$C211)/(365.35*24*3600)</f>
        <v>233191.96148518022</v>
      </c>
      <c r="X211" s="2"/>
      <c r="Y211" s="2">
        <f>('L-Values'!U211*'D(Ti_Jollands) Times'!$F211*0.000001)^2/(4*'D(Ti_Jollands) Times'!$C211)/(365.35*24*3600)</f>
        <v>218418.15637636409</v>
      </c>
      <c r="Z211" s="2">
        <f>('L-Values'!V211*'D(Ti_Jollands) Times'!$F211*0.000001)^2/(4*'D(Ti_Jollands) Times'!$C211)/(365.35*24*3600)</f>
        <v>214564.12910632894</v>
      </c>
      <c r="AA211" s="2">
        <f>('L-Values'!W211*'D(Ti_Jollands) Times'!$F211*0.000001)^2/(4*'D(Ti_Jollands) Times'!$C211)/(365.35*24*3600)</f>
        <v>5433.6797518101539</v>
      </c>
      <c r="AB211" s="2">
        <f>('L-Values'!X211*'D(Ti_Jollands) Times'!$F211*0.000001)^2/(4*'D(Ti_Jollands) Times'!$C211)/(365.35*24*3600)</f>
        <v>608404.92915232433</v>
      </c>
      <c r="AC211" s="2">
        <f t="shared" si="14"/>
        <v>209130.44935451879</v>
      </c>
      <c r="AD211" s="2">
        <f t="shared" si="15"/>
        <v>393840.80004599539</v>
      </c>
    </row>
    <row r="212" spans="1:30" x14ac:dyDescent="0.2">
      <c r="A212" t="str">
        <f>'L-Values'!A212</f>
        <v>CGI011-qtz04-CL-fit-3-offset</v>
      </c>
      <c r="B212">
        <v>750</v>
      </c>
      <c r="C212">
        <f t="shared" si="12"/>
        <v>6.6965312637759184E-25</v>
      </c>
      <c r="D212">
        <v>1800</v>
      </c>
      <c r="E212">
        <v>1024</v>
      </c>
      <c r="F212">
        <f t="shared" si="13"/>
        <v>1.7578125</v>
      </c>
      <c r="I212" s="2">
        <f>('L-Values'!E212*'D(Ti_Jollands) Times'!$F212*0.000001)^2/(4*'D(Ti_Jollands) Times'!$C212)/(365.35*24*3600)</f>
        <v>272037.19500900572</v>
      </c>
      <c r="J212" s="2">
        <f>('L-Values'!F212*'D(Ti_Jollands) Times'!$F212*0.000001)^2/(4*'D(Ti_Jollands) Times'!$C212)/(365.35*24*3600)</f>
        <v>488651.10583123227</v>
      </c>
      <c r="K212" s="2">
        <f>('L-Values'!G212*'D(Ti_Jollands) Times'!$F212*0.000001)^2/(4*'D(Ti_Jollands) Times'!$C212)/(365.35*24*3600)</f>
        <v>531744.39057063684</v>
      </c>
      <c r="L212" s="2">
        <f>('L-Values'!H212*'D(Ti_Jollands) Times'!$F212*0.000001)^2/(4*'D(Ti_Jollands) Times'!$C212)/(365.35*24*3600)</f>
        <v>442037.44391115231</v>
      </c>
      <c r="M212" s="2">
        <f>('L-Values'!I212*'D(Ti_Jollands) Times'!$F212*0.000001)^2/(4*'D(Ti_Jollands) Times'!$C212)/(365.35*24*3600)</f>
        <v>390457.40123866702</v>
      </c>
      <c r="N212" s="2">
        <f>('L-Values'!J212*'D(Ti_Jollands) Times'!$F212*0.000001)^2/(4*'D(Ti_Jollands) Times'!$C212)/(365.35*24*3600)</f>
        <v>612780.04442122951</v>
      </c>
      <c r="O212" s="2">
        <f>('L-Values'!K212*'D(Ti_Jollands) Times'!$F212*0.000001)^2/(4*'D(Ti_Jollands) Times'!$C212)/(365.35*24*3600)</f>
        <v>391867.90603900427</v>
      </c>
      <c r="P212" s="2">
        <f>('L-Values'!L212*'D(Ti_Jollands) Times'!$F212*0.000001)^2/(4*'D(Ti_Jollands) Times'!$C212)/(365.35*24*3600)</f>
        <v>467704.14590100909</v>
      </c>
      <c r="Q212" s="2">
        <f>('L-Values'!M212*'D(Ti_Jollands) Times'!$F212*0.000001)^2/(4*'D(Ti_Jollands) Times'!$C212)/(365.35*24*3600)</f>
        <v>277717.36310589279</v>
      </c>
      <c r="R212" s="2">
        <f>('L-Values'!N212*'D(Ti_Jollands) Times'!$F212*0.000001)^2/(4*'D(Ti_Jollands) Times'!$C212)/(365.35*24*3600)</f>
        <v>287838.47118863737</v>
      </c>
      <c r="S212" s="2">
        <f>('L-Values'!O212*'D(Ti_Jollands) Times'!$F212*0.000001)^2/(4*'D(Ti_Jollands) Times'!$C212)/(365.35*24*3600)</f>
        <v>400637.10496235907</v>
      </c>
      <c r="T212" s="2"/>
      <c r="U212" s="2">
        <f>('L-Values'!Q212*'D(Ti_Jollands) Times'!$F212*0.000001)^2/(4*'D(Ti_Jollands) Times'!$C212)/(365.35*24*3600)</f>
        <v>421325.28323379502</v>
      </c>
      <c r="V212" s="2">
        <f>('L-Values'!R212*'D(Ti_Jollands) Times'!$F212*0.000001)^2/(4*'D(Ti_Jollands) Times'!$C212)/(365.35*24*3600)</f>
        <v>408283.77517167322</v>
      </c>
      <c r="W212" s="2">
        <f>('L-Values'!S212*'D(Ti_Jollands) Times'!$F212*0.000001)^2/(4*'D(Ti_Jollands) Times'!$C212)/(365.35*24*3600)</f>
        <v>400637.10496235907</v>
      </c>
      <c r="X212" s="2"/>
      <c r="Y212" s="2">
        <f>('L-Values'!U212*'D(Ti_Jollands) Times'!$F212*0.000001)^2/(4*'D(Ti_Jollands) Times'!$C212)/(365.35*24*3600)</f>
        <v>419803.40600755491</v>
      </c>
      <c r="Z212" s="2">
        <f>('L-Values'!V212*'D(Ti_Jollands) Times'!$F212*0.000001)^2/(4*'D(Ti_Jollands) Times'!$C212)/(365.35*24*3600)</f>
        <v>420069.31676929828</v>
      </c>
      <c r="AA212" s="2">
        <f>('L-Values'!W212*'D(Ti_Jollands) Times'!$F212*0.000001)^2/(4*'D(Ti_Jollands) Times'!$C212)/(365.35*24*3600)</f>
        <v>226072.61167041774</v>
      </c>
      <c r="AB212" s="2">
        <f>('L-Values'!X212*'D(Ti_Jollands) Times'!$F212*0.000001)^2/(4*'D(Ti_Jollands) Times'!$C212)/(365.35*24*3600)</f>
        <v>717489.43023925775</v>
      </c>
      <c r="AC212" s="2">
        <f t="shared" si="14"/>
        <v>193996.70509888054</v>
      </c>
      <c r="AD212" s="2">
        <f t="shared" si="15"/>
        <v>297420.11346995947</v>
      </c>
    </row>
    <row r="213" spans="1:30" x14ac:dyDescent="0.2">
      <c r="A213" t="str">
        <f>'L-Values'!A213</f>
        <v>CGI011-qtz04-CL-fit-4-offset</v>
      </c>
      <c r="B213">
        <v>750</v>
      </c>
      <c r="C213">
        <f t="shared" si="12"/>
        <v>6.6965312637759184E-25</v>
      </c>
      <c r="D213">
        <v>1800</v>
      </c>
      <c r="E213">
        <v>1024</v>
      </c>
      <c r="F213">
        <f t="shared" si="13"/>
        <v>1.7578125</v>
      </c>
      <c r="I213" s="2">
        <f>('L-Values'!E213*'D(Ti_Jollands) Times'!$F213*0.000001)^2/(4*'D(Ti_Jollands) Times'!$C213)/(365.35*24*3600)</f>
        <v>162763.44785400713</v>
      </c>
      <c r="J213" s="2">
        <f>('L-Values'!F213*'D(Ti_Jollands) Times'!$F213*0.000001)^2/(4*'D(Ti_Jollands) Times'!$C213)/(365.35*24*3600)</f>
        <v>218744.72552875319</v>
      </c>
      <c r="K213" s="2">
        <f>('L-Values'!G213*'D(Ti_Jollands) Times'!$F213*0.000001)^2/(4*'D(Ti_Jollands) Times'!$C213)/(365.35*24*3600)</f>
        <v>181761.51814937839</v>
      </c>
      <c r="L213" s="2">
        <f>('L-Values'!H213*'D(Ti_Jollands) Times'!$F213*0.000001)^2/(4*'D(Ti_Jollands) Times'!$C213)/(365.35*24*3600)</f>
        <v>113279.85802022017</v>
      </c>
      <c r="M213" s="2">
        <f>('L-Values'!I213*'D(Ti_Jollands) Times'!$F213*0.000001)^2/(4*'D(Ti_Jollands) Times'!$C213)/(365.35*24*3600)</f>
        <v>173082.68925211375</v>
      </c>
      <c r="N213" s="2">
        <f>('L-Values'!J213*'D(Ti_Jollands) Times'!$F213*0.000001)^2/(4*'D(Ti_Jollands) Times'!$C213)/(365.35*24*3600)</f>
        <v>166958.56095413593</v>
      </c>
      <c r="O213" s="2">
        <f>('L-Values'!K213*'D(Ti_Jollands) Times'!$F213*0.000001)^2/(4*'D(Ti_Jollands) Times'!$C213)/(365.35*24*3600)</f>
        <v>263307.74016287515</v>
      </c>
      <c r="P213" s="2">
        <f>('L-Values'!L213*'D(Ti_Jollands) Times'!$F213*0.000001)^2/(4*'D(Ti_Jollands) Times'!$C213)/(365.35*24*3600)</f>
        <v>227746.76298611492</v>
      </c>
      <c r="Q213" s="2">
        <f>('L-Values'!M213*'D(Ti_Jollands) Times'!$F213*0.000001)^2/(4*'D(Ti_Jollands) Times'!$C213)/(365.35*24*3600)</f>
        <v>0</v>
      </c>
      <c r="R213" s="2">
        <f>('L-Values'!N213*'D(Ti_Jollands) Times'!$F213*0.000001)^2/(4*'D(Ti_Jollands) Times'!$C213)/(365.35*24*3600)</f>
        <v>586419.53659448086</v>
      </c>
      <c r="S213" s="2">
        <f>('L-Values'!O213*'D(Ti_Jollands) Times'!$F213*0.000001)^2/(4*'D(Ti_Jollands) Times'!$C213)/(365.35*24*3600)</f>
        <v>584934.576296182</v>
      </c>
      <c r="T213" s="2"/>
      <c r="U213" s="2">
        <f>('L-Values'!Q213*'D(Ti_Jollands) Times'!$F213*0.000001)^2/(4*'D(Ti_Jollands) Times'!$C213)/(365.35*24*3600)</f>
        <v>267071.68076768663</v>
      </c>
      <c r="V213" s="2">
        <f>('L-Values'!R213*'D(Ti_Jollands) Times'!$F213*0.000001)^2/(4*'D(Ti_Jollands) Times'!$C213)/(365.35*24*3600)</f>
        <v>247967.98563523908</v>
      </c>
      <c r="W213" s="2">
        <f>('L-Values'!S213*'D(Ti_Jollands) Times'!$F213*0.000001)^2/(4*'D(Ti_Jollands) Times'!$C213)/(365.35*24*3600)</f>
        <v>199825.32395006806</v>
      </c>
      <c r="X213" s="2"/>
      <c r="Y213" s="2">
        <f>('L-Values'!U213*'D(Ti_Jollands) Times'!$F213*0.000001)^2/(4*'D(Ti_Jollands) Times'!$C213)/(365.35*24*3600)</f>
        <v>257206.96898294843</v>
      </c>
      <c r="Z213" s="2">
        <f>('L-Values'!V213*'D(Ti_Jollands) Times'!$F213*0.000001)^2/(4*'D(Ti_Jollands) Times'!$C213)/(365.35*24*3600)</f>
        <v>263190.17940977745</v>
      </c>
      <c r="AA213" s="2">
        <f>('L-Values'!W213*'D(Ti_Jollands) Times'!$F213*0.000001)^2/(4*'D(Ti_Jollands) Times'!$C213)/(365.35*24*3600)</f>
        <v>68058.349868044839</v>
      </c>
      <c r="AB213" s="2">
        <f>('L-Values'!X213*'D(Ti_Jollands) Times'!$F213*0.000001)^2/(4*'D(Ti_Jollands) Times'!$C213)/(365.35*24*3600)</f>
        <v>602309.2911028245</v>
      </c>
      <c r="AC213" s="2">
        <f t="shared" si="14"/>
        <v>195131.82954173262</v>
      </c>
      <c r="AD213" s="2">
        <f t="shared" si="15"/>
        <v>339119.11169304705</v>
      </c>
    </row>
    <row r="214" spans="1:30" x14ac:dyDescent="0.2">
      <c r="A214" t="str">
        <f>'L-Values'!A214</f>
        <v>CGI011-qtz04-CL-fit-5-offset</v>
      </c>
      <c r="B214">
        <v>750</v>
      </c>
      <c r="C214">
        <f t="shared" si="12"/>
        <v>6.6965312637759184E-25</v>
      </c>
      <c r="D214">
        <v>1800</v>
      </c>
      <c r="E214">
        <v>1024</v>
      </c>
      <c r="F214">
        <f t="shared" si="13"/>
        <v>1.7578125</v>
      </c>
      <c r="I214" s="2">
        <f>('L-Values'!E214*'D(Ti_Jollands) Times'!$F214*0.000001)^2/(4*'D(Ti_Jollands) Times'!$C214)/(365.35*24*3600)</f>
        <v>17236.073536009611</v>
      </c>
      <c r="J214" s="2">
        <f>('L-Values'!F214*'D(Ti_Jollands) Times'!$F214*0.000001)^2/(4*'D(Ti_Jollands) Times'!$C214)/(365.35*24*3600)</f>
        <v>65651.397846865089</v>
      </c>
      <c r="K214" s="2">
        <f>('L-Values'!G214*'D(Ti_Jollands) Times'!$F214*0.000001)^2/(4*'D(Ti_Jollands) Times'!$C214)/(365.35*24*3600)</f>
        <v>2562.9155496881549</v>
      </c>
      <c r="L214" s="2">
        <f>('L-Values'!H214*'D(Ti_Jollands) Times'!$F214*0.000001)^2/(4*'D(Ti_Jollands) Times'!$C214)/(365.35*24*3600)</f>
        <v>41446.809326663344</v>
      </c>
      <c r="M214" s="2">
        <f>('L-Values'!I214*'D(Ti_Jollands) Times'!$F214*0.000001)^2/(4*'D(Ti_Jollands) Times'!$C214)/(365.35*24*3600)</f>
        <v>15656.457332601622</v>
      </c>
      <c r="N214" s="2">
        <f>('L-Values'!J214*'D(Ti_Jollands) Times'!$F214*0.000001)^2/(4*'D(Ti_Jollands) Times'!$C214)/(365.35*24*3600)</f>
        <v>37168.471051822962</v>
      </c>
      <c r="O214" s="2">
        <f>('L-Values'!K214*'D(Ti_Jollands) Times'!$F214*0.000001)^2/(4*'D(Ti_Jollands) Times'!$C214)/(365.35*24*3600)</f>
        <v>86719.223105363635</v>
      </c>
      <c r="P214" s="2">
        <f>('L-Values'!L214*'D(Ti_Jollands) Times'!$F214*0.000001)^2/(4*'D(Ti_Jollands) Times'!$C214)/(365.35*24*3600)</f>
        <v>56464.045352137146</v>
      </c>
      <c r="Q214" s="2">
        <f>('L-Values'!M214*'D(Ti_Jollands) Times'!$F214*0.000001)^2/(4*'D(Ti_Jollands) Times'!$C214)/(365.35*24*3600)</f>
        <v>22500.778206663177</v>
      </c>
      <c r="R214" s="2">
        <f>('L-Values'!N214*'D(Ti_Jollands) Times'!$F214*0.000001)^2/(4*'D(Ti_Jollands) Times'!$C214)/(365.35*24*3600)</f>
        <v>55543.164214766795</v>
      </c>
      <c r="S214" s="2">
        <f>('L-Values'!O214*'D(Ti_Jollands) Times'!$F214*0.000001)^2/(4*'D(Ti_Jollands) Times'!$C214)/(365.35*24*3600)</f>
        <v>50586.858832123289</v>
      </c>
      <c r="T214" s="2"/>
      <c r="U214" s="2">
        <f>('L-Values'!Q214*'D(Ti_Jollands) Times'!$F214*0.000001)^2/(4*'D(Ti_Jollands) Times'!$C214)/(365.35*24*3600)</f>
        <v>36902.423965928414</v>
      </c>
      <c r="V214" s="2">
        <f>('L-Values'!R214*'D(Ti_Jollands) Times'!$F214*0.000001)^2/(4*'D(Ti_Jollands) Times'!$C214)/(365.35*24*3600)</f>
        <v>36527.389492299917</v>
      </c>
      <c r="W214" s="2">
        <f>('L-Values'!S214*'D(Ti_Jollands) Times'!$F214*0.000001)^2/(4*'D(Ti_Jollands) Times'!$C214)/(365.35*24*3600)</f>
        <v>41446.809326663344</v>
      </c>
      <c r="X214" s="2"/>
      <c r="Y214" s="2">
        <f>('L-Values'!U214*'D(Ti_Jollands) Times'!$F214*0.000001)^2/(4*'D(Ti_Jollands) Times'!$C214)/(365.35*24*3600)</f>
        <v>34009.109862722253</v>
      </c>
      <c r="Z214" s="2">
        <f>('L-Values'!V214*'D(Ti_Jollands) Times'!$F214*0.000001)^2/(4*'D(Ti_Jollands) Times'!$C214)/(365.35*24*3600)</f>
        <v>34157.063081536733</v>
      </c>
      <c r="AA214" s="2">
        <f>('L-Values'!W214*'D(Ti_Jollands) Times'!$F214*0.000001)^2/(4*'D(Ti_Jollands) Times'!$C214)/(365.35*24*3600)</f>
        <v>1096.2675218355071</v>
      </c>
      <c r="AB214" s="2">
        <f>('L-Values'!X214*'D(Ti_Jollands) Times'!$F214*0.000001)^2/(4*'D(Ti_Jollands) Times'!$C214)/(365.35*24*3600)</f>
        <v>129264.44638117526</v>
      </c>
      <c r="AC214" s="2">
        <f t="shared" si="14"/>
        <v>33060.795559701226</v>
      </c>
      <c r="AD214" s="2">
        <f t="shared" si="15"/>
        <v>95107.383299638532</v>
      </c>
    </row>
    <row r="215" spans="1:30" x14ac:dyDescent="0.2">
      <c r="A215" t="str">
        <f>'L-Values'!A215</f>
        <v>CGI011-qtz05-CL-fit-1-offset</v>
      </c>
      <c r="B215">
        <v>750</v>
      </c>
      <c r="C215">
        <f t="shared" si="12"/>
        <v>6.6965312637759184E-25</v>
      </c>
      <c r="D215">
        <v>2200</v>
      </c>
      <c r="E215">
        <v>1024</v>
      </c>
      <c r="F215">
        <f t="shared" si="13"/>
        <v>2.1484375</v>
      </c>
      <c r="I215" s="2">
        <f>('L-Values'!E215*'D(Ti_Jollands) Times'!$F215*0.000001)^2/(4*'D(Ti_Jollands) Times'!$C215)/(365.35*24*3600)</f>
        <v>974101.62004818837</v>
      </c>
      <c r="J215" s="2">
        <f>('L-Values'!F215*'D(Ti_Jollands) Times'!$F215*0.000001)^2/(4*'D(Ti_Jollands) Times'!$C215)/(365.35*24*3600)</f>
        <v>1569977.9508136425</v>
      </c>
      <c r="K215" s="2">
        <f>('L-Values'!G215*'D(Ti_Jollands) Times'!$F215*0.000001)^2/(4*'D(Ti_Jollands) Times'!$C215)/(365.35*24*3600)</f>
        <v>741472.89885719144</v>
      </c>
      <c r="L215" s="2">
        <f>('L-Values'!H215*'D(Ti_Jollands) Times'!$F215*0.000001)^2/(4*'D(Ti_Jollands) Times'!$C215)/(365.35*24*3600)</f>
        <v>1660539.0311514393</v>
      </c>
      <c r="M215" s="2">
        <f>('L-Values'!I215*'D(Ti_Jollands) Times'!$F215*0.000001)^2/(4*'D(Ti_Jollands) Times'!$C215)/(365.35*24*3600)</f>
        <v>406930.92694749549</v>
      </c>
      <c r="N215" s="2">
        <f>('L-Values'!J215*'D(Ti_Jollands) Times'!$F215*0.000001)^2/(4*'D(Ti_Jollands) Times'!$C215)/(365.35*24*3600)</f>
        <v>1971823.4705075491</v>
      </c>
      <c r="O215" s="2">
        <f>('L-Values'!K215*'D(Ti_Jollands) Times'!$F215*0.000001)^2/(4*'D(Ti_Jollands) Times'!$C215)/(365.35*24*3600)</f>
        <v>1206962.9494350674</v>
      </c>
      <c r="P215" s="2">
        <f>('L-Values'!L215*'D(Ti_Jollands) Times'!$F215*0.000001)^2/(4*'D(Ti_Jollands) Times'!$C215)/(365.35*24*3600)</f>
        <v>1570196.4815291842</v>
      </c>
      <c r="Q215" s="2">
        <f>('L-Values'!M215*'D(Ti_Jollands) Times'!$F215*0.000001)^2/(4*'D(Ti_Jollands) Times'!$C215)/(365.35*24*3600)</f>
        <v>1161074.5237647872</v>
      </c>
      <c r="R215" s="2">
        <f>('L-Values'!N215*'D(Ti_Jollands) Times'!$F215*0.000001)^2/(4*'D(Ti_Jollands) Times'!$C215)/(365.35*24*3600)</f>
        <v>1485995.0411252566</v>
      </c>
      <c r="S215" s="2">
        <f>('L-Values'!O215*'D(Ti_Jollands) Times'!$F215*0.000001)^2/(4*'D(Ti_Jollands) Times'!$C215)/(365.35*24*3600)</f>
        <v>1483457.5402294593</v>
      </c>
      <c r="T215" s="2"/>
      <c r="U215" s="2">
        <f>('L-Values'!Q215*'D(Ti_Jollands) Times'!$F215*0.000001)^2/(4*'D(Ti_Jollands) Times'!$C215)/(365.35*24*3600)</f>
        <v>1217687.1228525594</v>
      </c>
      <c r="V215" s="2">
        <f>('L-Values'!R215*'D(Ti_Jollands) Times'!$F215*0.000001)^2/(4*'D(Ti_Jollands) Times'!$C215)/(365.35*24*3600)</f>
        <v>1249924.0501890206</v>
      </c>
      <c r="W215" s="2">
        <f>('L-Values'!S215*'D(Ti_Jollands) Times'!$F215*0.000001)^2/(4*'D(Ti_Jollands) Times'!$C215)/(365.35*24*3600)</f>
        <v>1483457.5402294593</v>
      </c>
      <c r="X215" s="2"/>
      <c r="Y215" s="2">
        <f>('L-Values'!U215*'D(Ti_Jollands) Times'!$F215*0.000001)^2/(4*'D(Ti_Jollands) Times'!$C215)/(365.35*24*3600)</f>
        <v>1105240.427071024</v>
      </c>
      <c r="Z215" s="2">
        <f>('L-Values'!V215*'D(Ti_Jollands) Times'!$F215*0.000001)^2/(4*'D(Ti_Jollands) Times'!$C215)/(365.35*24*3600)</f>
        <v>1037580.5444758923</v>
      </c>
      <c r="AA215" s="2">
        <f>('L-Values'!W215*'D(Ti_Jollands) Times'!$F215*0.000001)^2/(4*'D(Ti_Jollands) Times'!$C215)/(365.35*24*3600)</f>
        <v>5315.2851537317501</v>
      </c>
      <c r="AB215" s="2">
        <f>('L-Values'!X215*'D(Ti_Jollands) Times'!$F215*0.000001)^2/(4*'D(Ti_Jollands) Times'!$C215)/(365.35*24*3600)</f>
        <v>2358856.6911176555</v>
      </c>
      <c r="AC215" s="2">
        <f t="shared" si="14"/>
        <v>1032265.2593221606</v>
      </c>
      <c r="AD215" s="2">
        <f t="shared" si="15"/>
        <v>1321276.1466417632</v>
      </c>
    </row>
    <row r="216" spans="1:30" x14ac:dyDescent="0.2">
      <c r="A216" t="str">
        <f>'L-Values'!A216</f>
        <v>CGI011-qtz05-CL-fit-2-offset</v>
      </c>
      <c r="B216">
        <v>750</v>
      </c>
      <c r="C216">
        <f t="shared" si="12"/>
        <v>6.6965312637759184E-25</v>
      </c>
      <c r="D216">
        <v>2200</v>
      </c>
      <c r="E216">
        <v>1024</v>
      </c>
      <c r="F216">
        <f t="shared" si="13"/>
        <v>2.1484375</v>
      </c>
      <c r="I216" s="2">
        <f>('L-Values'!E216*'D(Ti_Jollands) Times'!$F216*0.000001)^2/(4*'D(Ti_Jollands) Times'!$C216)/(365.35*24*3600)</f>
        <v>3502081.2492090943</v>
      </c>
      <c r="J216" s="2">
        <f>('L-Values'!F216*'D(Ti_Jollands) Times'!$F216*0.000001)^2/(4*'D(Ti_Jollands) Times'!$C216)/(365.35*24*3600)</f>
        <v>1901534.1195183885</v>
      </c>
      <c r="K216" s="2">
        <f>('L-Values'!G216*'D(Ti_Jollands) Times'!$F216*0.000001)^2/(4*'D(Ti_Jollands) Times'!$C216)/(365.35*24*3600)</f>
        <v>1532996.4822800197</v>
      </c>
      <c r="L216" s="2">
        <f>('L-Values'!H216*'D(Ti_Jollands) Times'!$F216*0.000001)^2/(4*'D(Ti_Jollands) Times'!$C216)/(365.35*24*3600)</f>
        <v>1893845.1511344484</v>
      </c>
      <c r="M216" s="2">
        <f>('L-Values'!I216*'D(Ti_Jollands) Times'!$F216*0.000001)^2/(4*'D(Ti_Jollands) Times'!$C216)/(365.35*24*3600)</f>
        <v>2893735.3660240127</v>
      </c>
      <c r="N216" s="2">
        <f>('L-Values'!J216*'D(Ti_Jollands) Times'!$F216*0.000001)^2/(4*'D(Ti_Jollands) Times'!$C216)/(365.35*24*3600)</f>
        <v>1671412.1415654838</v>
      </c>
      <c r="O216" s="2">
        <f>('L-Values'!K216*'D(Ti_Jollands) Times'!$F216*0.000001)^2/(4*'D(Ti_Jollands) Times'!$C216)/(365.35*24*3600)</f>
        <v>2062671.1792909941</v>
      </c>
      <c r="P216" s="2">
        <f>('L-Values'!L216*'D(Ti_Jollands) Times'!$F216*0.000001)^2/(4*'D(Ti_Jollands) Times'!$C216)/(365.35*24*3600)</f>
        <v>1674111.988628896</v>
      </c>
      <c r="Q216" s="2">
        <f>('L-Values'!M216*'D(Ti_Jollands) Times'!$F216*0.000001)^2/(4*'D(Ti_Jollands) Times'!$C216)/(365.35*24*3600)</f>
        <v>1848550.7123769596</v>
      </c>
      <c r="R216" s="2">
        <f>('L-Values'!N216*'D(Ti_Jollands) Times'!$F216*0.000001)^2/(4*'D(Ti_Jollands) Times'!$C216)/(365.35*24*3600)</f>
        <v>1589832.4621137893</v>
      </c>
      <c r="S216" s="2">
        <f>('L-Values'!O216*'D(Ti_Jollands) Times'!$F216*0.000001)^2/(4*'D(Ti_Jollands) Times'!$C216)/(365.35*24*3600)</f>
        <v>1474702.6544057506</v>
      </c>
      <c r="T216" s="2"/>
      <c r="U216" s="2">
        <f>('L-Values'!Q216*'D(Ti_Jollands) Times'!$F216*0.000001)^2/(4*'D(Ti_Jollands) Times'!$C216)/(365.35*24*3600)</f>
        <v>1903935.811133509</v>
      </c>
      <c r="V216" s="2">
        <f>('L-Values'!R216*'D(Ti_Jollands) Times'!$F216*0.000001)^2/(4*'D(Ti_Jollands) Times'!$C216)/(365.35*24*3600)</f>
        <v>1965995.6688728959</v>
      </c>
      <c r="W216" s="2">
        <f>('L-Values'!S216*'D(Ti_Jollands) Times'!$F216*0.000001)^2/(4*'D(Ti_Jollands) Times'!$C216)/(365.35*24*3600)</f>
        <v>1848550.7123769596</v>
      </c>
      <c r="X216" s="2"/>
      <c r="Y216" s="2">
        <f>('L-Values'!U216*'D(Ti_Jollands) Times'!$F216*0.000001)^2/(4*'D(Ti_Jollands) Times'!$C216)/(365.35*24*3600)</f>
        <v>1913994.357805568</v>
      </c>
      <c r="Z216" s="2">
        <f>('L-Values'!V216*'D(Ti_Jollands) Times'!$F216*0.000001)^2/(4*'D(Ti_Jollands) Times'!$C216)/(365.35*24*3600)</f>
        <v>2001197.0449050574</v>
      </c>
      <c r="AA216" s="2">
        <f>('L-Values'!W216*'D(Ti_Jollands) Times'!$F216*0.000001)^2/(4*'D(Ti_Jollands) Times'!$C216)/(365.35*24*3600)</f>
        <v>1344768.0026864535</v>
      </c>
      <c r="AB216" s="2">
        <f>('L-Values'!X216*'D(Ti_Jollands) Times'!$F216*0.000001)^2/(4*'D(Ti_Jollands) Times'!$C216)/(365.35*24*3600)</f>
        <v>3972481.8191680196</v>
      </c>
      <c r="AC216" s="2">
        <f t="shared" si="14"/>
        <v>656429.04221860389</v>
      </c>
      <c r="AD216" s="2">
        <f t="shared" si="15"/>
        <v>1971284.7742629622</v>
      </c>
    </row>
    <row r="217" spans="1:30" x14ac:dyDescent="0.2">
      <c r="A217" t="str">
        <f>'L-Values'!A217</f>
        <v>CGI011-qtz05-CL-fit-3-offset</v>
      </c>
      <c r="B217">
        <v>750</v>
      </c>
      <c r="C217">
        <f t="shared" si="12"/>
        <v>6.6965312637759184E-25</v>
      </c>
      <c r="D217">
        <v>2200</v>
      </c>
      <c r="E217">
        <v>1024</v>
      </c>
      <c r="F217">
        <f t="shared" si="13"/>
        <v>2.1484375</v>
      </c>
      <c r="I217" s="2">
        <f>('L-Values'!E217*'D(Ti_Jollands) Times'!$F217*0.000001)^2/(4*'D(Ti_Jollands) Times'!$C217)/(365.35*24*3600)</f>
        <v>1399487.9655591536</v>
      </c>
      <c r="J217" s="2">
        <f>('L-Values'!F217*'D(Ti_Jollands) Times'!$F217*0.000001)^2/(4*'D(Ti_Jollands) Times'!$C217)/(365.35*24*3600)</f>
        <v>825349.52738849819</v>
      </c>
      <c r="K217" s="2">
        <f>('L-Values'!G217*'D(Ti_Jollands) Times'!$F217*0.000001)^2/(4*'D(Ti_Jollands) Times'!$C217)/(365.35*24*3600)</f>
        <v>718309.87414706056</v>
      </c>
      <c r="L217" s="2">
        <f>('L-Values'!H217*'D(Ti_Jollands) Times'!$F217*0.000001)^2/(4*'D(Ti_Jollands) Times'!$C217)/(365.35*24*3600)</f>
        <v>794827.86385117495</v>
      </c>
      <c r="M217" s="2">
        <f>('L-Values'!I217*'D(Ti_Jollands) Times'!$F217*0.000001)^2/(4*'D(Ti_Jollands) Times'!$C217)/(365.35*24*3600)</f>
        <v>1016532.606608926</v>
      </c>
      <c r="N217" s="2">
        <f>('L-Values'!J217*'D(Ti_Jollands) Times'!$F217*0.000001)^2/(4*'D(Ti_Jollands) Times'!$C217)/(365.35*24*3600)</f>
        <v>370019.12324402115</v>
      </c>
      <c r="O217" s="2">
        <f>('L-Values'!K217*'D(Ti_Jollands) Times'!$F217*0.000001)^2/(4*'D(Ti_Jollands) Times'!$C217)/(365.35*24*3600)</f>
        <v>869448.52730436064</v>
      </c>
      <c r="P217" s="2">
        <f>('L-Values'!L217*'D(Ti_Jollands) Times'!$F217*0.000001)^2/(4*'D(Ti_Jollands) Times'!$C217)/(365.35*24*3600)</f>
        <v>1275381.2976256504</v>
      </c>
      <c r="Q217" s="2">
        <f>('L-Values'!M217*'D(Ti_Jollands) Times'!$F217*0.000001)^2/(4*'D(Ti_Jollands) Times'!$C217)/(365.35*24*3600)</f>
        <v>1111192.6732789667</v>
      </c>
      <c r="R217" s="2">
        <f>('L-Values'!N217*'D(Ti_Jollands) Times'!$F217*0.000001)^2/(4*'D(Ti_Jollands) Times'!$C217)/(365.35*24*3600)</f>
        <v>1130651.7619094499</v>
      </c>
      <c r="S217" s="2">
        <f>('L-Values'!O217*'D(Ti_Jollands) Times'!$F217*0.000001)^2/(4*'D(Ti_Jollands) Times'!$C217)/(365.35*24*3600)</f>
        <v>1697281.4542958168</v>
      </c>
      <c r="T217" s="2"/>
      <c r="U217" s="2">
        <f>('L-Values'!Q217*'D(Ti_Jollands) Times'!$F217*0.000001)^2/(4*'D(Ti_Jollands) Times'!$C217)/(365.35*24*3600)</f>
        <v>992577.0350509017</v>
      </c>
      <c r="V217" s="2">
        <f>('L-Values'!R217*'D(Ti_Jollands) Times'!$F217*0.000001)^2/(4*'D(Ti_Jollands) Times'!$C217)/(365.35*24*3600)</f>
        <v>987149.5886885298</v>
      </c>
      <c r="W217" s="2">
        <f>('L-Values'!S217*'D(Ti_Jollands) Times'!$F217*0.000001)^2/(4*'D(Ti_Jollands) Times'!$C217)/(365.35*24*3600)</f>
        <v>1016532.606608926</v>
      </c>
      <c r="X217" s="2"/>
      <c r="Y217" s="2">
        <f>('L-Values'!U217*'D(Ti_Jollands) Times'!$F217*0.000001)^2/(4*'D(Ti_Jollands) Times'!$C217)/(365.35*24*3600)</f>
        <v>971802.39334993053</v>
      </c>
      <c r="Z217" s="2">
        <f>('L-Values'!V217*'D(Ti_Jollands) Times'!$F217*0.000001)^2/(4*'D(Ti_Jollands) Times'!$C217)/(365.35*24*3600)</f>
        <v>975533.25319274119</v>
      </c>
      <c r="AA217" s="2">
        <f>('L-Values'!W217*'D(Ti_Jollands) Times'!$F217*0.000001)^2/(4*'D(Ti_Jollands) Times'!$C217)/(365.35*24*3600)</f>
        <v>400177.00192431803</v>
      </c>
      <c r="AB217" s="2">
        <f>('L-Values'!X217*'D(Ti_Jollands) Times'!$F217*0.000001)^2/(4*'D(Ti_Jollands) Times'!$C217)/(365.35*24*3600)</f>
        <v>1866951.7089871764</v>
      </c>
      <c r="AC217" s="2">
        <f t="shared" si="14"/>
        <v>575356.25126842316</v>
      </c>
      <c r="AD217" s="2">
        <f t="shared" si="15"/>
        <v>891418.45579443523</v>
      </c>
    </row>
    <row r="218" spans="1:30" x14ac:dyDescent="0.2">
      <c r="A218" t="str">
        <f>'L-Values'!A218</f>
        <v>CGI011-qtz05-CL-fit-4-offset</v>
      </c>
      <c r="B218">
        <v>750</v>
      </c>
      <c r="C218">
        <f t="shared" si="12"/>
        <v>6.6965312637759184E-25</v>
      </c>
      <c r="D218">
        <v>2200</v>
      </c>
      <c r="E218">
        <v>1024</v>
      </c>
      <c r="F218">
        <f t="shared" si="13"/>
        <v>2.1484375</v>
      </c>
      <c r="I218" s="2">
        <f>('L-Values'!E218*'D(Ti_Jollands) Times'!$F218*0.000001)^2/(4*'D(Ti_Jollands) Times'!$C218)/(365.35*24*3600)</f>
        <v>477546.30551074294</v>
      </c>
      <c r="J218" s="2">
        <f>('L-Values'!F218*'D(Ti_Jollands) Times'!$F218*0.000001)^2/(4*'D(Ti_Jollands) Times'!$C218)/(365.35*24*3600)</f>
        <v>465284.98213581333</v>
      </c>
      <c r="K218" s="2">
        <f>('L-Values'!G218*'D(Ti_Jollands) Times'!$F218*0.000001)^2/(4*'D(Ti_Jollands) Times'!$C218)/(365.35*24*3600)</f>
        <v>240485.53161489376</v>
      </c>
      <c r="L218" s="2">
        <f>('L-Values'!H218*'D(Ti_Jollands) Times'!$F218*0.000001)^2/(4*'D(Ti_Jollands) Times'!$C218)/(365.35*24*3600)</f>
        <v>88751.705494798167</v>
      </c>
      <c r="M218" s="2">
        <f>('L-Values'!I218*'D(Ti_Jollands) Times'!$F218*0.000001)^2/(4*'D(Ti_Jollands) Times'!$C218)/(365.35*24*3600)</f>
        <v>556992.90235213446</v>
      </c>
      <c r="N218" s="2">
        <f>('L-Values'!J218*'D(Ti_Jollands) Times'!$F218*0.000001)^2/(4*'D(Ti_Jollands) Times'!$C218)/(365.35*24*3600)</f>
        <v>261101.82562768299</v>
      </c>
      <c r="O218" s="2">
        <f>('L-Values'!K218*'D(Ti_Jollands) Times'!$F218*0.000001)^2/(4*'D(Ti_Jollands) Times'!$C218)/(365.35*24*3600)</f>
        <v>345257.26111286337</v>
      </c>
      <c r="P218" s="2">
        <f>('L-Values'!L218*'D(Ti_Jollands) Times'!$F218*0.000001)^2/(4*'D(Ti_Jollands) Times'!$C218)/(365.35*24*3600)</f>
        <v>255361.97141028638</v>
      </c>
      <c r="Q218" s="2">
        <f>('L-Values'!M218*'D(Ti_Jollands) Times'!$F218*0.000001)^2/(4*'D(Ti_Jollands) Times'!$C218)/(365.35*24*3600)</f>
        <v>118838.87425044402</v>
      </c>
      <c r="R218" s="2">
        <f>('L-Values'!N218*'D(Ti_Jollands) Times'!$F218*0.000001)^2/(4*'D(Ti_Jollands) Times'!$C218)/(365.35*24*3600)</f>
        <v>104469.04266204886</v>
      </c>
      <c r="S218" s="2">
        <f>('L-Values'!O218*'D(Ti_Jollands) Times'!$F218*0.000001)^2/(4*'D(Ti_Jollands) Times'!$C218)/(365.35*24*3600)</f>
        <v>384410.05582114274</v>
      </c>
      <c r="T218" s="2"/>
      <c r="U218" s="2">
        <f>('L-Values'!Q218*'D(Ti_Jollands) Times'!$F218*0.000001)^2/(4*'D(Ti_Jollands) Times'!$C218)/(365.35*24*3600)</f>
        <v>315934.01888577995</v>
      </c>
      <c r="V218" s="2">
        <f>('L-Values'!R218*'D(Ti_Jollands) Times'!$F218*0.000001)^2/(4*'D(Ti_Jollands) Times'!$C218)/(365.35*24*3600)</f>
        <v>277982.59410470451</v>
      </c>
      <c r="W218" s="2">
        <f>('L-Values'!S218*'D(Ti_Jollands) Times'!$F218*0.000001)^2/(4*'D(Ti_Jollands) Times'!$C218)/(365.35*24*3600)</f>
        <v>261101.82562768299</v>
      </c>
      <c r="X218" s="2"/>
      <c r="Y218" s="2">
        <f>('L-Values'!U218*'D(Ti_Jollands) Times'!$F218*0.000001)^2/(4*'D(Ti_Jollands) Times'!$C218)/(365.35*24*3600)</f>
        <v>298735.841335551</v>
      </c>
      <c r="Z218" s="2">
        <f>('L-Values'!V218*'D(Ti_Jollands) Times'!$F218*0.000001)^2/(4*'D(Ti_Jollands) Times'!$C218)/(365.35*24*3600)</f>
        <v>302668.31959354528</v>
      </c>
      <c r="AA218" s="2">
        <f>('L-Values'!W218*'D(Ti_Jollands) Times'!$F218*0.000001)^2/(4*'D(Ti_Jollands) Times'!$C218)/(365.35*24*3600)</f>
        <v>53654.669182161058</v>
      </c>
      <c r="AB218" s="2">
        <f>('L-Values'!X218*'D(Ti_Jollands) Times'!$F218*0.000001)^2/(4*'D(Ti_Jollands) Times'!$C218)/(365.35*24*3600)</f>
        <v>798325.94714074139</v>
      </c>
      <c r="AC218" s="2">
        <f t="shared" si="14"/>
        <v>249013.65041138424</v>
      </c>
      <c r="AD218" s="2">
        <f t="shared" si="15"/>
        <v>495657.62754719611</v>
      </c>
    </row>
    <row r="219" spans="1:30" x14ac:dyDescent="0.2">
      <c r="A219" t="str">
        <f>'L-Values'!A219</f>
        <v>CGI011-qtz05-CL-fit-5-offset</v>
      </c>
      <c r="B219">
        <v>750</v>
      </c>
      <c r="C219">
        <f t="shared" si="12"/>
        <v>6.6965312637759184E-25</v>
      </c>
      <c r="D219">
        <v>2200</v>
      </c>
      <c r="E219">
        <v>1024</v>
      </c>
      <c r="F219">
        <f t="shared" si="13"/>
        <v>2.1484375</v>
      </c>
      <c r="I219" s="2">
        <f>('L-Values'!E219*'D(Ti_Jollands) Times'!$F219*0.000001)^2/(4*'D(Ti_Jollands) Times'!$C219)/(365.35*24*3600)</f>
        <v>283343.23950249195</v>
      </c>
      <c r="J219" s="2">
        <f>('L-Values'!F219*'D(Ti_Jollands) Times'!$F219*0.000001)^2/(4*'D(Ti_Jollands) Times'!$C219)/(365.35*24*3600)</f>
        <v>314160.47104543564</v>
      </c>
      <c r="K219" s="2">
        <f>('L-Values'!G219*'D(Ti_Jollands) Times'!$F219*0.000001)^2/(4*'D(Ti_Jollands) Times'!$C219)/(365.35*24*3600)</f>
        <v>219758.68093198011</v>
      </c>
      <c r="L219" s="2">
        <f>('L-Values'!H219*'D(Ti_Jollands) Times'!$F219*0.000001)^2/(4*'D(Ti_Jollands) Times'!$C219)/(365.35*24*3600)</f>
        <v>246878.86787494205</v>
      </c>
      <c r="M219" s="2">
        <f>('L-Values'!I219*'D(Ti_Jollands) Times'!$F219*0.000001)^2/(4*'D(Ti_Jollands) Times'!$C219)/(365.35*24*3600)</f>
        <v>422160.42556023994</v>
      </c>
      <c r="N219" s="2">
        <f>('L-Values'!J219*'D(Ti_Jollands) Times'!$F219*0.000001)^2/(4*'D(Ti_Jollands) Times'!$C219)/(365.35*24*3600)</f>
        <v>358065.03996565397</v>
      </c>
      <c r="O219" s="2">
        <f>('L-Values'!K219*'D(Ti_Jollands) Times'!$F219*0.000001)^2/(4*'D(Ti_Jollands) Times'!$C219)/(365.35*24*3600)</f>
        <v>219992.14874503811</v>
      </c>
      <c r="P219" s="2">
        <f>('L-Values'!L219*'D(Ti_Jollands) Times'!$F219*0.000001)^2/(4*'D(Ti_Jollands) Times'!$C219)/(365.35*24*3600)</f>
        <v>323289.24180908315</v>
      </c>
      <c r="Q219" s="2">
        <f>('L-Values'!M219*'D(Ti_Jollands) Times'!$F219*0.000001)^2/(4*'D(Ti_Jollands) Times'!$C219)/(365.35*24*3600)</f>
        <v>152348.12114436788</v>
      </c>
      <c r="R219" s="2">
        <f>('L-Values'!N219*'D(Ti_Jollands) Times'!$F219*0.000001)^2/(4*'D(Ti_Jollands) Times'!$C219)/(365.35*24*3600)</f>
        <v>346361.37299443682</v>
      </c>
      <c r="S219" s="2">
        <f>('L-Values'!O219*'D(Ti_Jollands) Times'!$F219*0.000001)^2/(4*'D(Ti_Jollands) Times'!$C219)/(365.35*24*3600)</f>
        <v>404978.15490579145</v>
      </c>
      <c r="T219" s="2"/>
      <c r="U219" s="2">
        <f>('L-Values'!Q219*'D(Ti_Jollands) Times'!$F219*0.000001)^2/(4*'D(Ti_Jollands) Times'!$C219)/(365.35*24*3600)</f>
        <v>301483.57894848636</v>
      </c>
      <c r="V219" s="2">
        <f>('L-Values'!R219*'D(Ti_Jollands) Times'!$F219*0.000001)^2/(4*'D(Ti_Jollands) Times'!$C219)/(365.35*24*3600)</f>
        <v>293509.58438313886</v>
      </c>
      <c r="W219" s="2">
        <f>('L-Values'!S219*'D(Ti_Jollands) Times'!$F219*0.000001)^2/(4*'D(Ti_Jollands) Times'!$C219)/(365.35*24*3600)</f>
        <v>314160.47104543564</v>
      </c>
      <c r="X219" s="2"/>
      <c r="Y219" s="2">
        <f>('L-Values'!U219*'D(Ti_Jollands) Times'!$F219*0.000001)^2/(4*'D(Ti_Jollands) Times'!$C219)/(365.35*24*3600)</f>
        <v>296611.31245000829</v>
      </c>
      <c r="Z219" s="2">
        <f>('L-Values'!V219*'D(Ti_Jollands) Times'!$F219*0.000001)^2/(4*'D(Ti_Jollands) Times'!$C219)/(365.35*24*3600)</f>
        <v>290007.38869800465</v>
      </c>
      <c r="AA219" s="2">
        <f>('L-Values'!W219*'D(Ti_Jollands) Times'!$F219*0.000001)^2/(4*'D(Ti_Jollands) Times'!$C219)/(365.35*24*3600)</f>
        <v>90573.527427122128</v>
      </c>
      <c r="AB219" s="2">
        <f>('L-Values'!X219*'D(Ti_Jollands) Times'!$F219*0.000001)^2/(4*'D(Ti_Jollands) Times'!$C219)/(365.35*24*3600)</f>
        <v>566645.44308251294</v>
      </c>
      <c r="AC219" s="2">
        <f t="shared" si="14"/>
        <v>199433.86127088254</v>
      </c>
      <c r="AD219" s="2">
        <f t="shared" si="15"/>
        <v>276638.05438450829</v>
      </c>
    </row>
    <row r="220" spans="1:30" x14ac:dyDescent="0.2">
      <c r="A220" t="str">
        <f>'L-Values'!A220</f>
        <v>CGI011-qtz06-CL-fit-1-offset</v>
      </c>
      <c r="B220">
        <v>750</v>
      </c>
      <c r="C220">
        <f t="shared" si="12"/>
        <v>6.6965312637759184E-25</v>
      </c>
      <c r="D220">
        <v>1650</v>
      </c>
      <c r="E220">
        <v>1024</v>
      </c>
      <c r="F220">
        <f t="shared" si="13"/>
        <v>1.611328125</v>
      </c>
      <c r="I220" s="2">
        <f>('L-Values'!E220*'D(Ti_Jollands) Times'!$F220*0.000001)^2/(4*'D(Ti_Jollands) Times'!$C220)/(365.35*24*3600)</f>
        <v>3477088.7374828542</v>
      </c>
      <c r="J220" s="2">
        <f>('L-Values'!F220*'D(Ti_Jollands) Times'!$F220*0.000001)^2/(4*'D(Ti_Jollands) Times'!$C220)/(365.35*24*3600)</f>
        <v>4026307.27795988</v>
      </c>
      <c r="K220" s="2">
        <f>('L-Values'!G220*'D(Ti_Jollands) Times'!$F220*0.000001)^2/(4*'D(Ti_Jollands) Times'!$C220)/(365.35*24*3600)</f>
        <v>3065687.4143670821</v>
      </c>
      <c r="L220" s="2">
        <f>('L-Values'!H220*'D(Ti_Jollands) Times'!$F220*0.000001)^2/(4*'D(Ti_Jollands) Times'!$C220)/(365.35*24*3600)</f>
        <v>4577153.6113514872</v>
      </c>
      <c r="M220" s="2">
        <f>('L-Values'!I220*'D(Ti_Jollands) Times'!$F220*0.000001)^2/(4*'D(Ti_Jollands) Times'!$C220)/(365.35*24*3600)</f>
        <v>4730033.5564911095</v>
      </c>
      <c r="N220" s="2">
        <f>('L-Values'!J220*'D(Ti_Jollands) Times'!$F220*0.000001)^2/(4*'D(Ti_Jollands) Times'!$C220)/(365.35*24*3600)</f>
        <v>4988552.5306031154</v>
      </c>
      <c r="O220" s="2">
        <f>('L-Values'!K220*'D(Ti_Jollands) Times'!$F220*0.000001)^2/(4*'D(Ti_Jollands) Times'!$C220)/(365.35*24*3600)</f>
        <v>4074172.2266553799</v>
      </c>
      <c r="P220" s="2">
        <f>('L-Values'!L220*'D(Ti_Jollands) Times'!$F220*0.000001)^2/(4*'D(Ti_Jollands) Times'!$C220)/(365.35*24*3600)</f>
        <v>3385961.3579341904</v>
      </c>
      <c r="Q220" s="2">
        <f>('L-Values'!M220*'D(Ti_Jollands) Times'!$F220*0.000001)^2/(4*'D(Ti_Jollands) Times'!$C220)/(365.35*24*3600)</f>
        <v>4860466.8476305865</v>
      </c>
      <c r="R220" s="2">
        <f>('L-Values'!N220*'D(Ti_Jollands) Times'!$F220*0.000001)^2/(4*'D(Ti_Jollands) Times'!$C220)/(365.35*24*3600)</f>
        <v>4214083.6459895968</v>
      </c>
      <c r="S220" s="2">
        <f>('L-Values'!O220*'D(Ti_Jollands) Times'!$F220*0.000001)^2/(4*'D(Ti_Jollands) Times'!$C220)/(365.35*24*3600)</f>
        <v>3473240.7598005901</v>
      </c>
      <c r="T220" s="2"/>
      <c r="U220" s="2">
        <f>('L-Values'!Q220*'D(Ti_Jollands) Times'!$F220*0.000001)^2/(4*'D(Ti_Jollands) Times'!$C220)/(365.35*24*3600)</f>
        <v>4079054.2078322307</v>
      </c>
      <c r="V220" s="2">
        <f>('L-Values'!R220*'D(Ti_Jollands) Times'!$F220*0.000001)^2/(4*'D(Ti_Jollands) Times'!$C220)/(365.35*24*3600)</f>
        <v>4054607.0411906592</v>
      </c>
      <c r="W220" s="2">
        <f>('L-Values'!S220*'D(Ti_Jollands) Times'!$F220*0.000001)^2/(4*'D(Ti_Jollands) Times'!$C220)/(365.35*24*3600)</f>
        <v>4074172.2266553799</v>
      </c>
      <c r="X220" s="2"/>
      <c r="Y220" s="2">
        <f>('L-Values'!U220*'D(Ti_Jollands) Times'!$F220*0.000001)^2/(4*'D(Ti_Jollands) Times'!$C220)/(365.35*24*3600)</f>
        <v>4057680.0495147724</v>
      </c>
      <c r="Z220" s="2">
        <f>('L-Values'!V220*'D(Ti_Jollands) Times'!$F220*0.000001)^2/(4*'D(Ti_Jollands) Times'!$C220)/(365.35*24*3600)</f>
        <v>4113638.6490359013</v>
      </c>
      <c r="AA220" s="2">
        <f>('L-Values'!W220*'D(Ti_Jollands) Times'!$F220*0.000001)^2/(4*'D(Ti_Jollands) Times'!$C220)/(365.35*24*3600)</f>
        <v>2657959.1975910626</v>
      </c>
      <c r="AB220" s="2">
        <f>('L-Values'!X220*'D(Ti_Jollands) Times'!$F220*0.000001)^2/(4*'D(Ti_Jollands) Times'!$C220)/(365.35*24*3600)</f>
        <v>6242161.1902409466</v>
      </c>
      <c r="AC220" s="2">
        <f t="shared" si="14"/>
        <v>1455679.4514448387</v>
      </c>
      <c r="AD220" s="2">
        <f t="shared" si="15"/>
        <v>2128522.5412050453</v>
      </c>
    </row>
    <row r="221" spans="1:30" x14ac:dyDescent="0.2">
      <c r="A221" t="str">
        <f>'L-Values'!A221</f>
        <v>CGI011-qtz06-CL-fit-2-offset</v>
      </c>
      <c r="B221">
        <v>750</v>
      </c>
      <c r="C221">
        <f t="shared" si="12"/>
        <v>6.6965312637759184E-25</v>
      </c>
      <c r="D221">
        <v>1650</v>
      </c>
      <c r="E221">
        <v>1024</v>
      </c>
      <c r="F221">
        <f t="shared" si="13"/>
        <v>1.611328125</v>
      </c>
      <c r="I221" s="2">
        <f>('L-Values'!E221*'D(Ti_Jollands) Times'!$F221*0.000001)^2/(4*'D(Ti_Jollands) Times'!$C221)/(365.35*24*3600)</f>
        <v>1180857.3120357771</v>
      </c>
      <c r="J221" s="2">
        <f>('L-Values'!F221*'D(Ti_Jollands) Times'!$F221*0.000001)^2/(4*'D(Ti_Jollands) Times'!$C221)/(365.35*24*3600)</f>
        <v>1184049.7220361077</v>
      </c>
      <c r="K221" s="2">
        <f>('L-Values'!G221*'D(Ti_Jollands) Times'!$F221*0.000001)^2/(4*'D(Ti_Jollands) Times'!$C221)/(365.35*24*3600)</f>
        <v>1036094.5264834894</v>
      </c>
      <c r="L221" s="2">
        <f>('L-Values'!H221*'D(Ti_Jollands) Times'!$F221*0.000001)^2/(4*'D(Ti_Jollands) Times'!$C221)/(365.35*24*3600)</f>
        <v>1383177.0768215919</v>
      </c>
      <c r="M221" s="2">
        <f>('L-Values'!I221*'D(Ti_Jollands) Times'!$F221*0.000001)^2/(4*'D(Ti_Jollands) Times'!$C221)/(365.35*24*3600)</f>
        <v>1238330.6094384368</v>
      </c>
      <c r="N221" s="2">
        <f>('L-Values'!J221*'D(Ti_Jollands) Times'!$F221*0.000001)^2/(4*'D(Ti_Jollands) Times'!$C221)/(365.35*24*3600)</f>
        <v>1511244.6240326795</v>
      </c>
      <c r="O221" s="2">
        <f>('L-Values'!K221*'D(Ti_Jollands) Times'!$F221*0.000001)^2/(4*'D(Ti_Jollands) Times'!$C221)/(365.35*24*3600)</f>
        <v>1355947.0731849109</v>
      </c>
      <c r="P221" s="2">
        <f>('L-Values'!L221*'D(Ti_Jollands) Times'!$F221*0.000001)^2/(4*'D(Ti_Jollands) Times'!$C221)/(365.35*24*3600)</f>
        <v>1599351.6667365963</v>
      </c>
      <c r="Q221" s="2">
        <f>('L-Values'!M221*'D(Ti_Jollands) Times'!$F221*0.000001)^2/(4*'D(Ti_Jollands) Times'!$C221)/(365.35*24*3600)</f>
        <v>1136277.7553016203</v>
      </c>
      <c r="R221" s="2">
        <f>('L-Values'!N221*'D(Ti_Jollands) Times'!$F221*0.000001)^2/(4*'D(Ti_Jollands) Times'!$C221)/(365.35*24*3600)</f>
        <v>1310973.4092300681</v>
      </c>
      <c r="S221" s="2">
        <f>('L-Values'!O221*'D(Ti_Jollands) Times'!$F221*0.000001)^2/(4*'D(Ti_Jollands) Times'!$C221)/(365.35*24*3600)</f>
        <v>1226889.5264171013</v>
      </c>
      <c r="T221" s="2"/>
      <c r="U221" s="2">
        <f>('L-Values'!Q221*'D(Ti_Jollands) Times'!$F221*0.000001)^2/(4*'D(Ti_Jollands) Times'!$C221)/(365.35*24*3600)</f>
        <v>1299199.3786474101</v>
      </c>
      <c r="V221" s="2">
        <f>('L-Values'!R221*'D(Ti_Jollands) Times'!$F221*0.000001)^2/(4*'D(Ti_Jollands) Times'!$C221)/(365.35*24*3600)</f>
        <v>1282785.4741452378</v>
      </c>
      <c r="W221" s="2">
        <f>('L-Values'!S221*'D(Ti_Jollands) Times'!$F221*0.000001)^2/(4*'D(Ti_Jollands) Times'!$C221)/(365.35*24*3600)</f>
        <v>1238330.6094384368</v>
      </c>
      <c r="X221" s="2"/>
      <c r="Y221" s="2">
        <f>('L-Values'!U221*'D(Ti_Jollands) Times'!$F221*0.000001)^2/(4*'D(Ti_Jollands) Times'!$C221)/(365.35*24*3600)</f>
        <v>1273804.3138458999</v>
      </c>
      <c r="Z221" s="2">
        <f>('L-Values'!V221*'D(Ti_Jollands) Times'!$F221*0.000001)^2/(4*'D(Ti_Jollands) Times'!$C221)/(365.35*24*3600)</f>
        <v>1297490.7545583423</v>
      </c>
      <c r="AA221" s="2">
        <f>('L-Values'!W221*'D(Ti_Jollands) Times'!$F221*0.000001)^2/(4*'D(Ti_Jollands) Times'!$C221)/(365.35*24*3600)</f>
        <v>824582.07164990273</v>
      </c>
      <c r="AB221" s="2">
        <f>('L-Values'!X221*'D(Ti_Jollands) Times'!$F221*0.000001)^2/(4*'D(Ti_Jollands) Times'!$C221)/(365.35*24*3600)</f>
        <v>1986160.4860228263</v>
      </c>
      <c r="AC221" s="2">
        <f t="shared" si="14"/>
        <v>472908.68290843954</v>
      </c>
      <c r="AD221" s="2">
        <f t="shared" si="15"/>
        <v>688669.73146448401</v>
      </c>
    </row>
    <row r="222" spans="1:30" x14ac:dyDescent="0.2">
      <c r="A222" t="str">
        <f>'L-Values'!A222</f>
        <v>CGI011-qtz06-CL-fit-3-offset</v>
      </c>
      <c r="B222">
        <v>750</v>
      </c>
      <c r="C222">
        <f t="shared" si="12"/>
        <v>6.6965312637759184E-25</v>
      </c>
      <c r="D222">
        <v>1650</v>
      </c>
      <c r="E222">
        <v>1024</v>
      </c>
      <c r="F222">
        <f t="shared" si="13"/>
        <v>1.611328125</v>
      </c>
      <c r="I222" s="2">
        <f>('L-Values'!E222*'D(Ti_Jollands) Times'!$F222*0.000001)^2/(4*'D(Ti_Jollands) Times'!$C222)/(365.35*24*3600)</f>
        <v>390070.60995951848</v>
      </c>
      <c r="J222" s="2">
        <f>('L-Values'!F222*'D(Ti_Jollands) Times'!$F222*0.000001)^2/(4*'D(Ti_Jollands) Times'!$C222)/(365.35*24*3600)</f>
        <v>304756.97268818971</v>
      </c>
      <c r="K222" s="2">
        <f>('L-Values'!G222*'D(Ti_Jollands) Times'!$F222*0.000001)^2/(4*'D(Ti_Jollands) Times'!$C222)/(365.35*24*3600)</f>
        <v>211759.2321883195</v>
      </c>
      <c r="L222" s="2">
        <f>('L-Values'!H222*'D(Ti_Jollands) Times'!$F222*0.000001)^2/(4*'D(Ti_Jollands) Times'!$C222)/(365.35*24*3600)</f>
        <v>348591.01543550973</v>
      </c>
      <c r="M222" s="2">
        <f>('L-Values'!I222*'D(Ti_Jollands) Times'!$F222*0.000001)^2/(4*'D(Ti_Jollands) Times'!$C222)/(365.35*24*3600)</f>
        <v>585331.02182946284</v>
      </c>
      <c r="N222" s="2">
        <f>('L-Values'!J222*'D(Ti_Jollands) Times'!$F222*0.000001)^2/(4*'D(Ti_Jollands) Times'!$C222)/(365.35*24*3600)</f>
        <v>331480.59137735621</v>
      </c>
      <c r="O222" s="2">
        <f>('L-Values'!K222*'D(Ti_Jollands) Times'!$F222*0.000001)^2/(4*'D(Ti_Jollands) Times'!$C222)/(365.35*24*3600)</f>
        <v>591040.55123473844</v>
      </c>
      <c r="P222" s="2">
        <f>('L-Values'!L222*'D(Ti_Jollands) Times'!$F222*0.000001)^2/(4*'D(Ti_Jollands) Times'!$C222)/(365.35*24*3600)</f>
        <v>391075.73418741854</v>
      </c>
      <c r="Q222" s="2">
        <f>('L-Values'!M222*'D(Ti_Jollands) Times'!$F222*0.000001)^2/(4*'D(Ti_Jollands) Times'!$C222)/(365.35*24*3600)</f>
        <v>413709.33242419071</v>
      </c>
      <c r="R222" s="2">
        <f>('L-Values'!N222*'D(Ti_Jollands) Times'!$F222*0.000001)^2/(4*'D(Ti_Jollands) Times'!$C222)/(365.35*24*3600)</f>
        <v>353648.60746006295</v>
      </c>
      <c r="S222" s="2">
        <f>('L-Values'!O222*'D(Ti_Jollands) Times'!$F222*0.000001)^2/(4*'D(Ti_Jollands) Times'!$C222)/(365.35*24*3600)</f>
        <v>574057.82216146623</v>
      </c>
      <c r="T222" s="2"/>
      <c r="U222" s="2">
        <f>('L-Values'!Q222*'D(Ti_Jollands) Times'!$F222*0.000001)^2/(4*'D(Ti_Jollands) Times'!$C222)/(365.35*24*3600)</f>
        <v>396353.75072841451</v>
      </c>
      <c r="V222" s="2">
        <f>('L-Values'!R222*'D(Ti_Jollands) Times'!$F222*0.000001)^2/(4*'D(Ti_Jollands) Times'!$C222)/(365.35*24*3600)</f>
        <v>400080.43365808664</v>
      </c>
      <c r="W222" s="2">
        <f>('L-Values'!S222*'D(Ti_Jollands) Times'!$F222*0.000001)^2/(4*'D(Ti_Jollands) Times'!$C222)/(365.35*24*3600)</f>
        <v>390070.60995951848</v>
      </c>
      <c r="X222" s="2"/>
      <c r="Y222" s="2">
        <f>('L-Values'!U222*'D(Ti_Jollands) Times'!$F222*0.000001)^2/(4*'D(Ti_Jollands) Times'!$C222)/(365.35*24*3600)</f>
        <v>385543.7881339225</v>
      </c>
      <c r="Z222" s="2">
        <f>('L-Values'!V222*'D(Ti_Jollands) Times'!$F222*0.000001)^2/(4*'D(Ti_Jollands) Times'!$C222)/(365.35*24*3600)</f>
        <v>386468.68562660058</v>
      </c>
      <c r="AA222" s="2">
        <f>('L-Values'!W222*'D(Ti_Jollands) Times'!$F222*0.000001)^2/(4*'D(Ti_Jollands) Times'!$C222)/(365.35*24*3600)</f>
        <v>187460.05925433192</v>
      </c>
      <c r="AB222" s="2">
        <f>('L-Values'!X222*'D(Ti_Jollands) Times'!$F222*0.000001)^2/(4*'D(Ti_Jollands) Times'!$C222)/(365.35*24*3600)</f>
        <v>637699.16393657378</v>
      </c>
      <c r="AC222" s="2">
        <f t="shared" si="14"/>
        <v>199008.62637226866</v>
      </c>
      <c r="AD222" s="2">
        <f t="shared" si="15"/>
        <v>251230.4783099732</v>
      </c>
    </row>
    <row r="223" spans="1:30" x14ac:dyDescent="0.2">
      <c r="A223" t="str">
        <f>'L-Values'!A223</f>
        <v>CGI011-qtz06-CL-fit-4-offset</v>
      </c>
      <c r="B223">
        <v>750</v>
      </c>
      <c r="C223">
        <f t="shared" si="12"/>
        <v>6.6965312637759184E-25</v>
      </c>
      <c r="D223">
        <v>1650</v>
      </c>
      <c r="E223">
        <v>1024</v>
      </c>
      <c r="F223">
        <f t="shared" si="13"/>
        <v>1.611328125</v>
      </c>
      <c r="I223" s="2">
        <f>('L-Values'!E223*'D(Ti_Jollands) Times'!$F223*0.000001)^2/(4*'D(Ti_Jollands) Times'!$C223)/(365.35*24*3600)</f>
        <v>227222.91416700225</v>
      </c>
      <c r="J223" s="2">
        <f>('L-Values'!F223*'D(Ti_Jollands) Times'!$F223*0.000001)^2/(4*'D(Ti_Jollands) Times'!$C223)/(365.35*24*3600)</f>
        <v>154457.7925558103</v>
      </c>
      <c r="K223" s="2">
        <f>('L-Values'!G223*'D(Ti_Jollands) Times'!$F223*0.000001)^2/(4*'D(Ti_Jollands) Times'!$C223)/(365.35*24*3600)</f>
        <v>270947.36400815164</v>
      </c>
      <c r="L223" s="2">
        <f>('L-Values'!H223*'D(Ti_Jollands) Times'!$F223*0.000001)^2/(4*'D(Ti_Jollands) Times'!$C223)/(365.35*24*3600)</f>
        <v>311738.44555090094</v>
      </c>
      <c r="M223" s="2">
        <f>('L-Values'!I223*'D(Ti_Jollands) Times'!$F223*0.000001)^2/(4*'D(Ti_Jollands) Times'!$C223)/(365.35*24*3600)</f>
        <v>456413.45187968638</v>
      </c>
      <c r="N223" s="2">
        <f>('L-Values'!J223*'D(Ti_Jollands) Times'!$F223*0.000001)^2/(4*'D(Ti_Jollands) Times'!$C223)/(365.35*24*3600)</f>
        <v>105546.77003861681</v>
      </c>
      <c r="O223" s="2">
        <f>('L-Values'!K223*'D(Ti_Jollands) Times'!$F223*0.000001)^2/(4*'D(Ti_Jollands) Times'!$C223)/(365.35*24*3600)</f>
        <v>341145.21466420061</v>
      </c>
      <c r="P223" s="2">
        <f>('L-Values'!L223*'D(Ti_Jollands) Times'!$F223*0.000001)^2/(4*'D(Ti_Jollands) Times'!$C223)/(365.35*24*3600)</f>
        <v>199357.13349357893</v>
      </c>
      <c r="Q223" s="2">
        <f>('L-Values'!M223*'D(Ti_Jollands) Times'!$F223*0.000001)^2/(4*'D(Ti_Jollands) Times'!$C223)/(365.35*24*3600)</f>
        <v>338362.57534726924</v>
      </c>
      <c r="R223" s="2">
        <f>('L-Values'!N223*'D(Ti_Jollands) Times'!$F223*0.000001)^2/(4*'D(Ti_Jollands) Times'!$C223)/(365.35*24*3600)</f>
        <v>195451.29221071154</v>
      </c>
      <c r="S223" s="2">
        <f>('L-Values'!O223*'D(Ti_Jollands) Times'!$F223*0.000001)^2/(4*'D(Ti_Jollands) Times'!$C223)/(365.35*24*3600)</f>
        <v>460458.7226114198</v>
      </c>
      <c r="T223" s="2"/>
      <c r="U223" s="2">
        <f>('L-Values'!Q223*'D(Ti_Jollands) Times'!$F223*0.000001)^2/(4*'D(Ti_Jollands) Times'!$C223)/(365.35*24*3600)</f>
        <v>282163.31529048574</v>
      </c>
      <c r="V223" s="2">
        <f>('L-Values'!R223*'D(Ti_Jollands) Times'!$F223*0.000001)^2/(4*'D(Ti_Jollands) Times'!$C223)/(365.35*24*3600)</f>
        <v>266814.04120030382</v>
      </c>
      <c r="W223" s="2">
        <f>('L-Values'!S223*'D(Ti_Jollands) Times'!$F223*0.000001)^2/(4*'D(Ti_Jollands) Times'!$C223)/(365.35*24*3600)</f>
        <v>270947.36400815164</v>
      </c>
      <c r="X223" s="2"/>
      <c r="Y223" s="2">
        <f>('L-Values'!U223*'D(Ti_Jollands) Times'!$F223*0.000001)^2/(4*'D(Ti_Jollands) Times'!$C223)/(365.35*24*3600)</f>
        <v>265015.01835223072</v>
      </c>
      <c r="Z223" s="2">
        <f>('L-Values'!V223*'D(Ti_Jollands) Times'!$F223*0.000001)^2/(4*'D(Ti_Jollands) Times'!$C223)/(365.35*24*3600)</f>
        <v>266235.61696088652</v>
      </c>
      <c r="AA223" s="2">
        <f>('L-Values'!W223*'D(Ti_Jollands) Times'!$F223*0.000001)^2/(4*'D(Ti_Jollands) Times'!$C223)/(365.35*24*3600)</f>
        <v>93081.770204209926</v>
      </c>
      <c r="AB223" s="2">
        <f>('L-Values'!X223*'D(Ti_Jollands) Times'!$F223*0.000001)^2/(4*'D(Ti_Jollands) Times'!$C223)/(365.35*24*3600)</f>
        <v>566507.49163633829</v>
      </c>
      <c r="AC223" s="2">
        <f t="shared" si="14"/>
        <v>173153.84675667659</v>
      </c>
      <c r="AD223" s="2">
        <f t="shared" si="15"/>
        <v>300271.87467545178</v>
      </c>
    </row>
    <row r="224" spans="1:30" x14ac:dyDescent="0.2">
      <c r="A224" t="str">
        <f>'L-Values'!A224</f>
        <v>CGI011-qtz07-CL-fit-1-offset</v>
      </c>
      <c r="B224">
        <v>750</v>
      </c>
      <c r="C224">
        <f t="shared" si="12"/>
        <v>6.6965312637759184E-25</v>
      </c>
      <c r="D224">
        <v>1250</v>
      </c>
      <c r="E224">
        <v>1024</v>
      </c>
      <c r="F224">
        <f t="shared" si="13"/>
        <v>1.220703125</v>
      </c>
      <c r="I224" s="2">
        <f>('L-Values'!E224*'D(Ti_Jollands) Times'!$F224*0.000001)^2/(4*'D(Ti_Jollands) Times'!$C224)/(365.35*24*3600)</f>
        <v>549422.93499978143</v>
      </c>
      <c r="J224" s="2">
        <f>('L-Values'!F224*'D(Ti_Jollands) Times'!$F224*0.000001)^2/(4*'D(Ti_Jollands) Times'!$C224)/(365.35*24*3600)</f>
        <v>503599.20279314194</v>
      </c>
      <c r="K224" s="2">
        <f>('L-Values'!G224*'D(Ti_Jollands) Times'!$F224*0.000001)^2/(4*'D(Ti_Jollands) Times'!$C224)/(365.35*24*3600)</f>
        <v>682500.84207259223</v>
      </c>
      <c r="L224" s="2">
        <f>('L-Values'!H224*'D(Ti_Jollands) Times'!$F224*0.000001)^2/(4*'D(Ti_Jollands) Times'!$C224)/(365.35*24*3600)</f>
        <v>476332.92186508438</v>
      </c>
      <c r="M224" s="2">
        <f>('L-Values'!I224*'D(Ti_Jollands) Times'!$F224*0.000001)^2/(4*'D(Ti_Jollands) Times'!$C224)/(365.35*24*3600)</f>
        <v>667765.29309434572</v>
      </c>
      <c r="N224" s="2">
        <f>('L-Values'!J224*'D(Ti_Jollands) Times'!$F224*0.000001)^2/(4*'D(Ti_Jollands) Times'!$C224)/(365.35*24*3600)</f>
        <v>309876.30471078429</v>
      </c>
      <c r="O224" s="2">
        <f>('L-Values'!K224*'D(Ti_Jollands) Times'!$F224*0.000001)^2/(4*'D(Ti_Jollands) Times'!$C224)/(365.35*24*3600)</f>
        <v>442400.00314710458</v>
      </c>
      <c r="P224" s="2">
        <f>('L-Values'!L224*'D(Ti_Jollands) Times'!$F224*0.000001)^2/(4*'D(Ti_Jollands) Times'!$C224)/(365.35*24*3600)</f>
        <v>553279.3013579509</v>
      </c>
      <c r="Q224" s="2">
        <f>('L-Values'!M224*'D(Ti_Jollands) Times'!$F224*0.000001)^2/(4*'D(Ti_Jollands) Times'!$C224)/(365.35*24*3600)</f>
        <v>394838.79344879778</v>
      </c>
      <c r="R224" s="2">
        <f>('L-Values'!N224*'D(Ti_Jollands) Times'!$F224*0.000001)^2/(4*'D(Ti_Jollands) Times'!$C224)/(365.35*24*3600)</f>
        <v>432246.96611484187</v>
      </c>
      <c r="S224" s="2">
        <f>('L-Values'!O224*'D(Ti_Jollands) Times'!$F224*0.000001)^2/(4*'D(Ti_Jollands) Times'!$C224)/(365.35*24*3600)</f>
        <v>365473.54196624091</v>
      </c>
      <c r="T224" s="2"/>
      <c r="U224" s="2">
        <f>('L-Values'!Q224*'D(Ti_Jollands) Times'!$F224*0.000001)^2/(4*'D(Ti_Jollands) Times'!$C224)/(365.35*24*3600)</f>
        <v>471106.51506183064</v>
      </c>
      <c r="V224" s="2">
        <f>('L-Values'!R224*'D(Ti_Jollands) Times'!$F224*0.000001)^2/(4*'D(Ti_Jollands) Times'!$C224)/(365.35*24*3600)</f>
        <v>482435.97389955842</v>
      </c>
      <c r="W224" s="2">
        <f>('L-Values'!S224*'D(Ti_Jollands) Times'!$F224*0.000001)^2/(4*'D(Ti_Jollands) Times'!$C224)/(365.35*24*3600)</f>
        <v>476332.92186508438</v>
      </c>
      <c r="X224" s="2"/>
      <c r="Y224" s="2">
        <f>('L-Values'!U224*'D(Ti_Jollands) Times'!$F224*0.000001)^2/(4*'D(Ti_Jollands) Times'!$C224)/(365.35*24*3600)</f>
        <v>459905.52710140683</v>
      </c>
      <c r="Z224" s="2">
        <f>('L-Values'!V224*'D(Ti_Jollands) Times'!$F224*0.000001)^2/(4*'D(Ti_Jollands) Times'!$C224)/(365.35*24*3600)</f>
        <v>469163.62749363401</v>
      </c>
      <c r="AA224" s="2">
        <f>('L-Values'!W224*'D(Ti_Jollands) Times'!$F224*0.000001)^2/(4*'D(Ti_Jollands) Times'!$C224)/(365.35*24*3600)</f>
        <v>278621.8788703091</v>
      </c>
      <c r="AB224" s="2">
        <f>('L-Values'!X224*'D(Ti_Jollands) Times'!$F224*0.000001)^2/(4*'D(Ti_Jollands) Times'!$C224)/(365.35*24*3600)</f>
        <v>804264.2870866009</v>
      </c>
      <c r="AC224" s="2">
        <f t="shared" si="14"/>
        <v>190541.74862332491</v>
      </c>
      <c r="AD224" s="2">
        <f t="shared" si="15"/>
        <v>335100.6595929669</v>
      </c>
    </row>
    <row r="225" spans="1:30" x14ac:dyDescent="0.2">
      <c r="A225" t="str">
        <f>'L-Values'!A225</f>
        <v>CGI011-qtz07-CL-fit-2-offset</v>
      </c>
      <c r="B225">
        <v>750</v>
      </c>
      <c r="C225">
        <f t="shared" si="12"/>
        <v>6.6965312637759184E-25</v>
      </c>
      <c r="D225">
        <v>1250</v>
      </c>
      <c r="E225">
        <v>1024</v>
      </c>
      <c r="F225">
        <f t="shared" si="13"/>
        <v>1.220703125</v>
      </c>
      <c r="I225" s="2">
        <f>('L-Values'!E225*'D(Ti_Jollands) Times'!$F225*0.000001)^2/(4*'D(Ti_Jollands) Times'!$C225)/(365.35*24*3600)</f>
        <v>195426.55599705112</v>
      </c>
      <c r="J225" s="2">
        <f>('L-Values'!F225*'D(Ti_Jollands) Times'!$F225*0.000001)^2/(4*'D(Ti_Jollands) Times'!$C225)/(365.35*24*3600)</f>
        <v>334812.47442227259</v>
      </c>
      <c r="K225" s="2">
        <f>('L-Values'!G225*'D(Ti_Jollands) Times'!$F225*0.000001)^2/(4*'D(Ti_Jollands) Times'!$C225)/(365.35*24*3600)</f>
        <v>220549.41776581656</v>
      </c>
      <c r="L225" s="2">
        <f>('L-Values'!H225*'D(Ti_Jollands) Times'!$F225*0.000001)^2/(4*'D(Ti_Jollands) Times'!$C225)/(365.35*24*3600)</f>
        <v>206102.83575655741</v>
      </c>
      <c r="M225" s="2">
        <f>('L-Values'!I225*'D(Ti_Jollands) Times'!$F225*0.000001)^2/(4*'D(Ti_Jollands) Times'!$C225)/(365.35*24*3600)</f>
        <v>356281.09780322376</v>
      </c>
      <c r="N225" s="2">
        <f>('L-Values'!J225*'D(Ti_Jollands) Times'!$F225*0.000001)^2/(4*'D(Ti_Jollands) Times'!$C225)/(365.35*24*3600)</f>
        <v>283890.69517886237</v>
      </c>
      <c r="O225" s="2">
        <f>('L-Values'!K225*'D(Ti_Jollands) Times'!$F225*0.000001)^2/(4*'D(Ti_Jollands) Times'!$C225)/(365.35*24*3600)</f>
        <v>246017.27600545672</v>
      </c>
      <c r="P225" s="2">
        <f>('L-Values'!L225*'D(Ti_Jollands) Times'!$F225*0.000001)^2/(4*'D(Ti_Jollands) Times'!$C225)/(365.35*24*3600)</f>
        <v>143884.22938920479</v>
      </c>
      <c r="Q225" s="2">
        <f>('L-Values'!M225*'D(Ti_Jollands) Times'!$F225*0.000001)^2/(4*'D(Ti_Jollands) Times'!$C225)/(365.35*24*3600)</f>
        <v>124374.86753867666</v>
      </c>
      <c r="R225" s="2">
        <f>('L-Values'!N225*'D(Ti_Jollands) Times'!$F225*0.000001)^2/(4*'D(Ti_Jollands) Times'!$C225)/(365.35*24*3600)</f>
        <v>209557.18532459991</v>
      </c>
      <c r="S225" s="2">
        <f>('L-Values'!O225*'D(Ti_Jollands) Times'!$F225*0.000001)^2/(4*'D(Ti_Jollands) Times'!$C225)/(365.35*24*3600)</f>
        <v>200457.25499757787</v>
      </c>
      <c r="T225" s="2"/>
      <c r="U225" s="2">
        <f>('L-Values'!Q225*'D(Ti_Jollands) Times'!$F225*0.000001)^2/(4*'D(Ti_Jollands) Times'!$C225)/(365.35*24*3600)</f>
        <v>220014.77978127086</v>
      </c>
      <c r="V225" s="2">
        <f>('L-Values'!R225*'D(Ti_Jollands) Times'!$F225*0.000001)^2/(4*'D(Ti_Jollands) Times'!$C225)/(365.35*24*3600)</f>
        <v>224116.91858732395</v>
      </c>
      <c r="W225" s="2">
        <f>('L-Values'!S225*'D(Ti_Jollands) Times'!$F225*0.000001)^2/(4*'D(Ti_Jollands) Times'!$C225)/(365.35*24*3600)</f>
        <v>209557.18532459991</v>
      </c>
      <c r="X225" s="2"/>
      <c r="Y225" s="2">
        <f>('L-Values'!U225*'D(Ti_Jollands) Times'!$F225*0.000001)^2/(4*'D(Ti_Jollands) Times'!$C225)/(365.35*24*3600)</f>
        <v>216572.00210934153</v>
      </c>
      <c r="Z225" s="2">
        <f>('L-Values'!V225*'D(Ti_Jollands) Times'!$F225*0.000001)^2/(4*'D(Ti_Jollands) Times'!$C225)/(365.35*24*3600)</f>
        <v>216936.76303108808</v>
      </c>
      <c r="AA225" s="2">
        <f>('L-Values'!W225*'D(Ti_Jollands) Times'!$F225*0.000001)^2/(4*'D(Ti_Jollands) Times'!$C225)/(365.35*24*3600)</f>
        <v>109767.79907820659</v>
      </c>
      <c r="AB225" s="2">
        <f>('L-Values'!X225*'D(Ti_Jollands) Times'!$F225*0.000001)^2/(4*'D(Ti_Jollands) Times'!$C225)/(365.35*24*3600)</f>
        <v>392330.8735474284</v>
      </c>
      <c r="AC225" s="2">
        <f t="shared" si="14"/>
        <v>107168.96395288149</v>
      </c>
      <c r="AD225" s="2">
        <f t="shared" si="15"/>
        <v>175394.11051634033</v>
      </c>
    </row>
    <row r="226" spans="1:30" x14ac:dyDescent="0.2">
      <c r="A226" t="str">
        <f>'L-Values'!A226</f>
        <v>CGI011-qtz07-CL-fit-3-offset</v>
      </c>
      <c r="B226">
        <v>750</v>
      </c>
      <c r="C226">
        <f t="shared" si="12"/>
        <v>6.6965312637759184E-25</v>
      </c>
      <c r="D226">
        <v>1250</v>
      </c>
      <c r="E226">
        <v>1024</v>
      </c>
      <c r="F226">
        <f t="shared" si="13"/>
        <v>1.220703125</v>
      </c>
      <c r="I226" s="2">
        <f>('L-Values'!E226*'D(Ti_Jollands) Times'!$F226*0.000001)^2/(4*'D(Ti_Jollands) Times'!$C226)/(365.35*24*3600)</f>
        <v>311917.33317074692</v>
      </c>
      <c r="J226" s="2">
        <f>('L-Values'!F226*'D(Ti_Jollands) Times'!$F226*0.000001)^2/(4*'D(Ti_Jollands) Times'!$C226)/(365.35*24*3600)</f>
        <v>238225.02014390234</v>
      </c>
      <c r="K226" s="2">
        <f>('L-Values'!G226*'D(Ti_Jollands) Times'!$F226*0.000001)^2/(4*'D(Ti_Jollands) Times'!$C226)/(365.35*24*3600)</f>
        <v>180337.71154606409</v>
      </c>
      <c r="L226" s="2">
        <f>('L-Values'!H226*'D(Ti_Jollands) Times'!$F226*0.000001)^2/(4*'D(Ti_Jollands) Times'!$C226)/(365.35*24*3600)</f>
        <v>186900.18734124891</v>
      </c>
      <c r="M226" s="2">
        <f>('L-Values'!I226*'D(Ti_Jollands) Times'!$F226*0.000001)^2/(4*'D(Ti_Jollands) Times'!$C226)/(365.35*24*3600)</f>
        <v>84358.072110079564</v>
      </c>
      <c r="N226" s="2">
        <f>('L-Values'!J226*'D(Ti_Jollands) Times'!$F226*0.000001)^2/(4*'D(Ti_Jollands) Times'!$C226)/(365.35*24*3600)</f>
        <v>299792.61018642696</v>
      </c>
      <c r="O226" s="2">
        <f>('L-Values'!K226*'D(Ti_Jollands) Times'!$F226*0.000001)^2/(4*'D(Ti_Jollands) Times'!$C226)/(365.35*24*3600)</f>
        <v>198548.99676106841</v>
      </c>
      <c r="P226" s="2">
        <f>('L-Values'!L226*'D(Ti_Jollands) Times'!$F226*0.000001)^2/(4*'D(Ti_Jollands) Times'!$C226)/(365.35*24*3600)</f>
        <v>131578.14647949737</v>
      </c>
      <c r="Q226" s="2">
        <f>('L-Values'!M226*'D(Ti_Jollands) Times'!$F226*0.000001)^2/(4*'D(Ti_Jollands) Times'!$C226)/(365.35*24*3600)</f>
        <v>219723.83264712119</v>
      </c>
      <c r="R226" s="2">
        <f>('L-Values'!N226*'D(Ti_Jollands) Times'!$F226*0.000001)^2/(4*'D(Ti_Jollands) Times'!$C226)/(365.35*24*3600)</f>
        <v>182013.60840828661</v>
      </c>
      <c r="S226" s="2">
        <f>('L-Values'!O226*'D(Ti_Jollands) Times'!$F226*0.000001)^2/(4*'D(Ti_Jollands) Times'!$C226)/(365.35*24*3600)</f>
        <v>206734.6041695684</v>
      </c>
      <c r="T226" s="2"/>
      <c r="U226" s="2">
        <f>('L-Values'!Q226*'D(Ti_Jollands) Times'!$F226*0.000001)^2/(4*'D(Ti_Jollands) Times'!$C226)/(365.35*24*3600)</f>
        <v>194416.80552186383</v>
      </c>
      <c r="V226" s="2">
        <f>('L-Values'!R226*'D(Ti_Jollands) Times'!$F226*0.000001)^2/(4*'D(Ti_Jollands) Times'!$C226)/(365.35*24*3600)</f>
        <v>198423.40422934602</v>
      </c>
      <c r="W226" s="2">
        <f>('L-Values'!S226*'D(Ti_Jollands) Times'!$F226*0.000001)^2/(4*'D(Ti_Jollands) Times'!$C226)/(365.35*24*3600)</f>
        <v>198548.99676106841</v>
      </c>
      <c r="X226" s="2"/>
      <c r="Y226" s="2">
        <f>('L-Values'!U226*'D(Ti_Jollands) Times'!$F226*0.000001)^2/(4*'D(Ti_Jollands) Times'!$C226)/(365.35*24*3600)</f>
        <v>190551.90362980246</v>
      </c>
      <c r="Z226" s="2">
        <f>('L-Values'!V226*'D(Ti_Jollands) Times'!$F226*0.000001)^2/(4*'D(Ti_Jollands) Times'!$C226)/(365.35*24*3600)</f>
        <v>190035.53687437475</v>
      </c>
      <c r="AA226" s="2">
        <f>('L-Values'!W226*'D(Ti_Jollands) Times'!$F226*0.000001)^2/(4*'D(Ti_Jollands) Times'!$C226)/(365.35*24*3600)</f>
        <v>86673.221635682348</v>
      </c>
      <c r="AB226" s="2">
        <f>('L-Values'!X226*'D(Ti_Jollands) Times'!$F226*0.000001)^2/(4*'D(Ti_Jollands) Times'!$C226)/(365.35*24*3600)</f>
        <v>310172.84384095832</v>
      </c>
      <c r="AC226" s="2">
        <f t="shared" si="14"/>
        <v>103362.3152386924</v>
      </c>
      <c r="AD226" s="2">
        <f t="shared" si="15"/>
        <v>120137.30696658356</v>
      </c>
    </row>
    <row r="227" spans="1:30" x14ac:dyDescent="0.2">
      <c r="A227" t="str">
        <f>'L-Values'!A227</f>
        <v>CGI011-qtz08-CL-fit-1-offset</v>
      </c>
      <c r="B227">
        <v>750</v>
      </c>
      <c r="C227">
        <f t="shared" si="12"/>
        <v>6.6965312637759184E-25</v>
      </c>
      <c r="D227">
        <v>1300</v>
      </c>
      <c r="E227">
        <v>1024</v>
      </c>
      <c r="F227">
        <f t="shared" si="13"/>
        <v>1.26953125</v>
      </c>
      <c r="I227" s="2">
        <f>('L-Values'!E227*'D(Ti_Jollands) Times'!$F227*0.000001)^2/(4*'D(Ti_Jollands) Times'!$C227)/(365.35*24*3600)</f>
        <v>0</v>
      </c>
      <c r="J227" s="2">
        <f>('L-Values'!F227*'D(Ti_Jollands) Times'!$F227*0.000001)^2/(4*'D(Ti_Jollands) Times'!$C227)/(365.35*24*3600)</f>
        <v>478226.72580485226</v>
      </c>
      <c r="K227" s="2">
        <f>('L-Values'!G227*'D(Ti_Jollands) Times'!$F227*0.000001)^2/(4*'D(Ti_Jollands) Times'!$C227)/(365.35*24*3600)</f>
        <v>901247.75309030362</v>
      </c>
      <c r="L227" s="2">
        <f>('L-Values'!H227*'D(Ti_Jollands) Times'!$F227*0.000001)^2/(4*'D(Ti_Jollands) Times'!$C227)/(365.35*24*3600)</f>
        <v>843772.6266484916</v>
      </c>
      <c r="M227" s="2">
        <f>('L-Values'!I227*'D(Ti_Jollands) Times'!$F227*0.000001)^2/(4*'D(Ti_Jollands) Times'!$C227)/(365.35*24*3600)</f>
        <v>857938.54447127529</v>
      </c>
      <c r="N227" s="2">
        <f>('L-Values'!J227*'D(Ti_Jollands) Times'!$F227*0.000001)^2/(4*'D(Ti_Jollands) Times'!$C227)/(365.35*24*3600)</f>
        <v>297785.5515463315</v>
      </c>
      <c r="O227" s="2">
        <f>('L-Values'!K227*'D(Ti_Jollands) Times'!$F227*0.000001)^2/(4*'D(Ti_Jollands) Times'!$C227)/(365.35*24*3600)</f>
        <v>673178.5446922594</v>
      </c>
      <c r="P227" s="2">
        <f>('L-Values'!L227*'D(Ti_Jollands) Times'!$F227*0.000001)^2/(4*'D(Ti_Jollands) Times'!$C227)/(365.35*24*3600)</f>
        <v>216818.24292716311</v>
      </c>
      <c r="Q227" s="2">
        <f>('L-Values'!M227*'D(Ti_Jollands) Times'!$F227*0.000001)^2/(4*'D(Ti_Jollands) Times'!$C227)/(365.35*24*3600)</f>
        <v>346330.56005081581</v>
      </c>
      <c r="R227" s="2">
        <f>('L-Values'!N227*'D(Ti_Jollands) Times'!$F227*0.000001)^2/(4*'D(Ti_Jollands) Times'!$C227)/(365.35*24*3600)</f>
        <v>349341.02189484314</v>
      </c>
      <c r="S227" s="2">
        <f>('L-Values'!O227*'D(Ti_Jollands) Times'!$F227*0.000001)^2/(4*'D(Ti_Jollands) Times'!$C227)/(365.35*24*3600)</f>
        <v>0</v>
      </c>
      <c r="T227" s="2"/>
      <c r="U227" s="2">
        <f>('L-Values'!Q227*'D(Ti_Jollands) Times'!$F227*0.000001)^2/(4*'D(Ti_Jollands) Times'!$C227)/(365.35*24*3600)</f>
        <v>479974.27502343786</v>
      </c>
      <c r="V227" s="2">
        <f>('L-Values'!R227*'D(Ti_Jollands) Times'!$F227*0.000001)^2/(4*'D(Ti_Jollands) Times'!$C227)/(365.35*24*3600)</f>
        <v>521133.10744512378</v>
      </c>
      <c r="W227" s="2">
        <f>('L-Values'!S227*'D(Ti_Jollands) Times'!$F227*0.000001)^2/(4*'D(Ti_Jollands) Times'!$C227)/(365.35*24*3600)</f>
        <v>478226.72580485226</v>
      </c>
      <c r="X227" s="2"/>
      <c r="Y227" s="2">
        <f>('L-Values'!U227*'D(Ti_Jollands) Times'!$F227*0.000001)^2/(4*'D(Ti_Jollands) Times'!$C227)/(365.35*24*3600)</f>
        <v>470036.28649729077</v>
      </c>
      <c r="Z227" s="2">
        <f>('L-Values'!V227*'D(Ti_Jollands) Times'!$F227*0.000001)^2/(4*'D(Ti_Jollands) Times'!$C227)/(365.35*24*3600)</f>
        <v>691443.49845991633</v>
      </c>
      <c r="AA227" s="2">
        <f>('L-Values'!W227*'D(Ti_Jollands) Times'!$F227*0.000001)^2/(4*'D(Ti_Jollands) Times'!$C227)/(365.35*24*3600)</f>
        <v>90335.307566991018</v>
      </c>
      <c r="AB227" s="2">
        <f>('L-Values'!X227*'D(Ti_Jollands) Times'!$F227*0.000001)^2/(4*'D(Ti_Jollands) Times'!$C227)/(365.35*24*3600)</f>
        <v>4497552.0861275876</v>
      </c>
      <c r="AC227" s="2">
        <f t="shared" si="14"/>
        <v>601108.19089292525</v>
      </c>
      <c r="AD227" s="2">
        <f t="shared" si="15"/>
        <v>3806108.587667671</v>
      </c>
    </row>
    <row r="228" spans="1:30" x14ac:dyDescent="0.2">
      <c r="A228" t="str">
        <f>'L-Values'!A228</f>
        <v>CGI011-qtz08-CL-fit-2-offset</v>
      </c>
      <c r="B228">
        <v>750</v>
      </c>
      <c r="C228">
        <f t="shared" si="12"/>
        <v>6.6965312637759184E-25</v>
      </c>
      <c r="D228">
        <v>1300</v>
      </c>
      <c r="E228">
        <v>1024</v>
      </c>
      <c r="F228">
        <f t="shared" si="13"/>
        <v>1.26953125</v>
      </c>
      <c r="I228" s="2">
        <f>('L-Values'!E228*'D(Ti_Jollands) Times'!$F228*0.000001)^2/(4*'D(Ti_Jollands) Times'!$C228)/(365.35*24*3600)</f>
        <v>3804860.3225700194</v>
      </c>
      <c r="J228" s="2">
        <f>('L-Values'!F228*'D(Ti_Jollands) Times'!$F228*0.000001)^2/(4*'D(Ti_Jollands) Times'!$C228)/(365.35*24*3600)</f>
        <v>3456696.8832871262</v>
      </c>
      <c r="K228" s="2">
        <f>('L-Values'!G228*'D(Ti_Jollands) Times'!$F228*0.000001)^2/(4*'D(Ti_Jollands) Times'!$C228)/(365.35*24*3600)</f>
        <v>4274324.3184956703</v>
      </c>
      <c r="L228" s="2">
        <f>('L-Values'!H228*'D(Ti_Jollands) Times'!$F228*0.000001)^2/(4*'D(Ti_Jollands) Times'!$C228)/(365.35*24*3600)</f>
        <v>5438969.0051530516</v>
      </c>
      <c r="M228" s="2">
        <f>('L-Values'!I228*'D(Ti_Jollands) Times'!$F228*0.000001)^2/(4*'D(Ti_Jollands) Times'!$C228)/(365.35*24*3600)</f>
        <v>3841614.3860378442</v>
      </c>
      <c r="N228" s="2">
        <f>('L-Values'!J228*'D(Ti_Jollands) Times'!$F228*0.000001)^2/(4*'D(Ti_Jollands) Times'!$C228)/(365.35*24*3600)</f>
        <v>3182081.4163545645</v>
      </c>
      <c r="O228" s="2">
        <f>('L-Values'!K228*'D(Ti_Jollands) Times'!$F228*0.000001)^2/(4*'D(Ti_Jollands) Times'!$C228)/(365.35*24*3600)</f>
        <v>5238811.0515909763</v>
      </c>
      <c r="P228" s="2">
        <f>('L-Values'!L228*'D(Ti_Jollands) Times'!$F228*0.000001)^2/(4*'D(Ti_Jollands) Times'!$C228)/(365.35*24*3600)</f>
        <v>3410183.9296791246</v>
      </c>
      <c r="Q228" s="2">
        <f>('L-Values'!M228*'D(Ti_Jollands) Times'!$F228*0.000001)^2/(4*'D(Ti_Jollands) Times'!$C228)/(365.35*24*3600)</f>
        <v>2699910.3941320498</v>
      </c>
      <c r="R228" s="2">
        <f>('L-Values'!N228*'D(Ti_Jollands) Times'!$F228*0.000001)^2/(4*'D(Ti_Jollands) Times'!$C228)/(365.35*24*3600)</f>
        <v>3519300.7033584611</v>
      </c>
      <c r="S228" s="2">
        <f>('L-Values'!O228*'D(Ti_Jollands) Times'!$F228*0.000001)^2/(4*'D(Ti_Jollands) Times'!$C228)/(365.35*24*3600)</f>
        <v>2522900.5938092996</v>
      </c>
      <c r="T228" s="2"/>
      <c r="U228" s="2">
        <f>('L-Values'!Q228*'D(Ti_Jollands) Times'!$F228*0.000001)^2/(4*'D(Ti_Jollands) Times'!$C228)/(365.35*24*3600)</f>
        <v>3672552.8194812383</v>
      </c>
      <c r="V228" s="2">
        <f>('L-Values'!R228*'D(Ti_Jollands) Times'!$F228*0.000001)^2/(4*'D(Ti_Jollands) Times'!$C228)/(365.35*24*3600)</f>
        <v>3713072.7206937894</v>
      </c>
      <c r="W228" s="2">
        <f>('L-Values'!S228*'D(Ti_Jollands) Times'!$F228*0.000001)^2/(4*'D(Ti_Jollands) Times'!$C228)/(365.35*24*3600)</f>
        <v>3519300.7033584611</v>
      </c>
      <c r="X228" s="2"/>
      <c r="Y228" s="2">
        <f>('L-Values'!U228*'D(Ti_Jollands) Times'!$F228*0.000001)^2/(4*'D(Ti_Jollands) Times'!$C228)/(365.35*24*3600)</f>
        <v>3621024.0672458257</v>
      </c>
      <c r="Z228" s="2">
        <f>('L-Values'!V228*'D(Ti_Jollands) Times'!$F228*0.000001)^2/(4*'D(Ti_Jollands) Times'!$C228)/(365.35*24*3600)</f>
        <v>3697732.4874892328</v>
      </c>
      <c r="AA228" s="2">
        <f>('L-Values'!W228*'D(Ti_Jollands) Times'!$F228*0.000001)^2/(4*'D(Ti_Jollands) Times'!$C228)/(365.35*24*3600)</f>
        <v>2488070.8090425348</v>
      </c>
      <c r="AB228" s="2">
        <f>('L-Values'!X228*'D(Ti_Jollands) Times'!$F228*0.000001)^2/(4*'D(Ti_Jollands) Times'!$C228)/(365.35*24*3600)</f>
        <v>5337397.6819651499</v>
      </c>
      <c r="AC228" s="2">
        <f t="shared" si="14"/>
        <v>1209661.678446698</v>
      </c>
      <c r="AD228" s="2">
        <f t="shared" si="15"/>
        <v>1639665.1944759171</v>
      </c>
    </row>
    <row r="229" spans="1:30" x14ac:dyDescent="0.2">
      <c r="A229" t="str">
        <f>'L-Values'!A229</f>
        <v>CGI011-qtz08-CL-fit-3-offset</v>
      </c>
      <c r="B229">
        <v>750</v>
      </c>
      <c r="C229">
        <f t="shared" si="12"/>
        <v>6.6965312637759184E-25</v>
      </c>
      <c r="D229">
        <v>1300</v>
      </c>
      <c r="E229">
        <v>1024</v>
      </c>
      <c r="F229">
        <f t="shared" si="13"/>
        <v>1.26953125</v>
      </c>
      <c r="I229" s="2">
        <f>('L-Values'!E229*'D(Ti_Jollands) Times'!$F229*0.000001)^2/(4*'D(Ti_Jollands) Times'!$C229)/(365.35*24*3600)</f>
        <v>382908.15663569805</v>
      </c>
      <c r="J229" s="2">
        <f>('L-Values'!F229*'D(Ti_Jollands) Times'!$F229*0.000001)^2/(4*'D(Ti_Jollands) Times'!$C229)/(365.35*24*3600)</f>
        <v>395904.59239945118</v>
      </c>
      <c r="K229" s="2">
        <f>('L-Values'!G229*'D(Ti_Jollands) Times'!$F229*0.000001)^2/(4*'D(Ti_Jollands) Times'!$C229)/(365.35*24*3600)</f>
        <v>294591.72582272015</v>
      </c>
      <c r="L229" s="2">
        <f>('L-Values'!H229*'D(Ti_Jollands) Times'!$F229*0.000001)^2/(4*'D(Ti_Jollands) Times'!$C229)/(365.35*24*3600)</f>
        <v>602848.02108845674</v>
      </c>
      <c r="M229" s="2">
        <f>('L-Values'!I229*'D(Ti_Jollands) Times'!$F229*0.000001)^2/(4*'D(Ti_Jollands) Times'!$C229)/(365.35*24*3600)</f>
        <v>608560.54433827987</v>
      </c>
      <c r="N229" s="2">
        <f>('L-Values'!J229*'D(Ti_Jollands) Times'!$F229*0.000001)^2/(4*'D(Ti_Jollands) Times'!$C229)/(365.35*24*3600)</f>
        <v>415018.72963019117</v>
      </c>
      <c r="O229" s="2">
        <f>('L-Values'!K229*'D(Ti_Jollands) Times'!$F229*0.000001)^2/(4*'D(Ti_Jollands) Times'!$C229)/(365.35*24*3600)</f>
        <v>738504.9660757113</v>
      </c>
      <c r="P229" s="2">
        <f>('L-Values'!L229*'D(Ti_Jollands) Times'!$F229*0.000001)^2/(4*'D(Ti_Jollands) Times'!$C229)/(365.35*24*3600)</f>
        <v>543135.94651220064</v>
      </c>
      <c r="Q229" s="2">
        <f>('L-Values'!M229*'D(Ti_Jollands) Times'!$F229*0.000001)^2/(4*'D(Ti_Jollands) Times'!$C229)/(365.35*24*3600)</f>
        <v>720019.11232043779</v>
      </c>
      <c r="R229" s="2">
        <f>('L-Values'!N229*'D(Ti_Jollands) Times'!$F229*0.000001)^2/(4*'D(Ti_Jollands) Times'!$C229)/(365.35*24*3600)</f>
        <v>810107.44190161966</v>
      </c>
      <c r="S229" s="2">
        <f>('L-Values'!O229*'D(Ti_Jollands) Times'!$F229*0.000001)^2/(4*'D(Ti_Jollands) Times'!$C229)/(365.35*24*3600)</f>
        <v>549704.16734321683</v>
      </c>
      <c r="T229" s="2"/>
      <c r="U229" s="2">
        <f>('L-Values'!Q229*'D(Ti_Jollands) Times'!$F229*0.000001)^2/(4*'D(Ti_Jollands) Times'!$C229)/(365.35*24*3600)</f>
        <v>543019.00674749434</v>
      </c>
      <c r="V229" s="2">
        <f>('L-Values'!R229*'D(Ti_Jollands) Times'!$F229*0.000001)^2/(4*'D(Ti_Jollands) Times'!$C229)/(365.35*24*3600)</f>
        <v>539274.42064105754</v>
      </c>
      <c r="W229" s="2">
        <f>('L-Values'!S229*'D(Ti_Jollands) Times'!$F229*0.000001)^2/(4*'D(Ti_Jollands) Times'!$C229)/(365.35*24*3600)</f>
        <v>549704.16734321683</v>
      </c>
      <c r="X229" s="2"/>
      <c r="Y229" s="2">
        <f>('L-Values'!U229*'D(Ti_Jollands) Times'!$F229*0.000001)^2/(4*'D(Ti_Jollands) Times'!$C229)/(365.35*24*3600)</f>
        <v>555380.71378732333</v>
      </c>
      <c r="Z229" s="2">
        <f>('L-Values'!V229*'D(Ti_Jollands) Times'!$F229*0.000001)^2/(4*'D(Ti_Jollands) Times'!$C229)/(365.35*24*3600)</f>
        <v>542255.41733160464</v>
      </c>
      <c r="AA229" s="2">
        <f>('L-Values'!W229*'D(Ti_Jollands) Times'!$F229*0.000001)^2/(4*'D(Ti_Jollands) Times'!$C229)/(365.35*24*3600)</f>
        <v>325369.22747386666</v>
      </c>
      <c r="AB229" s="2">
        <f>('L-Values'!X229*'D(Ti_Jollands) Times'!$F229*0.000001)^2/(4*'D(Ti_Jollands) Times'!$C229)/(365.35*24*3600)</f>
        <v>816429.22060839075</v>
      </c>
      <c r="AC229" s="2">
        <f t="shared" si="14"/>
        <v>216886.18985773798</v>
      </c>
      <c r="AD229" s="2">
        <f t="shared" si="15"/>
        <v>274173.80327678612</v>
      </c>
    </row>
    <row r="230" spans="1:30" x14ac:dyDescent="0.2">
      <c r="A230" t="str">
        <f>'L-Values'!A230</f>
        <v>CGI011-qtz08-CL-fit-4-offset</v>
      </c>
      <c r="B230">
        <v>750</v>
      </c>
      <c r="C230">
        <f t="shared" si="12"/>
        <v>6.6965312637759184E-25</v>
      </c>
      <c r="D230">
        <v>1300</v>
      </c>
      <c r="E230">
        <v>1024</v>
      </c>
      <c r="F230">
        <f t="shared" si="13"/>
        <v>1.26953125</v>
      </c>
      <c r="I230" s="2">
        <f>('L-Values'!E230*'D(Ti_Jollands) Times'!$F230*0.000001)^2/(4*'D(Ti_Jollands) Times'!$C230)/(365.35*24*3600)</f>
        <v>125081.88630074059</v>
      </c>
      <c r="J230" s="2">
        <f>('L-Values'!F230*'D(Ti_Jollands) Times'!$F230*0.000001)^2/(4*'D(Ti_Jollands) Times'!$C230)/(365.35*24*3600)</f>
        <v>108150.00945065817</v>
      </c>
      <c r="K230" s="2">
        <f>('L-Values'!G230*'D(Ti_Jollands) Times'!$F230*0.000001)^2/(4*'D(Ti_Jollands) Times'!$C230)/(365.35*24*3600)</f>
        <v>91201.01073674504</v>
      </c>
      <c r="L230" s="2">
        <f>('L-Values'!H230*'D(Ti_Jollands) Times'!$F230*0.000001)^2/(4*'D(Ti_Jollands) Times'!$C230)/(365.35*24*3600)</f>
        <v>136090.33524725764</v>
      </c>
      <c r="M230" s="2">
        <f>('L-Values'!I230*'D(Ti_Jollands) Times'!$F230*0.000001)^2/(4*'D(Ti_Jollands) Times'!$C230)/(365.35*24*3600)</f>
        <v>96327.495152425021</v>
      </c>
      <c r="N230" s="2">
        <f>('L-Values'!J230*'D(Ti_Jollands) Times'!$F230*0.000001)^2/(4*'D(Ti_Jollands) Times'!$C230)/(365.35*24*3600)</f>
        <v>55350.87012631556</v>
      </c>
      <c r="O230" s="2">
        <f>('L-Values'!K230*'D(Ti_Jollands) Times'!$F230*0.000001)^2/(4*'D(Ti_Jollands) Times'!$C230)/(365.35*24*3600)</f>
        <v>58257.963557405499</v>
      </c>
      <c r="P230" s="2">
        <f>('L-Values'!L230*'D(Ti_Jollands) Times'!$F230*0.000001)^2/(4*'D(Ti_Jollands) Times'!$C230)/(365.35*24*3600)</f>
        <v>84385.249784538813</v>
      </c>
      <c r="Q230" s="2">
        <f>('L-Values'!M230*'D(Ti_Jollands) Times'!$F230*0.000001)^2/(4*'D(Ti_Jollands) Times'!$C230)/(365.35*24*3600)</f>
        <v>41635.553067161527</v>
      </c>
      <c r="R230" s="2">
        <f>('L-Values'!N230*'D(Ti_Jollands) Times'!$F230*0.000001)^2/(4*'D(Ti_Jollands) Times'!$C230)/(365.35*24*3600)</f>
        <v>57349.516852733461</v>
      </c>
      <c r="S230" s="2">
        <f>('L-Values'!O230*'D(Ti_Jollands) Times'!$F230*0.000001)^2/(4*'D(Ti_Jollands) Times'!$C230)/(365.35*24*3600)</f>
        <v>82317.021757687238</v>
      </c>
      <c r="T230" s="2"/>
      <c r="U230" s="2">
        <f>('L-Values'!Q230*'D(Ti_Jollands) Times'!$F230*0.000001)^2/(4*'D(Ti_Jollands) Times'!$C230)/(365.35*24*3600)</f>
        <v>83698.717010166059</v>
      </c>
      <c r="V230" s="2">
        <f>('L-Values'!R230*'D(Ti_Jollands) Times'!$F230*0.000001)^2/(4*'D(Ti_Jollands) Times'!$C230)/(365.35*24*3600)</f>
        <v>82596.550573625093</v>
      </c>
      <c r="W230" s="2">
        <f>('L-Values'!S230*'D(Ti_Jollands) Times'!$F230*0.000001)^2/(4*'D(Ti_Jollands) Times'!$C230)/(365.35*24*3600)</f>
        <v>84385.249784538813</v>
      </c>
      <c r="X230" s="2"/>
      <c r="Y230" s="2">
        <f>('L-Values'!U230*'D(Ti_Jollands) Times'!$F230*0.000001)^2/(4*'D(Ti_Jollands) Times'!$C230)/(365.35*24*3600)</f>
        <v>79008.105635110158</v>
      </c>
      <c r="Z230" s="2">
        <f>('L-Values'!V230*'D(Ti_Jollands) Times'!$F230*0.000001)^2/(4*'D(Ti_Jollands) Times'!$C230)/(365.35*24*3600)</f>
        <v>78934.678086791842</v>
      </c>
      <c r="AA230" s="2">
        <f>('L-Values'!W230*'D(Ti_Jollands) Times'!$F230*0.000001)^2/(4*'D(Ti_Jollands) Times'!$C230)/(365.35*24*3600)</f>
        <v>14884.414795040888</v>
      </c>
      <c r="AB230" s="2">
        <f>('L-Values'!X230*'D(Ti_Jollands) Times'!$F230*0.000001)^2/(4*'D(Ti_Jollands) Times'!$C230)/(365.35*24*3600)</f>
        <v>176682.72323482396</v>
      </c>
      <c r="AC230" s="2">
        <f t="shared" si="14"/>
        <v>64050.263291750955</v>
      </c>
      <c r="AD230" s="2">
        <f t="shared" si="15"/>
        <v>97748.045148032121</v>
      </c>
    </row>
    <row r="231" spans="1:30" x14ac:dyDescent="0.2">
      <c r="A231" t="str">
        <f>'L-Values'!A231</f>
        <v>CGI011-qtz08-CL-fit-5-offset</v>
      </c>
      <c r="B231">
        <v>750</v>
      </c>
      <c r="C231">
        <f t="shared" si="12"/>
        <v>6.6965312637759184E-25</v>
      </c>
      <c r="D231">
        <v>1300</v>
      </c>
      <c r="E231">
        <v>1024</v>
      </c>
      <c r="F231">
        <f t="shared" si="13"/>
        <v>1.26953125</v>
      </c>
      <c r="I231" s="2">
        <f>('L-Values'!E231*'D(Ti_Jollands) Times'!$F231*0.000001)^2/(4*'D(Ti_Jollands) Times'!$C231)/(365.35*24*3600)</f>
        <v>251185.12847303515</v>
      </c>
      <c r="J231" s="2">
        <f>('L-Values'!F231*'D(Ti_Jollands) Times'!$F231*0.000001)^2/(4*'D(Ti_Jollands) Times'!$C231)/(365.35*24*3600)</f>
        <v>298711.52187233302</v>
      </c>
      <c r="K231" s="2">
        <f>('L-Values'!G231*'D(Ti_Jollands) Times'!$F231*0.000001)^2/(4*'D(Ti_Jollands) Times'!$C231)/(365.35*24*3600)</f>
        <v>404245.80076519685</v>
      </c>
      <c r="L231" s="2">
        <f>('L-Values'!H231*'D(Ti_Jollands) Times'!$F231*0.000001)^2/(4*'D(Ti_Jollands) Times'!$C231)/(365.35*24*3600)</f>
        <v>475597.89525299193</v>
      </c>
      <c r="M231" s="2">
        <f>('L-Values'!I231*'D(Ti_Jollands) Times'!$F231*0.000001)^2/(4*'D(Ti_Jollands) Times'!$C231)/(365.35*24*3600)</f>
        <v>549518.85048982594</v>
      </c>
      <c r="N231" s="2">
        <f>('L-Values'!J231*'D(Ti_Jollands) Times'!$F231*0.000001)^2/(4*'D(Ti_Jollands) Times'!$C231)/(365.35*24*3600)</f>
        <v>484492.97385859804</v>
      </c>
      <c r="O231" s="2">
        <f>('L-Values'!K231*'D(Ti_Jollands) Times'!$F231*0.000001)^2/(4*'D(Ti_Jollands) Times'!$C231)/(365.35*24*3600)</f>
        <v>287648.68648734223</v>
      </c>
      <c r="P231" s="2">
        <f>('L-Values'!L231*'D(Ti_Jollands) Times'!$F231*0.000001)^2/(4*'D(Ti_Jollands) Times'!$C231)/(365.35*24*3600)</f>
        <v>420520.77086587582</v>
      </c>
      <c r="Q231" s="2">
        <f>('L-Values'!M231*'D(Ti_Jollands) Times'!$F231*0.000001)^2/(4*'D(Ti_Jollands) Times'!$C231)/(365.35*24*3600)</f>
        <v>432995.97010629287</v>
      </c>
      <c r="R231" s="2">
        <f>('L-Values'!N231*'D(Ti_Jollands) Times'!$F231*0.000001)^2/(4*'D(Ti_Jollands) Times'!$C231)/(365.35*24*3600)</f>
        <v>275934.65402978187</v>
      </c>
      <c r="S231" s="2">
        <f>('L-Values'!O231*'D(Ti_Jollands) Times'!$F231*0.000001)^2/(4*'D(Ti_Jollands) Times'!$C231)/(365.35*24*3600)</f>
        <v>403927.3192259405</v>
      </c>
      <c r="T231" s="2"/>
      <c r="U231" s="2">
        <f>('L-Values'!Q231*'D(Ti_Jollands) Times'!$F231*0.000001)^2/(4*'D(Ti_Jollands) Times'!$C231)/(365.35*24*3600)</f>
        <v>370222.08166320017</v>
      </c>
      <c r="V231" s="2">
        <f>('L-Values'!R231*'D(Ti_Jollands) Times'!$F231*0.000001)^2/(4*'D(Ti_Jollands) Times'!$C231)/(365.35*24*3600)</f>
        <v>383745.93393587391</v>
      </c>
      <c r="W231" s="2">
        <f>('L-Values'!S231*'D(Ti_Jollands) Times'!$F231*0.000001)^2/(4*'D(Ti_Jollands) Times'!$C231)/(365.35*24*3600)</f>
        <v>404245.80076519685</v>
      </c>
      <c r="X231" s="2"/>
      <c r="Y231" s="2">
        <f>('L-Values'!U231*'D(Ti_Jollands) Times'!$F231*0.000001)^2/(4*'D(Ti_Jollands) Times'!$C231)/(365.35*24*3600)</f>
        <v>355028.92103585717</v>
      </c>
      <c r="Z231" s="2">
        <f>('L-Values'!V231*'D(Ti_Jollands) Times'!$F231*0.000001)^2/(4*'D(Ti_Jollands) Times'!$C231)/(365.35*24*3600)</f>
        <v>366688.59413809585</v>
      </c>
      <c r="AA231" s="2">
        <f>('L-Values'!W231*'D(Ti_Jollands) Times'!$F231*0.000001)^2/(4*'D(Ti_Jollands) Times'!$C231)/(365.35*24*3600)</f>
        <v>197519.11716018201</v>
      </c>
      <c r="AB231" s="2">
        <f>('L-Values'!X231*'D(Ti_Jollands) Times'!$F231*0.000001)^2/(4*'D(Ti_Jollands) Times'!$C231)/(365.35*24*3600)</f>
        <v>631437.13888019335</v>
      </c>
      <c r="AC231" s="2">
        <f t="shared" si="14"/>
        <v>169169.47697791384</v>
      </c>
      <c r="AD231" s="2">
        <f t="shared" si="15"/>
        <v>264748.5447420975</v>
      </c>
    </row>
    <row r="232" spans="1:30" x14ac:dyDescent="0.2">
      <c r="A232" t="str">
        <f>'L-Values'!A232</f>
        <v>CGI011-qtz09-CL-fit-1-offset</v>
      </c>
      <c r="B232">
        <v>750</v>
      </c>
      <c r="C232">
        <f t="shared" si="12"/>
        <v>6.6965312637759184E-25</v>
      </c>
      <c r="D232">
        <v>1100</v>
      </c>
      <c r="E232">
        <v>1024</v>
      </c>
      <c r="F232">
        <f t="shared" si="13"/>
        <v>1.07421875</v>
      </c>
      <c r="I232" s="2">
        <f>('L-Values'!E232*'D(Ti_Jollands) Times'!$F232*0.000001)^2/(4*'D(Ti_Jollands) Times'!$C232)/(365.35*24*3600)</f>
        <v>175032.0689223735</v>
      </c>
      <c r="J232" s="2">
        <f>('L-Values'!F232*'D(Ti_Jollands) Times'!$F232*0.000001)^2/(4*'D(Ti_Jollands) Times'!$C232)/(365.35*24*3600)</f>
        <v>201607.04684502093</v>
      </c>
      <c r="K232" s="2">
        <f>('L-Values'!G232*'D(Ti_Jollands) Times'!$F232*0.000001)^2/(4*'D(Ti_Jollands) Times'!$C232)/(365.35*24*3600)</f>
        <v>149742.74944545253</v>
      </c>
      <c r="L232" s="2">
        <f>('L-Values'!H232*'D(Ti_Jollands) Times'!$F232*0.000001)^2/(4*'D(Ti_Jollands) Times'!$C232)/(365.35*24*3600)</f>
        <v>0</v>
      </c>
      <c r="M232" s="2">
        <f>('L-Values'!I232*'D(Ti_Jollands) Times'!$F232*0.000001)^2/(4*'D(Ti_Jollands) Times'!$C232)/(365.35*24*3600)</f>
        <v>389674.97356635897</v>
      </c>
      <c r="N232" s="2">
        <f>('L-Values'!J232*'D(Ti_Jollands) Times'!$F232*0.000001)^2/(4*'D(Ti_Jollands) Times'!$C232)/(365.35*24*3600)</f>
        <v>377731.63651303336</v>
      </c>
      <c r="O232" s="2">
        <f>('L-Values'!K232*'D(Ti_Jollands) Times'!$F232*0.000001)^2/(4*'D(Ti_Jollands) Times'!$C232)/(365.35*24*3600)</f>
        <v>9652.6374375451869</v>
      </c>
      <c r="P232" s="2">
        <f>('L-Values'!L232*'D(Ti_Jollands) Times'!$F232*0.000001)^2/(4*'D(Ti_Jollands) Times'!$C232)/(365.35*24*3600)</f>
        <v>38030.189972509266</v>
      </c>
      <c r="Q232" s="2">
        <f>('L-Values'!M232*'D(Ti_Jollands) Times'!$F232*0.000001)^2/(4*'D(Ti_Jollands) Times'!$C232)/(365.35*24*3600)</f>
        <v>562359.88862723834</v>
      </c>
      <c r="R232" s="2">
        <f>('L-Values'!N232*'D(Ti_Jollands) Times'!$F232*0.000001)^2/(4*'D(Ti_Jollands) Times'!$C232)/(365.35*24*3600)</f>
        <v>492641.49457164027</v>
      </c>
      <c r="S232" s="2">
        <f>('L-Values'!O232*'D(Ti_Jollands) Times'!$F232*0.000001)^2/(4*'D(Ti_Jollands) Times'!$C232)/(365.35*24*3600)</f>
        <v>291063.18633587565</v>
      </c>
      <c r="T232" s="2"/>
      <c r="U232" s="2">
        <f>('L-Values'!Q232*'D(Ti_Jollands) Times'!$F232*0.000001)^2/(4*'D(Ti_Jollands) Times'!$C232)/(365.35*24*3600)</f>
        <v>231965.44628737262</v>
      </c>
      <c r="V232" s="2">
        <f>('L-Values'!R232*'D(Ti_Jollands) Times'!$F232*0.000001)^2/(4*'D(Ti_Jollands) Times'!$C232)/(365.35*24*3600)</f>
        <v>228267.43440301652</v>
      </c>
      <c r="W232" s="2">
        <f>('L-Values'!S232*'D(Ti_Jollands) Times'!$F232*0.000001)^2/(4*'D(Ti_Jollands) Times'!$C232)/(365.35*24*3600)</f>
        <v>244287.73564243366</v>
      </c>
      <c r="X232" s="2"/>
      <c r="Y232" s="2">
        <f>('L-Values'!U232*'D(Ti_Jollands) Times'!$F232*0.000001)^2/(4*'D(Ti_Jollands) Times'!$C232)/(365.35*24*3600)</f>
        <v>214203.31444473131</v>
      </c>
      <c r="Z232" s="2">
        <f>('L-Values'!V232*'D(Ti_Jollands) Times'!$F232*0.000001)^2/(4*'D(Ti_Jollands) Times'!$C232)/(365.35*24*3600)</f>
        <v>239355.59708265844</v>
      </c>
      <c r="AA232" s="2">
        <f>('L-Values'!W232*'D(Ti_Jollands) Times'!$F232*0.000001)^2/(4*'D(Ti_Jollands) Times'!$C232)/(365.35*24*3600)</f>
        <v>1664.4259283086903</v>
      </c>
      <c r="AB232" s="2">
        <f>('L-Values'!X232*'D(Ti_Jollands) Times'!$F232*0.000001)^2/(4*'D(Ti_Jollands) Times'!$C232)/(365.35*24*3600)</f>
        <v>1136370.3133430763</v>
      </c>
      <c r="AC232" s="2">
        <f t="shared" si="14"/>
        <v>237691.17115434975</v>
      </c>
      <c r="AD232" s="2">
        <f t="shared" si="15"/>
        <v>897014.71626041783</v>
      </c>
    </row>
    <row r="233" spans="1:30" x14ac:dyDescent="0.2">
      <c r="A233" t="str">
        <f>'L-Values'!A233</f>
        <v>CGI011-qtz09-CL-fit-2-offset</v>
      </c>
      <c r="B233">
        <v>750</v>
      </c>
      <c r="C233">
        <f t="shared" si="12"/>
        <v>6.6965312637759184E-25</v>
      </c>
      <c r="D233">
        <v>1100</v>
      </c>
      <c r="E233">
        <v>1024</v>
      </c>
      <c r="F233">
        <f t="shared" si="13"/>
        <v>1.07421875</v>
      </c>
      <c r="I233" s="2">
        <f>('L-Values'!E233*'D(Ti_Jollands) Times'!$F233*0.000001)^2/(4*'D(Ti_Jollands) Times'!$C233)/(365.35*24*3600)</f>
        <v>998629.36247399764</v>
      </c>
      <c r="J233" s="2">
        <f>('L-Values'!F233*'D(Ti_Jollands) Times'!$F233*0.000001)^2/(4*'D(Ti_Jollands) Times'!$C233)/(365.35*24*3600)</f>
        <v>605567.77625415928</v>
      </c>
      <c r="K233" s="2">
        <f>('L-Values'!G233*'D(Ti_Jollands) Times'!$F233*0.000001)^2/(4*'D(Ti_Jollands) Times'!$C233)/(365.35*24*3600)</f>
        <v>918217.86453228968</v>
      </c>
      <c r="L233" s="2">
        <f>('L-Values'!H233*'D(Ti_Jollands) Times'!$F233*0.000001)^2/(4*'D(Ti_Jollands) Times'!$C233)/(365.35*24*3600)</f>
        <v>331439.01464212645</v>
      </c>
      <c r="M233" s="2">
        <f>('L-Values'!I233*'D(Ti_Jollands) Times'!$F233*0.000001)^2/(4*'D(Ti_Jollands) Times'!$C233)/(365.35*24*3600)</f>
        <v>628763.28215805418</v>
      </c>
      <c r="N233" s="2">
        <f>('L-Values'!J233*'D(Ti_Jollands) Times'!$F233*0.000001)^2/(4*'D(Ti_Jollands) Times'!$C233)/(365.35*24*3600)</f>
        <v>300195.6035894443</v>
      </c>
      <c r="O233" s="2">
        <f>('L-Values'!K233*'D(Ti_Jollands) Times'!$F233*0.000001)^2/(4*'D(Ti_Jollands) Times'!$C233)/(365.35*24*3600)</f>
        <v>428830.9817593231</v>
      </c>
      <c r="P233" s="2">
        <f>('L-Values'!L233*'D(Ti_Jollands) Times'!$F233*0.000001)^2/(4*'D(Ti_Jollands) Times'!$C233)/(365.35*24*3600)</f>
        <v>584697.40499059006</v>
      </c>
      <c r="Q233" s="2">
        <f>('L-Values'!M233*'D(Ti_Jollands) Times'!$F233*0.000001)^2/(4*'D(Ti_Jollands) Times'!$C233)/(365.35*24*3600)</f>
        <v>521809.09843120852</v>
      </c>
      <c r="R233" s="2">
        <f>('L-Values'!N233*'D(Ti_Jollands) Times'!$F233*0.000001)^2/(4*'D(Ti_Jollands) Times'!$C233)/(365.35*24*3600)</f>
        <v>175969.3846152109</v>
      </c>
      <c r="S233" s="2">
        <f>('L-Values'!O233*'D(Ti_Jollands) Times'!$F233*0.000001)^2/(4*'D(Ti_Jollands) Times'!$C233)/(365.35*24*3600)</f>
        <v>0</v>
      </c>
      <c r="T233" s="2"/>
      <c r="U233" s="2">
        <f>('L-Values'!Q233*'D(Ti_Jollands) Times'!$F233*0.000001)^2/(4*'D(Ti_Jollands) Times'!$C233)/(365.35*24*3600)</f>
        <v>507300.41937509092</v>
      </c>
      <c r="V233" s="2">
        <f>('L-Values'!R233*'D(Ti_Jollands) Times'!$F233*0.000001)^2/(4*'D(Ti_Jollands) Times'!$C233)/(365.35*24*3600)</f>
        <v>520366.8375052695</v>
      </c>
      <c r="W233" s="2">
        <f>('L-Values'!S233*'D(Ti_Jollands) Times'!$F233*0.000001)^2/(4*'D(Ti_Jollands) Times'!$C233)/(365.35*24*3600)</f>
        <v>552806.10814604582</v>
      </c>
      <c r="X233" s="2"/>
      <c r="Y233" s="2">
        <f>('L-Values'!U233*'D(Ti_Jollands) Times'!$F233*0.000001)^2/(4*'D(Ti_Jollands) Times'!$C233)/(365.35*24*3600)</f>
        <v>471163.42890028021</v>
      </c>
      <c r="Z233" s="2">
        <f>('L-Values'!V233*'D(Ti_Jollands) Times'!$F233*0.000001)^2/(4*'D(Ti_Jollands) Times'!$C233)/(365.35*24*3600)</f>
        <v>527888.97578470467</v>
      </c>
      <c r="AA233" s="2">
        <f>('L-Values'!W233*'D(Ti_Jollands) Times'!$F233*0.000001)^2/(4*'D(Ti_Jollands) Times'!$C233)/(365.35*24*3600)</f>
        <v>181315.47915550639</v>
      </c>
      <c r="AB233" s="2">
        <f>('L-Values'!X233*'D(Ti_Jollands) Times'!$F233*0.000001)^2/(4*'D(Ti_Jollands) Times'!$C233)/(365.35*24*3600)</f>
        <v>1440138.7155831654</v>
      </c>
      <c r="AC233" s="2">
        <f t="shared" si="14"/>
        <v>346573.49662919831</v>
      </c>
      <c r="AD233" s="2">
        <f t="shared" si="15"/>
        <v>912249.73979846074</v>
      </c>
    </row>
    <row r="234" spans="1:30" x14ac:dyDescent="0.2">
      <c r="A234" t="str">
        <f>'L-Values'!A234</f>
        <v>CGI011-qtz09-CL-fit-3-offset</v>
      </c>
      <c r="B234">
        <v>750</v>
      </c>
      <c r="C234">
        <f t="shared" si="12"/>
        <v>6.6965312637759184E-25</v>
      </c>
      <c r="D234">
        <v>1100</v>
      </c>
      <c r="E234">
        <v>1024</v>
      </c>
      <c r="F234">
        <f t="shared" si="13"/>
        <v>1.07421875</v>
      </c>
      <c r="I234" s="2">
        <f>('L-Values'!E234*'D(Ti_Jollands) Times'!$F234*0.000001)^2/(4*'D(Ti_Jollands) Times'!$C234)/(365.35*24*3600)</f>
        <v>360403.90210313932</v>
      </c>
      <c r="J234" s="2">
        <f>('L-Values'!F234*'D(Ti_Jollands) Times'!$F234*0.000001)^2/(4*'D(Ti_Jollands) Times'!$C234)/(365.35*24*3600)</f>
        <v>603653.86258456379</v>
      </c>
      <c r="K234" s="2">
        <f>('L-Values'!G234*'D(Ti_Jollands) Times'!$F234*0.000001)^2/(4*'D(Ti_Jollands) Times'!$C234)/(365.35*24*3600)</f>
        <v>177869.93781906442</v>
      </c>
      <c r="L234" s="2">
        <f>('L-Values'!H234*'D(Ti_Jollands) Times'!$F234*0.000001)^2/(4*'D(Ti_Jollands) Times'!$C234)/(365.35*24*3600)</f>
        <v>260719.92202769819</v>
      </c>
      <c r="M234" s="2">
        <f>('L-Values'!I234*'D(Ti_Jollands) Times'!$F234*0.000001)^2/(4*'D(Ti_Jollands) Times'!$C234)/(365.35*24*3600)</f>
        <v>228415.14320029877</v>
      </c>
      <c r="N234" s="2">
        <f>('L-Values'!J234*'D(Ti_Jollands) Times'!$F234*0.000001)^2/(4*'D(Ti_Jollands) Times'!$C234)/(365.35*24*3600)</f>
        <v>158879.21552369284</v>
      </c>
      <c r="O234" s="2">
        <f>('L-Values'!K234*'D(Ti_Jollands) Times'!$F234*0.000001)^2/(4*'D(Ti_Jollands) Times'!$C234)/(365.35*24*3600)</f>
        <v>400224.38960450777</v>
      </c>
      <c r="P234" s="2">
        <f>('L-Values'!L234*'D(Ti_Jollands) Times'!$F234*0.000001)^2/(4*'D(Ti_Jollands) Times'!$C234)/(365.35*24*3600)</f>
        <v>224555.53952832794</v>
      </c>
      <c r="Q234" s="2">
        <f>('L-Values'!M234*'D(Ti_Jollands) Times'!$F234*0.000001)^2/(4*'D(Ti_Jollands) Times'!$C234)/(365.35*24*3600)</f>
        <v>188839.12888774314</v>
      </c>
      <c r="R234" s="2">
        <f>('L-Values'!N234*'D(Ti_Jollands) Times'!$F234*0.000001)^2/(4*'D(Ti_Jollands) Times'!$C234)/(365.35*24*3600)</f>
        <v>193046.14157302777</v>
      </c>
      <c r="S234" s="2">
        <f>('L-Values'!O234*'D(Ti_Jollands) Times'!$F234*0.000001)^2/(4*'D(Ti_Jollands) Times'!$C234)/(365.35*24*3600)</f>
        <v>227999.98999163538</v>
      </c>
      <c r="T234" s="2"/>
      <c r="U234" s="2">
        <f>('L-Values'!Q234*'D(Ti_Jollands) Times'!$F234*0.000001)^2/(4*'D(Ti_Jollands) Times'!$C234)/(365.35*24*3600)</f>
        <v>258342.87576771982</v>
      </c>
      <c r="V234" s="2">
        <f>('L-Values'!R234*'D(Ti_Jollands) Times'!$F234*0.000001)^2/(4*'D(Ti_Jollands) Times'!$C234)/(365.35*24*3600)</f>
        <v>263270.86700351449</v>
      </c>
      <c r="W234" s="2">
        <f>('L-Values'!S234*'D(Ti_Jollands) Times'!$F234*0.000001)^2/(4*'D(Ti_Jollands) Times'!$C234)/(365.35*24*3600)</f>
        <v>227999.98999163538</v>
      </c>
      <c r="X234" s="2"/>
      <c r="Y234" s="2">
        <f>('L-Values'!U234*'D(Ti_Jollands) Times'!$F234*0.000001)^2/(4*'D(Ti_Jollands) Times'!$C234)/(365.35*24*3600)</f>
        <v>253807.29842592301</v>
      </c>
      <c r="Z234" s="2">
        <f>('L-Values'!V234*'D(Ti_Jollands) Times'!$F234*0.000001)^2/(4*'D(Ti_Jollands) Times'!$C234)/(365.35*24*3600)</f>
        <v>259438.9969637116</v>
      </c>
      <c r="AA234" s="2">
        <f>('L-Values'!W234*'D(Ti_Jollands) Times'!$F234*0.000001)^2/(4*'D(Ti_Jollands) Times'!$C234)/(365.35*24*3600)</f>
        <v>120884.3668017305</v>
      </c>
      <c r="AB234" s="2">
        <f>('L-Values'!X234*'D(Ti_Jollands) Times'!$F234*0.000001)^2/(4*'D(Ti_Jollands) Times'!$C234)/(365.35*24*3600)</f>
        <v>537439.01932822168</v>
      </c>
      <c r="AC234" s="2">
        <f t="shared" si="14"/>
        <v>138554.6301619811</v>
      </c>
      <c r="AD234" s="2">
        <f t="shared" si="15"/>
        <v>278000.02236451011</v>
      </c>
    </row>
    <row r="235" spans="1:30" x14ac:dyDescent="0.2">
      <c r="A235" t="str">
        <f>'L-Values'!A235</f>
        <v>CGI011-qtz09-CL-fit-4-offset</v>
      </c>
      <c r="B235">
        <v>750</v>
      </c>
      <c r="C235">
        <f t="shared" si="12"/>
        <v>6.6965312637759184E-25</v>
      </c>
      <c r="D235">
        <v>1100</v>
      </c>
      <c r="E235">
        <v>1024</v>
      </c>
      <c r="F235">
        <f t="shared" si="13"/>
        <v>1.07421875</v>
      </c>
      <c r="I235" s="2">
        <f>('L-Values'!E235*'D(Ti_Jollands) Times'!$F235*0.000001)^2/(4*'D(Ti_Jollands) Times'!$C235)/(365.35*24*3600)</f>
        <v>270979.0970585738</v>
      </c>
      <c r="J235" s="2">
        <f>('L-Values'!F235*'D(Ti_Jollands) Times'!$F235*0.000001)^2/(4*'D(Ti_Jollands) Times'!$C235)/(365.35*24*3600)</f>
        <v>102768.24509664597</v>
      </c>
      <c r="K235" s="2">
        <f>('L-Values'!G235*'D(Ti_Jollands) Times'!$F235*0.000001)^2/(4*'D(Ti_Jollands) Times'!$C235)/(365.35*24*3600)</f>
        <v>37851.529688174851</v>
      </c>
      <c r="L235" s="2">
        <f>('L-Values'!H235*'D(Ti_Jollands) Times'!$F235*0.000001)^2/(4*'D(Ti_Jollands) Times'!$C235)/(365.35*24*3600)</f>
        <v>122413.63475171159</v>
      </c>
      <c r="M235" s="2">
        <f>('L-Values'!I235*'D(Ti_Jollands) Times'!$F235*0.000001)^2/(4*'D(Ti_Jollands) Times'!$C235)/(365.35*24*3600)</f>
        <v>44289.803636929835</v>
      </c>
      <c r="N235" s="2">
        <f>('L-Values'!J235*'D(Ti_Jollands) Times'!$F235*0.000001)^2/(4*'D(Ti_Jollands) Times'!$C235)/(365.35*24*3600)</f>
        <v>174920.67479552963</v>
      </c>
      <c r="O235" s="2">
        <f>('L-Values'!K235*'D(Ti_Jollands) Times'!$F235*0.000001)^2/(4*'D(Ti_Jollands) Times'!$C235)/(365.35*24*3600)</f>
        <v>114259.20336572218</v>
      </c>
      <c r="P235" s="2">
        <f>('L-Values'!L235*'D(Ti_Jollands) Times'!$F235*0.000001)^2/(4*'D(Ti_Jollands) Times'!$C235)/(365.35*24*3600)</f>
        <v>268026.01354251272</v>
      </c>
      <c r="Q235" s="2">
        <f>('L-Values'!M235*'D(Ti_Jollands) Times'!$F235*0.000001)^2/(4*'D(Ti_Jollands) Times'!$C235)/(365.35*24*3600)</f>
        <v>409005.88675960794</v>
      </c>
      <c r="R235" s="2">
        <f>('L-Values'!N235*'D(Ti_Jollands) Times'!$F235*0.000001)^2/(4*'D(Ti_Jollands) Times'!$C235)/(365.35*24*3600)</f>
        <v>87830.359673601997</v>
      </c>
      <c r="S235" s="2">
        <f>('L-Values'!O235*'D(Ti_Jollands) Times'!$F235*0.000001)^2/(4*'D(Ti_Jollands) Times'!$C235)/(365.35*24*3600)</f>
        <v>96015.732269780841</v>
      </c>
      <c r="T235" s="2"/>
      <c r="U235" s="2">
        <f>('L-Values'!Q235*'D(Ti_Jollands) Times'!$F235*0.000001)^2/(4*'D(Ti_Jollands) Times'!$C235)/(365.35*24*3600)</f>
        <v>138171.68256441492</v>
      </c>
      <c r="V235" s="2">
        <f>('L-Values'!R235*'D(Ti_Jollands) Times'!$F235*0.000001)^2/(4*'D(Ti_Jollands) Times'!$C235)/(365.35*24*3600)</f>
        <v>139994.73229745205</v>
      </c>
      <c r="W235" s="2">
        <f>('L-Values'!S235*'D(Ti_Jollands) Times'!$F235*0.000001)^2/(4*'D(Ti_Jollands) Times'!$C235)/(365.35*24*3600)</f>
        <v>114259.20336572218</v>
      </c>
      <c r="X235" s="2"/>
      <c r="Y235" s="2">
        <f>('L-Values'!U235*'D(Ti_Jollands) Times'!$F235*0.000001)^2/(4*'D(Ti_Jollands) Times'!$C235)/(365.35*24*3600)</f>
        <v>136718.99113262576</v>
      </c>
      <c r="Z235" s="2">
        <f>('L-Values'!V235*'D(Ti_Jollands) Times'!$F235*0.000001)^2/(4*'D(Ti_Jollands) Times'!$C235)/(365.35*24*3600)</f>
        <v>133714.21564922822</v>
      </c>
      <c r="AA235" s="2">
        <f>('L-Values'!W235*'D(Ti_Jollands) Times'!$F235*0.000001)^2/(4*'D(Ti_Jollands) Times'!$C235)/(365.35*24*3600)</f>
        <v>19406.914290855799</v>
      </c>
      <c r="AB235" s="2">
        <f>('L-Values'!X235*'D(Ti_Jollands) Times'!$F235*0.000001)^2/(4*'D(Ti_Jollands) Times'!$C235)/(365.35*24*3600)</f>
        <v>311017.84295691847</v>
      </c>
      <c r="AC235" s="2">
        <f t="shared" si="14"/>
        <v>114307.30135837242</v>
      </c>
      <c r="AD235" s="2">
        <f t="shared" si="15"/>
        <v>177303.62730769024</v>
      </c>
    </row>
    <row r="236" spans="1:30" x14ac:dyDescent="0.2">
      <c r="A236" t="str">
        <f>'L-Values'!A236</f>
        <v>CGI011-qtz11-CL-fit-1-offset</v>
      </c>
      <c r="B236">
        <v>750</v>
      </c>
      <c r="C236">
        <f t="shared" si="12"/>
        <v>6.6965312637759184E-25</v>
      </c>
      <c r="D236">
        <v>1600</v>
      </c>
      <c r="E236">
        <v>1024</v>
      </c>
      <c r="F236">
        <f t="shared" si="13"/>
        <v>1.5625</v>
      </c>
      <c r="I236" s="2">
        <f>('L-Values'!E236*'D(Ti_Jollands) Times'!$F236*0.000001)^2/(4*'D(Ti_Jollands) Times'!$C236)/(365.35*24*3600)</f>
        <v>728851.37566482311</v>
      </c>
      <c r="J236" s="2">
        <f>('L-Values'!F236*'D(Ti_Jollands) Times'!$F236*0.000001)^2/(4*'D(Ti_Jollands) Times'!$C236)/(365.35*24*3600)</f>
        <v>940196.88618713967</v>
      </c>
      <c r="K236" s="2">
        <f>('L-Values'!G236*'D(Ti_Jollands) Times'!$F236*0.000001)^2/(4*'D(Ti_Jollands) Times'!$C236)/(365.35*24*3600)</f>
        <v>1052800.0061288988</v>
      </c>
      <c r="L236" s="2">
        <f>('L-Values'!H236*'D(Ti_Jollands) Times'!$F236*0.000001)^2/(4*'D(Ti_Jollands) Times'!$C236)/(365.35*24*3600)</f>
        <v>1659632.1744765593</v>
      </c>
      <c r="M236" s="2">
        <f>('L-Values'!I236*'D(Ti_Jollands) Times'!$F236*0.000001)^2/(4*'D(Ti_Jollands) Times'!$C236)/(365.35*24*3600)</f>
        <v>1795267.1161846062</v>
      </c>
      <c r="N236" s="2">
        <f>('L-Values'!J236*'D(Ti_Jollands) Times'!$F236*0.000001)^2/(4*'D(Ti_Jollands) Times'!$C236)/(365.35*24*3600)</f>
        <v>1677750.872661365</v>
      </c>
      <c r="O236" s="2">
        <f>('L-Values'!K236*'D(Ti_Jollands) Times'!$F236*0.000001)^2/(4*'D(Ti_Jollands) Times'!$C236)/(365.35*24*3600)</f>
        <v>2318378.0259430045</v>
      </c>
      <c r="P236" s="2">
        <f>('L-Values'!L236*'D(Ti_Jollands) Times'!$F236*0.000001)^2/(4*'D(Ti_Jollands) Times'!$C236)/(365.35*24*3600)</f>
        <v>2243089.5815203097</v>
      </c>
      <c r="Q236" s="2">
        <f>('L-Values'!M236*'D(Ti_Jollands) Times'!$F236*0.000001)^2/(4*'D(Ti_Jollands) Times'!$C236)/(365.35*24*3600)</f>
        <v>2309427.5449679592</v>
      </c>
      <c r="R236" s="2">
        <f>('L-Values'!N236*'D(Ti_Jollands) Times'!$F236*0.000001)^2/(4*'D(Ti_Jollands) Times'!$C236)/(365.35*24*3600)</f>
        <v>2644098.1233091974</v>
      </c>
      <c r="S236" s="2">
        <f>('L-Values'!O236*'D(Ti_Jollands) Times'!$F236*0.000001)^2/(4*'D(Ti_Jollands) Times'!$C236)/(365.35*24*3600)</f>
        <v>1775891.9758982335</v>
      </c>
      <c r="T236" s="2"/>
      <c r="U236" s="2">
        <f>('L-Values'!Q236*'D(Ti_Jollands) Times'!$F236*0.000001)^2/(4*'D(Ti_Jollands) Times'!$C236)/(365.35*24*3600)</f>
        <v>1604925.5166521741</v>
      </c>
      <c r="V236" s="2">
        <f>('L-Values'!R236*'D(Ti_Jollands) Times'!$F236*0.000001)^2/(4*'D(Ti_Jollands) Times'!$C236)/(365.35*24*3600)</f>
        <v>1683279.8301071986</v>
      </c>
      <c r="W236" s="2">
        <f>('L-Values'!S236*'D(Ti_Jollands) Times'!$F236*0.000001)^2/(4*'D(Ti_Jollands) Times'!$C236)/(365.35*24*3600)</f>
        <v>1775891.9758982335</v>
      </c>
      <c r="X236" s="2"/>
      <c r="Y236" s="2">
        <f>('L-Values'!U236*'D(Ti_Jollands) Times'!$F236*0.000001)^2/(4*'D(Ti_Jollands) Times'!$C236)/(365.35*24*3600)</f>
        <v>1586209.9787932022</v>
      </c>
      <c r="Z236" s="2">
        <f>('L-Values'!V236*'D(Ti_Jollands) Times'!$F236*0.000001)^2/(4*'D(Ti_Jollands) Times'!$C236)/(365.35*24*3600)</f>
        <v>1596707.7873559471</v>
      </c>
      <c r="AA236" s="2">
        <f>('L-Values'!W236*'D(Ti_Jollands) Times'!$F236*0.000001)^2/(4*'D(Ti_Jollands) Times'!$C236)/(365.35*24*3600)</f>
        <v>1006421.5701413525</v>
      </c>
      <c r="AB236" s="2">
        <f>('L-Values'!X236*'D(Ti_Jollands) Times'!$F236*0.000001)^2/(4*'D(Ti_Jollands) Times'!$C236)/(365.35*24*3600)</f>
        <v>2333626.6249035159</v>
      </c>
      <c r="AC236" s="2">
        <f t="shared" si="14"/>
        <v>590286.2172145946</v>
      </c>
      <c r="AD236" s="2">
        <f t="shared" si="15"/>
        <v>736918.83754756884</v>
      </c>
    </row>
    <row r="237" spans="1:30" x14ac:dyDescent="0.2">
      <c r="A237" t="str">
        <f>'L-Values'!A237</f>
        <v>CGI011-qtz11-CL-fit-2-offset</v>
      </c>
      <c r="B237">
        <v>750</v>
      </c>
      <c r="C237">
        <f t="shared" si="12"/>
        <v>6.6965312637759184E-25</v>
      </c>
      <c r="D237">
        <v>1600</v>
      </c>
      <c r="E237">
        <v>1024</v>
      </c>
      <c r="F237">
        <f t="shared" si="13"/>
        <v>1.5625</v>
      </c>
      <c r="I237" s="2">
        <f>('L-Values'!E237*'D(Ti_Jollands) Times'!$F237*0.000001)^2/(4*'D(Ti_Jollands) Times'!$C237)/(365.35*24*3600)</f>
        <v>1303015.0406524995</v>
      </c>
      <c r="J237" s="2">
        <f>('L-Values'!F237*'D(Ti_Jollands) Times'!$F237*0.000001)^2/(4*'D(Ti_Jollands) Times'!$C237)/(365.35*24*3600)</f>
        <v>716609.8462749006</v>
      </c>
      <c r="K237" s="2">
        <f>('L-Values'!G237*'D(Ti_Jollands) Times'!$F237*0.000001)^2/(4*'D(Ti_Jollands) Times'!$C237)/(365.35*24*3600)</f>
        <v>831650.16475902952</v>
      </c>
      <c r="L237" s="2">
        <f>('L-Values'!H237*'D(Ti_Jollands) Times'!$F237*0.000001)^2/(4*'D(Ti_Jollands) Times'!$C237)/(365.35*24*3600)</f>
        <v>969602.29740966263</v>
      </c>
      <c r="M237" s="2">
        <f>('L-Values'!I237*'D(Ti_Jollands) Times'!$F237*0.000001)^2/(4*'D(Ti_Jollands) Times'!$C237)/(365.35*24*3600)</f>
        <v>964195.22829199</v>
      </c>
      <c r="N237" s="2">
        <f>('L-Values'!J237*'D(Ti_Jollands) Times'!$F237*0.000001)^2/(4*'D(Ti_Jollands) Times'!$C237)/(365.35*24*3600)</f>
        <v>817024.04498957633</v>
      </c>
      <c r="O237" s="2">
        <f>('L-Values'!K237*'D(Ti_Jollands) Times'!$F237*0.000001)^2/(4*'D(Ti_Jollands) Times'!$C237)/(365.35*24*3600)</f>
        <v>835909.44116691407</v>
      </c>
      <c r="P237" s="2">
        <f>('L-Values'!L237*'D(Ti_Jollands) Times'!$F237*0.000001)^2/(4*'D(Ti_Jollands) Times'!$C237)/(365.35*24*3600)</f>
        <v>627802.42156164418</v>
      </c>
      <c r="Q237" s="2">
        <f>('L-Values'!M237*'D(Ti_Jollands) Times'!$F237*0.000001)^2/(4*'D(Ti_Jollands) Times'!$C237)/(365.35*24*3600)</f>
        <v>867003.89738981077</v>
      </c>
      <c r="R237" s="2">
        <f>('L-Values'!N237*'D(Ti_Jollands) Times'!$F237*0.000001)^2/(4*'D(Ti_Jollands) Times'!$C237)/(365.35*24*3600)</f>
        <v>779454.0928251975</v>
      </c>
      <c r="S237" s="2">
        <f>('L-Values'!O237*'D(Ti_Jollands) Times'!$F237*0.000001)^2/(4*'D(Ti_Jollands) Times'!$C237)/(365.35*24*3600)</f>
        <v>915687.18704659236</v>
      </c>
      <c r="T237" s="2"/>
      <c r="U237" s="2">
        <f>('L-Values'!Q237*'D(Ti_Jollands) Times'!$F237*0.000001)^2/(4*'D(Ti_Jollands) Times'!$C237)/(365.35*24*3600)</f>
        <v>867628.89801624417</v>
      </c>
      <c r="V237" s="2">
        <f>('L-Values'!R237*'D(Ti_Jollands) Times'!$F237*0.000001)^2/(4*'D(Ti_Jollands) Times'!$C237)/(365.35*24*3600)</f>
        <v>867949.55993384274</v>
      </c>
      <c r="W237" s="2">
        <f>('L-Values'!S237*'D(Ti_Jollands) Times'!$F237*0.000001)^2/(4*'D(Ti_Jollands) Times'!$C237)/(365.35*24*3600)</f>
        <v>835909.44116691407</v>
      </c>
      <c r="X237" s="2"/>
      <c r="Y237" s="2">
        <f>('L-Values'!U237*'D(Ti_Jollands) Times'!$F237*0.000001)^2/(4*'D(Ti_Jollands) Times'!$C237)/(365.35*24*3600)</f>
        <v>883776.44465113245</v>
      </c>
      <c r="Z237" s="2">
        <f>('L-Values'!V237*'D(Ti_Jollands) Times'!$F237*0.000001)^2/(4*'D(Ti_Jollands) Times'!$C237)/(365.35*24*3600)</f>
        <v>878631.8599284176</v>
      </c>
      <c r="AA237" s="2">
        <f>('L-Values'!W237*'D(Ti_Jollands) Times'!$F237*0.000001)^2/(4*'D(Ti_Jollands) Times'!$C237)/(365.35*24*3600)</f>
        <v>620768.90973796591</v>
      </c>
      <c r="AB237" s="2">
        <f>('L-Values'!X237*'D(Ti_Jollands) Times'!$F237*0.000001)^2/(4*'D(Ti_Jollands) Times'!$C237)/(365.35*24*3600)</f>
        <v>1191843.397436389</v>
      </c>
      <c r="AC237" s="2">
        <f t="shared" si="14"/>
        <v>257862.95019045169</v>
      </c>
      <c r="AD237" s="2">
        <f t="shared" si="15"/>
        <v>313211.5375079714</v>
      </c>
    </row>
    <row r="238" spans="1:30" x14ac:dyDescent="0.2">
      <c r="A238" t="str">
        <f>'L-Values'!A238</f>
        <v>CGI011-qtz11-CL-fit-3-offset</v>
      </c>
      <c r="B238">
        <v>750</v>
      </c>
      <c r="C238">
        <f t="shared" si="12"/>
        <v>6.6965312637759184E-25</v>
      </c>
      <c r="D238">
        <v>1600</v>
      </c>
      <c r="E238">
        <v>1024</v>
      </c>
      <c r="F238">
        <f t="shared" si="13"/>
        <v>1.5625</v>
      </c>
      <c r="I238" s="2">
        <f>('L-Values'!E238*'D(Ti_Jollands) Times'!$F238*0.000001)^2/(4*'D(Ti_Jollands) Times'!$C238)/(365.35*24*3600)</f>
        <v>706114.61270150496</v>
      </c>
      <c r="J238" s="2">
        <f>('L-Values'!F238*'D(Ti_Jollands) Times'!$F238*0.000001)^2/(4*'D(Ti_Jollands) Times'!$C238)/(365.35*24*3600)</f>
        <v>464890.33475448465</v>
      </c>
      <c r="K238" s="2">
        <f>('L-Values'!G238*'D(Ti_Jollands) Times'!$F238*0.000001)^2/(4*'D(Ti_Jollands) Times'!$C238)/(365.35*24*3600)</f>
        <v>571740.88522323943</v>
      </c>
      <c r="L238" s="2">
        <f>('L-Values'!H238*'D(Ti_Jollands) Times'!$F238*0.000001)^2/(4*'D(Ti_Jollands) Times'!$C238)/(365.35*24*3600)</f>
        <v>433138.35076433851</v>
      </c>
      <c r="M238" s="2">
        <f>('L-Values'!I238*'D(Ti_Jollands) Times'!$F238*0.000001)^2/(4*'D(Ti_Jollands) Times'!$C238)/(365.35*24*3600)</f>
        <v>508160.3582821181</v>
      </c>
      <c r="N238" s="2">
        <f>('L-Values'!J238*'D(Ti_Jollands) Times'!$F238*0.000001)^2/(4*'D(Ti_Jollands) Times'!$C238)/(365.35*24*3600)</f>
        <v>546941.17436174268</v>
      </c>
      <c r="O238" s="2">
        <f>('L-Values'!K238*'D(Ti_Jollands) Times'!$F238*0.000001)^2/(4*'D(Ti_Jollands) Times'!$C238)/(365.35*24*3600)</f>
        <v>601891.48850419023</v>
      </c>
      <c r="P238" s="2">
        <f>('L-Values'!L238*'D(Ti_Jollands) Times'!$F238*0.000001)^2/(4*'D(Ti_Jollands) Times'!$C238)/(365.35*24*3600)</f>
        <v>582391.49914993579</v>
      </c>
      <c r="Q238" s="2">
        <f>('L-Values'!M238*'D(Ti_Jollands) Times'!$F238*0.000001)^2/(4*'D(Ti_Jollands) Times'!$C238)/(365.35*24*3600)</f>
        <v>306769.20901003102</v>
      </c>
      <c r="R238" s="2">
        <f>('L-Values'!N238*'D(Ti_Jollands) Times'!$F238*0.000001)^2/(4*'D(Ti_Jollands) Times'!$C238)/(365.35*24*3600)</f>
        <v>466307.2400457153</v>
      </c>
      <c r="S238" s="2">
        <f>('L-Values'!O238*'D(Ti_Jollands) Times'!$F238*0.000001)^2/(4*'D(Ti_Jollands) Times'!$C238)/(365.35*24*3600)</f>
        <v>400909.80958730873</v>
      </c>
      <c r="T238" s="2"/>
      <c r="U238" s="2">
        <f>('L-Values'!Q238*'D(Ti_Jollands) Times'!$F238*0.000001)^2/(4*'D(Ti_Jollands) Times'!$C238)/(365.35*24*3600)</f>
        <v>520385.4451403885</v>
      </c>
      <c r="V238" s="2">
        <f>('L-Values'!R238*'D(Ti_Jollands) Times'!$F238*0.000001)^2/(4*'D(Ti_Jollands) Times'!$C238)/(365.35*24*3600)</f>
        <v>502511.183449862</v>
      </c>
      <c r="W238" s="2">
        <f>('L-Values'!S238*'D(Ti_Jollands) Times'!$F238*0.000001)^2/(4*'D(Ti_Jollands) Times'!$C238)/(365.35*24*3600)</f>
        <v>508160.3582821181</v>
      </c>
      <c r="X238" s="2"/>
      <c r="Y238" s="2">
        <f>('L-Values'!U238*'D(Ti_Jollands) Times'!$F238*0.000001)^2/(4*'D(Ti_Jollands) Times'!$C238)/(365.35*24*3600)</f>
        <v>527414.92610700708</v>
      </c>
      <c r="Z238" s="2">
        <f>('L-Values'!V238*'D(Ti_Jollands) Times'!$F238*0.000001)^2/(4*'D(Ti_Jollands) Times'!$C238)/(365.35*24*3600)</f>
        <v>522302.80341364292</v>
      </c>
      <c r="AA238" s="2">
        <f>('L-Values'!W238*'D(Ti_Jollands) Times'!$F238*0.000001)^2/(4*'D(Ti_Jollands) Times'!$C238)/(365.35*24*3600)</f>
        <v>278449.63835532463</v>
      </c>
      <c r="AB238" s="2">
        <f>('L-Values'!X238*'D(Ti_Jollands) Times'!$F238*0.000001)^2/(4*'D(Ti_Jollands) Times'!$C238)/(365.35*24*3600)</f>
        <v>851507.07232026616</v>
      </c>
      <c r="AC238" s="2">
        <f t="shared" si="14"/>
        <v>243853.16505831829</v>
      </c>
      <c r="AD238" s="2">
        <f t="shared" si="15"/>
        <v>329204.26890662324</v>
      </c>
    </row>
    <row r="239" spans="1:30" x14ac:dyDescent="0.2">
      <c r="A239" t="str">
        <f>'L-Values'!A239</f>
        <v>CGI011-qtz11-CL-fit-4-offset</v>
      </c>
      <c r="B239">
        <v>750</v>
      </c>
      <c r="C239">
        <f t="shared" si="12"/>
        <v>6.6965312637759184E-25</v>
      </c>
      <c r="D239">
        <v>1600</v>
      </c>
      <c r="E239">
        <v>1024</v>
      </c>
      <c r="F239">
        <f t="shared" si="13"/>
        <v>1.5625</v>
      </c>
      <c r="I239" s="2">
        <f>('L-Values'!E239*'D(Ti_Jollands) Times'!$F239*0.000001)^2/(4*'D(Ti_Jollands) Times'!$C239)/(365.35*24*3600)</f>
        <v>249352.2726759775</v>
      </c>
      <c r="J239" s="2">
        <f>('L-Values'!F239*'D(Ti_Jollands) Times'!$F239*0.000001)^2/(4*'D(Ti_Jollands) Times'!$C239)/(365.35*24*3600)</f>
        <v>206663.28333321458</v>
      </c>
      <c r="K239" s="2">
        <f>('L-Values'!G239*'D(Ti_Jollands) Times'!$F239*0.000001)^2/(4*'D(Ti_Jollands) Times'!$C239)/(365.35*24*3600)</f>
        <v>183964.10904422824</v>
      </c>
      <c r="L239" s="2">
        <f>('L-Values'!H239*'D(Ti_Jollands) Times'!$F239*0.000001)^2/(4*'D(Ti_Jollands) Times'!$C239)/(365.35*24*3600)</f>
        <v>199545.87222314245</v>
      </c>
      <c r="M239" s="2">
        <f>('L-Values'!I239*'D(Ti_Jollands) Times'!$F239*0.000001)^2/(4*'D(Ti_Jollands) Times'!$C239)/(365.35*24*3600)</f>
        <v>27304.525241044681</v>
      </c>
      <c r="N239" s="2">
        <f>('L-Values'!J239*'D(Ti_Jollands) Times'!$F239*0.000001)^2/(4*'D(Ti_Jollands) Times'!$C239)/(365.35*24*3600)</f>
        <v>10904.634397916918</v>
      </c>
      <c r="O239" s="2">
        <f>('L-Values'!K239*'D(Ti_Jollands) Times'!$F239*0.000001)^2/(4*'D(Ti_Jollands) Times'!$C239)/(365.35*24*3600)</f>
        <v>49236.965193753153</v>
      </c>
      <c r="P239" s="2">
        <f>('L-Values'!L239*'D(Ti_Jollands) Times'!$F239*0.000001)^2/(4*'D(Ti_Jollands) Times'!$C239)/(365.35*24*3600)</f>
        <v>99180.889781216058</v>
      </c>
      <c r="Q239" s="2">
        <f>('L-Values'!M239*'D(Ti_Jollands) Times'!$F239*0.000001)^2/(4*'D(Ti_Jollands) Times'!$C239)/(365.35*24*3600)</f>
        <v>166945.59271170586</v>
      </c>
      <c r="R239" s="2">
        <f>('L-Values'!N239*'D(Ti_Jollands) Times'!$F239*0.000001)^2/(4*'D(Ti_Jollands) Times'!$C239)/(365.35*24*3600)</f>
        <v>141455.40209227413</v>
      </c>
      <c r="S239" s="2">
        <f>('L-Values'!O239*'D(Ti_Jollands) Times'!$F239*0.000001)^2/(4*'D(Ti_Jollands) Times'!$C239)/(365.35*24*3600)</f>
        <v>140151.13514905653</v>
      </c>
      <c r="T239" s="2"/>
      <c r="U239" s="2">
        <f>('L-Values'!Q239*'D(Ti_Jollands) Times'!$F239*0.000001)^2/(4*'D(Ti_Jollands) Times'!$C239)/(365.35*24*3600)</f>
        <v>124996.47001755536</v>
      </c>
      <c r="V239" s="2">
        <f>('L-Values'!R239*'D(Ti_Jollands) Times'!$F239*0.000001)^2/(4*'D(Ti_Jollands) Times'!$C239)/(365.35*24*3600)</f>
        <v>119032.72834849042</v>
      </c>
      <c r="W239" s="2">
        <f>('L-Values'!S239*'D(Ti_Jollands) Times'!$F239*0.000001)^2/(4*'D(Ti_Jollands) Times'!$C239)/(365.35*24*3600)</f>
        <v>141455.40209227413</v>
      </c>
      <c r="X239" s="2"/>
      <c r="Y239" s="2">
        <f>('L-Values'!U239*'D(Ti_Jollands) Times'!$F239*0.000001)^2/(4*'D(Ti_Jollands) Times'!$C239)/(365.35*24*3600)</f>
        <v>107012.19667591907</v>
      </c>
      <c r="Z239" s="2">
        <f>('L-Values'!V239*'D(Ti_Jollands) Times'!$F239*0.000001)^2/(4*'D(Ti_Jollands) Times'!$C239)/(365.35*24*3600)</f>
        <v>100347.0301353953</v>
      </c>
      <c r="AA239" s="2">
        <f>('L-Values'!W239*'D(Ti_Jollands) Times'!$F239*0.000001)^2/(4*'D(Ti_Jollands) Times'!$C239)/(365.35*24*3600)</f>
        <v>11339.079246076257</v>
      </c>
      <c r="AB239" s="2">
        <f>('L-Values'!X239*'D(Ti_Jollands) Times'!$F239*0.000001)^2/(4*'D(Ti_Jollands) Times'!$C239)/(365.35*24*3600)</f>
        <v>250221.57671855402</v>
      </c>
      <c r="AC239" s="2">
        <f t="shared" si="14"/>
        <v>89007.950889319036</v>
      </c>
      <c r="AD239" s="2">
        <f t="shared" si="15"/>
        <v>149874.54658315872</v>
      </c>
    </row>
    <row r="240" spans="1:30" x14ac:dyDescent="0.2">
      <c r="A240" t="str">
        <f>'L-Values'!A240</f>
        <v>CGI011-qtz12-CL-fit-1-offset</v>
      </c>
      <c r="B240">
        <v>750</v>
      </c>
      <c r="C240">
        <f t="shared" si="12"/>
        <v>6.6965312637759184E-25</v>
      </c>
      <c r="D240">
        <v>1550</v>
      </c>
      <c r="E240">
        <v>1024</v>
      </c>
      <c r="F240">
        <f t="shared" si="13"/>
        <v>1.513671875</v>
      </c>
      <c r="I240" s="2">
        <f>('L-Values'!E240*'D(Ti_Jollands) Times'!$F240*0.000001)^2/(4*'D(Ti_Jollands) Times'!$C240)/(365.35*24*3600)</f>
        <v>940554.40242733655</v>
      </c>
      <c r="J240" s="2">
        <f>('L-Values'!F240*'D(Ti_Jollands) Times'!$F240*0.000001)^2/(4*'D(Ti_Jollands) Times'!$C240)/(365.35*24*3600)</f>
        <v>479098.57242800511</v>
      </c>
      <c r="K240" s="2">
        <f>('L-Values'!G240*'D(Ti_Jollands) Times'!$F240*0.000001)^2/(4*'D(Ti_Jollands) Times'!$C240)/(365.35*24*3600)</f>
        <v>535115.09528630553</v>
      </c>
      <c r="L240" s="2">
        <f>('L-Values'!H240*'D(Ti_Jollands) Times'!$F240*0.000001)^2/(4*'D(Ti_Jollands) Times'!$C240)/(365.35*24*3600)</f>
        <v>456580.44741836563</v>
      </c>
      <c r="M240" s="2">
        <f>('L-Values'!I240*'D(Ti_Jollands) Times'!$F240*0.000001)^2/(4*'D(Ti_Jollands) Times'!$C240)/(365.35*24*3600)</f>
        <v>545413.59157814656</v>
      </c>
      <c r="N240" s="2">
        <f>('L-Values'!J240*'D(Ti_Jollands) Times'!$F240*0.000001)^2/(4*'D(Ti_Jollands) Times'!$C240)/(365.35*24*3600)</f>
        <v>432391.9712340408</v>
      </c>
      <c r="O240" s="2">
        <f>('L-Values'!K240*'D(Ti_Jollands) Times'!$F240*0.000001)^2/(4*'D(Ti_Jollands) Times'!$C240)/(365.35*24*3600)</f>
        <v>631915.77851417591</v>
      </c>
      <c r="P240" s="2">
        <f>('L-Values'!L240*'D(Ti_Jollands) Times'!$F240*0.000001)^2/(4*'D(Ti_Jollands) Times'!$C240)/(365.35*24*3600)</f>
        <v>467464.61445002019</v>
      </c>
      <c r="Q240" s="2">
        <f>('L-Values'!M240*'D(Ti_Jollands) Times'!$F240*0.000001)^2/(4*'D(Ti_Jollands) Times'!$C240)/(365.35*24*3600)</f>
        <v>1695947.2870131261</v>
      </c>
      <c r="R240" s="2">
        <f>('L-Values'!N240*'D(Ti_Jollands) Times'!$F240*0.000001)^2/(4*'D(Ti_Jollands) Times'!$C240)/(365.35*24*3600)</f>
        <v>1104936.6708517955</v>
      </c>
      <c r="S240" s="2">
        <f>('L-Values'!O240*'D(Ti_Jollands) Times'!$F240*0.000001)^2/(4*'D(Ti_Jollands) Times'!$C240)/(365.35*24*3600)</f>
        <v>929085.31965369603</v>
      </c>
      <c r="T240" s="2"/>
      <c r="U240" s="2">
        <f>('L-Values'!Q240*'D(Ti_Jollands) Times'!$F240*0.000001)^2/(4*'D(Ti_Jollands) Times'!$C240)/(365.35*24*3600)</f>
        <v>676306.26429553959</v>
      </c>
      <c r="V240" s="2">
        <f>('L-Values'!R240*'D(Ti_Jollands) Times'!$F240*0.000001)^2/(4*'D(Ti_Jollands) Times'!$C240)/(365.35*24*3600)</f>
        <v>708854.03099570842</v>
      </c>
      <c r="W240" s="2">
        <f>('L-Values'!S240*'D(Ti_Jollands) Times'!$F240*0.000001)^2/(4*'D(Ti_Jollands) Times'!$C240)/(365.35*24*3600)</f>
        <v>545413.59157814656</v>
      </c>
      <c r="X240" s="2"/>
      <c r="Y240" s="2">
        <f>('L-Values'!U240*'D(Ti_Jollands) Times'!$F240*0.000001)^2/(4*'D(Ti_Jollands) Times'!$C240)/(365.35*24*3600)</f>
        <v>651463.99531582755</v>
      </c>
      <c r="Z240" s="2">
        <f>('L-Values'!V240*'D(Ti_Jollands) Times'!$F240*0.000001)^2/(4*'D(Ti_Jollands) Times'!$C240)/(365.35*24*3600)</f>
        <v>692912.35422569385</v>
      </c>
      <c r="AA240" s="2">
        <f>('L-Values'!W240*'D(Ti_Jollands) Times'!$F240*0.000001)^2/(4*'D(Ti_Jollands) Times'!$C240)/(365.35*24*3600)</f>
        <v>252771.68896066095</v>
      </c>
      <c r="AB240" s="2">
        <f>('L-Values'!X240*'D(Ti_Jollands) Times'!$F240*0.000001)^2/(4*'D(Ti_Jollands) Times'!$C240)/(365.35*24*3600)</f>
        <v>1314868.5572520483</v>
      </c>
      <c r="AC240" s="2">
        <f t="shared" si="14"/>
        <v>440140.66526503291</v>
      </c>
      <c r="AD240" s="2">
        <f t="shared" si="15"/>
        <v>621956.20302635443</v>
      </c>
    </row>
    <row r="241" spans="1:30" x14ac:dyDescent="0.2">
      <c r="A241" t="str">
        <f>'L-Values'!A241</f>
        <v>CGI011-qtz12-CL-fit-2-offset</v>
      </c>
      <c r="B241">
        <v>750</v>
      </c>
      <c r="C241">
        <f t="shared" si="12"/>
        <v>6.6965312637759184E-25</v>
      </c>
      <c r="D241">
        <v>1550</v>
      </c>
      <c r="E241">
        <v>1024</v>
      </c>
      <c r="F241">
        <f t="shared" si="13"/>
        <v>1.513671875</v>
      </c>
      <c r="I241" s="2">
        <f>('L-Values'!E241*'D(Ti_Jollands) Times'!$F241*0.000001)^2/(4*'D(Ti_Jollands) Times'!$C241)/(365.35*24*3600)</f>
        <v>950244.78847074904</v>
      </c>
      <c r="J241" s="2">
        <f>('L-Values'!F241*'D(Ti_Jollands) Times'!$F241*0.000001)^2/(4*'D(Ti_Jollands) Times'!$C241)/(365.35*24*3600)</f>
        <v>706935.89278269408</v>
      </c>
      <c r="K241" s="2">
        <f>('L-Values'!G241*'D(Ti_Jollands) Times'!$F241*0.000001)^2/(4*'D(Ti_Jollands) Times'!$C241)/(365.35*24*3600)</f>
        <v>1189977.5317487845</v>
      </c>
      <c r="L241" s="2">
        <f>('L-Values'!H241*'D(Ti_Jollands) Times'!$F241*0.000001)^2/(4*'D(Ti_Jollands) Times'!$C241)/(365.35*24*3600)</f>
        <v>639194.00774179527</v>
      </c>
      <c r="M241" s="2">
        <f>('L-Values'!I241*'D(Ti_Jollands) Times'!$F241*0.000001)^2/(4*'D(Ti_Jollands) Times'!$C241)/(365.35*24*3600)</f>
        <v>1037862.392843589</v>
      </c>
      <c r="N241" s="2">
        <f>('L-Values'!J241*'D(Ti_Jollands) Times'!$F241*0.000001)^2/(4*'D(Ti_Jollands) Times'!$C241)/(365.35*24*3600)</f>
        <v>928386.07126967655</v>
      </c>
      <c r="O241" s="2">
        <f>('L-Values'!K241*'D(Ti_Jollands) Times'!$F241*0.000001)^2/(4*'D(Ti_Jollands) Times'!$C241)/(365.35*24*3600)</f>
        <v>965167.46226461756</v>
      </c>
      <c r="P241" s="2">
        <f>('L-Values'!L241*'D(Ti_Jollands) Times'!$F241*0.000001)^2/(4*'D(Ti_Jollands) Times'!$C241)/(365.35*24*3600)</f>
        <v>1262907.2344068792</v>
      </c>
      <c r="Q241" s="2">
        <f>('L-Values'!M241*'D(Ti_Jollands) Times'!$F241*0.000001)^2/(4*'D(Ti_Jollands) Times'!$C241)/(365.35*24*3600)</f>
        <v>602271.18228049425</v>
      </c>
      <c r="R241" s="2">
        <f>('L-Values'!N241*'D(Ti_Jollands) Times'!$F241*0.000001)^2/(4*'D(Ti_Jollands) Times'!$C241)/(365.35*24*3600)</f>
        <v>969556.21635675326</v>
      </c>
      <c r="S241" s="2">
        <f>('L-Values'!O241*'D(Ti_Jollands) Times'!$F241*0.000001)^2/(4*'D(Ti_Jollands) Times'!$C241)/(365.35*24*3600)</f>
        <v>564211.89862296265</v>
      </c>
      <c r="T241" s="2"/>
      <c r="U241" s="2">
        <f>('L-Values'!Q241*'D(Ti_Jollands) Times'!$F241*0.000001)^2/(4*'D(Ti_Jollands) Times'!$C241)/(365.35*24*3600)</f>
        <v>858329.45518797857</v>
      </c>
      <c r="V241" s="2">
        <f>('L-Values'!R241*'D(Ti_Jollands) Times'!$F241*0.000001)^2/(4*'D(Ti_Jollands) Times'!$C241)/(365.35*24*3600)</f>
        <v>877853.67748899746</v>
      </c>
      <c r="W241" s="2">
        <f>('L-Values'!S241*'D(Ti_Jollands) Times'!$F241*0.000001)^2/(4*'D(Ti_Jollands) Times'!$C241)/(365.35*24*3600)</f>
        <v>950244.78847074904</v>
      </c>
      <c r="X241" s="2"/>
      <c r="Y241" s="2">
        <f>('L-Values'!U241*'D(Ti_Jollands) Times'!$F241*0.000001)^2/(4*'D(Ti_Jollands) Times'!$C241)/(365.35*24*3600)</f>
        <v>842430.24625886895</v>
      </c>
      <c r="Z241" s="2">
        <f>('L-Values'!V241*'D(Ti_Jollands) Times'!$F241*0.000001)^2/(4*'D(Ti_Jollands) Times'!$C241)/(365.35*24*3600)</f>
        <v>848071.03748246841</v>
      </c>
      <c r="AA241" s="2">
        <f>('L-Values'!W241*'D(Ti_Jollands) Times'!$F241*0.000001)^2/(4*'D(Ti_Jollands) Times'!$C241)/(365.35*24*3600)</f>
        <v>535970.28354929341</v>
      </c>
      <c r="AB241" s="2">
        <f>('L-Values'!X241*'D(Ti_Jollands) Times'!$F241*0.000001)^2/(4*'D(Ti_Jollands) Times'!$C241)/(365.35*24*3600)</f>
        <v>1423306.0712229614</v>
      </c>
      <c r="AC241" s="2">
        <f t="shared" si="14"/>
        <v>312100.753933175</v>
      </c>
      <c r="AD241" s="2">
        <f t="shared" si="15"/>
        <v>575235.033740493</v>
      </c>
    </row>
    <row r="242" spans="1:30" x14ac:dyDescent="0.2">
      <c r="A242" t="str">
        <f>'L-Values'!A242</f>
        <v>CGI011-qtz12-CL-fit-3-offset</v>
      </c>
      <c r="B242">
        <v>750</v>
      </c>
      <c r="C242">
        <f t="shared" si="12"/>
        <v>6.6965312637759184E-25</v>
      </c>
      <c r="D242">
        <v>1550</v>
      </c>
      <c r="E242">
        <v>1024</v>
      </c>
      <c r="F242">
        <f t="shared" si="13"/>
        <v>1.513671875</v>
      </c>
      <c r="I242" s="2">
        <f>('L-Values'!E242*'D(Ti_Jollands) Times'!$F242*0.000001)^2/(4*'D(Ti_Jollands) Times'!$C242)/(365.35*24*3600)</f>
        <v>0</v>
      </c>
      <c r="J242" s="2">
        <f>('L-Values'!F242*'D(Ti_Jollands) Times'!$F242*0.000001)^2/(4*'D(Ti_Jollands) Times'!$C242)/(365.35*24*3600)</f>
        <v>757625.35717805091</v>
      </c>
      <c r="K242" s="2">
        <f>('L-Values'!G242*'D(Ti_Jollands) Times'!$F242*0.000001)^2/(4*'D(Ti_Jollands) Times'!$C242)/(365.35*24*3600)</f>
        <v>948556.30408100958</v>
      </c>
      <c r="L242" s="2">
        <f>('L-Values'!H242*'D(Ti_Jollands) Times'!$F242*0.000001)^2/(4*'D(Ti_Jollands) Times'!$C242)/(365.35*24*3600)</f>
        <v>353716.9518340588</v>
      </c>
      <c r="M242" s="2">
        <f>('L-Values'!I242*'D(Ti_Jollands) Times'!$F242*0.000001)^2/(4*'D(Ti_Jollands) Times'!$C242)/(365.35*24*3600)</f>
        <v>521021.16416345659</v>
      </c>
      <c r="N242" s="2">
        <f>('L-Values'!J242*'D(Ti_Jollands) Times'!$F242*0.000001)^2/(4*'D(Ti_Jollands) Times'!$C242)/(365.35*24*3600)</f>
        <v>565460.74173123471</v>
      </c>
      <c r="O242" s="2">
        <f>('L-Values'!K242*'D(Ti_Jollands) Times'!$F242*0.000001)^2/(4*'D(Ti_Jollands) Times'!$C242)/(365.35*24*3600)</f>
        <v>434501.36451938492</v>
      </c>
      <c r="P242" s="2">
        <f>('L-Values'!L242*'D(Ti_Jollands) Times'!$F242*0.000001)^2/(4*'D(Ti_Jollands) Times'!$C242)/(365.35*24*3600)</f>
        <v>679153.70634949638</v>
      </c>
      <c r="Q242" s="2">
        <f>('L-Values'!M242*'D(Ti_Jollands) Times'!$F242*0.000001)^2/(4*'D(Ti_Jollands) Times'!$C242)/(365.35*24*3600)</f>
        <v>522798.99522926391</v>
      </c>
      <c r="R242" s="2">
        <f>('L-Values'!N242*'D(Ti_Jollands) Times'!$F242*0.000001)^2/(4*'D(Ti_Jollands) Times'!$C242)/(365.35*24*3600)</f>
        <v>938522.3910498292</v>
      </c>
      <c r="S242" s="2">
        <f>('L-Values'!O242*'D(Ti_Jollands) Times'!$F242*0.000001)^2/(4*'D(Ti_Jollands) Times'!$C242)/(365.35*24*3600)</f>
        <v>572366.76515086333</v>
      </c>
      <c r="T242" s="2"/>
      <c r="U242" s="2">
        <f>('L-Values'!Q242*'D(Ti_Jollands) Times'!$F242*0.000001)^2/(4*'D(Ti_Jollands) Times'!$C242)/(365.35*24*3600)</f>
        <v>654242.84324484423</v>
      </c>
      <c r="V242" s="2">
        <f>('L-Values'!R242*'D(Ti_Jollands) Times'!$F242*0.000001)^2/(4*'D(Ti_Jollands) Times'!$C242)/(365.35*24*3600)</f>
        <v>615366.80804638739</v>
      </c>
      <c r="W242" s="2">
        <f>('L-Values'!S242*'D(Ti_Jollands) Times'!$F242*0.000001)^2/(4*'D(Ti_Jollands) Times'!$C242)/(365.35*24*3600)</f>
        <v>568908.5138948051</v>
      </c>
      <c r="X242" s="2"/>
      <c r="Y242" s="2">
        <f>('L-Values'!U242*'D(Ti_Jollands) Times'!$F242*0.000001)^2/(4*'D(Ti_Jollands) Times'!$C242)/(365.35*24*3600)</f>
        <v>624815.79919422313</v>
      </c>
      <c r="Z242" s="2">
        <f>('L-Values'!V242*'D(Ti_Jollands) Times'!$F242*0.000001)^2/(4*'D(Ti_Jollands) Times'!$C242)/(365.35*24*3600)</f>
        <v>615985.5513507477</v>
      </c>
      <c r="AA242" s="2">
        <f>('L-Values'!W242*'D(Ti_Jollands) Times'!$F242*0.000001)^2/(4*'D(Ti_Jollands) Times'!$C242)/(365.35*24*3600)</f>
        <v>278650.70197283849</v>
      </c>
      <c r="AB242" s="2">
        <f>('L-Values'!X242*'D(Ti_Jollands) Times'!$F242*0.000001)^2/(4*'D(Ti_Jollands) Times'!$C242)/(365.35*24*3600)</f>
        <v>1152955.6582171374</v>
      </c>
      <c r="AC242" s="2">
        <f t="shared" si="14"/>
        <v>337334.84937790921</v>
      </c>
      <c r="AD242" s="2">
        <f t="shared" si="15"/>
        <v>536970.10686638975</v>
      </c>
    </row>
    <row r="243" spans="1:30" x14ac:dyDescent="0.2">
      <c r="A243" t="str">
        <f>'L-Values'!A243</f>
        <v>CGI011-qtz12-CL-fit-4-offset</v>
      </c>
      <c r="B243">
        <v>750</v>
      </c>
      <c r="C243">
        <f t="shared" si="12"/>
        <v>6.6965312637759184E-25</v>
      </c>
      <c r="D243">
        <v>1550</v>
      </c>
      <c r="E243">
        <v>1024</v>
      </c>
      <c r="F243">
        <f t="shared" si="13"/>
        <v>1.513671875</v>
      </c>
      <c r="I243" s="2">
        <f>('L-Values'!E243*'D(Ti_Jollands) Times'!$F243*0.000001)^2/(4*'D(Ti_Jollands) Times'!$C243)/(365.35*24*3600)</f>
        <v>237966.16981608406</v>
      </c>
      <c r="J243" s="2">
        <f>('L-Values'!F243*'D(Ti_Jollands) Times'!$F243*0.000001)^2/(4*'D(Ti_Jollands) Times'!$C243)/(365.35*24*3600)</f>
        <v>274131.96180809248</v>
      </c>
      <c r="K243" s="2">
        <f>('L-Values'!G243*'D(Ti_Jollands) Times'!$F243*0.000001)^2/(4*'D(Ti_Jollands) Times'!$C243)/(365.35*24*3600)</f>
        <v>535634.6431663984</v>
      </c>
      <c r="L243" s="2">
        <f>('L-Values'!H243*'D(Ti_Jollands) Times'!$F243*0.000001)^2/(4*'D(Ti_Jollands) Times'!$C243)/(365.35*24*3600)</f>
        <v>404540.92043280706</v>
      </c>
      <c r="M243" s="2">
        <f>('L-Values'!I243*'D(Ti_Jollands) Times'!$F243*0.000001)^2/(4*'D(Ti_Jollands) Times'!$C243)/(365.35*24*3600)</f>
        <v>352982.92032577761</v>
      </c>
      <c r="N243" s="2">
        <f>('L-Values'!J243*'D(Ti_Jollands) Times'!$F243*0.000001)^2/(4*'D(Ti_Jollands) Times'!$C243)/(365.35*24*3600)</f>
        <v>316412.14693607145</v>
      </c>
      <c r="O243" s="2">
        <f>('L-Values'!K243*'D(Ti_Jollands) Times'!$F243*0.000001)^2/(4*'D(Ti_Jollands) Times'!$C243)/(365.35*24*3600)</f>
        <v>263192.78865352366</v>
      </c>
      <c r="P243" s="2">
        <f>('L-Values'!L243*'D(Ti_Jollands) Times'!$F243*0.000001)^2/(4*'D(Ti_Jollands) Times'!$C243)/(365.35*24*3600)</f>
        <v>370590.65283448331</v>
      </c>
      <c r="Q243" s="2">
        <f>('L-Values'!M243*'D(Ti_Jollands) Times'!$F243*0.000001)^2/(4*'D(Ti_Jollands) Times'!$C243)/(365.35*24*3600)</f>
        <v>572844.97902926861</v>
      </c>
      <c r="R243" s="2">
        <f>('L-Values'!N243*'D(Ti_Jollands) Times'!$F243*0.000001)^2/(4*'D(Ti_Jollands) Times'!$C243)/(365.35*24*3600)</f>
        <v>449503.79611867643</v>
      </c>
      <c r="S243" s="2">
        <f>('L-Values'!O243*'D(Ti_Jollands) Times'!$F243*0.000001)^2/(4*'D(Ti_Jollands) Times'!$C243)/(365.35*24*3600)</f>
        <v>327294.34420493589</v>
      </c>
      <c r="T243" s="2"/>
      <c r="U243" s="2">
        <f>('L-Values'!Q243*'D(Ti_Jollands) Times'!$F243*0.000001)^2/(4*'D(Ti_Jollands) Times'!$C243)/(365.35*24*3600)</f>
        <v>353945.54662761191</v>
      </c>
      <c r="V243" s="2">
        <f>('L-Values'!R243*'D(Ti_Jollands) Times'!$F243*0.000001)^2/(4*'D(Ti_Jollands) Times'!$C243)/(365.35*24*3600)</f>
        <v>366258.85661313846</v>
      </c>
      <c r="W243" s="2">
        <f>('L-Values'!S243*'D(Ti_Jollands) Times'!$F243*0.000001)^2/(4*'D(Ti_Jollands) Times'!$C243)/(365.35*24*3600)</f>
        <v>352982.92032577761</v>
      </c>
      <c r="X243" s="2"/>
      <c r="Y243" s="2">
        <f>('L-Values'!U243*'D(Ti_Jollands) Times'!$F243*0.000001)^2/(4*'D(Ti_Jollands) Times'!$C243)/(365.35*24*3600)</f>
        <v>356512.85535699577</v>
      </c>
      <c r="Z243" s="2">
        <f>('L-Values'!V243*'D(Ti_Jollands) Times'!$F243*0.000001)^2/(4*'D(Ti_Jollands) Times'!$C243)/(365.35*24*3600)</f>
        <v>369364.76067514915</v>
      </c>
      <c r="AA243" s="2">
        <f>('L-Values'!W243*'D(Ti_Jollands) Times'!$F243*0.000001)^2/(4*'D(Ti_Jollands) Times'!$C243)/(365.35*24*3600)</f>
        <v>197008.32156030714</v>
      </c>
      <c r="AB243" s="2">
        <f>('L-Values'!X243*'D(Ti_Jollands) Times'!$F243*0.000001)^2/(4*'D(Ti_Jollands) Times'!$C243)/(365.35*24*3600)</f>
        <v>635144.20845437376</v>
      </c>
      <c r="AC243" s="2">
        <f t="shared" si="14"/>
        <v>172356.43911484201</v>
      </c>
      <c r="AD243" s="2">
        <f t="shared" si="15"/>
        <v>265779.4477792246</v>
      </c>
    </row>
    <row r="244" spans="1:30" x14ac:dyDescent="0.2">
      <c r="A244" t="str">
        <f>'L-Values'!A244</f>
        <v>CGI014-qtz01-CL-fit-1-offset</v>
      </c>
      <c r="B244">
        <v>750</v>
      </c>
      <c r="C244">
        <f t="shared" si="12"/>
        <v>6.6965312637759184E-25</v>
      </c>
      <c r="D244">
        <v>1600</v>
      </c>
      <c r="E244">
        <v>1024</v>
      </c>
      <c r="F244">
        <f t="shared" si="13"/>
        <v>1.5625</v>
      </c>
      <c r="I244" s="2">
        <f>('L-Values'!E244*'D(Ti_Jollands) Times'!$F244*0.000001)^2/(4*'D(Ti_Jollands) Times'!$C244)/(365.35*24*3600)</f>
        <v>110.6252726835199</v>
      </c>
      <c r="J244" s="2">
        <f>('L-Values'!F244*'D(Ti_Jollands) Times'!$F244*0.000001)^2/(4*'D(Ti_Jollands) Times'!$C244)/(365.35*24*3600)</f>
        <v>801938.04371876013</v>
      </c>
      <c r="K244" s="2">
        <f>('L-Values'!G244*'D(Ti_Jollands) Times'!$F244*0.000001)^2/(4*'D(Ti_Jollands) Times'!$C244)/(365.35*24*3600)</f>
        <v>1026182.5311539712</v>
      </c>
      <c r="L244" s="2">
        <f>('L-Values'!H244*'D(Ti_Jollands) Times'!$F244*0.000001)^2/(4*'D(Ti_Jollands) Times'!$C244)/(365.35*24*3600)</f>
        <v>52843.615191939665</v>
      </c>
      <c r="M244" s="2">
        <f>('L-Values'!I244*'D(Ti_Jollands) Times'!$F244*0.000001)^2/(4*'D(Ti_Jollands) Times'!$C244)/(365.35*24*3600)</f>
        <v>201289.2648122182</v>
      </c>
      <c r="N244" s="2">
        <f>('L-Values'!J244*'D(Ti_Jollands) Times'!$F244*0.000001)^2/(4*'D(Ti_Jollands) Times'!$C244)/(365.35*24*3600)</f>
        <v>50718.216571737692</v>
      </c>
      <c r="O244" s="2">
        <f>('L-Values'!K244*'D(Ti_Jollands) Times'!$F244*0.000001)^2/(4*'D(Ti_Jollands) Times'!$C244)/(365.35*24*3600)</f>
        <v>384635.38702506945</v>
      </c>
      <c r="P244" s="2">
        <f>('L-Values'!L244*'D(Ti_Jollands) Times'!$F244*0.000001)^2/(4*'D(Ti_Jollands) Times'!$C244)/(365.35*24*3600)</f>
        <v>0.2943293655655474</v>
      </c>
      <c r="Q244" s="2">
        <f>('L-Values'!M244*'D(Ti_Jollands) Times'!$F244*0.000001)^2/(4*'D(Ti_Jollands) Times'!$C244)/(365.35*24*3600)</f>
        <v>214409.02661148831</v>
      </c>
      <c r="R244" s="2">
        <f>('L-Values'!N244*'D(Ti_Jollands) Times'!$F244*0.000001)^2/(4*'D(Ti_Jollands) Times'!$C244)/(365.35*24*3600)</f>
        <v>167.10178057915431</v>
      </c>
      <c r="S244" s="2">
        <f>('L-Values'!O244*'D(Ti_Jollands) Times'!$F244*0.000001)^2/(4*'D(Ti_Jollands) Times'!$C244)/(365.35*24*3600)</f>
        <v>301068.80631101143</v>
      </c>
      <c r="T244" s="2"/>
      <c r="U244" s="2">
        <f>('L-Values'!Q244*'D(Ti_Jollands) Times'!$F244*0.000001)^2/(4*'D(Ti_Jollands) Times'!$C244)/(365.35*24*3600)</f>
        <v>181663.87579402231</v>
      </c>
      <c r="V244" s="2">
        <f>('L-Values'!R244*'D(Ti_Jollands) Times'!$F244*0.000001)^2/(4*'D(Ti_Jollands) Times'!$C244)/(365.35*24*3600)</f>
        <v>164996.32305911175</v>
      </c>
      <c r="W244" s="2">
        <f>('L-Values'!S244*'D(Ti_Jollands) Times'!$F244*0.000001)^2/(4*'D(Ti_Jollands) Times'!$C244)/(365.35*24*3600)</f>
        <v>201289.2648122182</v>
      </c>
      <c r="X244" s="2"/>
      <c r="Y244" s="2">
        <f>('L-Values'!U244*'D(Ti_Jollands) Times'!$F244*0.000001)^2/(4*'D(Ti_Jollands) Times'!$C244)/(365.35*24*3600)</f>
        <v>150580.19599013435</v>
      </c>
      <c r="Z244" s="2">
        <f>('L-Values'!V244*'D(Ti_Jollands) Times'!$F244*0.000001)^2/(4*'D(Ti_Jollands) Times'!$C244)/(365.35*24*3600)</f>
        <v>248469.82421671852</v>
      </c>
      <c r="AA244" s="2">
        <f>('L-Values'!W244*'D(Ti_Jollands) Times'!$F244*0.000001)^2/(4*'D(Ti_Jollands) Times'!$C244)/(365.35*24*3600)</f>
        <v>3.6807617315310455</v>
      </c>
      <c r="AB244" s="2">
        <f>('L-Values'!X244*'D(Ti_Jollands) Times'!$F244*0.000001)^2/(4*'D(Ti_Jollands) Times'!$C244)/(365.35*24*3600)</f>
        <v>3854004.5981831267</v>
      </c>
      <c r="AC244" s="2">
        <f t="shared" si="14"/>
        <v>248466.143454987</v>
      </c>
      <c r="AD244" s="2">
        <f t="shared" si="15"/>
        <v>3605534.7739664083</v>
      </c>
    </row>
    <row r="245" spans="1:30" x14ac:dyDescent="0.2">
      <c r="A245" t="str">
        <f>'L-Values'!A245</f>
        <v>CGI014-qtz01-CL-fit-2-offset</v>
      </c>
      <c r="B245">
        <v>750</v>
      </c>
      <c r="C245">
        <f t="shared" si="12"/>
        <v>6.6965312637759184E-25</v>
      </c>
      <c r="D245">
        <v>1600</v>
      </c>
      <c r="E245">
        <v>1024</v>
      </c>
      <c r="F245">
        <f t="shared" si="13"/>
        <v>1.5625</v>
      </c>
      <c r="I245" s="2">
        <f>('L-Values'!E245*'D(Ti_Jollands) Times'!$F245*0.000001)^2/(4*'D(Ti_Jollands) Times'!$C245)/(365.35*24*3600)</f>
        <v>1542.0405731607698</v>
      </c>
      <c r="J245" s="2">
        <f>('L-Values'!F245*'D(Ti_Jollands) Times'!$F245*0.000001)^2/(4*'D(Ti_Jollands) Times'!$C245)/(365.35*24*3600)</f>
        <v>1684.5293020661143</v>
      </c>
      <c r="K245" s="2">
        <f>('L-Values'!G245*'D(Ti_Jollands) Times'!$F245*0.000001)^2/(4*'D(Ti_Jollands) Times'!$C245)/(365.35*24*3600)</f>
        <v>49912.276539593397</v>
      </c>
      <c r="L245" s="2">
        <f>('L-Values'!H245*'D(Ti_Jollands) Times'!$F245*0.000001)^2/(4*'D(Ti_Jollands) Times'!$C245)/(365.35*24*3600)</f>
        <v>336.10739251857837</v>
      </c>
      <c r="M245" s="2">
        <f>('L-Values'!I245*'D(Ti_Jollands) Times'!$F245*0.000001)^2/(4*'D(Ti_Jollands) Times'!$C245)/(365.35*24*3600)</f>
        <v>1678.8258306276812</v>
      </c>
      <c r="N245" s="2">
        <f>('L-Values'!J245*'D(Ti_Jollands) Times'!$F245*0.000001)^2/(4*'D(Ti_Jollands) Times'!$C245)/(365.35*24*3600)</f>
        <v>44977.152117566802</v>
      </c>
      <c r="O245" s="2">
        <f>('L-Values'!K245*'D(Ti_Jollands) Times'!$F245*0.000001)^2/(4*'D(Ti_Jollands) Times'!$C245)/(365.35*24*3600)</f>
        <v>33533.426420755597</v>
      </c>
      <c r="P245" s="2">
        <f>('L-Values'!L245*'D(Ti_Jollands) Times'!$F245*0.000001)^2/(4*'D(Ti_Jollands) Times'!$C245)/(365.35*24*3600)</f>
        <v>1471.9290921332217</v>
      </c>
      <c r="Q245" s="2">
        <f>('L-Values'!M245*'D(Ti_Jollands) Times'!$F245*0.000001)^2/(4*'D(Ti_Jollands) Times'!$C245)/(365.35*24*3600)</f>
        <v>43841.015234817023</v>
      </c>
      <c r="R245" s="2">
        <f>('L-Values'!N245*'D(Ti_Jollands) Times'!$F245*0.000001)^2/(4*'D(Ti_Jollands) Times'!$C245)/(365.35*24*3600)</f>
        <v>1225.0121654807306</v>
      </c>
      <c r="S245" s="2">
        <f>('L-Values'!O245*'D(Ti_Jollands) Times'!$F245*0.000001)^2/(4*'D(Ti_Jollands) Times'!$C245)/(365.35*24*3600)</f>
        <v>193022.44432662701</v>
      </c>
      <c r="T245" s="2"/>
      <c r="U245" s="2">
        <f>('L-Values'!Q245*'D(Ti_Jollands) Times'!$F245*0.000001)^2/(4*'D(Ti_Jollands) Times'!$C245)/(365.35*24*3600)</f>
        <v>1917.6965331614847</v>
      </c>
      <c r="V245" s="2">
        <f>('L-Values'!R245*'D(Ti_Jollands) Times'!$F245*0.000001)^2/(4*'D(Ti_Jollands) Times'!$C245)/(365.35*24*3600)</f>
        <v>18110.312816784022</v>
      </c>
      <c r="W245" s="2">
        <f>('L-Values'!S245*'D(Ti_Jollands) Times'!$F245*0.000001)^2/(4*'D(Ti_Jollands) Times'!$C245)/(365.35*24*3600)</f>
        <v>1684.5293020661143</v>
      </c>
      <c r="X245" s="2"/>
      <c r="Y245" s="2">
        <f>('L-Values'!U245*'D(Ti_Jollands) Times'!$F245*0.000001)^2/(4*'D(Ti_Jollands) Times'!$C245)/(365.35*24*3600)</f>
        <v>8116.8127759212484</v>
      </c>
      <c r="Z245" s="2">
        <f>('L-Values'!V245*'D(Ti_Jollands) Times'!$F245*0.000001)^2/(4*'D(Ti_Jollands) Times'!$C245)/(365.35*24*3600)</f>
        <v>24722.907780814272</v>
      </c>
      <c r="AA245" s="2">
        <f>('L-Values'!W245*'D(Ti_Jollands) Times'!$F245*0.000001)^2/(4*'D(Ti_Jollands) Times'!$C245)/(365.35*24*3600)</f>
        <v>1.220097776800591E-8</v>
      </c>
      <c r="AB245" s="2">
        <f>('L-Values'!X245*'D(Ti_Jollands) Times'!$F245*0.000001)^2/(4*'D(Ti_Jollands) Times'!$C245)/(365.35*24*3600)</f>
        <v>455985.61116206716</v>
      </c>
      <c r="AC245" s="2">
        <f t="shared" si="14"/>
        <v>24722.90778080207</v>
      </c>
      <c r="AD245" s="2">
        <f t="shared" si="15"/>
        <v>431262.70338125288</v>
      </c>
    </row>
    <row r="246" spans="1:30" x14ac:dyDescent="0.2">
      <c r="A246" t="str">
        <f>'L-Values'!A246</f>
        <v>CGI014-qtz02-CL-fit-1-offset</v>
      </c>
      <c r="B246">
        <v>750</v>
      </c>
      <c r="C246">
        <f t="shared" si="12"/>
        <v>6.6965312637759184E-25</v>
      </c>
      <c r="D246">
        <v>2000</v>
      </c>
      <c r="E246">
        <v>1024</v>
      </c>
      <c r="F246">
        <f t="shared" si="13"/>
        <v>1.953125</v>
      </c>
      <c r="I246" s="2">
        <f>('L-Values'!E246*'D(Ti_Jollands) Times'!$F246*0.000001)^2/(4*'D(Ti_Jollands) Times'!$C246)/(365.35*24*3600)</f>
        <v>636282.85111785412</v>
      </c>
      <c r="J246" s="2">
        <f>('L-Values'!F246*'D(Ti_Jollands) Times'!$F246*0.000001)^2/(4*'D(Ti_Jollands) Times'!$C246)/(365.35*24*3600)</f>
        <v>853675.33449271647</v>
      </c>
      <c r="K246" s="2">
        <f>('L-Values'!G246*'D(Ti_Jollands) Times'!$F246*0.000001)^2/(4*'D(Ti_Jollands) Times'!$C246)/(365.35*24*3600)</f>
        <v>807365.07405128318</v>
      </c>
      <c r="L246" s="2">
        <f>('L-Values'!H246*'D(Ti_Jollands) Times'!$F246*0.000001)^2/(4*'D(Ti_Jollands) Times'!$C246)/(365.35*24*3600)</f>
        <v>497739.50060378696</v>
      </c>
      <c r="M246" s="2">
        <f>('L-Values'!I246*'D(Ti_Jollands) Times'!$F246*0.000001)^2/(4*'D(Ti_Jollands) Times'!$C246)/(365.35*24*3600)</f>
        <v>965286.35250283277</v>
      </c>
      <c r="N246" s="2">
        <f>('L-Values'!J246*'D(Ti_Jollands) Times'!$F246*0.000001)^2/(4*'D(Ti_Jollands) Times'!$C246)/(365.35*24*3600)</f>
        <v>879608.77316845139</v>
      </c>
      <c r="O246" s="2">
        <f>('L-Values'!K246*'D(Ti_Jollands) Times'!$F246*0.000001)^2/(4*'D(Ti_Jollands) Times'!$C246)/(365.35*24*3600)</f>
        <v>787812.98638133518</v>
      </c>
      <c r="P246" s="2">
        <f>('L-Values'!L246*'D(Ti_Jollands) Times'!$F246*0.000001)^2/(4*'D(Ti_Jollands) Times'!$C246)/(365.35*24*3600)</f>
        <v>967759.54622243287</v>
      </c>
      <c r="Q246" s="2">
        <f>('L-Values'!M246*'D(Ti_Jollands) Times'!$F246*0.000001)^2/(4*'D(Ti_Jollands) Times'!$C246)/(365.35*24*3600)</f>
        <v>716537.28634931985</v>
      </c>
      <c r="R246" s="2">
        <f>('L-Values'!N246*'D(Ti_Jollands) Times'!$F246*0.000001)^2/(4*'D(Ti_Jollands) Times'!$C246)/(365.35*24*3600)</f>
        <v>352271.85766609706</v>
      </c>
      <c r="S246" s="2">
        <f>('L-Values'!O246*'D(Ti_Jollands) Times'!$F246*0.000001)^2/(4*'D(Ti_Jollands) Times'!$C246)/(365.35*24*3600)</f>
        <v>633304.48398277559</v>
      </c>
      <c r="T246" s="2"/>
      <c r="U246" s="2">
        <f>('L-Values'!Q246*'D(Ti_Jollands) Times'!$F246*0.000001)^2/(4*'D(Ti_Jollands) Times'!$C246)/(365.35*24*3600)</f>
        <v>702282.58019048651</v>
      </c>
      <c r="V246" s="2">
        <f>('L-Values'!R246*'D(Ti_Jollands) Times'!$F246*0.000001)^2/(4*'D(Ti_Jollands) Times'!$C246)/(365.35*24*3600)</f>
        <v>722990.82980542234</v>
      </c>
      <c r="W246" s="2">
        <f>('L-Values'!S246*'D(Ti_Jollands) Times'!$F246*0.000001)^2/(4*'D(Ti_Jollands) Times'!$C246)/(365.35*24*3600)</f>
        <v>787812.98638133518</v>
      </c>
      <c r="X246" s="2"/>
      <c r="Y246" s="2">
        <f>('L-Values'!U246*'D(Ti_Jollands) Times'!$F246*0.000001)^2/(4*'D(Ti_Jollands) Times'!$C246)/(365.35*24*3600)</f>
        <v>703636.04682631826</v>
      </c>
      <c r="Z246" s="2">
        <f>('L-Values'!V246*'D(Ti_Jollands) Times'!$F246*0.000001)^2/(4*'D(Ti_Jollands) Times'!$C246)/(365.35*24*3600)</f>
        <v>720181.76168118941</v>
      </c>
      <c r="AA246" s="2">
        <f>('L-Values'!W246*'D(Ti_Jollands) Times'!$F246*0.000001)^2/(4*'D(Ti_Jollands) Times'!$C246)/(365.35*24*3600)</f>
        <v>387056.06734656153</v>
      </c>
      <c r="AB246" s="2">
        <f>('L-Values'!X246*'D(Ti_Jollands) Times'!$F246*0.000001)^2/(4*'D(Ti_Jollands) Times'!$C246)/(365.35*24*3600)</f>
        <v>1166348.9358387871</v>
      </c>
      <c r="AC246" s="2">
        <f t="shared" si="14"/>
        <v>333125.69433462789</v>
      </c>
      <c r="AD246" s="2">
        <f t="shared" si="15"/>
        <v>446167.17415759771</v>
      </c>
    </row>
    <row r="247" spans="1:30" x14ac:dyDescent="0.2">
      <c r="A247" t="str">
        <f>'L-Values'!A247</f>
        <v>CGI014-qtz02-CL-fit-2-offset</v>
      </c>
      <c r="B247">
        <v>750</v>
      </c>
      <c r="C247">
        <f t="shared" si="12"/>
        <v>6.6965312637759184E-25</v>
      </c>
      <c r="D247">
        <v>2000</v>
      </c>
      <c r="E247">
        <v>1024</v>
      </c>
      <c r="F247">
        <f t="shared" si="13"/>
        <v>1.953125</v>
      </c>
      <c r="I247" s="2">
        <f>('L-Values'!E247*'D(Ti_Jollands) Times'!$F247*0.000001)^2/(4*'D(Ti_Jollands) Times'!$C247)/(365.35*24*3600)</f>
        <v>412522.53667790978</v>
      </c>
      <c r="J247" s="2">
        <f>('L-Values'!F247*'D(Ti_Jollands) Times'!$F247*0.000001)^2/(4*'D(Ti_Jollands) Times'!$C247)/(365.35*24*3600)</f>
        <v>81000.664573807808</v>
      </c>
      <c r="K247" s="2">
        <f>('L-Values'!G247*'D(Ti_Jollands) Times'!$F247*0.000001)^2/(4*'D(Ti_Jollands) Times'!$C247)/(365.35*24*3600)</f>
        <v>228035.35102742736</v>
      </c>
      <c r="L247" s="2">
        <f>('L-Values'!H247*'D(Ti_Jollands) Times'!$F247*0.000001)^2/(4*'D(Ti_Jollands) Times'!$C247)/(365.35*24*3600)</f>
        <v>516777.41342031443</v>
      </c>
      <c r="M247" s="2">
        <f>('L-Values'!I247*'D(Ti_Jollands) Times'!$F247*0.000001)^2/(4*'D(Ti_Jollands) Times'!$C247)/(365.35*24*3600)</f>
        <v>80714.36966690491</v>
      </c>
      <c r="N247" s="2">
        <f>('L-Values'!J247*'D(Ti_Jollands) Times'!$F247*0.000001)^2/(4*'D(Ti_Jollands) Times'!$C247)/(365.35*24*3600)</f>
        <v>177000.79471478096</v>
      </c>
      <c r="O247" s="2">
        <f>('L-Values'!K247*'D(Ti_Jollands) Times'!$F247*0.000001)^2/(4*'D(Ti_Jollands) Times'!$C247)/(365.35*24*3600)</f>
        <v>32742.267669642286</v>
      </c>
      <c r="P247" s="2">
        <f>('L-Values'!L247*'D(Ti_Jollands) Times'!$F247*0.000001)^2/(4*'D(Ti_Jollands) Times'!$C247)/(365.35*24*3600)</f>
        <v>123056.35916675502</v>
      </c>
      <c r="Q247" s="2">
        <f>('L-Values'!M247*'D(Ti_Jollands) Times'!$F247*0.000001)^2/(4*'D(Ti_Jollands) Times'!$C247)/(365.35*24*3600)</f>
        <v>277374.68250183907</v>
      </c>
      <c r="R247" s="2">
        <f>('L-Values'!N247*'D(Ti_Jollands) Times'!$F247*0.000001)^2/(4*'D(Ti_Jollands) Times'!$C247)/(365.35*24*3600)</f>
        <v>138173.74119766176</v>
      </c>
      <c r="S247" s="2">
        <f>('L-Values'!O247*'D(Ti_Jollands) Times'!$F247*0.000001)^2/(4*'D(Ti_Jollands) Times'!$C247)/(365.35*24*3600)</f>
        <v>73005.813790655608</v>
      </c>
      <c r="T247" s="2"/>
      <c r="U247" s="2">
        <f>('L-Values'!Q247*'D(Ti_Jollands) Times'!$F247*0.000001)^2/(4*'D(Ti_Jollands) Times'!$C247)/(365.35*24*3600)</f>
        <v>137381.62669140281</v>
      </c>
      <c r="V247" s="2">
        <f>('L-Values'!R247*'D(Ti_Jollands) Times'!$F247*0.000001)^2/(4*'D(Ti_Jollands) Times'!$C247)/(365.35*24*3600)</f>
        <v>169476.27048829527</v>
      </c>
      <c r="W247" s="2">
        <f>('L-Values'!S247*'D(Ti_Jollands) Times'!$F247*0.000001)^2/(4*'D(Ti_Jollands) Times'!$C247)/(365.35*24*3600)</f>
        <v>138173.74119766176</v>
      </c>
      <c r="X247" s="2"/>
      <c r="Y247" s="2">
        <f>('L-Values'!U247*'D(Ti_Jollands) Times'!$F247*0.000001)^2/(4*'D(Ti_Jollands) Times'!$C247)/(365.35*24*3600)</f>
        <v>142666.41777916328</v>
      </c>
      <c r="Z247" s="2">
        <f>('L-Values'!V247*'D(Ti_Jollands) Times'!$F247*0.000001)^2/(4*'D(Ti_Jollands) Times'!$C247)/(365.35*24*3600)</f>
        <v>159641.9793452532</v>
      </c>
      <c r="AA247" s="2">
        <f>('L-Values'!W247*'D(Ti_Jollands) Times'!$F247*0.000001)^2/(4*'D(Ti_Jollands) Times'!$C247)/(365.35*24*3600)</f>
        <v>19486.533622614377</v>
      </c>
      <c r="AB247" s="2">
        <f>('L-Values'!X247*'D(Ti_Jollands) Times'!$F247*0.000001)^2/(4*'D(Ti_Jollands) Times'!$C247)/(365.35*24*3600)</f>
        <v>707737.72502949077</v>
      </c>
      <c r="AC247" s="2">
        <f t="shared" si="14"/>
        <v>140155.44572263883</v>
      </c>
      <c r="AD247" s="2">
        <f t="shared" si="15"/>
        <v>548095.74568423757</v>
      </c>
    </row>
    <row r="248" spans="1:30" x14ac:dyDescent="0.2">
      <c r="A248" t="str">
        <f>'L-Values'!A248</f>
        <v>CGI014-qtz02-CL-fit-3-offset</v>
      </c>
      <c r="B248">
        <v>750</v>
      </c>
      <c r="C248">
        <f t="shared" si="12"/>
        <v>6.6965312637759184E-25</v>
      </c>
      <c r="D248">
        <v>2000</v>
      </c>
      <c r="E248">
        <v>1024</v>
      </c>
      <c r="F248">
        <f t="shared" si="13"/>
        <v>1.953125</v>
      </c>
      <c r="I248" s="2">
        <f>('L-Values'!E248*'D(Ti_Jollands) Times'!$F248*0.000001)^2/(4*'D(Ti_Jollands) Times'!$C248)/(365.35*24*3600)</f>
        <v>182041.06065255182</v>
      </c>
      <c r="J248" s="2">
        <f>('L-Values'!F248*'D(Ti_Jollands) Times'!$F248*0.000001)^2/(4*'D(Ti_Jollands) Times'!$C248)/(365.35*24*3600)</f>
        <v>82127.025595709172</v>
      </c>
      <c r="K248" s="2">
        <f>('L-Values'!G248*'D(Ti_Jollands) Times'!$F248*0.000001)^2/(4*'D(Ti_Jollands) Times'!$C248)/(365.35*24*3600)</f>
        <v>154646.37232445006</v>
      </c>
      <c r="L248" s="2">
        <f>('L-Values'!H248*'D(Ti_Jollands) Times'!$F248*0.000001)^2/(4*'D(Ti_Jollands) Times'!$C248)/(365.35*24*3600)</f>
        <v>23630.090793600564</v>
      </c>
      <c r="M248" s="2">
        <f>('L-Values'!I248*'D(Ti_Jollands) Times'!$F248*0.000001)^2/(4*'D(Ti_Jollands) Times'!$C248)/(365.35*24*3600)</f>
        <v>240768.73421439715</v>
      </c>
      <c r="N248" s="2">
        <f>('L-Values'!J248*'D(Ti_Jollands) Times'!$F248*0.000001)^2/(4*'D(Ti_Jollands) Times'!$C248)/(365.35*24*3600)</f>
        <v>17267.11838740325</v>
      </c>
      <c r="O248" s="2">
        <f>('L-Values'!K248*'D(Ti_Jollands) Times'!$F248*0.000001)^2/(4*'D(Ti_Jollands) Times'!$C248)/(365.35*24*3600)</f>
        <v>36832.623164610886</v>
      </c>
      <c r="P248" s="2">
        <f>('L-Values'!L248*'D(Ti_Jollands) Times'!$F248*0.000001)^2/(4*'D(Ti_Jollands) Times'!$C248)/(365.35*24*3600)</f>
        <v>171.19630040185606</v>
      </c>
      <c r="Q248" s="2">
        <f>('L-Values'!M248*'D(Ti_Jollands) Times'!$F248*0.000001)^2/(4*'D(Ti_Jollands) Times'!$C248)/(365.35*24*3600)</f>
        <v>952.63071469998624</v>
      </c>
      <c r="R248" s="2">
        <f>('L-Values'!N248*'D(Ti_Jollands) Times'!$F248*0.000001)^2/(4*'D(Ti_Jollands) Times'!$C248)/(365.35*24*3600)</f>
        <v>35380.74446198497</v>
      </c>
      <c r="S248" s="2">
        <f>('L-Values'!O248*'D(Ti_Jollands) Times'!$F248*0.000001)^2/(4*'D(Ti_Jollands) Times'!$C248)/(365.35*24*3600)</f>
        <v>25373.7820753091</v>
      </c>
      <c r="T248" s="2"/>
      <c r="U248" s="2">
        <f>('L-Values'!Q248*'D(Ti_Jollands) Times'!$F248*0.000001)^2/(4*'D(Ti_Jollands) Times'!$C248)/(365.35*24*3600)</f>
        <v>39414.145866503641</v>
      </c>
      <c r="V248" s="2">
        <f>('L-Values'!R248*'D(Ti_Jollands) Times'!$F248*0.000001)^2/(4*'D(Ti_Jollands) Times'!$C248)/(365.35*24*3600)</f>
        <v>50239.366672066397</v>
      </c>
      <c r="W248" s="2">
        <f>('L-Values'!S248*'D(Ti_Jollands) Times'!$F248*0.000001)^2/(4*'D(Ti_Jollands) Times'!$C248)/(365.35*24*3600)</f>
        <v>35380.74446198497</v>
      </c>
      <c r="X248" s="2"/>
      <c r="Y248" s="2">
        <f>('L-Values'!U248*'D(Ti_Jollands) Times'!$F248*0.000001)^2/(4*'D(Ti_Jollands) Times'!$C248)/(365.35*24*3600)</f>
        <v>35704.646133945098</v>
      </c>
      <c r="Z248" s="2">
        <f>('L-Values'!V248*'D(Ti_Jollands) Times'!$F248*0.000001)^2/(4*'D(Ti_Jollands) Times'!$C248)/(365.35*24*3600)</f>
        <v>59965.746000608699</v>
      </c>
      <c r="AA248" s="2">
        <f>('L-Values'!W248*'D(Ti_Jollands) Times'!$F248*0.000001)^2/(4*'D(Ti_Jollands) Times'!$C248)/(365.35*24*3600)</f>
        <v>1615.0847493024021</v>
      </c>
      <c r="AB248" s="2">
        <f>('L-Values'!X248*'D(Ti_Jollands) Times'!$F248*0.000001)^2/(4*'D(Ti_Jollands) Times'!$C248)/(365.35*24*3600)</f>
        <v>535050.95439832588</v>
      </c>
      <c r="AC248" s="2">
        <f t="shared" si="14"/>
        <v>58350.661251306294</v>
      </c>
      <c r="AD248" s="2">
        <f t="shared" si="15"/>
        <v>475085.20839771716</v>
      </c>
    </row>
    <row r="249" spans="1:30" x14ac:dyDescent="0.2">
      <c r="A249" t="str">
        <f>'L-Values'!A249</f>
        <v>CGI014-qtz02-CL-fit-4-offset</v>
      </c>
      <c r="B249">
        <v>750</v>
      </c>
      <c r="C249">
        <f t="shared" si="12"/>
        <v>6.6965312637759184E-25</v>
      </c>
      <c r="D249">
        <v>2000</v>
      </c>
      <c r="E249">
        <v>1024</v>
      </c>
      <c r="F249">
        <f t="shared" si="13"/>
        <v>1.953125</v>
      </c>
      <c r="I249" s="2">
        <f>('L-Values'!E249*'D(Ti_Jollands) Times'!$F249*0.000001)^2/(4*'D(Ti_Jollands) Times'!$C249)/(365.35*24*3600)</f>
        <v>1076.2791488874839</v>
      </c>
      <c r="J249" s="2">
        <f>('L-Values'!F249*'D(Ti_Jollands) Times'!$F249*0.000001)^2/(4*'D(Ti_Jollands) Times'!$C249)/(365.35*24*3600)</f>
        <v>39827.828308198485</v>
      </c>
      <c r="K249" s="2">
        <f>('L-Values'!G249*'D(Ti_Jollands) Times'!$F249*0.000001)^2/(4*'D(Ti_Jollands) Times'!$C249)/(365.35*24*3600)</f>
        <v>282.94284613450401</v>
      </c>
      <c r="L249" s="2">
        <f>('L-Values'!H249*'D(Ti_Jollands) Times'!$F249*0.000001)^2/(4*'D(Ti_Jollands) Times'!$C249)/(365.35*24*3600)</f>
        <v>946.71034806627324</v>
      </c>
      <c r="M249" s="2">
        <f>('L-Values'!I249*'D(Ti_Jollands) Times'!$F249*0.000001)^2/(4*'D(Ti_Jollands) Times'!$C249)/(365.35*24*3600)</f>
        <v>133.26511309396454</v>
      </c>
      <c r="N249" s="2">
        <f>('L-Values'!J249*'D(Ti_Jollands) Times'!$F249*0.000001)^2/(4*'D(Ti_Jollands) Times'!$C249)/(365.35*24*3600)</f>
        <v>1123.788023892685</v>
      </c>
      <c r="O249" s="2">
        <f>('L-Values'!K249*'D(Ti_Jollands) Times'!$F249*0.000001)^2/(4*'D(Ti_Jollands) Times'!$C249)/(365.35*24*3600)</f>
        <v>2717.4287907126272</v>
      </c>
      <c r="P249" s="2">
        <f>('L-Values'!L249*'D(Ti_Jollands) Times'!$F249*0.000001)^2/(4*'D(Ti_Jollands) Times'!$C249)/(365.35*24*3600)</f>
        <v>35854.242076043651</v>
      </c>
      <c r="Q249" s="2">
        <f>('L-Values'!M249*'D(Ti_Jollands) Times'!$F249*0.000001)^2/(4*'D(Ti_Jollands) Times'!$C249)/(365.35*24*3600)</f>
        <v>11496.530085926626</v>
      </c>
      <c r="R249" s="2">
        <f>('L-Values'!N249*'D(Ti_Jollands) Times'!$F249*0.000001)^2/(4*'D(Ti_Jollands) Times'!$C249)/(365.35*24*3600)</f>
        <v>7171.5445233078181</v>
      </c>
      <c r="S249" s="2">
        <f>('L-Values'!O249*'D(Ti_Jollands) Times'!$F249*0.000001)^2/(4*'D(Ti_Jollands) Times'!$C249)/(365.35*24*3600)</f>
        <v>14761.281892365963</v>
      </c>
      <c r="T249" s="2"/>
      <c r="U249" s="2">
        <f>('L-Values'!Q249*'D(Ti_Jollands) Times'!$F249*0.000001)^2/(4*'D(Ti_Jollands) Times'!$C249)/(365.35*24*3600)</f>
        <v>12982.085092597938</v>
      </c>
      <c r="V249" s="2">
        <f>('L-Values'!R249*'D(Ti_Jollands) Times'!$F249*0.000001)^2/(4*'D(Ti_Jollands) Times'!$C249)/(365.35*24*3600)</f>
        <v>6398.7833470167243</v>
      </c>
      <c r="W249" s="2">
        <f>('L-Values'!S249*'D(Ti_Jollands) Times'!$F249*0.000001)^2/(4*'D(Ti_Jollands) Times'!$C249)/(365.35*24*3600)</f>
        <v>2717.4287907126272</v>
      </c>
      <c r="X249" s="2"/>
      <c r="Y249" s="2">
        <f>('L-Values'!U249*'D(Ti_Jollands) Times'!$F249*0.000001)^2/(4*'D(Ti_Jollands) Times'!$C249)/(365.35*24*3600)</f>
        <v>3120.3589286178453</v>
      </c>
      <c r="Z249" s="2">
        <f>('L-Values'!V249*'D(Ti_Jollands) Times'!$F249*0.000001)^2/(4*'D(Ti_Jollands) Times'!$C249)/(365.35*24*3600)</f>
        <v>7435.5354803403743</v>
      </c>
      <c r="AA249" s="2">
        <f>('L-Values'!W249*'D(Ti_Jollands) Times'!$F249*0.000001)^2/(4*'D(Ti_Jollands) Times'!$C249)/(365.35*24*3600)</f>
        <v>8.8319294103008872</v>
      </c>
      <c r="AB249" s="2">
        <f>('L-Values'!X249*'D(Ti_Jollands) Times'!$F249*0.000001)^2/(4*'D(Ti_Jollands) Times'!$C249)/(365.35*24*3600)</f>
        <v>51252.689332554903</v>
      </c>
      <c r="AC249" s="2">
        <f t="shared" si="14"/>
        <v>7426.7035509300731</v>
      </c>
      <c r="AD249" s="2">
        <f t="shared" si="15"/>
        <v>43817.153852214527</v>
      </c>
    </row>
    <row r="250" spans="1:30" x14ac:dyDescent="0.2">
      <c r="A250" t="str">
        <f>'L-Values'!A250</f>
        <v>CGI014-qtz03-CL-fit-1-offset</v>
      </c>
      <c r="B250">
        <v>750</v>
      </c>
      <c r="C250">
        <f t="shared" si="12"/>
        <v>6.6965312637759184E-25</v>
      </c>
      <c r="D250">
        <v>1800</v>
      </c>
      <c r="E250">
        <v>1024</v>
      </c>
      <c r="F250">
        <f t="shared" si="13"/>
        <v>1.7578125</v>
      </c>
      <c r="I250" s="2">
        <f>('L-Values'!E250*'D(Ti_Jollands) Times'!$F250*0.000001)^2/(4*'D(Ti_Jollands) Times'!$C250)/(365.35*24*3600)</f>
        <v>2861237.0770830605</v>
      </c>
      <c r="J250" s="2">
        <f>('L-Values'!F250*'D(Ti_Jollands) Times'!$F250*0.000001)^2/(4*'D(Ti_Jollands) Times'!$C250)/(365.35*24*3600)</f>
        <v>827512.08626006579</v>
      </c>
      <c r="K250" s="2">
        <f>('L-Values'!G250*'D(Ti_Jollands) Times'!$F250*0.000001)^2/(4*'D(Ti_Jollands) Times'!$C250)/(365.35*24*3600)</f>
        <v>2743704.6935940543</v>
      </c>
      <c r="L250" s="2">
        <f>('L-Values'!H250*'D(Ti_Jollands) Times'!$F250*0.000001)^2/(4*'D(Ti_Jollands) Times'!$C250)/(365.35*24*3600)</f>
        <v>1947281.6999674579</v>
      </c>
      <c r="M250" s="2">
        <f>('L-Values'!I250*'D(Ti_Jollands) Times'!$F250*0.000001)^2/(4*'D(Ti_Jollands) Times'!$C250)/(365.35*24*3600)</f>
        <v>4215177.6096331719</v>
      </c>
      <c r="N250" s="2">
        <f>('L-Values'!J250*'D(Ti_Jollands) Times'!$F250*0.000001)^2/(4*'D(Ti_Jollands) Times'!$C250)/(365.35*24*3600)</f>
        <v>3092740.8896818105</v>
      </c>
      <c r="O250" s="2">
        <f>('L-Values'!K250*'D(Ti_Jollands) Times'!$F250*0.000001)^2/(4*'D(Ti_Jollands) Times'!$C250)/(365.35*24*3600)</f>
        <v>1880382.7182747223</v>
      </c>
      <c r="P250" s="2">
        <f>('L-Values'!L250*'D(Ti_Jollands) Times'!$F250*0.000001)^2/(4*'D(Ti_Jollands) Times'!$C250)/(365.35*24*3600)</f>
        <v>1700859.6074509183</v>
      </c>
      <c r="Q250" s="2">
        <f>('L-Values'!M250*'D(Ti_Jollands) Times'!$F250*0.000001)^2/(4*'D(Ti_Jollands) Times'!$C250)/(365.35*24*3600)</f>
        <v>2038473.6844062777</v>
      </c>
      <c r="R250" s="2">
        <f>('L-Values'!N250*'D(Ti_Jollands) Times'!$F250*0.000001)^2/(4*'D(Ti_Jollands) Times'!$C250)/(365.35*24*3600)</f>
        <v>3756220.034339156</v>
      </c>
      <c r="S250" s="2">
        <f>('L-Values'!O250*'D(Ti_Jollands) Times'!$F250*0.000001)^2/(4*'D(Ti_Jollands) Times'!$C250)/(365.35*24*3600)</f>
        <v>6016273.2551522739</v>
      </c>
      <c r="T250" s="2"/>
      <c r="U250" s="2">
        <f>('L-Values'!Q250*'D(Ti_Jollands) Times'!$F250*0.000001)^2/(4*'D(Ti_Jollands) Times'!$C250)/(365.35*24*3600)</f>
        <v>2453800.3554235883</v>
      </c>
      <c r="V250" s="2">
        <f>('L-Values'!R250*'D(Ti_Jollands) Times'!$F250*0.000001)^2/(4*'D(Ti_Jollands) Times'!$C250)/(365.35*24*3600)</f>
        <v>2665461.8777396167</v>
      </c>
      <c r="W250" s="2">
        <f>('L-Values'!S250*'D(Ti_Jollands) Times'!$F250*0.000001)^2/(4*'D(Ti_Jollands) Times'!$C250)/(365.35*24*3600)</f>
        <v>2743704.6935940543</v>
      </c>
      <c r="X250" s="2"/>
      <c r="Y250" s="2">
        <f>('L-Values'!U250*'D(Ti_Jollands) Times'!$F250*0.000001)^2/(4*'D(Ti_Jollands) Times'!$C250)/(365.35*24*3600)</f>
        <v>2399618.0148005341</v>
      </c>
      <c r="Z250" s="2">
        <f>('L-Values'!V250*'D(Ti_Jollands) Times'!$F250*0.000001)^2/(4*'D(Ti_Jollands) Times'!$C250)/(365.35*24*3600)</f>
        <v>2378059.7891995939</v>
      </c>
      <c r="AA250" s="2">
        <f>('L-Values'!W250*'D(Ti_Jollands) Times'!$F250*0.000001)^2/(4*'D(Ti_Jollands) Times'!$C250)/(365.35*24*3600)</f>
        <v>868704.29225892946</v>
      </c>
      <c r="AB250" s="2">
        <f>('L-Values'!X250*'D(Ti_Jollands) Times'!$F250*0.000001)^2/(4*'D(Ti_Jollands) Times'!$C250)/(365.35*24*3600)</f>
        <v>4848750.5579450792</v>
      </c>
      <c r="AC250" s="2">
        <f t="shared" si="14"/>
        <v>1509355.4969406645</v>
      </c>
      <c r="AD250" s="2">
        <f t="shared" si="15"/>
        <v>2470690.7687454852</v>
      </c>
    </row>
    <row r="251" spans="1:30" x14ac:dyDescent="0.2">
      <c r="A251" t="str">
        <f>'L-Values'!A251</f>
        <v>CGI014-qtz03-CL-fit-2-offset</v>
      </c>
      <c r="B251">
        <v>750</v>
      </c>
      <c r="C251">
        <f t="shared" si="12"/>
        <v>6.6965312637759184E-25</v>
      </c>
      <c r="D251">
        <v>1800</v>
      </c>
      <c r="E251">
        <v>1024</v>
      </c>
      <c r="F251">
        <f t="shared" si="13"/>
        <v>1.7578125</v>
      </c>
      <c r="I251" s="2">
        <f>('L-Values'!E251*'D(Ti_Jollands) Times'!$F251*0.000001)^2/(4*'D(Ti_Jollands) Times'!$C251)/(365.35*24*3600)</f>
        <v>1618872.7029164014</v>
      </c>
      <c r="J251" s="2">
        <f>('L-Values'!F251*'D(Ti_Jollands) Times'!$F251*0.000001)^2/(4*'D(Ti_Jollands) Times'!$C251)/(365.35*24*3600)</f>
        <v>1305342.7469815016</v>
      </c>
      <c r="K251" s="2">
        <f>('L-Values'!G251*'D(Ti_Jollands) Times'!$F251*0.000001)^2/(4*'D(Ti_Jollands) Times'!$C251)/(365.35*24*3600)</f>
        <v>755010.17647601233</v>
      </c>
      <c r="L251" s="2">
        <f>('L-Values'!H251*'D(Ti_Jollands) Times'!$F251*0.000001)^2/(4*'D(Ti_Jollands) Times'!$C251)/(365.35*24*3600)</f>
        <v>1081127.2387844168</v>
      </c>
      <c r="M251" s="2">
        <f>('L-Values'!I251*'D(Ti_Jollands) Times'!$F251*0.000001)^2/(4*'D(Ti_Jollands) Times'!$C251)/(365.35*24*3600)</f>
        <v>1383856.9497908491</v>
      </c>
      <c r="N251" s="2">
        <f>('L-Values'!J251*'D(Ti_Jollands) Times'!$F251*0.000001)^2/(4*'D(Ti_Jollands) Times'!$C251)/(365.35*24*3600)</f>
        <v>107804.98769662007</v>
      </c>
      <c r="O251" s="2">
        <f>('L-Values'!K251*'D(Ti_Jollands) Times'!$F251*0.000001)^2/(4*'D(Ti_Jollands) Times'!$C251)/(365.35*24*3600)</f>
        <v>882106.49340274476</v>
      </c>
      <c r="P251" s="2">
        <f>('L-Values'!L251*'D(Ti_Jollands) Times'!$F251*0.000001)^2/(4*'D(Ti_Jollands) Times'!$C251)/(365.35*24*3600)</f>
        <v>709109.91359309584</v>
      </c>
      <c r="Q251" s="2">
        <f>('L-Values'!M251*'D(Ti_Jollands) Times'!$F251*0.000001)^2/(4*'D(Ti_Jollands) Times'!$C251)/(365.35*24*3600)</f>
        <v>640676.17602126766</v>
      </c>
      <c r="R251" s="2">
        <f>('L-Values'!N251*'D(Ti_Jollands) Times'!$F251*0.000001)^2/(4*'D(Ti_Jollands) Times'!$C251)/(365.35*24*3600)</f>
        <v>425091.84946717334</v>
      </c>
      <c r="S251" s="2">
        <f>('L-Values'!O251*'D(Ti_Jollands) Times'!$F251*0.000001)^2/(4*'D(Ti_Jollands) Times'!$C251)/(365.35*24*3600)</f>
        <v>385548.37737803027</v>
      </c>
      <c r="T251" s="2"/>
      <c r="U251" s="2">
        <f>('L-Values'!Q251*'D(Ti_Jollands) Times'!$F251*0.000001)^2/(4*'D(Ti_Jollands) Times'!$C251)/(365.35*24*3600)</f>
        <v>805497.72031911137</v>
      </c>
      <c r="V251" s="2">
        <f>('L-Values'!R251*'D(Ti_Jollands) Times'!$F251*0.000001)^2/(4*'D(Ti_Jollands) Times'!$C251)/(365.35*24*3600)</f>
        <v>774862.9236341106</v>
      </c>
      <c r="W251" s="2">
        <f>('L-Values'!S251*'D(Ti_Jollands) Times'!$F251*0.000001)^2/(4*'D(Ti_Jollands) Times'!$C251)/(365.35*24*3600)</f>
        <v>755010.17647601233</v>
      </c>
      <c r="X251" s="2"/>
      <c r="Y251" s="2">
        <f>('L-Values'!U251*'D(Ti_Jollands) Times'!$F251*0.000001)^2/(4*'D(Ti_Jollands) Times'!$C251)/(365.35*24*3600)</f>
        <v>692409.73878818413</v>
      </c>
      <c r="Z251" s="2">
        <f>('L-Values'!V251*'D(Ti_Jollands) Times'!$F251*0.000001)^2/(4*'D(Ti_Jollands) Times'!$C251)/(365.35*24*3600)</f>
        <v>708932.99509444623</v>
      </c>
      <c r="AA251" s="2">
        <f>('L-Values'!W251*'D(Ti_Jollands) Times'!$F251*0.000001)^2/(4*'D(Ti_Jollands) Times'!$C251)/(365.35*24*3600)</f>
        <v>52965.189444139069</v>
      </c>
      <c r="AB251" s="2">
        <f>('L-Values'!X251*'D(Ti_Jollands) Times'!$F251*0.000001)^2/(4*'D(Ti_Jollands) Times'!$C251)/(365.35*24*3600)</f>
        <v>2425361.7737293355</v>
      </c>
      <c r="AC251" s="2">
        <f t="shared" si="14"/>
        <v>655967.80565030721</v>
      </c>
      <c r="AD251" s="2">
        <f t="shared" si="15"/>
        <v>1716428.7786348893</v>
      </c>
    </row>
    <row r="252" spans="1:30" x14ac:dyDescent="0.2">
      <c r="A252" t="str">
        <f>'L-Values'!A252</f>
        <v>CGI014-qtz03-CL-fit-3-offset</v>
      </c>
      <c r="B252">
        <v>750</v>
      </c>
      <c r="C252">
        <f t="shared" si="12"/>
        <v>6.6965312637759184E-25</v>
      </c>
      <c r="D252">
        <v>1800</v>
      </c>
      <c r="E252">
        <v>1024</v>
      </c>
      <c r="F252">
        <f t="shared" si="13"/>
        <v>1.7578125</v>
      </c>
      <c r="I252" s="2">
        <f>('L-Values'!E252*'D(Ti_Jollands) Times'!$F252*0.000001)^2/(4*'D(Ti_Jollands) Times'!$C252)/(365.35*24*3600)</f>
        <v>54040.150155836804</v>
      </c>
      <c r="J252" s="2">
        <f>('L-Values'!F252*'D(Ti_Jollands) Times'!$F252*0.000001)^2/(4*'D(Ti_Jollands) Times'!$C252)/(365.35*24*3600)</f>
        <v>84843.220069992749</v>
      </c>
      <c r="K252" s="2">
        <f>('L-Values'!G252*'D(Ti_Jollands) Times'!$F252*0.000001)^2/(4*'D(Ti_Jollands) Times'!$C252)/(365.35*24*3600)</f>
        <v>203989.53685963902</v>
      </c>
      <c r="L252" s="2">
        <f>('L-Values'!H252*'D(Ti_Jollands) Times'!$F252*0.000001)^2/(4*'D(Ti_Jollands) Times'!$C252)/(365.35*24*3600)</f>
        <v>18839.658377707234</v>
      </c>
      <c r="M252" s="2">
        <f>('L-Values'!I252*'D(Ti_Jollands) Times'!$F252*0.000001)^2/(4*'D(Ti_Jollands) Times'!$C252)/(365.35*24*3600)</f>
        <v>2015.9001739682351</v>
      </c>
      <c r="N252" s="2">
        <f>('L-Values'!J252*'D(Ti_Jollands) Times'!$F252*0.000001)^2/(4*'D(Ti_Jollands) Times'!$C252)/(365.35*24*3600)</f>
        <v>301043.53241148597</v>
      </c>
      <c r="O252" s="2">
        <f>('L-Values'!K252*'D(Ti_Jollands) Times'!$F252*0.000001)^2/(4*'D(Ti_Jollands) Times'!$C252)/(365.35*24*3600)</f>
        <v>184794.79497723686</v>
      </c>
      <c r="P252" s="2">
        <f>('L-Values'!L252*'D(Ti_Jollands) Times'!$F252*0.000001)^2/(4*'D(Ti_Jollands) Times'!$C252)/(365.35*24*3600)</f>
        <v>10926.73019635839</v>
      </c>
      <c r="Q252" s="2">
        <f>('L-Values'!M252*'D(Ti_Jollands) Times'!$F252*0.000001)^2/(4*'D(Ti_Jollands) Times'!$C252)/(365.35*24*3600)</f>
        <v>80892.096636975417</v>
      </c>
      <c r="R252" s="2">
        <f>('L-Values'!N252*'D(Ti_Jollands) Times'!$F252*0.000001)^2/(4*'D(Ti_Jollands) Times'!$C252)/(365.35*24*3600)</f>
        <v>24322.746442241667</v>
      </c>
      <c r="S252" s="2">
        <f>('L-Values'!O252*'D(Ti_Jollands) Times'!$F252*0.000001)^2/(4*'D(Ti_Jollands) Times'!$C252)/(365.35*24*3600)</f>
        <v>246291.19140105922</v>
      </c>
      <c r="T252" s="2"/>
      <c r="U252" s="2">
        <f>('L-Values'!Q252*'D(Ti_Jollands) Times'!$F252*0.000001)^2/(4*'D(Ti_Jollands) Times'!$C252)/(365.35*24*3600)</f>
        <v>58332.606800136484</v>
      </c>
      <c r="V252" s="2">
        <f>('L-Values'!R252*'D(Ti_Jollands) Times'!$F252*0.000001)^2/(4*'D(Ti_Jollands) Times'!$C252)/(365.35*24*3600)</f>
        <v>83430.939869849419</v>
      </c>
      <c r="W252" s="2">
        <f>('L-Values'!S252*'D(Ti_Jollands) Times'!$F252*0.000001)^2/(4*'D(Ti_Jollands) Times'!$C252)/(365.35*24*3600)</f>
        <v>80892.096636975417</v>
      </c>
      <c r="X252" s="2"/>
      <c r="Y252" s="2">
        <f>('L-Values'!U252*'D(Ti_Jollands) Times'!$F252*0.000001)^2/(4*'D(Ti_Jollands) Times'!$C252)/(365.35*24*3600)</f>
        <v>46353.629536993125</v>
      </c>
      <c r="Z252" s="2">
        <f>('L-Values'!V252*'D(Ti_Jollands) Times'!$F252*0.000001)^2/(4*'D(Ti_Jollands) Times'!$C252)/(365.35*24*3600)</f>
        <v>54847.264721262058</v>
      </c>
      <c r="AA252" s="2">
        <f>('L-Values'!W252*'D(Ti_Jollands) Times'!$F252*0.000001)^2/(4*'D(Ti_Jollands) Times'!$C252)/(365.35*24*3600)</f>
        <v>1.895429156491026E-8</v>
      </c>
      <c r="AB252" s="2">
        <f>('L-Values'!X252*'D(Ti_Jollands) Times'!$F252*0.000001)^2/(4*'D(Ti_Jollands) Times'!$C252)/(365.35*24*3600)</f>
        <v>353331.3413682892</v>
      </c>
      <c r="AC252" s="2">
        <f t="shared" si="14"/>
        <v>54847.264721243104</v>
      </c>
      <c r="AD252" s="2">
        <f t="shared" si="15"/>
        <v>298484.07664702716</v>
      </c>
    </row>
    <row r="253" spans="1:30" x14ac:dyDescent="0.2">
      <c r="A253" t="str">
        <f>'L-Values'!A253</f>
        <v>CGI014-qtz03-CL-fit-4-offset</v>
      </c>
      <c r="B253">
        <v>750</v>
      </c>
      <c r="C253">
        <f t="shared" si="12"/>
        <v>6.6965312637759184E-25</v>
      </c>
      <c r="D253">
        <v>1800</v>
      </c>
      <c r="E253">
        <v>1024</v>
      </c>
      <c r="F253">
        <f t="shared" si="13"/>
        <v>1.7578125</v>
      </c>
      <c r="I253" s="2">
        <f>('L-Values'!E253*'D(Ti_Jollands) Times'!$F253*0.000001)^2/(4*'D(Ti_Jollands) Times'!$C253)/(365.35*24*3600)</f>
        <v>378052.06094029715</v>
      </c>
      <c r="J253" s="2">
        <f>('L-Values'!F253*'D(Ti_Jollands) Times'!$F253*0.000001)^2/(4*'D(Ti_Jollands) Times'!$C253)/(365.35*24*3600)</f>
        <v>14793.356791076285</v>
      </c>
      <c r="K253" s="2">
        <f>('L-Values'!G253*'D(Ti_Jollands) Times'!$F253*0.000001)^2/(4*'D(Ti_Jollands) Times'!$C253)/(365.35*24*3600)</f>
        <v>61.471984265389935</v>
      </c>
      <c r="L253" s="2">
        <f>('L-Values'!H253*'D(Ti_Jollands) Times'!$F253*0.000001)^2/(4*'D(Ti_Jollands) Times'!$C253)/(365.35*24*3600)</f>
        <v>13679.633874797106</v>
      </c>
      <c r="M253" s="2">
        <f>('L-Values'!I253*'D(Ti_Jollands) Times'!$F253*0.000001)^2/(4*'D(Ti_Jollands) Times'!$C253)/(365.35*24*3600)</f>
        <v>109.10202464951422</v>
      </c>
      <c r="N253" s="2">
        <f>('L-Values'!J253*'D(Ti_Jollands) Times'!$F253*0.000001)^2/(4*'D(Ti_Jollands) Times'!$C253)/(365.35*24*3600)</f>
        <v>431445.48824222555</v>
      </c>
      <c r="O253" s="2">
        <f>('L-Values'!K253*'D(Ti_Jollands) Times'!$F253*0.000001)^2/(4*'D(Ti_Jollands) Times'!$C253)/(365.35*24*3600)</f>
        <v>40167.419498355091</v>
      </c>
      <c r="P253" s="2">
        <f>('L-Values'!L253*'D(Ti_Jollands) Times'!$F253*0.000001)^2/(4*'D(Ti_Jollands) Times'!$C253)/(365.35*24*3600)</f>
        <v>70816.450219269653</v>
      </c>
      <c r="Q253" s="2">
        <f>('L-Values'!M253*'D(Ti_Jollands) Times'!$F253*0.000001)^2/(4*'D(Ti_Jollands) Times'!$C253)/(365.35*24*3600)</f>
        <v>97718.51032895864</v>
      </c>
      <c r="R253" s="2">
        <f>('L-Values'!N253*'D(Ti_Jollands) Times'!$F253*0.000001)^2/(4*'D(Ti_Jollands) Times'!$C253)/(365.35*24*3600)</f>
        <v>2235.5061431548515</v>
      </c>
      <c r="S253" s="2">
        <f>('L-Values'!O253*'D(Ti_Jollands) Times'!$F253*0.000001)^2/(4*'D(Ti_Jollands) Times'!$C253)/(365.35*24*3600)</f>
        <v>168558.66594297672</v>
      </c>
      <c r="T253" s="2"/>
      <c r="U253" s="2">
        <f>('L-Values'!Q253*'D(Ti_Jollands) Times'!$F253*0.000001)^2/(4*'D(Ti_Jollands) Times'!$C253)/(365.35*24*3600)</f>
        <v>27980.712484416523</v>
      </c>
      <c r="V253" s="2">
        <f>('L-Values'!R253*'D(Ti_Jollands) Times'!$F253*0.000001)^2/(4*'D(Ti_Jollands) Times'!$C253)/(365.35*24*3600)</f>
        <v>63208.789961368391</v>
      </c>
      <c r="W253" s="2">
        <f>('L-Values'!S253*'D(Ti_Jollands) Times'!$F253*0.000001)^2/(4*'D(Ti_Jollands) Times'!$C253)/(365.35*24*3600)</f>
        <v>40167.419498355091</v>
      </c>
      <c r="X253" s="2"/>
      <c r="Y253" s="2">
        <f>('L-Values'!U253*'D(Ti_Jollands) Times'!$F253*0.000001)^2/(4*'D(Ti_Jollands) Times'!$C253)/(365.35*24*3600)</f>
        <v>5889.2370151733612</v>
      </c>
      <c r="Z253" s="2">
        <f>('L-Values'!V253*'D(Ti_Jollands) Times'!$F253*0.000001)^2/(4*'D(Ti_Jollands) Times'!$C253)/(365.35*24*3600)</f>
        <v>35765.750912048708</v>
      </c>
      <c r="AA253" s="2">
        <f>('L-Values'!W253*'D(Ti_Jollands) Times'!$F253*0.000001)^2/(4*'D(Ti_Jollands) Times'!$C253)/(365.35*24*3600)</f>
        <v>1.8589618509147357E-10</v>
      </c>
      <c r="AB253" s="2">
        <f>('L-Values'!X253*'D(Ti_Jollands) Times'!$F253*0.000001)^2/(4*'D(Ti_Jollands) Times'!$C253)/(365.35*24*3600)</f>
        <v>584716.99778675544</v>
      </c>
      <c r="AC253" s="2">
        <f t="shared" si="14"/>
        <v>35765.750912048519</v>
      </c>
      <c r="AD253" s="2">
        <f t="shared" si="15"/>
        <v>548951.2468747067</v>
      </c>
    </row>
    <row r="254" spans="1:30" x14ac:dyDescent="0.2">
      <c r="A254" t="str">
        <f>'L-Values'!A254</f>
        <v>CGI014-qtz03-CL-fit-5-offset</v>
      </c>
      <c r="B254">
        <v>750</v>
      </c>
      <c r="C254">
        <f t="shared" si="12"/>
        <v>6.6965312637759184E-25</v>
      </c>
      <c r="D254">
        <v>1800</v>
      </c>
      <c r="E254">
        <v>1024</v>
      </c>
      <c r="F254">
        <f t="shared" si="13"/>
        <v>1.7578125</v>
      </c>
      <c r="I254" s="2">
        <f>('L-Values'!E254*'D(Ti_Jollands) Times'!$F254*0.000001)^2/(4*'D(Ti_Jollands) Times'!$C254)/(365.35*24*3600)</f>
        <v>204221.98081145866</v>
      </c>
      <c r="J254" s="2">
        <f>('L-Values'!F254*'D(Ti_Jollands) Times'!$F254*0.000001)^2/(4*'D(Ti_Jollands) Times'!$C254)/(365.35*24*3600)</f>
        <v>293356.73357188667</v>
      </c>
      <c r="K254" s="2">
        <f>('L-Values'!G254*'D(Ti_Jollands) Times'!$F254*0.000001)^2/(4*'D(Ti_Jollands) Times'!$C254)/(365.35*24*3600)</f>
        <v>4457.3523197085688</v>
      </c>
      <c r="L254" s="2">
        <f>('L-Values'!H254*'D(Ti_Jollands) Times'!$F254*0.000001)^2/(4*'D(Ti_Jollands) Times'!$C254)/(365.35*24*3600)</f>
        <v>189605.91710377194</v>
      </c>
      <c r="M254" s="2">
        <f>('L-Values'!I254*'D(Ti_Jollands) Times'!$F254*0.000001)^2/(4*'D(Ti_Jollands) Times'!$C254)/(365.35*24*3600)</f>
        <v>1261.41768608743</v>
      </c>
      <c r="N254" s="2">
        <f>('L-Values'!J254*'D(Ti_Jollands) Times'!$F254*0.000001)^2/(4*'D(Ti_Jollands) Times'!$C254)/(365.35*24*3600)</f>
        <v>2045.9535063861808</v>
      </c>
      <c r="O254" s="2">
        <f>('L-Values'!K254*'D(Ti_Jollands) Times'!$F254*0.000001)^2/(4*'D(Ti_Jollands) Times'!$C254)/(365.35*24*3600)</f>
        <v>42452.897531804127</v>
      </c>
      <c r="P254" s="2">
        <f>('L-Values'!L254*'D(Ti_Jollands) Times'!$F254*0.000001)^2/(4*'D(Ti_Jollands) Times'!$C254)/(365.35*24*3600)</f>
        <v>1533.7642242899967</v>
      </c>
      <c r="Q254" s="2">
        <f>('L-Values'!M254*'D(Ti_Jollands) Times'!$F254*0.000001)^2/(4*'D(Ti_Jollands) Times'!$C254)/(365.35*24*3600)</f>
        <v>5243.6946278470123</v>
      </c>
      <c r="R254" s="2">
        <f>('L-Values'!N254*'D(Ti_Jollands) Times'!$F254*0.000001)^2/(4*'D(Ti_Jollands) Times'!$C254)/(365.35*24*3600)</f>
        <v>21459.594981359649</v>
      </c>
      <c r="S254" s="2">
        <f>('L-Values'!O254*'D(Ti_Jollands) Times'!$F254*0.000001)^2/(4*'D(Ti_Jollands) Times'!$C254)/(365.35*24*3600)</f>
        <v>1013.1256305189053</v>
      </c>
      <c r="T254" s="2"/>
      <c r="U254" s="2">
        <f>('L-Values'!Q254*'D(Ti_Jollands) Times'!$F254*0.000001)^2/(4*'D(Ti_Jollands) Times'!$C254)/(365.35*24*3600)</f>
        <v>49632.844166531402</v>
      </c>
      <c r="V254" s="2">
        <f>('L-Values'!R254*'D(Ti_Jollands) Times'!$F254*0.000001)^2/(4*'D(Ti_Jollands) Times'!$C254)/(365.35*24*3600)</f>
        <v>35495.291306727479</v>
      </c>
      <c r="W254" s="2">
        <f>('L-Values'!S254*'D(Ti_Jollands) Times'!$F254*0.000001)^2/(4*'D(Ti_Jollands) Times'!$C254)/(365.35*24*3600)</f>
        <v>5243.6946278470123</v>
      </c>
      <c r="X254" s="2"/>
      <c r="Y254" s="2">
        <f>('L-Values'!U254*'D(Ti_Jollands) Times'!$F254*0.000001)^2/(4*'D(Ti_Jollands) Times'!$C254)/(365.35*24*3600)</f>
        <v>4593.9547063114651</v>
      </c>
      <c r="Z254" s="2">
        <f>('L-Values'!V254*'D(Ti_Jollands) Times'!$F254*0.000001)^2/(4*'D(Ti_Jollands) Times'!$C254)/(365.35*24*3600)</f>
        <v>30504.408589093007</v>
      </c>
      <c r="AA254" s="2">
        <f>('L-Values'!W254*'D(Ti_Jollands) Times'!$F254*0.000001)^2/(4*'D(Ti_Jollands) Times'!$C254)/(365.35*24*3600)</f>
        <v>11.276489283688916</v>
      </c>
      <c r="AB254" s="2">
        <f>('L-Values'!X254*'D(Ti_Jollands) Times'!$F254*0.000001)^2/(4*'D(Ti_Jollands) Times'!$C254)/(365.35*24*3600)</f>
        <v>803991.37743005226</v>
      </c>
      <c r="AC254" s="2">
        <f t="shared" si="14"/>
        <v>30493.132099809318</v>
      </c>
      <c r="AD254" s="2">
        <f t="shared" si="15"/>
        <v>773486.96884095925</v>
      </c>
    </row>
    <row r="255" spans="1:30" x14ac:dyDescent="0.2">
      <c r="A255" t="str">
        <f>'L-Values'!A255</f>
        <v>CGI014-qtz04-CL-fit-1-offset</v>
      </c>
      <c r="B255">
        <v>750</v>
      </c>
      <c r="C255">
        <f t="shared" si="12"/>
        <v>6.6965312637759184E-25</v>
      </c>
      <c r="D255">
        <v>1600</v>
      </c>
      <c r="E255">
        <v>1024</v>
      </c>
      <c r="F255">
        <f t="shared" si="13"/>
        <v>1.5625</v>
      </c>
      <c r="I255" s="2">
        <f>('L-Values'!E255*'D(Ti_Jollands) Times'!$F255*0.000001)^2/(4*'D(Ti_Jollands) Times'!$C255)/(365.35*24*3600)</f>
        <v>0</v>
      </c>
      <c r="J255" s="2">
        <f>('L-Values'!F255*'D(Ti_Jollands) Times'!$F255*0.000001)^2/(4*'D(Ti_Jollands) Times'!$C255)/(365.35*24*3600)</f>
        <v>0</v>
      </c>
      <c r="K255" s="2">
        <f>('L-Values'!G255*'D(Ti_Jollands) Times'!$F255*0.000001)^2/(4*'D(Ti_Jollands) Times'!$C255)/(365.35*24*3600)</f>
        <v>2529045.2750962647</v>
      </c>
      <c r="L255" s="2">
        <f>('L-Values'!H255*'D(Ti_Jollands) Times'!$F255*0.000001)^2/(4*'D(Ti_Jollands) Times'!$C255)/(365.35*24*3600)</f>
        <v>2088693.6383074217</v>
      </c>
      <c r="M255" s="2">
        <f>('L-Values'!I255*'D(Ti_Jollands) Times'!$F255*0.000001)^2/(4*'D(Ti_Jollands) Times'!$C255)/(365.35*24*3600)</f>
        <v>1106661.4859757998</v>
      </c>
      <c r="N255" s="2">
        <f>('L-Values'!J255*'D(Ti_Jollands) Times'!$F255*0.000001)^2/(4*'D(Ti_Jollands) Times'!$C255)/(365.35*24*3600)</f>
        <v>903100.40043758391</v>
      </c>
      <c r="O255" s="2">
        <f>('L-Values'!K255*'D(Ti_Jollands) Times'!$F255*0.000001)^2/(4*'D(Ti_Jollands) Times'!$C255)/(365.35*24*3600)</f>
        <v>1857572.3546924994</v>
      </c>
      <c r="P255" s="2">
        <f>('L-Values'!L255*'D(Ti_Jollands) Times'!$F255*0.000001)^2/(4*'D(Ti_Jollands) Times'!$C255)/(365.35*24*3600)</f>
        <v>1199079.9349580887</v>
      </c>
      <c r="Q255" s="2">
        <f>('L-Values'!M255*'D(Ti_Jollands) Times'!$F255*0.000001)^2/(4*'D(Ti_Jollands) Times'!$C255)/(365.35*24*3600)</f>
        <v>1755781.8113388852</v>
      </c>
      <c r="R255" s="2">
        <f>('L-Values'!N255*'D(Ti_Jollands) Times'!$F255*0.000001)^2/(4*'D(Ti_Jollands) Times'!$C255)/(365.35*24*3600)</f>
        <v>1354385.9590020995</v>
      </c>
      <c r="S255" s="2">
        <f>('L-Values'!O255*'D(Ti_Jollands) Times'!$F255*0.000001)^2/(4*'D(Ti_Jollands) Times'!$C255)/(365.35*24*3600)</f>
        <v>1493614.996877105</v>
      </c>
      <c r="T255" s="2"/>
      <c r="U255" s="2">
        <f>('L-Values'!Q255*'D(Ti_Jollands) Times'!$F255*0.000001)^2/(4*'D(Ti_Jollands) Times'!$C255)/(365.35*24*3600)</f>
        <v>1604937.9586630033</v>
      </c>
      <c r="V255" s="2">
        <f>('L-Values'!R255*'D(Ti_Jollands) Times'!$F255*0.000001)^2/(4*'D(Ti_Jollands) Times'!$C255)/(365.35*24*3600)</f>
        <v>1550509.9644833861</v>
      </c>
      <c r="W255" s="2">
        <f>('L-Values'!S255*'D(Ti_Jollands) Times'!$F255*0.000001)^2/(4*'D(Ti_Jollands) Times'!$C255)/(365.35*24*3600)</f>
        <v>1493614.996877105</v>
      </c>
      <c r="X255" s="2"/>
      <c r="Y255" s="2">
        <f>('L-Values'!U255*'D(Ti_Jollands) Times'!$F255*0.000001)^2/(4*'D(Ti_Jollands) Times'!$C255)/(365.35*24*3600)</f>
        <v>1643013.1921692556</v>
      </c>
      <c r="Z255" s="2">
        <f>('L-Values'!V255*'D(Ti_Jollands) Times'!$F255*0.000001)^2/(4*'D(Ti_Jollands) Times'!$C255)/(365.35*24*3600)</f>
        <v>1616093.8620569902</v>
      </c>
      <c r="AA255" s="2">
        <f>('L-Values'!W255*'D(Ti_Jollands) Times'!$F255*0.000001)^2/(4*'D(Ti_Jollands) Times'!$C255)/(365.35*24*3600)</f>
        <v>653243.05397655861</v>
      </c>
      <c r="AB255" s="2">
        <f>('L-Values'!X255*'D(Ti_Jollands) Times'!$F255*0.000001)^2/(4*'D(Ti_Jollands) Times'!$C255)/(365.35*24*3600)</f>
        <v>2932568.0853141313</v>
      </c>
      <c r="AC255" s="2">
        <f t="shared" si="14"/>
        <v>962850.80808043154</v>
      </c>
      <c r="AD255" s="2">
        <f t="shared" si="15"/>
        <v>1316474.2232571412</v>
      </c>
    </row>
    <row r="256" spans="1:30" x14ac:dyDescent="0.2">
      <c r="A256" t="str">
        <f>'L-Values'!A256</f>
        <v>CGI014-qtz04-CL-fit-2-offset</v>
      </c>
      <c r="B256">
        <v>750</v>
      </c>
      <c r="C256">
        <f t="shared" si="12"/>
        <v>6.6965312637759184E-25</v>
      </c>
      <c r="D256">
        <v>1600</v>
      </c>
      <c r="E256">
        <v>1024</v>
      </c>
      <c r="F256">
        <f t="shared" si="13"/>
        <v>1.5625</v>
      </c>
      <c r="I256" s="2">
        <f>('L-Values'!E256*'D(Ti_Jollands) Times'!$F256*0.000001)^2/(4*'D(Ti_Jollands) Times'!$C256)/(365.35*24*3600)</f>
        <v>447933.51475275127</v>
      </c>
      <c r="J256" s="2">
        <f>('L-Values'!F256*'D(Ti_Jollands) Times'!$F256*0.000001)^2/(4*'D(Ti_Jollands) Times'!$C256)/(365.35*24*3600)</f>
        <v>627665.31781488052</v>
      </c>
      <c r="K256" s="2">
        <f>('L-Values'!G256*'D(Ti_Jollands) Times'!$F256*0.000001)^2/(4*'D(Ti_Jollands) Times'!$C256)/(365.35*24*3600)</f>
        <v>1284.4881044891893</v>
      </c>
      <c r="L256" s="2">
        <f>('L-Values'!H256*'D(Ti_Jollands) Times'!$F256*0.000001)^2/(4*'D(Ti_Jollands) Times'!$C256)/(365.35*24*3600)</f>
        <v>671037.09908421338</v>
      </c>
      <c r="M256" s="2">
        <f>('L-Values'!I256*'D(Ti_Jollands) Times'!$F256*0.000001)^2/(4*'D(Ti_Jollands) Times'!$C256)/(365.35*24*3600)</f>
        <v>701428.15187581501</v>
      </c>
      <c r="N256" s="2">
        <f>('L-Values'!J256*'D(Ti_Jollands) Times'!$F256*0.000001)^2/(4*'D(Ti_Jollands) Times'!$C256)/(365.35*24*3600)</f>
        <v>258825.98761021328</v>
      </c>
      <c r="O256" s="2">
        <f>('L-Values'!K256*'D(Ti_Jollands) Times'!$F256*0.000001)^2/(4*'D(Ti_Jollands) Times'!$C256)/(365.35*24*3600)</f>
        <v>43842.860940196493</v>
      </c>
      <c r="P256" s="2">
        <f>('L-Values'!L256*'D(Ti_Jollands) Times'!$F256*0.000001)^2/(4*'D(Ti_Jollands) Times'!$C256)/(365.35*24*3600)</f>
        <v>125169.12679962063</v>
      </c>
      <c r="Q256" s="2">
        <f>('L-Values'!M256*'D(Ti_Jollands) Times'!$F256*0.000001)^2/(4*'D(Ti_Jollands) Times'!$C256)/(365.35*24*3600)</f>
        <v>174586.20802757656</v>
      </c>
      <c r="R256" s="2">
        <f>('L-Values'!N256*'D(Ti_Jollands) Times'!$F256*0.000001)^2/(4*'D(Ti_Jollands) Times'!$C256)/(365.35*24*3600)</f>
        <v>375334.03454910719</v>
      </c>
      <c r="S256" s="2">
        <f>('L-Values'!O256*'D(Ti_Jollands) Times'!$F256*0.000001)^2/(4*'D(Ti_Jollands) Times'!$C256)/(365.35*24*3600)</f>
        <v>219059.32383061494</v>
      </c>
      <c r="T256" s="2"/>
      <c r="U256" s="2">
        <f>('L-Values'!Q256*'D(Ti_Jollands) Times'!$F256*0.000001)^2/(4*'D(Ti_Jollands) Times'!$C256)/(365.35*24*3600)</f>
        <v>290752.42964647542</v>
      </c>
      <c r="V256" s="2">
        <f>('L-Values'!R256*'D(Ti_Jollands) Times'!$F256*0.000001)^2/(4*'D(Ti_Jollands) Times'!$C256)/(365.35*24*3600)</f>
        <v>270825.60617014236</v>
      </c>
      <c r="W256" s="2">
        <f>('L-Values'!S256*'D(Ti_Jollands) Times'!$F256*0.000001)^2/(4*'D(Ti_Jollands) Times'!$C256)/(365.35*24*3600)</f>
        <v>258825.98761021328</v>
      </c>
      <c r="X256" s="2"/>
      <c r="Y256" s="2">
        <f>('L-Values'!U256*'D(Ti_Jollands) Times'!$F256*0.000001)^2/(4*'D(Ti_Jollands) Times'!$C256)/(365.35*24*3600)</f>
        <v>210320.630237087</v>
      </c>
      <c r="Z256" s="2">
        <f>('L-Values'!V256*'D(Ti_Jollands) Times'!$F256*0.000001)^2/(4*'D(Ti_Jollands) Times'!$C256)/(365.35*24*3600)</f>
        <v>565118.87295160582</v>
      </c>
      <c r="AA256" s="2">
        <f>('L-Values'!W256*'D(Ti_Jollands) Times'!$F256*0.000001)^2/(4*'D(Ti_Jollands) Times'!$C256)/(365.35*24*3600)</f>
        <v>273.73367384956379</v>
      </c>
      <c r="AB256" s="2">
        <f>('L-Values'!X256*'D(Ti_Jollands) Times'!$F256*0.000001)^2/(4*'D(Ti_Jollands) Times'!$C256)/(365.35*24*3600)</f>
        <v>43125769.38991531</v>
      </c>
      <c r="AC256" s="2">
        <f t="shared" si="14"/>
        <v>564845.13927775621</v>
      </c>
      <c r="AD256" s="2">
        <f t="shared" si="15"/>
        <v>42560650.516963705</v>
      </c>
    </row>
    <row r="257" spans="1:30" x14ac:dyDescent="0.2">
      <c r="A257" t="str">
        <f>'L-Values'!A257</f>
        <v>CGI014-qtz04-CL-fit-3-offset</v>
      </c>
      <c r="B257">
        <v>750</v>
      </c>
      <c r="C257">
        <f t="shared" si="12"/>
        <v>6.6965312637759184E-25</v>
      </c>
      <c r="D257">
        <v>1600</v>
      </c>
      <c r="E257">
        <v>1024</v>
      </c>
      <c r="F257">
        <f t="shared" si="13"/>
        <v>1.5625</v>
      </c>
      <c r="I257" s="2">
        <f>('L-Values'!E257*'D(Ti_Jollands) Times'!$F257*0.000001)^2/(4*'D(Ti_Jollands) Times'!$C257)/(365.35*24*3600)</f>
        <v>30446.263228716456</v>
      </c>
      <c r="J257" s="2">
        <f>('L-Values'!F257*'D(Ti_Jollands) Times'!$F257*0.000001)^2/(4*'D(Ti_Jollands) Times'!$C257)/(365.35*24*3600)</f>
        <v>4372.6055659184503</v>
      </c>
      <c r="K257" s="2">
        <f>('L-Values'!G257*'D(Ti_Jollands) Times'!$F257*0.000001)^2/(4*'D(Ti_Jollands) Times'!$C257)/(365.35*24*3600)</f>
        <v>2.60416934985796E-13</v>
      </c>
      <c r="L257" s="2">
        <f>('L-Values'!H257*'D(Ti_Jollands) Times'!$F257*0.000001)^2/(4*'D(Ti_Jollands) Times'!$C257)/(365.35*24*3600)</f>
        <v>30456.844847542659</v>
      </c>
      <c r="M257" s="2">
        <f>('L-Values'!I257*'D(Ti_Jollands) Times'!$F257*0.000001)^2/(4*'D(Ti_Jollands) Times'!$C257)/(365.35*24*3600)</f>
        <v>324.8879747440937</v>
      </c>
      <c r="N257" s="2">
        <f>('L-Values'!J257*'D(Ti_Jollands) Times'!$F257*0.000001)^2/(4*'D(Ti_Jollands) Times'!$C257)/(365.35*24*3600)</f>
        <v>52462.990298174365</v>
      </c>
      <c r="O257" s="2">
        <f>('L-Values'!K257*'D(Ti_Jollands) Times'!$F257*0.000001)^2/(4*'D(Ti_Jollands) Times'!$C257)/(365.35*24*3600)</f>
        <v>309241.41589746095</v>
      </c>
      <c r="P257" s="2">
        <f>('L-Values'!L257*'D(Ti_Jollands) Times'!$F257*0.000001)^2/(4*'D(Ti_Jollands) Times'!$C257)/(365.35*24*3600)</f>
        <v>24484.264888024234</v>
      </c>
      <c r="Q257" s="2">
        <f>('L-Values'!M257*'D(Ti_Jollands) Times'!$F257*0.000001)^2/(4*'D(Ti_Jollands) Times'!$C257)/(365.35*24*3600)</f>
        <v>12373.07619585718</v>
      </c>
      <c r="R257" s="2">
        <f>('L-Values'!N257*'D(Ti_Jollands) Times'!$F257*0.000001)^2/(4*'D(Ti_Jollands) Times'!$C257)/(365.35*24*3600)</f>
        <v>3051.3561118663201</v>
      </c>
      <c r="S257" s="2">
        <f>('L-Values'!O257*'D(Ti_Jollands) Times'!$F257*0.000001)^2/(4*'D(Ti_Jollands) Times'!$C257)/(365.35*24*3600)</f>
        <v>3385.7006165718835</v>
      </c>
      <c r="T257" s="2"/>
      <c r="U257" s="2">
        <f>('L-Values'!Q257*'D(Ti_Jollands) Times'!$F257*0.000001)^2/(4*'D(Ti_Jollands) Times'!$C257)/(365.35*24*3600)</f>
        <v>30432.130417741773</v>
      </c>
      <c r="V257" s="2">
        <f>('L-Values'!R257*'D(Ti_Jollands) Times'!$F257*0.000001)^2/(4*'D(Ti_Jollands) Times'!$C257)/(365.35*24*3600)</f>
        <v>21142.092468815612</v>
      </c>
      <c r="W257" s="2">
        <f>('L-Values'!S257*'D(Ti_Jollands) Times'!$F257*0.000001)^2/(4*'D(Ti_Jollands) Times'!$C257)/(365.35*24*3600)</f>
        <v>12373.07619585718</v>
      </c>
      <c r="X257" s="2"/>
      <c r="Y257" s="2">
        <f>('L-Values'!U257*'D(Ti_Jollands) Times'!$F257*0.000001)^2/(4*'D(Ti_Jollands) Times'!$C257)/(365.35*24*3600)</f>
        <v>5508.6979648203296</v>
      </c>
      <c r="Z257" s="2">
        <f>('L-Values'!V257*'D(Ti_Jollands) Times'!$F257*0.000001)^2/(4*'D(Ti_Jollands) Times'!$C257)/(365.35*24*3600)</f>
        <v>18178.05855834395</v>
      </c>
      <c r="AA257" s="2">
        <f>('L-Values'!W257*'D(Ti_Jollands) Times'!$F257*0.000001)^2/(4*'D(Ti_Jollands) Times'!$C257)/(365.35*24*3600)</f>
        <v>305.51609249314964</v>
      </c>
      <c r="AB257" s="2">
        <f>('L-Values'!X257*'D(Ti_Jollands) Times'!$F257*0.000001)^2/(4*'D(Ti_Jollands) Times'!$C257)/(365.35*24*3600)</f>
        <v>159885.25106425671</v>
      </c>
      <c r="AC257" s="2">
        <f t="shared" si="14"/>
        <v>17872.542465850802</v>
      </c>
      <c r="AD257" s="2">
        <f t="shared" si="15"/>
        <v>141707.19250591277</v>
      </c>
    </row>
    <row r="258" spans="1:30" x14ac:dyDescent="0.2">
      <c r="A258" t="str">
        <f>'L-Values'!A258</f>
        <v>CGI014-qtz05-CL-fit-1-offset</v>
      </c>
      <c r="B258">
        <v>750</v>
      </c>
      <c r="C258">
        <f t="shared" si="12"/>
        <v>6.6965312637759184E-25</v>
      </c>
      <c r="D258">
        <v>1900</v>
      </c>
      <c r="E258">
        <v>1024</v>
      </c>
      <c r="F258">
        <f t="shared" si="13"/>
        <v>1.85546875</v>
      </c>
      <c r="I258" s="2">
        <f>('L-Values'!E258*'D(Ti_Jollands) Times'!$F258*0.000001)^2/(4*'D(Ti_Jollands) Times'!$C258)/(365.35*24*3600)</f>
        <v>6435810.4093014915</v>
      </c>
      <c r="J258" s="2">
        <f>('L-Values'!F258*'D(Ti_Jollands) Times'!$F258*0.000001)^2/(4*'D(Ti_Jollands) Times'!$C258)/(365.35*24*3600)</f>
        <v>8971425.1222327054</v>
      </c>
      <c r="K258" s="2">
        <f>('L-Values'!G258*'D(Ti_Jollands) Times'!$F258*0.000001)^2/(4*'D(Ti_Jollands) Times'!$C258)/(365.35*24*3600)</f>
        <v>5257787.7949244035</v>
      </c>
      <c r="L258" s="2">
        <f>('L-Values'!H258*'D(Ti_Jollands) Times'!$F258*0.000001)^2/(4*'D(Ti_Jollands) Times'!$C258)/(365.35*24*3600)</f>
        <v>5874966.5890623983</v>
      </c>
      <c r="M258" s="2">
        <f>('L-Values'!I258*'D(Ti_Jollands) Times'!$F258*0.000001)^2/(4*'D(Ti_Jollands) Times'!$C258)/(365.35*24*3600)</f>
        <v>4244495.3191086575</v>
      </c>
      <c r="N258" s="2">
        <f>('L-Values'!J258*'D(Ti_Jollands) Times'!$F258*0.000001)^2/(4*'D(Ti_Jollands) Times'!$C258)/(365.35*24*3600)</f>
        <v>5626795.1774824429</v>
      </c>
      <c r="O258" s="2">
        <f>('L-Values'!K258*'D(Ti_Jollands) Times'!$F258*0.000001)^2/(4*'D(Ti_Jollands) Times'!$C258)/(365.35*24*3600)</f>
        <v>5343556.6383310696</v>
      </c>
      <c r="P258" s="2">
        <f>('L-Values'!L258*'D(Ti_Jollands) Times'!$F258*0.000001)^2/(4*'D(Ti_Jollands) Times'!$C258)/(365.35*24*3600)</f>
        <v>2833790.4771280931</v>
      </c>
      <c r="Q258" s="2">
        <f>('L-Values'!M258*'D(Ti_Jollands) Times'!$F258*0.000001)^2/(4*'D(Ti_Jollands) Times'!$C258)/(365.35*24*3600)</f>
        <v>4035301.2809986384</v>
      </c>
      <c r="R258" s="2">
        <f>('L-Values'!N258*'D(Ti_Jollands) Times'!$F258*0.000001)^2/(4*'D(Ti_Jollands) Times'!$C258)/(365.35*24*3600)</f>
        <v>5879966.5537424982</v>
      </c>
      <c r="S258" s="2">
        <f>('L-Values'!O258*'D(Ti_Jollands) Times'!$F258*0.000001)^2/(4*'D(Ti_Jollands) Times'!$C258)/(365.35*24*3600)</f>
        <v>4477919.443305905</v>
      </c>
      <c r="T258" s="2"/>
      <c r="U258" s="2">
        <f>('L-Values'!Q258*'D(Ti_Jollands) Times'!$F258*0.000001)^2/(4*'D(Ti_Jollands) Times'!$C258)/(365.35*24*3600)</f>
        <v>5245255.8519950435</v>
      </c>
      <c r="V258" s="2">
        <f>('L-Values'!R258*'D(Ti_Jollands) Times'!$F258*0.000001)^2/(4*'D(Ti_Jollands) Times'!$C258)/(365.35*24*3600)</f>
        <v>5259111.0660842638</v>
      </c>
      <c r="W258" s="2">
        <f>('L-Values'!S258*'D(Ti_Jollands) Times'!$F258*0.000001)^2/(4*'D(Ti_Jollands) Times'!$C258)/(365.35*24*3600)</f>
        <v>5343556.6383310696</v>
      </c>
      <c r="X258" s="2"/>
      <c r="Y258" s="2">
        <f>('L-Values'!U258*'D(Ti_Jollands) Times'!$F258*0.000001)^2/(4*'D(Ti_Jollands) Times'!$C258)/(365.35*24*3600)</f>
        <v>5154897.9724734109</v>
      </c>
      <c r="Z258" s="2">
        <f>('L-Values'!V258*'D(Ti_Jollands) Times'!$F258*0.000001)^2/(4*'D(Ti_Jollands) Times'!$C258)/(365.35*24*3600)</f>
        <v>5137961.1517404374</v>
      </c>
      <c r="AA258" s="2">
        <f>('L-Values'!W258*'D(Ti_Jollands) Times'!$F258*0.000001)^2/(4*'D(Ti_Jollands) Times'!$C258)/(365.35*24*3600)</f>
        <v>3212747.9794341638</v>
      </c>
      <c r="AB258" s="2">
        <f>('L-Values'!X258*'D(Ti_Jollands) Times'!$F258*0.000001)^2/(4*'D(Ti_Jollands) Times'!$C258)/(365.35*24*3600)</f>
        <v>7383613.6322451737</v>
      </c>
      <c r="AC258" s="2">
        <f t="shared" si="14"/>
        <v>1925213.1723062736</v>
      </c>
      <c r="AD258" s="2">
        <f t="shared" si="15"/>
        <v>2245652.4805047363</v>
      </c>
    </row>
    <row r="259" spans="1:30" x14ac:dyDescent="0.2">
      <c r="A259" t="str">
        <f>'L-Values'!A259</f>
        <v>CGI014-qtz05-CL-fit-2-offset</v>
      </c>
      <c r="B259">
        <v>750</v>
      </c>
      <c r="C259">
        <f t="shared" ref="C259:C322" si="16">10^(-8.3-(311/(2.303*0.00831451*(B259+273.15))))</f>
        <v>6.6965312637759184E-25</v>
      </c>
      <c r="D259">
        <v>1900</v>
      </c>
      <c r="E259">
        <v>1024</v>
      </c>
      <c r="F259">
        <f t="shared" ref="F259:F322" si="17">D259/E259</f>
        <v>1.85546875</v>
      </c>
      <c r="I259" s="2">
        <f>('L-Values'!E259*'D(Ti_Jollands) Times'!$F259*0.000001)^2/(4*'D(Ti_Jollands) Times'!$C259)/(365.35*24*3600)</f>
        <v>1632993.1317582815</v>
      </c>
      <c r="J259" s="2">
        <f>('L-Values'!F259*'D(Ti_Jollands) Times'!$F259*0.000001)^2/(4*'D(Ti_Jollands) Times'!$C259)/(365.35*24*3600)</f>
        <v>1269267.6242496807</v>
      </c>
      <c r="K259" s="2">
        <f>('L-Values'!G259*'D(Ti_Jollands) Times'!$F259*0.000001)^2/(4*'D(Ti_Jollands) Times'!$C259)/(365.35*24*3600)</f>
        <v>1369139.474835387</v>
      </c>
      <c r="L259" s="2">
        <f>('L-Values'!H259*'D(Ti_Jollands) Times'!$F259*0.000001)^2/(4*'D(Ti_Jollands) Times'!$C259)/(365.35*24*3600)</f>
        <v>1017492.4346913978</v>
      </c>
      <c r="M259" s="2">
        <f>('L-Values'!I259*'D(Ti_Jollands) Times'!$F259*0.000001)^2/(4*'D(Ti_Jollands) Times'!$C259)/(365.35*24*3600)</f>
        <v>931623.38335183135</v>
      </c>
      <c r="N259" s="2">
        <f>('L-Values'!J259*'D(Ti_Jollands) Times'!$F259*0.000001)^2/(4*'D(Ti_Jollands) Times'!$C259)/(365.35*24*3600)</f>
        <v>905851.24178284674</v>
      </c>
      <c r="O259" s="2">
        <f>('L-Values'!K259*'D(Ti_Jollands) Times'!$F259*0.000001)^2/(4*'D(Ti_Jollands) Times'!$C259)/(365.35*24*3600)</f>
        <v>778847.59165480384</v>
      </c>
      <c r="P259" s="2">
        <f>('L-Values'!L259*'D(Ti_Jollands) Times'!$F259*0.000001)^2/(4*'D(Ti_Jollands) Times'!$C259)/(365.35*24*3600)</f>
        <v>613279.58050962992</v>
      </c>
      <c r="Q259" s="2">
        <f>('L-Values'!M259*'D(Ti_Jollands) Times'!$F259*0.000001)^2/(4*'D(Ti_Jollands) Times'!$C259)/(365.35*24*3600)</f>
        <v>601331.54673214233</v>
      </c>
      <c r="R259" s="2">
        <f>('L-Values'!N259*'D(Ti_Jollands) Times'!$F259*0.000001)^2/(4*'D(Ti_Jollands) Times'!$C259)/(365.35*24*3600)</f>
        <v>904420.9820275862</v>
      </c>
      <c r="S259" s="2">
        <f>('L-Values'!O259*'D(Ti_Jollands) Times'!$F259*0.000001)^2/(4*'D(Ti_Jollands) Times'!$C259)/(365.35*24*3600)</f>
        <v>833222.91570140503</v>
      </c>
      <c r="T259" s="2"/>
      <c r="U259" s="2">
        <f>('L-Values'!Q259*'D(Ti_Jollands) Times'!$F259*0.000001)^2/(4*'D(Ti_Jollands) Times'!$C259)/(365.35*24*3600)</f>
        <v>968877.30100636464</v>
      </c>
      <c r="V259" s="2">
        <f>('L-Values'!R259*'D(Ti_Jollands) Times'!$F259*0.000001)^2/(4*'D(Ti_Jollands) Times'!$C259)/(365.35*24*3600)</f>
        <v>964896.31480547076</v>
      </c>
      <c r="W259" s="2">
        <f>('L-Values'!S259*'D(Ti_Jollands) Times'!$F259*0.000001)^2/(4*'D(Ti_Jollands) Times'!$C259)/(365.35*24*3600)</f>
        <v>905851.24178284674</v>
      </c>
      <c r="X259" s="2"/>
      <c r="Y259" s="2">
        <f>('L-Values'!U259*'D(Ti_Jollands) Times'!$F259*0.000001)^2/(4*'D(Ti_Jollands) Times'!$C259)/(365.35*24*3600)</f>
        <v>958835.70133063255</v>
      </c>
      <c r="Z259" s="2">
        <f>('L-Values'!V259*'D(Ti_Jollands) Times'!$F259*0.000001)^2/(4*'D(Ti_Jollands) Times'!$C259)/(365.35*24*3600)</f>
        <v>962015.85614378762</v>
      </c>
      <c r="AA259" s="2">
        <f>('L-Values'!W259*'D(Ti_Jollands) Times'!$F259*0.000001)^2/(4*'D(Ti_Jollands) Times'!$C259)/(365.35*24*3600)</f>
        <v>598440.84054381645</v>
      </c>
      <c r="AB259" s="2">
        <f>('L-Values'!X259*'D(Ti_Jollands) Times'!$F259*0.000001)^2/(4*'D(Ti_Jollands) Times'!$C259)/(365.35*24*3600)</f>
        <v>1398581.2284708156</v>
      </c>
      <c r="AC259" s="2">
        <f t="shared" ref="AC259:AC322" si="18">Z259-AA259</f>
        <v>363575.01559997117</v>
      </c>
      <c r="AD259" s="2">
        <f t="shared" ref="AD259:AD322" si="19">AB259-Z259</f>
        <v>436565.37232702796</v>
      </c>
    </row>
    <row r="260" spans="1:30" x14ac:dyDescent="0.2">
      <c r="A260" t="str">
        <f>'L-Values'!A260</f>
        <v>CGI014-qtz05-CL-fit-3-offset</v>
      </c>
      <c r="B260">
        <v>750</v>
      </c>
      <c r="C260">
        <f t="shared" si="16"/>
        <v>6.6965312637759184E-25</v>
      </c>
      <c r="D260">
        <v>1900</v>
      </c>
      <c r="E260">
        <v>1024</v>
      </c>
      <c r="F260">
        <f t="shared" si="17"/>
        <v>1.85546875</v>
      </c>
      <c r="I260" s="2">
        <f>('L-Values'!E260*'D(Ti_Jollands) Times'!$F260*0.000001)^2/(4*'D(Ti_Jollands) Times'!$C260)/(365.35*24*3600)</f>
        <v>443526.12089763442</v>
      </c>
      <c r="J260" s="2">
        <f>('L-Values'!F260*'D(Ti_Jollands) Times'!$F260*0.000001)^2/(4*'D(Ti_Jollands) Times'!$C260)/(365.35*24*3600)</f>
        <v>347363.69273945887</v>
      </c>
      <c r="K260" s="2">
        <f>('L-Values'!G260*'D(Ti_Jollands) Times'!$F260*0.000001)^2/(4*'D(Ti_Jollands) Times'!$C260)/(365.35*24*3600)</f>
        <v>436320.50969005161</v>
      </c>
      <c r="L260" s="2">
        <f>('L-Values'!H260*'D(Ti_Jollands) Times'!$F260*0.000001)^2/(4*'D(Ti_Jollands) Times'!$C260)/(365.35*24*3600)</f>
        <v>743024.5388510417</v>
      </c>
      <c r="M260" s="2">
        <f>('L-Values'!I260*'D(Ti_Jollands) Times'!$F260*0.000001)^2/(4*'D(Ti_Jollands) Times'!$C260)/(365.35*24*3600)</f>
        <v>657792.28109008586</v>
      </c>
      <c r="N260" s="2">
        <f>('L-Values'!J260*'D(Ti_Jollands) Times'!$F260*0.000001)^2/(4*'D(Ti_Jollands) Times'!$C260)/(365.35*24*3600)</f>
        <v>455920.5685282484</v>
      </c>
      <c r="O260" s="2">
        <f>('L-Values'!K260*'D(Ti_Jollands) Times'!$F260*0.000001)^2/(4*'D(Ti_Jollands) Times'!$C260)/(365.35*24*3600)</f>
        <v>976415.10050015105</v>
      </c>
      <c r="P260" s="2">
        <f>('L-Values'!L260*'D(Ti_Jollands) Times'!$F260*0.000001)^2/(4*'D(Ti_Jollands) Times'!$C260)/(365.35*24*3600)</f>
        <v>606619.56362943945</v>
      </c>
      <c r="Q260" s="2">
        <f>('L-Values'!M260*'D(Ti_Jollands) Times'!$F260*0.000001)^2/(4*'D(Ti_Jollands) Times'!$C260)/(365.35*24*3600)</f>
        <v>679476.17031272687</v>
      </c>
      <c r="R260" s="2">
        <f>('L-Values'!N260*'D(Ti_Jollands) Times'!$F260*0.000001)^2/(4*'D(Ti_Jollands) Times'!$C260)/(365.35*24*3600)</f>
        <v>972053.52529367467</v>
      </c>
      <c r="S260" s="2">
        <f>('L-Values'!O260*'D(Ti_Jollands) Times'!$F260*0.000001)^2/(4*'D(Ti_Jollands) Times'!$C260)/(365.35*24*3600)</f>
        <v>611561.17672006064</v>
      </c>
      <c r="T260" s="2"/>
      <c r="U260" s="2">
        <f>('L-Values'!Q260*'D(Ti_Jollands) Times'!$F260*0.000001)^2/(4*'D(Ti_Jollands) Times'!$C260)/(365.35*24*3600)</f>
        <v>580815.85278141464</v>
      </c>
      <c r="V260" s="2">
        <f>('L-Values'!R260*'D(Ti_Jollands) Times'!$F260*0.000001)^2/(4*'D(Ti_Jollands) Times'!$C260)/(365.35*24*3600)</f>
        <v>614570.53754918091</v>
      </c>
      <c r="W260" s="2">
        <f>('L-Values'!S260*'D(Ti_Jollands) Times'!$F260*0.000001)^2/(4*'D(Ti_Jollands) Times'!$C260)/(365.35*24*3600)</f>
        <v>611561.17672006064</v>
      </c>
      <c r="X260" s="2"/>
      <c r="Y260" s="2">
        <f>('L-Values'!U260*'D(Ti_Jollands) Times'!$F260*0.000001)^2/(4*'D(Ti_Jollands) Times'!$C260)/(365.35*24*3600)</f>
        <v>557245.61796048121</v>
      </c>
      <c r="Z260" s="2">
        <f>('L-Values'!V260*'D(Ti_Jollands) Times'!$F260*0.000001)^2/(4*'D(Ti_Jollands) Times'!$C260)/(365.35*24*3600)</f>
        <v>559614.23724843597</v>
      </c>
      <c r="AA260" s="2">
        <f>('L-Values'!W260*'D(Ti_Jollands) Times'!$F260*0.000001)^2/(4*'D(Ti_Jollands) Times'!$C260)/(365.35*24*3600)</f>
        <v>278415.34605977597</v>
      </c>
      <c r="AB260" s="2">
        <f>('L-Values'!X260*'D(Ti_Jollands) Times'!$F260*0.000001)^2/(4*'D(Ti_Jollands) Times'!$C260)/(365.35*24*3600)</f>
        <v>1011921.120747001</v>
      </c>
      <c r="AC260" s="2">
        <f t="shared" si="18"/>
        <v>281198.89118866</v>
      </c>
      <c r="AD260" s="2">
        <f t="shared" si="19"/>
        <v>452306.88349856506</v>
      </c>
    </row>
    <row r="261" spans="1:30" x14ac:dyDescent="0.2">
      <c r="A261" t="str">
        <f>'L-Values'!A261</f>
        <v>CGI014-qtz05-CL-fit-4-offset</v>
      </c>
      <c r="B261">
        <v>750</v>
      </c>
      <c r="C261">
        <f t="shared" si="16"/>
        <v>6.6965312637759184E-25</v>
      </c>
      <c r="D261">
        <v>1900</v>
      </c>
      <c r="E261">
        <v>1024</v>
      </c>
      <c r="F261">
        <f t="shared" si="17"/>
        <v>1.85546875</v>
      </c>
      <c r="I261" s="2">
        <f>('L-Values'!E261*'D(Ti_Jollands) Times'!$F261*0.000001)^2/(4*'D(Ti_Jollands) Times'!$C261)/(365.35*24*3600)</f>
        <v>9722487.7190739475</v>
      </c>
      <c r="J261" s="2">
        <f>('L-Values'!F261*'D(Ti_Jollands) Times'!$F261*0.000001)^2/(4*'D(Ti_Jollands) Times'!$C261)/(365.35*24*3600)</f>
        <v>9878576.9772792421</v>
      </c>
      <c r="K261" s="2">
        <f>('L-Values'!G261*'D(Ti_Jollands) Times'!$F261*0.000001)^2/(4*'D(Ti_Jollands) Times'!$C261)/(365.35*24*3600)</f>
        <v>5567338.1242580339</v>
      </c>
      <c r="L261" s="2">
        <f>('L-Values'!H261*'D(Ti_Jollands) Times'!$F261*0.000001)^2/(4*'D(Ti_Jollands) Times'!$C261)/(365.35*24*3600)</f>
        <v>7391172.0240805624</v>
      </c>
      <c r="M261" s="2">
        <f>('L-Values'!I261*'D(Ti_Jollands) Times'!$F261*0.000001)^2/(4*'D(Ti_Jollands) Times'!$C261)/(365.35*24*3600)</f>
        <v>6280343.7539755655</v>
      </c>
      <c r="N261" s="2">
        <f>('L-Values'!J261*'D(Ti_Jollands) Times'!$F261*0.000001)^2/(4*'D(Ti_Jollands) Times'!$C261)/(365.35*24*3600)</f>
        <v>3899496.5836595739</v>
      </c>
      <c r="O261" s="2">
        <f>('L-Values'!K261*'D(Ti_Jollands) Times'!$F261*0.000001)^2/(4*'D(Ti_Jollands) Times'!$C261)/(365.35*24*3600)</f>
        <v>6898492.0192644158</v>
      </c>
      <c r="P261" s="2">
        <f>('L-Values'!L261*'D(Ti_Jollands) Times'!$F261*0.000001)^2/(4*'D(Ti_Jollands) Times'!$C261)/(365.35*24*3600)</f>
        <v>5738701.5946357381</v>
      </c>
      <c r="Q261" s="2">
        <f>('L-Values'!M261*'D(Ti_Jollands) Times'!$F261*0.000001)^2/(4*'D(Ti_Jollands) Times'!$C261)/(365.35*24*3600)</f>
        <v>6464636.0861396547</v>
      </c>
      <c r="R261" s="2">
        <f>('L-Values'!N261*'D(Ti_Jollands) Times'!$F261*0.000001)^2/(4*'D(Ti_Jollands) Times'!$C261)/(365.35*24*3600)</f>
        <v>14168752.397136826</v>
      </c>
      <c r="S261" s="2">
        <f>('L-Values'!O261*'D(Ti_Jollands) Times'!$F261*0.000001)^2/(4*'D(Ti_Jollands) Times'!$C261)/(365.35*24*3600)</f>
        <v>5573190.7389718583</v>
      </c>
      <c r="T261" s="2"/>
      <c r="U261" s="2">
        <f>('L-Values'!Q261*'D(Ti_Jollands) Times'!$F261*0.000001)^2/(4*'D(Ti_Jollands) Times'!$C261)/(365.35*24*3600)</f>
        <v>7154599.6768377181</v>
      </c>
      <c r="V261" s="2">
        <f>('L-Values'!R261*'D(Ti_Jollands) Times'!$F261*0.000001)^2/(4*'D(Ti_Jollands) Times'!$C261)/(365.35*24*3600)</f>
        <v>7196830.9032021146</v>
      </c>
      <c r="W261" s="2">
        <f>('L-Values'!S261*'D(Ti_Jollands) Times'!$F261*0.000001)^2/(4*'D(Ti_Jollands) Times'!$C261)/(365.35*24*3600)</f>
        <v>6464636.0861396547</v>
      </c>
      <c r="X261" s="2"/>
      <c r="Y261" s="2">
        <f>('L-Values'!U261*'D(Ti_Jollands) Times'!$F261*0.000001)^2/(4*'D(Ti_Jollands) Times'!$C261)/(365.35*24*3600)</f>
        <v>7190525.8088408606</v>
      </c>
      <c r="Z261" s="2">
        <f>('L-Values'!V261*'D(Ti_Jollands) Times'!$F261*0.000001)^2/(4*'D(Ti_Jollands) Times'!$C261)/(365.35*24*3600)</f>
        <v>7114995.8061329694</v>
      </c>
      <c r="AA261" s="2">
        <f>('L-Values'!W261*'D(Ti_Jollands) Times'!$F261*0.000001)^2/(4*'D(Ti_Jollands) Times'!$C261)/(365.35*24*3600)</f>
        <v>4258708.5384279164</v>
      </c>
      <c r="AB261" s="2">
        <f>('L-Values'!X261*'D(Ti_Jollands) Times'!$F261*0.000001)^2/(4*'D(Ti_Jollands) Times'!$C261)/(365.35*24*3600)</f>
        <v>12235011.485314514</v>
      </c>
      <c r="AC261" s="2">
        <f t="shared" si="18"/>
        <v>2856287.2677050531</v>
      </c>
      <c r="AD261" s="2">
        <f t="shared" si="19"/>
        <v>5120015.679181545</v>
      </c>
    </row>
    <row r="262" spans="1:30" x14ac:dyDescent="0.2">
      <c r="A262" t="str">
        <f>'L-Values'!A262</f>
        <v>CGI014-qtz05-CL-fit-5-offset</v>
      </c>
      <c r="B262">
        <v>750</v>
      </c>
      <c r="C262">
        <f t="shared" si="16"/>
        <v>6.6965312637759184E-25</v>
      </c>
      <c r="D262">
        <v>1900</v>
      </c>
      <c r="E262">
        <v>1024</v>
      </c>
      <c r="F262">
        <f t="shared" si="17"/>
        <v>1.85546875</v>
      </c>
      <c r="I262" s="2">
        <f>('L-Values'!E262*'D(Ti_Jollands) Times'!$F262*0.000001)^2/(4*'D(Ti_Jollands) Times'!$C262)/(365.35*24*3600)</f>
        <v>209055.19429285638</v>
      </c>
      <c r="J262" s="2">
        <f>('L-Values'!F262*'D(Ti_Jollands) Times'!$F262*0.000001)^2/(4*'D(Ti_Jollands) Times'!$C262)/(365.35*24*3600)</f>
        <v>161245.15458794986</v>
      </c>
      <c r="K262" s="2">
        <f>('L-Values'!G262*'D(Ti_Jollands) Times'!$F262*0.000001)^2/(4*'D(Ti_Jollands) Times'!$C262)/(365.35*24*3600)</f>
        <v>162444.84788685161</v>
      </c>
      <c r="L262" s="2">
        <f>('L-Values'!H262*'D(Ti_Jollands) Times'!$F262*0.000001)^2/(4*'D(Ti_Jollands) Times'!$C262)/(365.35*24*3600)</f>
        <v>422299.0034466667</v>
      </c>
      <c r="M262" s="2">
        <f>('L-Values'!I262*'D(Ti_Jollands) Times'!$F262*0.000001)^2/(4*'D(Ti_Jollands) Times'!$C262)/(365.35*24*3600)</f>
        <v>273680.06649484899</v>
      </c>
      <c r="N262" s="2">
        <f>('L-Values'!J262*'D(Ti_Jollands) Times'!$F262*0.000001)^2/(4*'D(Ti_Jollands) Times'!$C262)/(365.35*24*3600)</f>
        <v>162486.93876975539</v>
      </c>
      <c r="O262" s="2">
        <f>('L-Values'!K262*'D(Ti_Jollands) Times'!$F262*0.000001)^2/(4*'D(Ti_Jollands) Times'!$C262)/(365.35*24*3600)</f>
        <v>185688.44695512435</v>
      </c>
      <c r="P262" s="2">
        <f>('L-Values'!L262*'D(Ti_Jollands) Times'!$F262*0.000001)^2/(4*'D(Ti_Jollands) Times'!$C262)/(365.35*24*3600)</f>
        <v>209833.05128087656</v>
      </c>
      <c r="Q262" s="2">
        <f>('L-Values'!M262*'D(Ti_Jollands) Times'!$F262*0.000001)^2/(4*'D(Ti_Jollands) Times'!$C262)/(365.35*24*3600)</f>
        <v>155823.01059430177</v>
      </c>
      <c r="R262" s="2">
        <f>('L-Values'!N262*'D(Ti_Jollands) Times'!$F262*0.000001)^2/(4*'D(Ti_Jollands) Times'!$C262)/(365.35*24*3600)</f>
        <v>87952.964573713951</v>
      </c>
      <c r="S262" s="2">
        <f>('L-Values'!O262*'D(Ti_Jollands) Times'!$F262*0.000001)^2/(4*'D(Ti_Jollands) Times'!$C262)/(365.35*24*3600)</f>
        <v>198121.99167839385</v>
      </c>
      <c r="T262" s="2"/>
      <c r="U262" s="2">
        <f>('L-Values'!Q262*'D(Ti_Jollands) Times'!$F262*0.000001)^2/(4*'D(Ti_Jollands) Times'!$C262)/(365.35*24*3600)</f>
        <v>202614.13853189212</v>
      </c>
      <c r="V262" s="2">
        <f>('L-Values'!R262*'D(Ti_Jollands) Times'!$F262*0.000001)^2/(4*'D(Ti_Jollands) Times'!$C262)/(365.35*24*3600)</f>
        <v>195470.33162365714</v>
      </c>
      <c r="W262" s="2">
        <f>('L-Values'!S262*'D(Ti_Jollands) Times'!$F262*0.000001)^2/(4*'D(Ti_Jollands) Times'!$C262)/(365.35*24*3600)</f>
        <v>185688.44695512435</v>
      </c>
      <c r="X262" s="2"/>
      <c r="Y262" s="2">
        <f>('L-Values'!U262*'D(Ti_Jollands) Times'!$F262*0.000001)^2/(4*'D(Ti_Jollands) Times'!$C262)/(365.35*24*3600)</f>
        <v>205581.66378902498</v>
      </c>
      <c r="Z262" s="2">
        <f>('L-Values'!V262*'D(Ti_Jollands) Times'!$F262*0.000001)^2/(4*'D(Ti_Jollands) Times'!$C262)/(365.35*24*3600)</f>
        <v>200006.29295924702</v>
      </c>
      <c r="AA262" s="2">
        <f>('L-Values'!W262*'D(Ti_Jollands) Times'!$F262*0.000001)^2/(4*'D(Ti_Jollands) Times'!$C262)/(365.35*24*3600)</f>
        <v>65709.118854173343</v>
      </c>
      <c r="AB262" s="2">
        <f>('L-Values'!X262*'D(Ti_Jollands) Times'!$F262*0.000001)^2/(4*'D(Ti_Jollands) Times'!$C262)/(365.35*24*3600)</f>
        <v>397451.62565921817</v>
      </c>
      <c r="AC262" s="2">
        <f t="shared" si="18"/>
        <v>134297.17410507367</v>
      </c>
      <c r="AD262" s="2">
        <f t="shared" si="19"/>
        <v>197445.33269997116</v>
      </c>
    </row>
    <row r="263" spans="1:30" x14ac:dyDescent="0.2">
      <c r="A263" t="str">
        <f>'L-Values'!A263</f>
        <v>CGI014-qtz05-CL-fit-6-offset</v>
      </c>
      <c r="B263">
        <v>750</v>
      </c>
      <c r="C263">
        <f t="shared" si="16"/>
        <v>6.6965312637759184E-25</v>
      </c>
      <c r="D263">
        <v>1900</v>
      </c>
      <c r="E263">
        <v>1024</v>
      </c>
      <c r="F263">
        <f t="shared" si="17"/>
        <v>1.85546875</v>
      </c>
      <c r="I263" s="2">
        <f>('L-Values'!E263*'D(Ti_Jollands) Times'!$F263*0.000001)^2/(4*'D(Ti_Jollands) Times'!$C263)/(365.35*24*3600)</f>
        <v>2623.7798784335014</v>
      </c>
      <c r="J263" s="2">
        <f>('L-Values'!F263*'D(Ti_Jollands) Times'!$F263*0.000001)^2/(4*'D(Ti_Jollands) Times'!$C263)/(365.35*24*3600)</f>
        <v>42861.989059279847</v>
      </c>
      <c r="K263" s="2">
        <f>('L-Values'!G263*'D(Ti_Jollands) Times'!$F263*0.000001)^2/(4*'D(Ti_Jollands) Times'!$C263)/(365.35*24*3600)</f>
        <v>12048.06134802515</v>
      </c>
      <c r="L263" s="2">
        <f>('L-Values'!H263*'D(Ti_Jollands) Times'!$F263*0.000001)^2/(4*'D(Ti_Jollands) Times'!$C263)/(365.35*24*3600)</f>
        <v>46471.715134659651</v>
      </c>
      <c r="M263" s="2">
        <f>('L-Values'!I263*'D(Ti_Jollands) Times'!$F263*0.000001)^2/(4*'D(Ti_Jollands) Times'!$C263)/(365.35*24*3600)</f>
        <v>65936.792933721343</v>
      </c>
      <c r="N263" s="2">
        <f>('L-Values'!J263*'D(Ti_Jollands) Times'!$F263*0.000001)^2/(4*'D(Ti_Jollands) Times'!$C263)/(365.35*24*3600)</f>
        <v>10576.488969134785</v>
      </c>
      <c r="O263" s="2">
        <f>('L-Values'!K263*'D(Ti_Jollands) Times'!$F263*0.000001)^2/(4*'D(Ti_Jollands) Times'!$C263)/(365.35*24*3600)</f>
        <v>46993.268990602512</v>
      </c>
      <c r="P263" s="2">
        <f>('L-Values'!L263*'D(Ti_Jollands) Times'!$F263*0.000001)^2/(4*'D(Ti_Jollands) Times'!$C263)/(365.35*24*3600)</f>
        <v>1991.0791241038053</v>
      </c>
      <c r="Q263" s="2">
        <f>('L-Values'!M263*'D(Ti_Jollands) Times'!$F263*0.000001)^2/(4*'D(Ti_Jollands) Times'!$C263)/(365.35*24*3600)</f>
        <v>14968.491747770307</v>
      </c>
      <c r="R263" s="2">
        <f>('L-Values'!N263*'D(Ti_Jollands) Times'!$F263*0.000001)^2/(4*'D(Ti_Jollands) Times'!$C263)/(365.35*24*3600)</f>
        <v>48983.257171983234</v>
      </c>
      <c r="S263" s="2">
        <f>('L-Values'!O263*'D(Ti_Jollands) Times'!$F263*0.000001)^2/(4*'D(Ti_Jollands) Times'!$C263)/(365.35*24*3600)</f>
        <v>40584.457923581154</v>
      </c>
      <c r="T263" s="2"/>
      <c r="U263" s="2">
        <f>('L-Values'!Q263*'D(Ti_Jollands) Times'!$F263*0.000001)^2/(4*'D(Ti_Jollands) Times'!$C263)/(365.35*24*3600)</f>
        <v>46180.068239602806</v>
      </c>
      <c r="V263" s="2">
        <f>('L-Values'!R263*'D(Ti_Jollands) Times'!$F263*0.000001)^2/(4*'D(Ti_Jollands) Times'!$C263)/(365.35*24*3600)</f>
        <v>25302.356844425776</v>
      </c>
      <c r="W263" s="2">
        <f>('L-Values'!S263*'D(Ti_Jollands) Times'!$F263*0.000001)^2/(4*'D(Ti_Jollands) Times'!$C263)/(365.35*24*3600)</f>
        <v>40584.457923581154</v>
      </c>
      <c r="X263" s="2"/>
      <c r="Y263" s="2">
        <f>('L-Values'!U263*'D(Ti_Jollands) Times'!$F263*0.000001)^2/(4*'D(Ti_Jollands) Times'!$C263)/(365.35*24*3600)</f>
        <v>26709.138250536085</v>
      </c>
      <c r="Z263" s="2">
        <f>('L-Values'!V263*'D(Ti_Jollands) Times'!$F263*0.000001)^2/(4*'D(Ti_Jollands) Times'!$C263)/(365.35*24*3600)</f>
        <v>25642.128965091655</v>
      </c>
      <c r="AA263" s="2">
        <f>('L-Values'!W263*'D(Ti_Jollands) Times'!$F263*0.000001)^2/(4*'D(Ti_Jollands) Times'!$C263)/(365.35*24*3600)</f>
        <v>1802.5490265160806</v>
      </c>
      <c r="AB263" s="2">
        <f>('L-Values'!X263*'D(Ti_Jollands) Times'!$F263*0.000001)^2/(4*'D(Ti_Jollands) Times'!$C263)/(365.35*24*3600)</f>
        <v>124730.08951229847</v>
      </c>
      <c r="AC263" s="2">
        <f t="shared" si="18"/>
        <v>23839.579938575574</v>
      </c>
      <c r="AD263" s="2">
        <f t="shared" si="19"/>
        <v>99087.960547206807</v>
      </c>
    </row>
    <row r="264" spans="1:30" x14ac:dyDescent="0.2">
      <c r="A264" t="str">
        <f>'L-Values'!A264</f>
        <v>CGI014-qtz07-CL-fit-1-offset</v>
      </c>
      <c r="B264">
        <v>750</v>
      </c>
      <c r="C264">
        <f t="shared" si="16"/>
        <v>6.6965312637759184E-25</v>
      </c>
      <c r="D264">
        <v>1500</v>
      </c>
      <c r="E264">
        <v>1024</v>
      </c>
      <c r="F264">
        <f t="shared" si="17"/>
        <v>1.46484375</v>
      </c>
      <c r="I264" s="2">
        <f>('L-Values'!E264*'D(Ti_Jollands) Times'!$F264*0.000001)^2/(4*'D(Ti_Jollands) Times'!$C264)/(365.35*24*3600)</f>
        <v>224413.55799299403</v>
      </c>
      <c r="J264" s="2">
        <f>('L-Values'!F264*'D(Ti_Jollands) Times'!$F264*0.000001)^2/(4*'D(Ti_Jollands) Times'!$C264)/(365.35*24*3600)</f>
        <v>194066.37204154691</v>
      </c>
      <c r="K264" s="2">
        <f>('L-Values'!G264*'D(Ti_Jollands) Times'!$F264*0.000001)^2/(4*'D(Ti_Jollands) Times'!$C264)/(365.35*24*3600)</f>
        <v>215264.24898431639</v>
      </c>
      <c r="L264" s="2">
        <f>('L-Values'!H264*'D(Ti_Jollands) Times'!$F264*0.000001)^2/(4*'D(Ti_Jollands) Times'!$C264)/(365.35*24*3600)</f>
        <v>177755.90682177307</v>
      </c>
      <c r="M264" s="2">
        <f>('L-Values'!I264*'D(Ti_Jollands) Times'!$F264*0.000001)^2/(4*'D(Ti_Jollands) Times'!$C264)/(365.35*24*3600)</f>
        <v>131695.7146159212</v>
      </c>
      <c r="N264" s="2">
        <f>('L-Values'!J264*'D(Ti_Jollands) Times'!$F264*0.000001)^2/(4*'D(Ti_Jollands) Times'!$C264)/(365.35*24*3600)</f>
        <v>178515.35118536715</v>
      </c>
      <c r="O264" s="2">
        <f>('L-Values'!K264*'D(Ti_Jollands) Times'!$F264*0.000001)^2/(4*'D(Ti_Jollands) Times'!$C264)/(365.35*24*3600)</f>
        <v>323168.2568936859</v>
      </c>
      <c r="P264" s="2">
        <f>('L-Values'!L264*'D(Ti_Jollands) Times'!$F264*0.000001)^2/(4*'D(Ti_Jollands) Times'!$C264)/(365.35*24*3600)</f>
        <v>151461.87121172811</v>
      </c>
      <c r="Q264" s="2">
        <f>('L-Values'!M264*'D(Ti_Jollands) Times'!$F264*0.000001)^2/(4*'D(Ti_Jollands) Times'!$C264)/(365.35*24*3600)</f>
        <v>220912.4606589597</v>
      </c>
      <c r="R264" s="2">
        <f>('L-Values'!N264*'D(Ti_Jollands) Times'!$F264*0.000001)^2/(4*'D(Ti_Jollands) Times'!$C264)/(365.35*24*3600)</f>
        <v>193348.86091214931</v>
      </c>
      <c r="S264" s="2">
        <f>('L-Values'!O264*'D(Ti_Jollands) Times'!$F264*0.000001)^2/(4*'D(Ti_Jollands) Times'!$C264)/(365.35*24*3600)</f>
        <v>284849.51482938748</v>
      </c>
      <c r="T264" s="2"/>
      <c r="U264" s="2">
        <f>('L-Values'!Q264*'D(Ti_Jollands) Times'!$F264*0.000001)^2/(4*'D(Ti_Jollands) Times'!$C264)/(365.35*24*3600)</f>
        <v>211561.16155866234</v>
      </c>
      <c r="V264" s="2">
        <f>('L-Values'!R264*'D(Ti_Jollands) Times'!$F264*0.000001)^2/(4*'D(Ti_Jollands) Times'!$C264)/(365.35*24*3600)</f>
        <v>205484.19216793464</v>
      </c>
      <c r="W264" s="2">
        <f>('L-Values'!S264*'D(Ti_Jollands) Times'!$F264*0.000001)^2/(4*'D(Ti_Jollands) Times'!$C264)/(365.35*24*3600)</f>
        <v>194066.37204154691</v>
      </c>
      <c r="X264" s="2"/>
      <c r="Y264" s="2">
        <f>('L-Values'!U264*'D(Ti_Jollands) Times'!$F264*0.000001)^2/(4*'D(Ti_Jollands) Times'!$C264)/(365.35*24*3600)</f>
        <v>208530.8474758041</v>
      </c>
      <c r="Z264" s="2">
        <f>('L-Values'!V264*'D(Ti_Jollands) Times'!$F264*0.000001)^2/(4*'D(Ti_Jollands) Times'!$C264)/(365.35*24*3600)</f>
        <v>210675.10229490753</v>
      </c>
      <c r="AA264" s="2">
        <f>('L-Values'!W264*'D(Ti_Jollands) Times'!$F264*0.000001)^2/(4*'D(Ti_Jollands) Times'!$C264)/(365.35*24*3600)</f>
        <v>97371.856142559249</v>
      </c>
      <c r="AB264" s="2">
        <f>('L-Values'!X264*'D(Ti_Jollands) Times'!$F264*0.000001)^2/(4*'D(Ti_Jollands) Times'!$C264)/(365.35*24*3600)</f>
        <v>353962.21616710414</v>
      </c>
      <c r="AC264" s="2">
        <f t="shared" si="18"/>
        <v>113303.24615234828</v>
      </c>
      <c r="AD264" s="2">
        <f t="shared" si="19"/>
        <v>143287.11387219661</v>
      </c>
    </row>
    <row r="265" spans="1:30" x14ac:dyDescent="0.2">
      <c r="A265" t="str">
        <f>'L-Values'!A265</f>
        <v>CGI014-qtz07-CL-fit-2-offset</v>
      </c>
      <c r="B265">
        <v>750</v>
      </c>
      <c r="C265">
        <f t="shared" si="16"/>
        <v>6.6965312637759184E-25</v>
      </c>
      <c r="D265">
        <v>1500</v>
      </c>
      <c r="E265">
        <v>1024</v>
      </c>
      <c r="F265">
        <f t="shared" si="17"/>
        <v>1.46484375</v>
      </c>
      <c r="I265" s="2">
        <f>('L-Values'!E265*'D(Ti_Jollands) Times'!$F265*0.000001)^2/(4*'D(Ti_Jollands) Times'!$C265)/(365.35*24*3600)</f>
        <v>74468.566233190111</v>
      </c>
      <c r="J265" s="2">
        <f>('L-Values'!F265*'D(Ti_Jollands) Times'!$F265*0.000001)^2/(4*'D(Ti_Jollands) Times'!$C265)/(365.35*24*3600)</f>
        <v>88815.44046092809</v>
      </c>
      <c r="K265" s="2">
        <f>('L-Values'!G265*'D(Ti_Jollands) Times'!$F265*0.000001)^2/(4*'D(Ti_Jollands) Times'!$C265)/(365.35*24*3600)</f>
        <v>132548.40522074042</v>
      </c>
      <c r="L265" s="2">
        <f>('L-Values'!H265*'D(Ti_Jollands) Times'!$F265*0.000001)^2/(4*'D(Ti_Jollands) Times'!$C265)/(365.35*24*3600)</f>
        <v>138153.14853234257</v>
      </c>
      <c r="M265" s="2">
        <f>('L-Values'!I265*'D(Ti_Jollands) Times'!$F265*0.000001)^2/(4*'D(Ti_Jollands) Times'!$C265)/(365.35*24*3600)</f>
        <v>125565.93407641941</v>
      </c>
      <c r="N265" s="2">
        <f>('L-Values'!J265*'D(Ti_Jollands) Times'!$F265*0.000001)^2/(4*'D(Ti_Jollands) Times'!$C265)/(365.35*24*3600)</f>
        <v>25660.868613011615</v>
      </c>
      <c r="O265" s="2">
        <f>('L-Values'!K265*'D(Ti_Jollands) Times'!$F265*0.000001)^2/(4*'D(Ti_Jollands) Times'!$C265)/(365.35*24*3600)</f>
        <v>72189.760900416091</v>
      </c>
      <c r="P265" s="2">
        <f>('L-Values'!L265*'D(Ti_Jollands) Times'!$F265*0.000001)^2/(4*'D(Ti_Jollands) Times'!$C265)/(365.35*24*3600)</f>
        <v>1609.6765866490202</v>
      </c>
      <c r="Q265" s="2">
        <f>('L-Values'!M265*'D(Ti_Jollands) Times'!$F265*0.000001)^2/(4*'D(Ti_Jollands) Times'!$C265)/(365.35*24*3600)</f>
        <v>1534.450356347684</v>
      </c>
      <c r="R265" s="2">
        <f>('L-Values'!N265*'D(Ti_Jollands) Times'!$F265*0.000001)^2/(4*'D(Ti_Jollands) Times'!$C265)/(365.35*24*3600)</f>
        <v>31212.407233464954</v>
      </c>
      <c r="S265" s="2">
        <f>('L-Values'!O265*'D(Ti_Jollands) Times'!$F265*0.000001)^2/(4*'D(Ti_Jollands) Times'!$C265)/(365.35*24*3600)</f>
        <v>60205.859429100754</v>
      </c>
      <c r="T265" s="2"/>
      <c r="U265" s="2">
        <f>('L-Values'!Q265*'D(Ti_Jollands) Times'!$F265*0.000001)^2/(4*'D(Ti_Jollands) Times'!$C265)/(365.35*24*3600)</f>
        <v>54986.132372801396</v>
      </c>
      <c r="V265" s="2">
        <f>('L-Values'!R265*'D(Ti_Jollands) Times'!$F265*0.000001)^2/(4*'D(Ti_Jollands) Times'!$C265)/(365.35*24*3600)</f>
        <v>55491.362167478306</v>
      </c>
      <c r="W265" s="2">
        <f>('L-Values'!S265*'D(Ti_Jollands) Times'!$F265*0.000001)^2/(4*'D(Ti_Jollands) Times'!$C265)/(365.35*24*3600)</f>
        <v>72189.760900416091</v>
      </c>
      <c r="X265" s="2"/>
      <c r="Y265" s="2">
        <f>('L-Values'!U265*'D(Ti_Jollands) Times'!$F265*0.000001)^2/(4*'D(Ti_Jollands) Times'!$C265)/(365.35*24*3600)</f>
        <v>55197.051538948501</v>
      </c>
      <c r="Z265" s="2">
        <f>('L-Values'!V265*'D(Ti_Jollands) Times'!$F265*0.000001)^2/(4*'D(Ti_Jollands) Times'!$C265)/(365.35*24*3600)</f>
        <v>111169.855971518</v>
      </c>
      <c r="AA265" s="2">
        <f>('L-Values'!W265*'D(Ti_Jollands) Times'!$F265*0.000001)^2/(4*'D(Ti_Jollands) Times'!$C265)/(365.35*24*3600)</f>
        <v>1443.5407488712626</v>
      </c>
      <c r="AB265" s="2">
        <f>('L-Values'!X265*'D(Ti_Jollands) Times'!$F265*0.000001)^2/(4*'D(Ti_Jollands) Times'!$C265)/(365.35*24*3600)</f>
        <v>2627056.6066297493</v>
      </c>
      <c r="AC265" s="2">
        <f t="shared" si="18"/>
        <v>109726.31522264674</v>
      </c>
      <c r="AD265" s="2">
        <f t="shared" si="19"/>
        <v>2515886.7506582313</v>
      </c>
    </row>
    <row r="266" spans="1:30" x14ac:dyDescent="0.2">
      <c r="A266" t="str">
        <f>'L-Values'!A266</f>
        <v>CGI014-qtz07-CL-fit-3-offset</v>
      </c>
      <c r="B266">
        <v>750</v>
      </c>
      <c r="C266">
        <f t="shared" si="16"/>
        <v>6.6965312637759184E-25</v>
      </c>
      <c r="D266">
        <v>1500</v>
      </c>
      <c r="E266">
        <v>1024</v>
      </c>
      <c r="F266">
        <f t="shared" si="17"/>
        <v>1.46484375</v>
      </c>
      <c r="I266" s="2">
        <f>('L-Values'!E266*'D(Ti_Jollands) Times'!$F266*0.000001)^2/(4*'D(Ti_Jollands) Times'!$C266)/(365.35*24*3600)</f>
        <v>166109.38520726532</v>
      </c>
      <c r="J266" s="2">
        <f>('L-Values'!F266*'D(Ti_Jollands) Times'!$F266*0.000001)^2/(4*'D(Ti_Jollands) Times'!$C266)/(365.35*24*3600)</f>
        <v>214612.247421787</v>
      </c>
      <c r="K266" s="2">
        <f>('L-Values'!G266*'D(Ti_Jollands) Times'!$F266*0.000001)^2/(4*'D(Ti_Jollands) Times'!$C266)/(365.35*24*3600)</f>
        <v>223900.62956097562</v>
      </c>
      <c r="L266" s="2">
        <f>('L-Values'!H266*'D(Ti_Jollands) Times'!$F266*0.000001)^2/(4*'D(Ti_Jollands) Times'!$C266)/(365.35*24*3600)</f>
        <v>207392.42952241862</v>
      </c>
      <c r="M266" s="2">
        <f>('L-Values'!I266*'D(Ti_Jollands) Times'!$F266*0.000001)^2/(4*'D(Ti_Jollands) Times'!$C266)/(365.35*24*3600)</f>
        <v>247382.01601499715</v>
      </c>
      <c r="N266" s="2">
        <f>('L-Values'!J266*'D(Ti_Jollands) Times'!$F266*0.000001)^2/(4*'D(Ti_Jollands) Times'!$C266)/(365.35*24*3600)</f>
        <v>82081.357146734779</v>
      </c>
      <c r="O266" s="2">
        <f>('L-Values'!K266*'D(Ti_Jollands) Times'!$F266*0.000001)^2/(4*'D(Ti_Jollands) Times'!$C266)/(365.35*24*3600)</f>
        <v>195947.40124949912</v>
      </c>
      <c r="P266" s="2">
        <f>('L-Values'!L266*'D(Ti_Jollands) Times'!$F266*0.000001)^2/(4*'D(Ti_Jollands) Times'!$C266)/(365.35*24*3600)</f>
        <v>125055.08286672665</v>
      </c>
      <c r="Q266" s="2">
        <f>('L-Values'!M266*'D(Ti_Jollands) Times'!$F266*0.000001)^2/(4*'D(Ti_Jollands) Times'!$C266)/(365.35*24*3600)</f>
        <v>264192.02728477371</v>
      </c>
      <c r="R266" s="2">
        <f>('L-Values'!N266*'D(Ti_Jollands) Times'!$F266*0.000001)^2/(4*'D(Ti_Jollands) Times'!$C266)/(365.35*24*3600)</f>
        <v>224944.45451096038</v>
      </c>
      <c r="S266" s="2">
        <f>('L-Values'!O266*'D(Ti_Jollands) Times'!$F266*0.000001)^2/(4*'D(Ti_Jollands) Times'!$C266)/(365.35*24*3600)</f>
        <v>134035.64615976124</v>
      </c>
      <c r="T266" s="2"/>
      <c r="U266" s="2">
        <f>('L-Values'!Q266*'D(Ti_Jollands) Times'!$F266*0.000001)^2/(4*'D(Ti_Jollands) Times'!$C266)/(365.35*24*3600)</f>
        <v>189906.89330485489</v>
      </c>
      <c r="V266" s="2">
        <f>('L-Values'!R266*'D(Ti_Jollands) Times'!$F266*0.000001)^2/(4*'D(Ti_Jollands) Times'!$C266)/(365.35*24*3600)</f>
        <v>185210.13010632325</v>
      </c>
      <c r="W266" s="2">
        <f>('L-Values'!S266*'D(Ti_Jollands) Times'!$F266*0.000001)^2/(4*'D(Ti_Jollands) Times'!$C266)/(365.35*24*3600)</f>
        <v>207392.42952241862</v>
      </c>
      <c r="X266" s="2"/>
      <c r="Y266" s="2">
        <f>('L-Values'!U266*'D(Ti_Jollands) Times'!$F266*0.000001)^2/(4*'D(Ti_Jollands) Times'!$C266)/(365.35*24*3600)</f>
        <v>194352.92513825439</v>
      </c>
      <c r="Z266" s="2">
        <f>('L-Values'!V266*'D(Ti_Jollands) Times'!$F266*0.000001)^2/(4*'D(Ti_Jollands) Times'!$C266)/(365.35*24*3600)</f>
        <v>191189.50293408887</v>
      </c>
      <c r="AA266" s="2">
        <f>('L-Values'!W266*'D(Ti_Jollands) Times'!$F266*0.000001)^2/(4*'D(Ti_Jollands) Times'!$C266)/(365.35*24*3600)</f>
        <v>39788.576143181999</v>
      </c>
      <c r="AB266" s="2">
        <f>('L-Values'!X266*'D(Ti_Jollands) Times'!$F266*0.000001)^2/(4*'D(Ti_Jollands) Times'!$C266)/(365.35*24*3600)</f>
        <v>425593.06425925036</v>
      </c>
      <c r="AC266" s="2">
        <f t="shared" si="18"/>
        <v>151400.92679090687</v>
      </c>
      <c r="AD266" s="2">
        <f t="shared" si="19"/>
        <v>234403.56132516149</v>
      </c>
    </row>
    <row r="267" spans="1:30" x14ac:dyDescent="0.2">
      <c r="A267" t="str">
        <f>'L-Values'!A267</f>
        <v>CGI014-qtz07-CL-fit-4-offset</v>
      </c>
      <c r="B267">
        <v>750</v>
      </c>
      <c r="C267">
        <f t="shared" si="16"/>
        <v>6.6965312637759184E-25</v>
      </c>
      <c r="D267">
        <v>1500</v>
      </c>
      <c r="E267">
        <v>1024</v>
      </c>
      <c r="F267">
        <f t="shared" si="17"/>
        <v>1.46484375</v>
      </c>
      <c r="I267" s="2">
        <f>('L-Values'!E267*'D(Ti_Jollands) Times'!$F267*0.000001)^2/(4*'D(Ti_Jollands) Times'!$C267)/(365.35*24*3600)</f>
        <v>43905.339272744939</v>
      </c>
      <c r="J267" s="2">
        <f>('L-Values'!F267*'D(Ti_Jollands) Times'!$F267*0.000001)^2/(4*'D(Ti_Jollands) Times'!$C267)/(365.35*24*3600)</f>
        <v>168165.56018376871</v>
      </c>
      <c r="K267" s="2">
        <f>('L-Values'!G267*'D(Ti_Jollands) Times'!$F267*0.000001)^2/(4*'D(Ti_Jollands) Times'!$C267)/(365.35*24*3600)</f>
        <v>102602.32183630321</v>
      </c>
      <c r="L267" s="2">
        <f>('L-Values'!H267*'D(Ti_Jollands) Times'!$F267*0.000001)^2/(4*'D(Ti_Jollands) Times'!$C267)/(365.35*24*3600)</f>
        <v>191988.08501542121</v>
      </c>
      <c r="M267" s="2">
        <f>('L-Values'!I267*'D(Ti_Jollands) Times'!$F267*0.000001)^2/(4*'D(Ti_Jollands) Times'!$C267)/(365.35*24*3600)</f>
        <v>65640.177616695539</v>
      </c>
      <c r="N267" s="2">
        <f>('L-Values'!J267*'D(Ti_Jollands) Times'!$F267*0.000001)^2/(4*'D(Ti_Jollands) Times'!$C267)/(365.35*24*3600)</f>
        <v>34097.602164224169</v>
      </c>
      <c r="O267" s="2">
        <f>('L-Values'!K267*'D(Ti_Jollands) Times'!$F267*0.000001)^2/(4*'D(Ti_Jollands) Times'!$C267)/(365.35*24*3600)</f>
        <v>13523.394366371189</v>
      </c>
      <c r="P267" s="2">
        <f>('L-Values'!L267*'D(Ti_Jollands) Times'!$F267*0.000001)^2/(4*'D(Ti_Jollands) Times'!$C267)/(365.35*24*3600)</f>
        <v>173670.53593145972</v>
      </c>
      <c r="Q267" s="2">
        <f>('L-Values'!M267*'D(Ti_Jollands) Times'!$F267*0.000001)^2/(4*'D(Ti_Jollands) Times'!$C267)/(365.35*24*3600)</f>
        <v>123922.59444469793</v>
      </c>
      <c r="R267" s="2">
        <f>('L-Values'!N267*'D(Ti_Jollands) Times'!$F267*0.000001)^2/(4*'D(Ti_Jollands) Times'!$C267)/(365.35*24*3600)</f>
        <v>75198.348976959867</v>
      </c>
      <c r="S267" s="2">
        <f>('L-Values'!O267*'D(Ti_Jollands) Times'!$F267*0.000001)^2/(4*'D(Ti_Jollands) Times'!$C267)/(365.35*24*3600)</f>
        <v>127492.93521119637</v>
      </c>
      <c r="T267" s="2"/>
      <c r="U267" s="2">
        <f>('L-Values'!Q267*'D(Ti_Jollands) Times'!$F267*0.000001)^2/(4*'D(Ti_Jollands) Times'!$C267)/(365.35*24*3600)</f>
        <v>84672.215994029437</v>
      </c>
      <c r="V267" s="2">
        <f>('L-Values'!R267*'D(Ti_Jollands) Times'!$F267*0.000001)^2/(4*'D(Ti_Jollands) Times'!$C267)/(365.35*24*3600)</f>
        <v>91935.440819085648</v>
      </c>
      <c r="W267" s="2">
        <f>('L-Values'!S267*'D(Ti_Jollands) Times'!$F267*0.000001)^2/(4*'D(Ti_Jollands) Times'!$C267)/(365.35*24*3600)</f>
        <v>102602.32183630321</v>
      </c>
      <c r="X267" s="2"/>
      <c r="Y267" s="2">
        <f>('L-Values'!U267*'D(Ti_Jollands) Times'!$F267*0.000001)^2/(4*'D(Ti_Jollands) Times'!$C267)/(365.35*24*3600)</f>
        <v>83920.402872667604</v>
      </c>
      <c r="Z267" s="2">
        <f>('L-Values'!V267*'D(Ti_Jollands) Times'!$F267*0.000001)^2/(4*'D(Ti_Jollands) Times'!$C267)/(365.35*24*3600)</f>
        <v>71423.543402690324</v>
      </c>
      <c r="AA267" s="2">
        <f>('L-Values'!W267*'D(Ti_Jollands) Times'!$F267*0.000001)^2/(4*'D(Ti_Jollands) Times'!$C267)/(365.35*24*3600)</f>
        <v>1097.5129024272226</v>
      </c>
      <c r="AB267" s="2">
        <f>('L-Values'!X267*'D(Ti_Jollands) Times'!$F267*0.000001)^2/(4*'D(Ti_Jollands) Times'!$C267)/(365.35*24*3600)</f>
        <v>258986.31750426927</v>
      </c>
      <c r="AC267" s="2">
        <f t="shared" si="18"/>
        <v>70326.030500263107</v>
      </c>
      <c r="AD267" s="2">
        <f t="shared" si="19"/>
        <v>187562.77410157895</v>
      </c>
    </row>
    <row r="268" spans="1:30" x14ac:dyDescent="0.2">
      <c r="A268" t="str">
        <f>'L-Values'!A268</f>
        <v>CGI014-qtz08-CL-fit-1-offset</v>
      </c>
      <c r="B268">
        <v>750</v>
      </c>
      <c r="C268">
        <f t="shared" si="16"/>
        <v>6.6965312637759184E-25</v>
      </c>
      <c r="D268">
        <v>1550</v>
      </c>
      <c r="E268">
        <v>1024</v>
      </c>
      <c r="F268">
        <f t="shared" si="17"/>
        <v>1.513671875</v>
      </c>
      <c r="I268" s="2">
        <f>('L-Values'!E268*'D(Ti_Jollands) Times'!$F268*0.000001)^2/(4*'D(Ti_Jollands) Times'!$C268)/(365.35*24*3600)</f>
        <v>7458915.9027591748</v>
      </c>
      <c r="J268" s="2">
        <f>('L-Values'!F268*'D(Ti_Jollands) Times'!$F268*0.000001)^2/(4*'D(Ti_Jollands) Times'!$C268)/(365.35*24*3600)</f>
        <v>6576919.8890071372</v>
      </c>
      <c r="K268" s="2">
        <f>('L-Values'!G268*'D(Ti_Jollands) Times'!$F268*0.000001)^2/(4*'D(Ti_Jollands) Times'!$C268)/(365.35*24*3600)</f>
        <v>6185513.5054156063</v>
      </c>
      <c r="L268" s="2">
        <f>('L-Values'!H268*'D(Ti_Jollands) Times'!$F268*0.000001)^2/(4*'D(Ti_Jollands) Times'!$C268)/(365.35*24*3600)</f>
        <v>6857933.3515213439</v>
      </c>
      <c r="M268" s="2">
        <f>('L-Values'!I268*'D(Ti_Jollands) Times'!$F268*0.000001)^2/(4*'D(Ti_Jollands) Times'!$C268)/(365.35*24*3600)</f>
        <v>5366174.275056472</v>
      </c>
      <c r="N268" s="2">
        <f>('L-Values'!J268*'D(Ti_Jollands) Times'!$F268*0.000001)^2/(4*'D(Ti_Jollands) Times'!$C268)/(365.35*24*3600)</f>
        <v>5602043.3440607861</v>
      </c>
      <c r="O268" s="2">
        <f>('L-Values'!K268*'D(Ti_Jollands) Times'!$F268*0.000001)^2/(4*'D(Ti_Jollands) Times'!$C268)/(365.35*24*3600)</f>
        <v>6575883.7626516297</v>
      </c>
      <c r="P268" s="2">
        <f>('L-Values'!L268*'D(Ti_Jollands) Times'!$F268*0.000001)^2/(4*'D(Ti_Jollands) Times'!$C268)/(365.35*24*3600)</f>
        <v>6721398.176301254</v>
      </c>
      <c r="Q268" s="2">
        <f>('L-Values'!M268*'D(Ti_Jollands) Times'!$F268*0.000001)^2/(4*'D(Ti_Jollands) Times'!$C268)/(365.35*24*3600)</f>
        <v>6498337.0347809009</v>
      </c>
      <c r="R268" s="2">
        <f>('L-Values'!N268*'D(Ti_Jollands) Times'!$F268*0.000001)^2/(4*'D(Ti_Jollands) Times'!$C268)/(365.35*24*3600)</f>
        <v>5222085.9913042383</v>
      </c>
      <c r="S268" s="2">
        <f>('L-Values'!O268*'D(Ti_Jollands) Times'!$F268*0.000001)^2/(4*'D(Ti_Jollands) Times'!$C268)/(365.35*24*3600)</f>
        <v>4636979.3065962726</v>
      </c>
      <c r="T268" s="2"/>
      <c r="U268" s="2">
        <f>('L-Values'!Q268*'D(Ti_Jollands) Times'!$F268*0.000001)^2/(4*'D(Ti_Jollands) Times'!$C268)/(365.35*24*3600)</f>
        <v>6153186.1475043008</v>
      </c>
      <c r="V268" s="2">
        <f>('L-Values'!R268*'D(Ti_Jollands) Times'!$F268*0.000001)^2/(4*'D(Ti_Jollands) Times'!$C268)/(365.35*24*3600)</f>
        <v>6127651.214227261</v>
      </c>
      <c r="W268" s="2">
        <f>('L-Values'!S268*'D(Ti_Jollands) Times'!$F268*0.000001)^2/(4*'D(Ti_Jollands) Times'!$C268)/(365.35*24*3600)</f>
        <v>6498337.0347809009</v>
      </c>
      <c r="X268" s="2"/>
      <c r="Y268" s="2">
        <f>('L-Values'!U268*'D(Ti_Jollands) Times'!$F268*0.000001)^2/(4*'D(Ti_Jollands) Times'!$C268)/(365.35*24*3600)</f>
        <v>5999186.8402955038</v>
      </c>
      <c r="Z268" s="2">
        <f>('L-Values'!V268*'D(Ti_Jollands) Times'!$F268*0.000001)^2/(4*'D(Ti_Jollands) Times'!$C268)/(365.35*24*3600)</f>
        <v>6069136.1791608064</v>
      </c>
      <c r="AA268" s="2">
        <f>('L-Values'!W268*'D(Ti_Jollands) Times'!$F268*0.000001)^2/(4*'D(Ti_Jollands) Times'!$C268)/(365.35*24*3600)</f>
        <v>4651690.6047483431</v>
      </c>
      <c r="AB268" s="2">
        <f>('L-Values'!X268*'D(Ti_Jollands) Times'!$F268*0.000001)^2/(4*'D(Ti_Jollands) Times'!$C268)/(365.35*24*3600)</f>
        <v>7795734.3057087427</v>
      </c>
      <c r="AC268" s="2">
        <f t="shared" si="18"/>
        <v>1417445.5744124632</v>
      </c>
      <c r="AD268" s="2">
        <f t="shared" si="19"/>
        <v>1726598.1265479364</v>
      </c>
    </row>
    <row r="269" spans="1:30" x14ac:dyDescent="0.2">
      <c r="A269" t="str">
        <f>'L-Values'!A269</f>
        <v>CGI014-qtz08-CL-fit-2-offset</v>
      </c>
      <c r="B269">
        <v>750</v>
      </c>
      <c r="C269">
        <f t="shared" si="16"/>
        <v>6.6965312637759184E-25</v>
      </c>
      <c r="D269">
        <v>1550</v>
      </c>
      <c r="E269">
        <v>1024</v>
      </c>
      <c r="F269">
        <f t="shared" si="17"/>
        <v>1.513671875</v>
      </c>
      <c r="I269" s="2">
        <f>('L-Values'!E269*'D(Ti_Jollands) Times'!$F269*0.000001)^2/(4*'D(Ti_Jollands) Times'!$C269)/(365.35*24*3600)</f>
        <v>1380216.7748387218</v>
      </c>
      <c r="J269" s="2">
        <f>('L-Values'!F269*'D(Ti_Jollands) Times'!$F269*0.000001)^2/(4*'D(Ti_Jollands) Times'!$C269)/(365.35*24*3600)</f>
        <v>1026138.8948609189</v>
      </c>
      <c r="K269" s="2">
        <f>('L-Values'!G269*'D(Ti_Jollands) Times'!$F269*0.000001)^2/(4*'D(Ti_Jollands) Times'!$C269)/(365.35*24*3600)</f>
        <v>1018889.5770957746</v>
      </c>
      <c r="L269" s="2">
        <f>('L-Values'!H269*'D(Ti_Jollands) Times'!$F269*0.000001)^2/(4*'D(Ti_Jollands) Times'!$C269)/(365.35*24*3600)</f>
        <v>901531.28985783842</v>
      </c>
      <c r="M269" s="2">
        <f>('L-Values'!I269*'D(Ti_Jollands) Times'!$F269*0.000001)^2/(4*'D(Ti_Jollands) Times'!$C269)/(365.35*24*3600)</f>
        <v>1186222.2885294999</v>
      </c>
      <c r="N269" s="2">
        <f>('L-Values'!J269*'D(Ti_Jollands) Times'!$F269*0.000001)^2/(4*'D(Ti_Jollands) Times'!$C269)/(365.35*24*3600)</f>
        <v>718113.05892685975</v>
      </c>
      <c r="O269" s="2">
        <f>('L-Values'!K269*'D(Ti_Jollands) Times'!$F269*0.000001)^2/(4*'D(Ti_Jollands) Times'!$C269)/(365.35*24*3600)</f>
        <v>786025.89925457584</v>
      </c>
      <c r="P269" s="2">
        <f>('L-Values'!L269*'D(Ti_Jollands) Times'!$F269*0.000001)^2/(4*'D(Ti_Jollands) Times'!$C269)/(365.35*24*3600)</f>
        <v>950398.48093201034</v>
      </c>
      <c r="Q269" s="2">
        <f>('L-Values'!M269*'D(Ti_Jollands) Times'!$F269*0.000001)^2/(4*'D(Ti_Jollands) Times'!$C269)/(365.35*24*3600)</f>
        <v>895941.14896215044</v>
      </c>
      <c r="R269" s="2">
        <f>('L-Values'!N269*'D(Ti_Jollands) Times'!$F269*0.000001)^2/(4*'D(Ti_Jollands) Times'!$C269)/(365.35*24*3600)</f>
        <v>961859.54356417235</v>
      </c>
      <c r="S269" s="2">
        <f>('L-Values'!O269*'D(Ti_Jollands) Times'!$F269*0.000001)^2/(4*'D(Ti_Jollands) Times'!$C269)/(365.35*24*3600)</f>
        <v>1607359.7267097945</v>
      </c>
      <c r="T269" s="2"/>
      <c r="U269" s="2">
        <f>('L-Values'!Q269*'D(Ti_Jollands) Times'!$F269*0.000001)^2/(4*'D(Ti_Jollands) Times'!$C269)/(365.35*24*3600)</f>
        <v>1048352.2374777134</v>
      </c>
      <c r="V269" s="2">
        <f>('L-Values'!R269*'D(Ti_Jollands) Times'!$F269*0.000001)^2/(4*'D(Ti_Jollands) Times'!$C269)/(365.35*24*3600)</f>
        <v>1025584.0657906501</v>
      </c>
      <c r="W269" s="2">
        <f>('L-Values'!S269*'D(Ti_Jollands) Times'!$F269*0.000001)^2/(4*'D(Ti_Jollands) Times'!$C269)/(365.35*24*3600)</f>
        <v>961859.54356417235</v>
      </c>
      <c r="X269" s="2"/>
      <c r="Y269" s="2">
        <f>('L-Values'!U269*'D(Ti_Jollands) Times'!$F269*0.000001)^2/(4*'D(Ti_Jollands) Times'!$C269)/(365.35*24*3600)</f>
        <v>1037940.9489026377</v>
      </c>
      <c r="Z269" s="2">
        <f>('L-Values'!V269*'D(Ti_Jollands) Times'!$F269*0.000001)^2/(4*'D(Ti_Jollands) Times'!$C269)/(365.35*24*3600)</f>
        <v>1031804.3099667624</v>
      </c>
      <c r="AA269" s="2">
        <f>('L-Values'!W269*'D(Ti_Jollands) Times'!$F269*0.000001)^2/(4*'D(Ti_Jollands) Times'!$C269)/(365.35*24*3600)</f>
        <v>683212.805020286</v>
      </c>
      <c r="AB269" s="2">
        <f>('L-Values'!X269*'D(Ti_Jollands) Times'!$F269*0.000001)^2/(4*'D(Ti_Jollands) Times'!$C269)/(365.35*24*3600)</f>
        <v>1462416.098137046</v>
      </c>
      <c r="AC269" s="2">
        <f t="shared" si="18"/>
        <v>348591.50494647643</v>
      </c>
      <c r="AD269" s="2">
        <f t="shared" si="19"/>
        <v>430611.78817028354</v>
      </c>
    </row>
    <row r="270" spans="1:30" x14ac:dyDescent="0.2">
      <c r="A270" t="str">
        <f>'L-Values'!A270</f>
        <v>CGI014-qtz08-CL-fit-3-offset</v>
      </c>
      <c r="B270">
        <v>750</v>
      </c>
      <c r="C270">
        <f t="shared" si="16"/>
        <v>6.6965312637759184E-25</v>
      </c>
      <c r="D270">
        <v>1550</v>
      </c>
      <c r="E270">
        <v>1024</v>
      </c>
      <c r="F270">
        <f t="shared" si="17"/>
        <v>1.513671875</v>
      </c>
      <c r="I270" s="2">
        <f>('L-Values'!E270*'D(Ti_Jollands) Times'!$F270*0.000001)^2/(4*'D(Ti_Jollands) Times'!$C270)/(365.35*24*3600)</f>
        <v>1345317.0975006092</v>
      </c>
      <c r="J270" s="2">
        <f>('L-Values'!F270*'D(Ti_Jollands) Times'!$F270*0.000001)^2/(4*'D(Ti_Jollands) Times'!$C270)/(365.35*24*3600)</f>
        <v>1230776.1163493751</v>
      </c>
      <c r="K270" s="2">
        <f>('L-Values'!G270*'D(Ti_Jollands) Times'!$F270*0.000001)^2/(4*'D(Ti_Jollands) Times'!$C270)/(365.35*24*3600)</f>
        <v>2485020.2884487007</v>
      </c>
      <c r="L270" s="2">
        <f>('L-Values'!H270*'D(Ti_Jollands) Times'!$F270*0.000001)^2/(4*'D(Ti_Jollands) Times'!$C270)/(365.35*24*3600)</f>
        <v>2211525.7286537928</v>
      </c>
      <c r="M270" s="2">
        <f>('L-Values'!I270*'D(Ti_Jollands) Times'!$F270*0.000001)^2/(4*'D(Ti_Jollands) Times'!$C270)/(365.35*24*3600)</f>
        <v>1372369.094366746</v>
      </c>
      <c r="N270" s="2">
        <f>('L-Values'!J270*'D(Ti_Jollands) Times'!$F270*0.000001)^2/(4*'D(Ti_Jollands) Times'!$C270)/(365.35*24*3600)</f>
        <v>920513.57672414766</v>
      </c>
      <c r="O270" s="2">
        <f>('L-Values'!K270*'D(Ti_Jollands) Times'!$F270*0.000001)^2/(4*'D(Ti_Jollands) Times'!$C270)/(365.35*24*3600)</f>
        <v>1107745.3904054177</v>
      </c>
      <c r="P270" s="2">
        <f>('L-Values'!L270*'D(Ti_Jollands) Times'!$F270*0.000001)^2/(4*'D(Ti_Jollands) Times'!$C270)/(365.35*24*3600)</f>
        <v>375125.25328658137</v>
      </c>
      <c r="Q270" s="2">
        <f>('L-Values'!M270*'D(Ti_Jollands) Times'!$F270*0.000001)^2/(4*'D(Ti_Jollands) Times'!$C270)/(365.35*24*3600)</f>
        <v>867122.37809890904</v>
      </c>
      <c r="R270" s="2">
        <f>('L-Values'!N270*'D(Ti_Jollands) Times'!$F270*0.000001)^2/(4*'D(Ti_Jollands) Times'!$C270)/(365.35*24*3600)</f>
        <v>956126.91384085582</v>
      </c>
      <c r="S270" s="2">
        <f>('L-Values'!O270*'D(Ti_Jollands) Times'!$F270*0.000001)^2/(4*'D(Ti_Jollands) Times'!$C270)/(365.35*24*3600)</f>
        <v>764408.20743071137</v>
      </c>
      <c r="T270" s="2"/>
      <c r="U270" s="2">
        <f>('L-Values'!Q270*'D(Ti_Jollands) Times'!$F270*0.000001)^2/(4*'D(Ti_Jollands) Times'!$C270)/(365.35*24*3600)</f>
        <v>1079921.8238963834</v>
      </c>
      <c r="V270" s="2">
        <f>('L-Values'!R270*'D(Ti_Jollands) Times'!$F270*0.000001)^2/(4*'D(Ti_Jollands) Times'!$C270)/(365.35*24*3600)</f>
        <v>1172691.5494668321</v>
      </c>
      <c r="W270" s="2">
        <f>('L-Values'!S270*'D(Ti_Jollands) Times'!$F270*0.000001)^2/(4*'D(Ti_Jollands) Times'!$C270)/(365.35*24*3600)</f>
        <v>1107745.3904054177</v>
      </c>
      <c r="X270" s="2"/>
      <c r="Y270" s="2">
        <f>('L-Values'!U270*'D(Ti_Jollands) Times'!$F270*0.000001)^2/(4*'D(Ti_Jollands) Times'!$C270)/(365.35*24*3600)</f>
        <v>1067562.1097170718</v>
      </c>
      <c r="Z270" s="2">
        <f>('L-Values'!V270*'D(Ti_Jollands) Times'!$F270*0.000001)^2/(4*'D(Ti_Jollands) Times'!$C270)/(365.35*24*3600)</f>
        <v>1154930.25307966</v>
      </c>
      <c r="AA270" s="2">
        <f>('L-Values'!W270*'D(Ti_Jollands) Times'!$F270*0.000001)^2/(4*'D(Ti_Jollands) Times'!$C270)/(365.35*24*3600)</f>
        <v>394448.31244651746</v>
      </c>
      <c r="AB270" s="2">
        <f>('L-Values'!X270*'D(Ti_Jollands) Times'!$F270*0.000001)^2/(4*'D(Ti_Jollands) Times'!$C270)/(365.35*24*3600)</f>
        <v>3198255.2521964242</v>
      </c>
      <c r="AC270" s="2">
        <f t="shared" si="18"/>
        <v>760481.9406331426</v>
      </c>
      <c r="AD270" s="2">
        <f t="shared" si="19"/>
        <v>2043324.9991167642</v>
      </c>
    </row>
    <row r="271" spans="1:30" x14ac:dyDescent="0.2">
      <c r="A271" t="str">
        <f>'L-Values'!A271</f>
        <v>CGI014-qtz08-CL-fit-4-offset</v>
      </c>
      <c r="B271">
        <v>750</v>
      </c>
      <c r="C271">
        <f t="shared" si="16"/>
        <v>6.6965312637759184E-25</v>
      </c>
      <c r="D271">
        <v>1550</v>
      </c>
      <c r="E271">
        <v>1024</v>
      </c>
      <c r="F271">
        <f t="shared" si="17"/>
        <v>1.513671875</v>
      </c>
      <c r="I271" s="2">
        <f>('L-Values'!E271*'D(Ti_Jollands) Times'!$F271*0.000001)^2/(4*'D(Ti_Jollands) Times'!$C271)/(365.35*24*3600)</f>
        <v>893460.35516106652</v>
      </c>
      <c r="J271" s="2">
        <f>('L-Values'!F271*'D(Ti_Jollands) Times'!$F271*0.000001)^2/(4*'D(Ti_Jollands) Times'!$C271)/(365.35*24*3600)</f>
        <v>848765.41086761269</v>
      </c>
      <c r="K271" s="2">
        <f>('L-Values'!G271*'D(Ti_Jollands) Times'!$F271*0.000001)^2/(4*'D(Ti_Jollands) Times'!$C271)/(365.35*24*3600)</f>
        <v>689202.89803031366</v>
      </c>
      <c r="L271" s="2">
        <f>('L-Values'!H271*'D(Ti_Jollands) Times'!$F271*0.000001)^2/(4*'D(Ti_Jollands) Times'!$C271)/(365.35*24*3600)</f>
        <v>625140.46278600779</v>
      </c>
      <c r="M271" s="2">
        <f>('L-Values'!I271*'D(Ti_Jollands) Times'!$F271*0.000001)^2/(4*'D(Ti_Jollands) Times'!$C271)/(365.35*24*3600)</f>
        <v>1042866.9425945131</v>
      </c>
      <c r="N271" s="2">
        <f>('L-Values'!J271*'D(Ti_Jollands) Times'!$F271*0.000001)^2/(4*'D(Ti_Jollands) Times'!$C271)/(365.35*24*3600)</f>
        <v>632450.90403251292</v>
      </c>
      <c r="O271" s="2">
        <f>('L-Values'!K271*'D(Ti_Jollands) Times'!$F271*0.000001)^2/(4*'D(Ti_Jollands) Times'!$C271)/(365.35*24*3600)</f>
        <v>486020.57434577483</v>
      </c>
      <c r="P271" s="2">
        <f>('L-Values'!L271*'D(Ti_Jollands) Times'!$F271*0.000001)^2/(4*'D(Ti_Jollands) Times'!$C271)/(365.35*24*3600)</f>
        <v>645789.06559006695</v>
      </c>
      <c r="Q271" s="2">
        <f>('L-Values'!M271*'D(Ti_Jollands) Times'!$F271*0.000001)^2/(4*'D(Ti_Jollands) Times'!$C271)/(365.35*24*3600)</f>
        <v>1045600.3832207238</v>
      </c>
      <c r="R271" s="2">
        <f>('L-Values'!N271*'D(Ti_Jollands) Times'!$F271*0.000001)^2/(4*'D(Ti_Jollands) Times'!$C271)/(365.35*24*3600)</f>
        <v>942456.27198010078</v>
      </c>
      <c r="S271" s="2">
        <f>('L-Values'!O271*'D(Ti_Jollands) Times'!$F271*0.000001)^2/(4*'D(Ti_Jollands) Times'!$C271)/(365.35*24*3600)</f>
        <v>689105.5932598128</v>
      </c>
      <c r="T271" s="2"/>
      <c r="U271" s="2">
        <f>('L-Values'!Q271*'D(Ti_Jollands) Times'!$F271*0.000001)^2/(4*'D(Ti_Jollands) Times'!$C271)/(365.35*24*3600)</f>
        <v>779007.95293105789</v>
      </c>
      <c r="V271" s="2">
        <f>('L-Values'!R271*'D(Ti_Jollands) Times'!$F271*0.000001)^2/(4*'D(Ti_Jollands) Times'!$C271)/(365.35*24*3600)</f>
        <v>766112.78306286223</v>
      </c>
      <c r="W271" s="2">
        <f>('L-Values'!S271*'D(Ti_Jollands) Times'!$F271*0.000001)^2/(4*'D(Ti_Jollands) Times'!$C271)/(365.35*24*3600)</f>
        <v>689202.89803031366</v>
      </c>
      <c r="X271" s="2"/>
      <c r="Y271" s="2">
        <f>('L-Values'!U271*'D(Ti_Jollands) Times'!$F271*0.000001)^2/(4*'D(Ti_Jollands) Times'!$C271)/(365.35*24*3600)</f>
        <v>790005.80546733108</v>
      </c>
      <c r="Z271" s="2">
        <f>('L-Values'!V271*'D(Ti_Jollands) Times'!$F271*0.000001)^2/(4*'D(Ti_Jollands) Times'!$C271)/(365.35*24*3600)</f>
        <v>797484.31338895496</v>
      </c>
      <c r="AA271" s="2">
        <f>('L-Values'!W271*'D(Ti_Jollands) Times'!$F271*0.000001)^2/(4*'D(Ti_Jollands) Times'!$C271)/(365.35*24*3600)</f>
        <v>497322.21746469464</v>
      </c>
      <c r="AB271" s="2">
        <f>('L-Values'!X271*'D(Ti_Jollands) Times'!$F271*0.000001)^2/(4*'D(Ti_Jollands) Times'!$C271)/(365.35*24*3600)</f>
        <v>1252413.7187717201</v>
      </c>
      <c r="AC271" s="2">
        <f t="shared" si="18"/>
        <v>300162.09592426033</v>
      </c>
      <c r="AD271" s="2">
        <f t="shared" si="19"/>
        <v>454929.40538276511</v>
      </c>
    </row>
    <row r="272" spans="1:30" x14ac:dyDescent="0.2">
      <c r="A272" t="str">
        <f>'L-Values'!A272</f>
        <v>CGI014-qtz09-CL-fit-1-offset</v>
      </c>
      <c r="B272">
        <v>750</v>
      </c>
      <c r="C272">
        <f t="shared" si="16"/>
        <v>6.6965312637759184E-25</v>
      </c>
      <c r="D272">
        <v>1550</v>
      </c>
      <c r="E272">
        <v>1024</v>
      </c>
      <c r="F272">
        <f t="shared" si="17"/>
        <v>1.513671875</v>
      </c>
      <c r="I272" s="2">
        <f>('L-Values'!E272*'D(Ti_Jollands) Times'!$F272*0.000001)^2/(4*'D(Ti_Jollands) Times'!$C272)/(365.35*24*3600)</f>
        <v>1637.4770647473415</v>
      </c>
      <c r="J272" s="2">
        <f>('L-Values'!F272*'D(Ti_Jollands) Times'!$F272*0.000001)^2/(4*'D(Ti_Jollands) Times'!$C272)/(365.35*24*3600)</f>
        <v>19076.00305233054</v>
      </c>
      <c r="K272" s="2">
        <f>('L-Values'!G272*'D(Ti_Jollands) Times'!$F272*0.000001)^2/(4*'D(Ti_Jollands) Times'!$C272)/(365.35*24*3600)</f>
        <v>240548.74469150288</v>
      </c>
      <c r="L272" s="2">
        <f>('L-Values'!H272*'D(Ti_Jollands) Times'!$F272*0.000001)^2/(4*'D(Ti_Jollands) Times'!$C272)/(365.35*24*3600)</f>
        <v>0</v>
      </c>
      <c r="M272" s="2">
        <f>('L-Values'!I272*'D(Ti_Jollands) Times'!$F272*0.000001)^2/(4*'D(Ti_Jollands) Times'!$C272)/(365.35*24*3600)</f>
        <v>1346.7609209197042</v>
      </c>
      <c r="N272" s="2">
        <f>('L-Values'!J272*'D(Ti_Jollands) Times'!$F272*0.000001)^2/(4*'D(Ti_Jollands) Times'!$C272)/(365.35*24*3600)</f>
        <v>199484.15749366742</v>
      </c>
      <c r="O272" s="2">
        <f>('L-Values'!K272*'D(Ti_Jollands) Times'!$F272*0.000001)^2/(4*'D(Ti_Jollands) Times'!$C272)/(365.35*24*3600)</f>
        <v>86.992418010445093</v>
      </c>
      <c r="P272" s="2">
        <f>('L-Values'!L272*'D(Ti_Jollands) Times'!$F272*0.000001)^2/(4*'D(Ti_Jollands) Times'!$C272)/(365.35*24*3600)</f>
        <v>0.93188666172366819</v>
      </c>
      <c r="Q272" s="2">
        <f>('L-Values'!M272*'D(Ti_Jollands) Times'!$F272*0.000001)^2/(4*'D(Ti_Jollands) Times'!$C272)/(365.35*24*3600)</f>
        <v>569694.95273673092</v>
      </c>
      <c r="R272" s="2">
        <f>('L-Values'!N272*'D(Ti_Jollands) Times'!$F272*0.000001)^2/(4*'D(Ti_Jollands) Times'!$C272)/(365.35*24*3600)</f>
        <v>105864.66175204123</v>
      </c>
      <c r="S272" s="2">
        <f>('L-Values'!O272*'D(Ti_Jollands) Times'!$F272*0.000001)^2/(4*'D(Ti_Jollands) Times'!$C272)/(365.35*24*3600)</f>
        <v>322.15076548651206</v>
      </c>
      <c r="T272" s="2"/>
      <c r="U272" s="2">
        <f>('L-Values'!Q272*'D(Ti_Jollands) Times'!$F272*0.000001)^2/(4*'D(Ti_Jollands) Times'!$C272)/(365.35*24*3600)</f>
        <v>162471.49516038698</v>
      </c>
      <c r="V272" s="2">
        <f>('L-Values'!R272*'D(Ti_Jollands) Times'!$F272*0.000001)^2/(4*'D(Ti_Jollands) Times'!$C272)/(365.35*24*3600)</f>
        <v>51110.577068070175</v>
      </c>
      <c r="W272" s="2">
        <f>('L-Values'!S272*'D(Ti_Jollands) Times'!$F272*0.000001)^2/(4*'D(Ti_Jollands) Times'!$C272)/(365.35*24*3600)</f>
        <v>7972.8519797050776</v>
      </c>
      <c r="X272" s="2"/>
      <c r="Y272" s="2">
        <f>('L-Values'!U272*'D(Ti_Jollands) Times'!$F272*0.000001)^2/(4*'D(Ti_Jollands) Times'!$C272)/(365.35*24*3600)</f>
        <v>76023.869022374463</v>
      </c>
      <c r="Z272" s="2">
        <f>('L-Values'!V272*'D(Ti_Jollands) Times'!$F272*0.000001)^2/(4*'D(Ti_Jollands) Times'!$C272)/(365.35*24*3600)</f>
        <v>158027.59046220727</v>
      </c>
      <c r="AA272" s="2">
        <f>('L-Values'!W272*'D(Ti_Jollands) Times'!$F272*0.000001)^2/(4*'D(Ti_Jollands) Times'!$C272)/(365.35*24*3600)</f>
        <v>4.2166767386578834E-7</v>
      </c>
      <c r="AB272" s="2">
        <f>('L-Values'!X272*'D(Ti_Jollands) Times'!$F272*0.000001)^2/(4*'D(Ti_Jollands) Times'!$C272)/(365.35*24*3600)</f>
        <v>1492962.2528062204</v>
      </c>
      <c r="AC272" s="2">
        <f t="shared" si="18"/>
        <v>158027.59046178561</v>
      </c>
      <c r="AD272" s="2">
        <f t="shared" si="19"/>
        <v>1334934.6623440131</v>
      </c>
    </row>
    <row r="273" spans="1:30" x14ac:dyDescent="0.2">
      <c r="A273" t="str">
        <f>'L-Values'!A273</f>
        <v>CGI014-qtz09-CL-fit-2-offset</v>
      </c>
      <c r="B273">
        <v>750</v>
      </c>
      <c r="C273">
        <f t="shared" si="16"/>
        <v>6.6965312637759184E-25</v>
      </c>
      <c r="D273">
        <v>1550</v>
      </c>
      <c r="E273">
        <v>1024</v>
      </c>
      <c r="F273">
        <f t="shared" si="17"/>
        <v>1.513671875</v>
      </c>
      <c r="I273" s="2">
        <f>('L-Values'!E273*'D(Ti_Jollands) Times'!$F273*0.000001)^2/(4*'D(Ti_Jollands) Times'!$C273)/(365.35*24*3600)</f>
        <v>43684.505941973148</v>
      </c>
      <c r="J273" s="2">
        <f>('L-Values'!F273*'D(Ti_Jollands) Times'!$F273*0.000001)^2/(4*'D(Ti_Jollands) Times'!$C273)/(365.35*24*3600)</f>
        <v>248009.10061796184</v>
      </c>
      <c r="K273" s="2">
        <f>('L-Values'!G273*'D(Ti_Jollands) Times'!$F273*0.000001)^2/(4*'D(Ti_Jollands) Times'!$C273)/(365.35*24*3600)</f>
        <v>2074.7758420908135</v>
      </c>
      <c r="L273" s="2">
        <f>('L-Values'!H273*'D(Ti_Jollands) Times'!$F273*0.000001)^2/(4*'D(Ti_Jollands) Times'!$C273)/(365.35*24*3600)</f>
        <v>132565.9087922232</v>
      </c>
      <c r="M273" s="2">
        <f>('L-Values'!I273*'D(Ti_Jollands) Times'!$F273*0.000001)^2/(4*'D(Ti_Jollands) Times'!$C273)/(365.35*24*3600)</f>
        <v>69.606197980943648</v>
      </c>
      <c r="N273" s="2">
        <f>('L-Values'!J273*'D(Ti_Jollands) Times'!$F273*0.000001)^2/(4*'D(Ti_Jollands) Times'!$C273)/(365.35*24*3600)</f>
        <v>1453.0059396360073</v>
      </c>
      <c r="O273" s="2">
        <f>('L-Values'!K273*'D(Ti_Jollands) Times'!$F273*0.000001)^2/(4*'D(Ti_Jollands) Times'!$C273)/(365.35*24*3600)</f>
        <v>1385.8711508263841</v>
      </c>
      <c r="P273" s="2">
        <f>('L-Values'!L273*'D(Ti_Jollands) Times'!$F273*0.000001)^2/(4*'D(Ti_Jollands) Times'!$C273)/(365.35*24*3600)</f>
        <v>256.7267767843673</v>
      </c>
      <c r="Q273" s="2">
        <f>('L-Values'!M273*'D(Ti_Jollands) Times'!$F273*0.000001)^2/(4*'D(Ti_Jollands) Times'!$C273)/(365.35*24*3600)</f>
        <v>16532.158786754124</v>
      </c>
      <c r="R273" s="2">
        <f>('L-Values'!N273*'D(Ti_Jollands) Times'!$F273*0.000001)^2/(4*'D(Ti_Jollands) Times'!$C273)/(365.35*24*3600)</f>
        <v>0</v>
      </c>
      <c r="S273" s="2">
        <f>('L-Values'!O273*'D(Ti_Jollands) Times'!$F273*0.000001)^2/(4*'D(Ti_Jollands) Times'!$C273)/(365.35*24*3600)</f>
        <v>18914.563652721994</v>
      </c>
      <c r="T273" s="2"/>
      <c r="U273" s="2">
        <f>('L-Values'!Q273*'D(Ti_Jollands) Times'!$F273*0.000001)^2/(4*'D(Ti_Jollands) Times'!$C273)/(365.35*24*3600)</f>
        <v>73918.656148154259</v>
      </c>
      <c r="V273" s="2">
        <f>('L-Values'!R273*'D(Ti_Jollands) Times'!$F273*0.000001)^2/(4*'D(Ti_Jollands) Times'!$C273)/(365.35*24*3600)</f>
        <v>21977.417217040482</v>
      </c>
      <c r="W273" s="2">
        <f>('L-Values'!S273*'D(Ti_Jollands) Times'!$F273*0.000001)^2/(4*'D(Ti_Jollands) Times'!$C273)/(365.35*24*3600)</f>
        <v>7580.0661036885322</v>
      </c>
      <c r="X273" s="2"/>
      <c r="Y273" s="2">
        <f>('L-Values'!U273*'D(Ti_Jollands) Times'!$F273*0.000001)^2/(4*'D(Ti_Jollands) Times'!$C273)/(365.35*24*3600)</f>
        <v>72168.551778771391</v>
      </c>
      <c r="Z273" s="2">
        <f>('L-Values'!V273*'D(Ti_Jollands) Times'!$F273*0.000001)^2/(4*'D(Ti_Jollands) Times'!$C273)/(365.35*24*3600)</f>
        <v>137447.30470387114</v>
      </c>
      <c r="AA273" s="2">
        <f>('L-Values'!W273*'D(Ti_Jollands) Times'!$F273*0.000001)^2/(4*'D(Ti_Jollands) Times'!$C273)/(365.35*24*3600)</f>
        <v>93.710870399006026</v>
      </c>
      <c r="AB273" s="2">
        <f>('L-Values'!X273*'D(Ti_Jollands) Times'!$F273*0.000001)^2/(4*'D(Ti_Jollands) Times'!$C273)/(365.35*24*3600)</f>
        <v>2370580.0697127376</v>
      </c>
      <c r="AC273" s="2">
        <f t="shared" si="18"/>
        <v>137353.59383347214</v>
      </c>
      <c r="AD273" s="2">
        <f t="shared" si="19"/>
        <v>2233132.7650088663</v>
      </c>
    </row>
    <row r="274" spans="1:30" x14ac:dyDescent="0.2">
      <c r="A274" t="str">
        <f>'L-Values'!A274</f>
        <v>CGI014-qtz09-CL-fit-3-offset</v>
      </c>
      <c r="B274">
        <v>750</v>
      </c>
      <c r="C274">
        <f t="shared" si="16"/>
        <v>6.6965312637759184E-25</v>
      </c>
      <c r="D274">
        <v>1550</v>
      </c>
      <c r="E274">
        <v>1024</v>
      </c>
      <c r="F274">
        <f t="shared" si="17"/>
        <v>1.513671875</v>
      </c>
      <c r="I274" s="2">
        <f>('L-Values'!E274*'D(Ti_Jollands) Times'!$F274*0.000001)^2/(4*'D(Ti_Jollands) Times'!$C274)/(365.35*24*3600)</f>
        <v>6.7252171182690077</v>
      </c>
      <c r="J274" s="2">
        <f>('L-Values'!F274*'D(Ti_Jollands) Times'!$F274*0.000001)^2/(4*'D(Ti_Jollands) Times'!$C274)/(365.35*24*3600)</f>
        <v>836.82286378598371</v>
      </c>
      <c r="K274" s="2">
        <f>('L-Values'!G274*'D(Ti_Jollands) Times'!$F274*0.000001)^2/(4*'D(Ti_Jollands) Times'!$C274)/(365.35*24*3600)</f>
        <v>63.767784074173733</v>
      </c>
      <c r="L274" s="2">
        <f>('L-Values'!H274*'D(Ti_Jollands) Times'!$F274*0.000001)^2/(4*'D(Ti_Jollands) Times'!$C274)/(365.35*24*3600)</f>
        <v>1284.9338131528784</v>
      </c>
      <c r="M274" s="2">
        <f>('L-Values'!I274*'D(Ti_Jollands) Times'!$F274*0.000001)^2/(4*'D(Ti_Jollands) Times'!$C274)/(365.35*24*3600)</f>
        <v>2275.4437665329074</v>
      </c>
      <c r="N274" s="2">
        <f>('L-Values'!J274*'D(Ti_Jollands) Times'!$F274*0.000001)^2/(4*'D(Ti_Jollands) Times'!$C274)/(365.35*24*3600)</f>
        <v>453.65383795180998</v>
      </c>
      <c r="O274" s="2">
        <f>('L-Values'!K274*'D(Ti_Jollands) Times'!$F274*0.000001)^2/(4*'D(Ti_Jollands) Times'!$C274)/(365.35*24*3600)</f>
        <v>38.169303868793037</v>
      </c>
      <c r="P274" s="2">
        <f>('L-Values'!L274*'D(Ti_Jollands) Times'!$F274*0.000001)^2/(4*'D(Ti_Jollands) Times'!$C274)/(365.35*24*3600)</f>
        <v>1404.8927704131675</v>
      </c>
      <c r="Q274" s="2">
        <f>('L-Values'!M274*'D(Ti_Jollands) Times'!$F274*0.000001)^2/(4*'D(Ti_Jollands) Times'!$C274)/(365.35*24*3600)</f>
        <v>28322.431710669596</v>
      </c>
      <c r="R274" s="2">
        <f>('L-Values'!N274*'D(Ti_Jollands) Times'!$F274*0.000001)^2/(4*'D(Ti_Jollands) Times'!$C274)/(365.35*24*3600)</f>
        <v>913.32469134756673</v>
      </c>
      <c r="S274" s="2">
        <f>('L-Values'!O274*'D(Ti_Jollands) Times'!$F274*0.000001)^2/(4*'D(Ti_Jollands) Times'!$C274)/(365.35*24*3600)</f>
        <v>108.60597038214493</v>
      </c>
      <c r="T274" s="2"/>
      <c r="U274" s="2">
        <f>('L-Values'!Q274*'D(Ti_Jollands) Times'!$F274*0.000001)^2/(4*'D(Ti_Jollands) Times'!$C274)/(365.35*24*3600)</f>
        <v>1371.0878677905578</v>
      </c>
      <c r="V274" s="2">
        <f>('L-Values'!R274*'D(Ti_Jollands) Times'!$F274*0.000001)^2/(4*'D(Ti_Jollands) Times'!$C274)/(365.35*24*3600)</f>
        <v>1302.2178375141468</v>
      </c>
      <c r="W274" s="2">
        <f>('L-Values'!S274*'D(Ti_Jollands) Times'!$F274*0.000001)^2/(4*'D(Ti_Jollands) Times'!$C274)/(365.35*24*3600)</f>
        <v>836.82286378598371</v>
      </c>
      <c r="X274" s="2"/>
      <c r="Y274" s="2">
        <f>('L-Values'!U274*'D(Ti_Jollands) Times'!$F274*0.000001)^2/(4*'D(Ti_Jollands) Times'!$C274)/(365.35*24*3600)</f>
        <v>1245.1841373898515</v>
      </c>
      <c r="Z274" s="2">
        <f>('L-Values'!V274*'D(Ti_Jollands) Times'!$F274*0.000001)^2/(4*'D(Ti_Jollands) Times'!$C274)/(365.35*24*3600)</f>
        <v>17525.408197104738</v>
      </c>
      <c r="AA274" s="2">
        <f>('L-Values'!W274*'D(Ti_Jollands) Times'!$F274*0.000001)^2/(4*'D(Ti_Jollands) Times'!$C274)/(365.35*24*3600)</f>
        <v>5.5500993929269718E-8</v>
      </c>
      <c r="AB274" s="2">
        <f>('L-Values'!X274*'D(Ti_Jollands) Times'!$F274*0.000001)^2/(4*'D(Ti_Jollands) Times'!$C274)/(365.35*24*3600)</f>
        <v>796561.24285287375</v>
      </c>
      <c r="AC274" s="2">
        <f t="shared" si="18"/>
        <v>17525.408197049237</v>
      </c>
      <c r="AD274" s="2">
        <f t="shared" si="19"/>
        <v>779035.83465576905</v>
      </c>
    </row>
    <row r="275" spans="1:30" x14ac:dyDescent="0.2">
      <c r="A275" t="str">
        <f>'L-Values'!A275</f>
        <v>CGI014-qtz09-CL-fit-4-offset</v>
      </c>
      <c r="B275">
        <v>750</v>
      </c>
      <c r="C275">
        <f t="shared" si="16"/>
        <v>6.6965312637759184E-25</v>
      </c>
      <c r="D275">
        <v>1550</v>
      </c>
      <c r="E275">
        <v>1024</v>
      </c>
      <c r="F275">
        <f t="shared" si="17"/>
        <v>1.513671875</v>
      </c>
      <c r="I275" s="2">
        <f>('L-Values'!E275*'D(Ti_Jollands) Times'!$F275*0.000001)^2/(4*'D(Ti_Jollands) Times'!$C275)/(365.35*24*3600)</f>
        <v>49642.453716817545</v>
      </c>
      <c r="J275" s="2">
        <f>('L-Values'!F275*'D(Ti_Jollands) Times'!$F275*0.000001)^2/(4*'D(Ti_Jollands) Times'!$C275)/(365.35*24*3600)</f>
        <v>60.502316042667339</v>
      </c>
      <c r="K275" s="2">
        <f>('L-Values'!G275*'D(Ti_Jollands) Times'!$F275*0.000001)^2/(4*'D(Ti_Jollands) Times'!$C275)/(365.35*24*3600)</f>
        <v>218237.56355593406</v>
      </c>
      <c r="L275" s="2">
        <f>('L-Values'!H275*'D(Ti_Jollands) Times'!$F275*0.000001)^2/(4*'D(Ti_Jollands) Times'!$C275)/(365.35*24*3600)</f>
        <v>1060.6969603660934</v>
      </c>
      <c r="M275" s="2">
        <f>('L-Values'!I275*'D(Ti_Jollands) Times'!$F275*0.000001)^2/(4*'D(Ti_Jollands) Times'!$C275)/(365.35*24*3600)</f>
        <v>10244.488045942902</v>
      </c>
      <c r="N275" s="2">
        <f>('L-Values'!J275*'D(Ti_Jollands) Times'!$F275*0.000001)^2/(4*'D(Ti_Jollands) Times'!$C275)/(365.35*24*3600)</f>
        <v>11608.52634085753</v>
      </c>
      <c r="O275" s="2">
        <f>('L-Values'!K275*'D(Ti_Jollands) Times'!$F275*0.000001)^2/(4*'D(Ti_Jollands) Times'!$C275)/(365.35*24*3600)</f>
        <v>13247.04611678533</v>
      </c>
      <c r="P275" s="2">
        <f>('L-Values'!L275*'D(Ti_Jollands) Times'!$F275*0.000001)^2/(4*'D(Ti_Jollands) Times'!$C275)/(365.35*24*3600)</f>
        <v>2.7835343362029161</v>
      </c>
      <c r="Q275" s="2">
        <f>('L-Values'!M275*'D(Ti_Jollands) Times'!$F275*0.000001)^2/(4*'D(Ti_Jollands) Times'!$C275)/(365.35*24*3600)</f>
        <v>384.90362289656355</v>
      </c>
      <c r="R275" s="2">
        <f>('L-Values'!N275*'D(Ti_Jollands) Times'!$F275*0.000001)^2/(4*'D(Ti_Jollands) Times'!$C275)/(365.35*24*3600)</f>
        <v>148.66694514830638</v>
      </c>
      <c r="S275" s="2">
        <f>('L-Values'!O275*'D(Ti_Jollands) Times'!$F275*0.000001)^2/(4*'D(Ti_Jollands) Times'!$C275)/(365.35*24*3600)</f>
        <v>1764.607076194191</v>
      </c>
      <c r="T275" s="2"/>
      <c r="U275" s="2">
        <f>('L-Values'!Q275*'D(Ti_Jollands) Times'!$F275*0.000001)^2/(4*'D(Ti_Jollands) Times'!$C275)/(365.35*24*3600)</f>
        <v>305909.72295143455</v>
      </c>
      <c r="V275" s="2">
        <f>('L-Values'!R275*'D(Ti_Jollands) Times'!$F275*0.000001)^2/(4*'D(Ti_Jollands) Times'!$C275)/(365.35*24*3600)</f>
        <v>10550.143284643769</v>
      </c>
      <c r="W275" s="2">
        <f>('L-Values'!S275*'D(Ti_Jollands) Times'!$F275*0.000001)^2/(4*'D(Ti_Jollands) Times'!$C275)/(365.35*24*3600)</f>
        <v>1764.607076194191</v>
      </c>
      <c r="X275" s="2"/>
      <c r="Y275" s="2">
        <f>('L-Values'!U275*'D(Ti_Jollands) Times'!$F275*0.000001)^2/(4*'D(Ti_Jollands) Times'!$C275)/(365.35*24*3600)</f>
        <v>4274.4378076257299</v>
      </c>
      <c r="Z275" s="2">
        <f>('L-Values'!V275*'D(Ti_Jollands) Times'!$F275*0.000001)^2/(4*'D(Ti_Jollands) Times'!$C275)/(365.35*24*3600)</f>
        <v>96163.033321934097</v>
      </c>
      <c r="AA275" s="2">
        <f>('L-Values'!W275*'D(Ti_Jollands) Times'!$F275*0.000001)^2/(4*'D(Ti_Jollands) Times'!$C275)/(365.35*24*3600)</f>
        <v>3.4384803868313011E-11</v>
      </c>
      <c r="AB275" s="2">
        <f>('L-Values'!X275*'D(Ti_Jollands) Times'!$F275*0.000001)^2/(4*'D(Ti_Jollands) Times'!$C275)/(365.35*24*3600)</f>
        <v>1837554.2399506525</v>
      </c>
      <c r="AC275" s="2">
        <f t="shared" si="18"/>
        <v>96163.033321934068</v>
      </c>
      <c r="AD275" s="2">
        <f t="shared" si="19"/>
        <v>1741391.2066287184</v>
      </c>
    </row>
    <row r="276" spans="1:30" x14ac:dyDescent="0.2">
      <c r="A276" t="str">
        <f>'L-Values'!A276</f>
        <v>CGI014-qtz09-CL-fit-5-offset</v>
      </c>
      <c r="B276">
        <v>750</v>
      </c>
      <c r="C276">
        <f t="shared" si="16"/>
        <v>6.6965312637759184E-25</v>
      </c>
      <c r="D276">
        <v>1550</v>
      </c>
      <c r="E276">
        <v>1024</v>
      </c>
      <c r="F276">
        <f t="shared" si="17"/>
        <v>1.513671875</v>
      </c>
      <c r="I276" s="2">
        <f>('L-Values'!E276*'D(Ti_Jollands) Times'!$F276*0.000001)^2/(4*'D(Ti_Jollands) Times'!$C276)/(365.35*24*3600)</f>
        <v>186636.66965554433</v>
      </c>
      <c r="J276" s="2">
        <f>('L-Values'!F276*'D(Ti_Jollands) Times'!$F276*0.000001)^2/(4*'D(Ti_Jollands) Times'!$C276)/(365.35*24*3600)</f>
        <v>28224.368132182957</v>
      </c>
      <c r="K276" s="2">
        <f>('L-Values'!G276*'D(Ti_Jollands) Times'!$F276*0.000001)^2/(4*'D(Ti_Jollands) Times'!$C276)/(365.35*24*3600)</f>
        <v>44354.545418478505</v>
      </c>
      <c r="L276" s="2">
        <f>('L-Values'!H276*'D(Ti_Jollands) Times'!$F276*0.000001)^2/(4*'D(Ti_Jollands) Times'!$C276)/(365.35*24*3600)</f>
        <v>21166.688681423573</v>
      </c>
      <c r="M276" s="2">
        <f>('L-Values'!I276*'D(Ti_Jollands) Times'!$F276*0.000001)^2/(4*'D(Ti_Jollands) Times'!$C276)/(365.35*24*3600)</f>
        <v>145499.22471228341</v>
      </c>
      <c r="N276" s="2">
        <f>('L-Values'!J276*'D(Ti_Jollands) Times'!$F276*0.000001)^2/(4*'D(Ti_Jollands) Times'!$C276)/(365.35*24*3600)</f>
        <v>69741.368363374611</v>
      </c>
      <c r="O276" s="2">
        <f>('L-Values'!K276*'D(Ti_Jollands) Times'!$F276*0.000001)^2/(4*'D(Ti_Jollands) Times'!$C276)/(365.35*24*3600)</f>
        <v>60703.44349280082</v>
      </c>
      <c r="P276" s="2">
        <f>('L-Values'!L276*'D(Ti_Jollands) Times'!$F276*0.000001)^2/(4*'D(Ti_Jollands) Times'!$C276)/(365.35*24*3600)</f>
        <v>100978.7306197451</v>
      </c>
      <c r="Q276" s="2">
        <f>('L-Values'!M276*'D(Ti_Jollands) Times'!$F276*0.000001)^2/(4*'D(Ti_Jollands) Times'!$C276)/(365.35*24*3600)</f>
        <v>90482.992232222663</v>
      </c>
      <c r="R276" s="2">
        <f>('L-Values'!N276*'D(Ti_Jollands) Times'!$F276*0.000001)^2/(4*'D(Ti_Jollands) Times'!$C276)/(365.35*24*3600)</f>
        <v>65515.888828093011</v>
      </c>
      <c r="S276" s="2">
        <f>('L-Values'!O276*'D(Ti_Jollands) Times'!$F276*0.000001)^2/(4*'D(Ti_Jollands) Times'!$C276)/(365.35*24*3600)</f>
        <v>108257.83639462481</v>
      </c>
      <c r="T276" s="2"/>
      <c r="U276" s="2">
        <f>('L-Values'!Q276*'D(Ti_Jollands) Times'!$F276*0.000001)^2/(4*'D(Ti_Jollands) Times'!$C276)/(365.35*24*3600)</f>
        <v>84700.189581147861</v>
      </c>
      <c r="V276" s="2">
        <f>('L-Values'!R276*'D(Ti_Jollands) Times'!$F276*0.000001)^2/(4*'D(Ti_Jollands) Times'!$C276)/(365.35*24*3600)</f>
        <v>76959.870834931309</v>
      </c>
      <c r="W276" s="2">
        <f>('L-Values'!S276*'D(Ti_Jollands) Times'!$F276*0.000001)^2/(4*'D(Ti_Jollands) Times'!$C276)/(365.35*24*3600)</f>
        <v>69741.368363374611</v>
      </c>
      <c r="X276" s="2"/>
      <c r="Y276" s="2">
        <f>('L-Values'!U276*'D(Ti_Jollands) Times'!$F276*0.000001)^2/(4*'D(Ti_Jollands) Times'!$C276)/(365.35*24*3600)</f>
        <v>77931.462310437986</v>
      </c>
      <c r="Z276" s="2">
        <f>('L-Values'!V276*'D(Ti_Jollands) Times'!$F276*0.000001)^2/(4*'D(Ti_Jollands) Times'!$C276)/(365.35*24*3600)</f>
        <v>88784.596366009704</v>
      </c>
      <c r="AA276" s="2">
        <f>('L-Values'!W276*'D(Ti_Jollands) Times'!$F276*0.000001)^2/(4*'D(Ti_Jollands) Times'!$C276)/(365.35*24*3600)</f>
        <v>21808.322849290442</v>
      </c>
      <c r="AB276" s="2">
        <f>('L-Values'!X276*'D(Ti_Jollands) Times'!$F276*0.000001)^2/(4*'D(Ti_Jollands) Times'!$C276)/(365.35*24*3600)</f>
        <v>291784.22201766714</v>
      </c>
      <c r="AC276" s="2">
        <f t="shared" si="18"/>
        <v>66976.273516719259</v>
      </c>
      <c r="AD276" s="2">
        <f t="shared" si="19"/>
        <v>202999.62565165744</v>
      </c>
    </row>
    <row r="277" spans="1:30" x14ac:dyDescent="0.2">
      <c r="A277" t="str">
        <f>'L-Values'!A277</f>
        <v>CGI014-qtz10-CL-fit-1-offset</v>
      </c>
      <c r="B277">
        <v>750</v>
      </c>
      <c r="C277">
        <f t="shared" si="16"/>
        <v>6.6965312637759184E-25</v>
      </c>
      <c r="D277">
        <v>1550</v>
      </c>
      <c r="E277">
        <v>1024</v>
      </c>
      <c r="F277">
        <f t="shared" si="17"/>
        <v>1.513671875</v>
      </c>
      <c r="I277" s="2">
        <f>('L-Values'!E277*'D(Ti_Jollands) Times'!$F277*0.000001)^2/(4*'D(Ti_Jollands) Times'!$C277)/(365.35*24*3600)</f>
        <v>389814.86051339295</v>
      </c>
      <c r="J277" s="2">
        <f>('L-Values'!F277*'D(Ti_Jollands) Times'!$F277*0.000001)^2/(4*'D(Ti_Jollands) Times'!$C277)/(365.35*24*3600)</f>
        <v>331928.97273672116</v>
      </c>
      <c r="K277" s="2">
        <f>('L-Values'!G277*'D(Ti_Jollands) Times'!$F277*0.000001)^2/(4*'D(Ti_Jollands) Times'!$C277)/(365.35*24*3600)</f>
        <v>356560.10130674799</v>
      </c>
      <c r="L277" s="2">
        <f>('L-Values'!H277*'D(Ti_Jollands) Times'!$F277*0.000001)^2/(4*'D(Ti_Jollands) Times'!$C277)/(365.35*24*3600)</f>
        <v>356576.79007760383</v>
      </c>
      <c r="M277" s="2">
        <f>('L-Values'!I277*'D(Ti_Jollands) Times'!$F277*0.000001)^2/(4*'D(Ti_Jollands) Times'!$C277)/(365.35*24*3600)</f>
        <v>641226.36554397002</v>
      </c>
      <c r="N277" s="2">
        <f>('L-Values'!J277*'D(Ti_Jollands) Times'!$F277*0.000001)^2/(4*'D(Ti_Jollands) Times'!$C277)/(365.35*24*3600)</f>
        <v>292891.21983397967</v>
      </c>
      <c r="O277" s="2">
        <f>('L-Values'!K277*'D(Ti_Jollands) Times'!$F277*0.000001)^2/(4*'D(Ti_Jollands) Times'!$C277)/(365.35*24*3600)</f>
        <v>285247.7078513726</v>
      </c>
      <c r="P277" s="2">
        <f>('L-Values'!L277*'D(Ti_Jollands) Times'!$F277*0.000001)^2/(4*'D(Ti_Jollands) Times'!$C277)/(365.35*24*3600)</f>
        <v>252301.12143039494</v>
      </c>
      <c r="Q277" s="2">
        <f>('L-Values'!M277*'D(Ti_Jollands) Times'!$F277*0.000001)^2/(4*'D(Ti_Jollands) Times'!$C277)/(365.35*24*3600)</f>
        <v>431256.54372605064</v>
      </c>
      <c r="R277" s="2">
        <f>('L-Values'!N277*'D(Ti_Jollands) Times'!$F277*0.000001)^2/(4*'D(Ti_Jollands) Times'!$C277)/(365.35*24*3600)</f>
        <v>158234.04483301152</v>
      </c>
      <c r="S277" s="2">
        <f>('L-Values'!O277*'D(Ti_Jollands) Times'!$F277*0.000001)^2/(4*'D(Ti_Jollands) Times'!$C277)/(365.35*24*3600)</f>
        <v>163355.657582329</v>
      </c>
      <c r="T277" s="2"/>
      <c r="U277" s="2">
        <f>('L-Values'!Q277*'D(Ti_Jollands) Times'!$F277*0.000001)^2/(4*'D(Ti_Jollands) Times'!$C277)/(365.35*24*3600)</f>
        <v>321727.39312769077</v>
      </c>
      <c r="V277" s="2">
        <f>('L-Values'!R277*'D(Ti_Jollands) Times'!$F277*0.000001)^2/(4*'D(Ti_Jollands) Times'!$C277)/(365.35*24*3600)</f>
        <v>320948.40718100313</v>
      </c>
      <c r="W277" s="2">
        <f>('L-Values'!S277*'D(Ti_Jollands) Times'!$F277*0.000001)^2/(4*'D(Ti_Jollands) Times'!$C277)/(365.35*24*3600)</f>
        <v>331928.97273672116</v>
      </c>
      <c r="X277" s="2"/>
      <c r="Y277" s="2">
        <f>('L-Values'!U277*'D(Ti_Jollands) Times'!$F277*0.000001)^2/(4*'D(Ti_Jollands) Times'!$C277)/(365.35*24*3600)</f>
        <v>322903.64628619782</v>
      </c>
      <c r="Z277" s="2">
        <f>('L-Values'!V277*'D(Ti_Jollands) Times'!$F277*0.000001)^2/(4*'D(Ti_Jollands) Times'!$C277)/(365.35*24*3600)</f>
        <v>324496.90533543815</v>
      </c>
      <c r="AA277" s="2">
        <f>('L-Values'!W277*'D(Ti_Jollands) Times'!$F277*0.000001)^2/(4*'D(Ti_Jollands) Times'!$C277)/(365.35*24*3600)</f>
        <v>124855.68553122388</v>
      </c>
      <c r="AB277" s="2">
        <f>('L-Values'!X277*'D(Ti_Jollands) Times'!$F277*0.000001)^2/(4*'D(Ti_Jollands) Times'!$C277)/(365.35*24*3600)</f>
        <v>663388.84433297324</v>
      </c>
      <c r="AC277" s="2">
        <f t="shared" si="18"/>
        <v>199641.21980421426</v>
      </c>
      <c r="AD277" s="2">
        <f t="shared" si="19"/>
        <v>338891.93899753509</v>
      </c>
    </row>
    <row r="278" spans="1:30" x14ac:dyDescent="0.2">
      <c r="A278" t="str">
        <f>'L-Values'!A278</f>
        <v>CGI014-qtz10-CL-fit-2-offset</v>
      </c>
      <c r="B278">
        <v>750</v>
      </c>
      <c r="C278">
        <f t="shared" si="16"/>
        <v>6.6965312637759184E-25</v>
      </c>
      <c r="D278">
        <v>1550</v>
      </c>
      <c r="E278">
        <v>1024</v>
      </c>
      <c r="F278">
        <f t="shared" si="17"/>
        <v>1.513671875</v>
      </c>
      <c r="I278" s="2">
        <f>('L-Values'!E278*'D(Ti_Jollands) Times'!$F278*0.000001)^2/(4*'D(Ti_Jollands) Times'!$C278)/(365.35*24*3600)</f>
        <v>861173.5163996208</v>
      </c>
      <c r="J278" s="2">
        <f>('L-Values'!F278*'D(Ti_Jollands) Times'!$F278*0.000001)^2/(4*'D(Ti_Jollands) Times'!$C278)/(365.35*24*3600)</f>
        <v>1292623.014943368</v>
      </c>
      <c r="K278" s="2">
        <f>('L-Values'!G278*'D(Ti_Jollands) Times'!$F278*0.000001)^2/(4*'D(Ti_Jollands) Times'!$C278)/(365.35*24*3600)</f>
        <v>1133727.2205687007</v>
      </c>
      <c r="L278" s="2">
        <f>('L-Values'!H278*'D(Ti_Jollands) Times'!$F278*0.000001)^2/(4*'D(Ti_Jollands) Times'!$C278)/(365.35*24*3600)</f>
        <v>1043477.666025447</v>
      </c>
      <c r="M278" s="2">
        <f>('L-Values'!I278*'D(Ti_Jollands) Times'!$F278*0.000001)^2/(4*'D(Ti_Jollands) Times'!$C278)/(365.35*24*3600)</f>
        <v>1713491.4734706455</v>
      </c>
      <c r="N278" s="2">
        <f>('L-Values'!J278*'D(Ti_Jollands) Times'!$F278*0.000001)^2/(4*'D(Ti_Jollands) Times'!$C278)/(365.35*24*3600)</f>
        <v>1309966.7458641357</v>
      </c>
      <c r="O278" s="2">
        <f>('L-Values'!K278*'D(Ti_Jollands) Times'!$F278*0.000001)^2/(4*'D(Ti_Jollands) Times'!$C278)/(365.35*24*3600)</f>
        <v>2694643.9794061161</v>
      </c>
      <c r="P278" s="2">
        <f>('L-Values'!L278*'D(Ti_Jollands) Times'!$F278*0.000001)^2/(4*'D(Ti_Jollands) Times'!$C278)/(365.35*24*3600)</f>
        <v>1511039.4697269867</v>
      </c>
      <c r="Q278" s="2">
        <f>('L-Values'!M278*'D(Ti_Jollands) Times'!$F278*0.000001)^2/(4*'D(Ti_Jollands) Times'!$C278)/(365.35*24*3600)</f>
        <v>1007372.0435556081</v>
      </c>
      <c r="R278" s="2">
        <f>('L-Values'!N278*'D(Ti_Jollands) Times'!$F278*0.000001)^2/(4*'D(Ti_Jollands) Times'!$C278)/(365.35*24*3600)</f>
        <v>329076.22858613037</v>
      </c>
      <c r="S278" s="2">
        <f>('L-Values'!O278*'D(Ti_Jollands) Times'!$F278*0.000001)^2/(4*'D(Ti_Jollands) Times'!$C278)/(365.35*24*3600)</f>
        <v>1213952.9194772425</v>
      </c>
      <c r="T278" s="2"/>
      <c r="U278" s="2">
        <f>('L-Values'!Q278*'D(Ti_Jollands) Times'!$F278*0.000001)^2/(4*'D(Ti_Jollands) Times'!$C278)/(365.35*24*3600)</f>
        <v>1280108.3952131076</v>
      </c>
      <c r="V278" s="2">
        <f>('L-Values'!R278*'D(Ti_Jollands) Times'!$F278*0.000001)^2/(4*'D(Ti_Jollands) Times'!$C278)/(365.35*24*3600)</f>
        <v>1220955.1899707823</v>
      </c>
      <c r="W278" s="2">
        <f>('L-Values'!S278*'D(Ti_Jollands) Times'!$F278*0.000001)^2/(4*'D(Ti_Jollands) Times'!$C278)/(365.35*24*3600)</f>
        <v>1213952.9194772425</v>
      </c>
      <c r="X278" s="2"/>
      <c r="Y278" s="2">
        <f>('L-Values'!U278*'D(Ti_Jollands) Times'!$F278*0.000001)^2/(4*'D(Ti_Jollands) Times'!$C278)/(365.35*24*3600)</f>
        <v>1337008.3431111423</v>
      </c>
      <c r="Z278" s="2">
        <f>('L-Values'!V278*'D(Ti_Jollands) Times'!$F278*0.000001)^2/(4*'D(Ti_Jollands) Times'!$C278)/(365.35*24*3600)</f>
        <v>1360517.8322206482</v>
      </c>
      <c r="AA278" s="2">
        <f>('L-Values'!W278*'D(Ti_Jollands) Times'!$F278*0.000001)^2/(4*'D(Ti_Jollands) Times'!$C278)/(365.35*24*3600)</f>
        <v>328432.21657766594</v>
      </c>
      <c r="AB278" s="2">
        <f>('L-Values'!X278*'D(Ti_Jollands) Times'!$F278*0.000001)^2/(4*'D(Ti_Jollands) Times'!$C278)/(365.35*24*3600)</f>
        <v>3420468.2720185812</v>
      </c>
      <c r="AC278" s="2">
        <f t="shared" si="18"/>
        <v>1032085.6156429823</v>
      </c>
      <c r="AD278" s="2">
        <f t="shared" si="19"/>
        <v>2059950.439797933</v>
      </c>
    </row>
    <row r="279" spans="1:30" x14ac:dyDescent="0.2">
      <c r="A279" t="str">
        <f>'L-Values'!A279</f>
        <v>CGI014-qtz10-CL-fit-3-offset</v>
      </c>
      <c r="B279">
        <v>750</v>
      </c>
      <c r="C279">
        <f t="shared" si="16"/>
        <v>6.6965312637759184E-25</v>
      </c>
      <c r="D279">
        <v>1550</v>
      </c>
      <c r="E279">
        <v>1024</v>
      </c>
      <c r="F279">
        <f t="shared" si="17"/>
        <v>1.513671875</v>
      </c>
      <c r="I279" s="2">
        <f>('L-Values'!E279*'D(Ti_Jollands) Times'!$F279*0.000001)^2/(4*'D(Ti_Jollands) Times'!$C279)/(365.35*24*3600)</f>
        <v>78410.915763225246</v>
      </c>
      <c r="J279" s="2">
        <f>('L-Values'!F279*'D(Ti_Jollands) Times'!$F279*0.000001)^2/(4*'D(Ti_Jollands) Times'!$C279)/(365.35*24*3600)</f>
        <v>92532.370139137784</v>
      </c>
      <c r="K279" s="2">
        <f>('L-Values'!G279*'D(Ti_Jollands) Times'!$F279*0.000001)^2/(4*'D(Ti_Jollands) Times'!$C279)/(365.35*24*3600)</f>
        <v>16349.699891878774</v>
      </c>
      <c r="L279" s="2">
        <f>('L-Values'!H279*'D(Ti_Jollands) Times'!$F279*0.000001)^2/(4*'D(Ti_Jollands) Times'!$C279)/(365.35*24*3600)</f>
        <v>114385.28628234119</v>
      </c>
      <c r="M279" s="2">
        <f>('L-Values'!I279*'D(Ti_Jollands) Times'!$F279*0.000001)^2/(4*'D(Ti_Jollands) Times'!$C279)/(365.35*24*3600)</f>
        <v>159957.75583461838</v>
      </c>
      <c r="N279" s="2">
        <f>('L-Values'!J279*'D(Ti_Jollands) Times'!$F279*0.000001)^2/(4*'D(Ti_Jollands) Times'!$C279)/(365.35*24*3600)</f>
        <v>132153.3027426503</v>
      </c>
      <c r="O279" s="2">
        <f>('L-Values'!K279*'D(Ti_Jollands) Times'!$F279*0.000001)^2/(4*'D(Ti_Jollands) Times'!$C279)/(365.35*24*3600)</f>
        <v>69995.441940377117</v>
      </c>
      <c r="P279" s="2">
        <f>('L-Values'!L279*'D(Ti_Jollands) Times'!$F279*0.000001)^2/(4*'D(Ti_Jollands) Times'!$C279)/(365.35*24*3600)</f>
        <v>197827.7054499927</v>
      </c>
      <c r="Q279" s="2">
        <f>('L-Values'!M279*'D(Ti_Jollands) Times'!$F279*0.000001)^2/(4*'D(Ti_Jollands) Times'!$C279)/(365.35*24*3600)</f>
        <v>24906.638823354522</v>
      </c>
      <c r="R279" s="2">
        <f>('L-Values'!N279*'D(Ti_Jollands) Times'!$F279*0.000001)^2/(4*'D(Ti_Jollands) Times'!$C279)/(365.35*24*3600)</f>
        <v>36998.168382153563</v>
      </c>
      <c r="S279" s="2">
        <f>('L-Values'!O279*'D(Ti_Jollands) Times'!$F279*0.000001)^2/(4*'D(Ti_Jollands) Times'!$C279)/(365.35*24*3600)</f>
        <v>151333.98038736891</v>
      </c>
      <c r="T279" s="2"/>
      <c r="U279" s="2">
        <f>('L-Values'!Q279*'D(Ti_Jollands) Times'!$F279*0.000001)^2/(4*'D(Ti_Jollands) Times'!$C279)/(365.35*24*3600)</f>
        <v>73351.466155905204</v>
      </c>
      <c r="V279" s="2">
        <f>('L-Values'!R279*'D(Ti_Jollands) Times'!$F279*0.000001)^2/(4*'D(Ti_Jollands) Times'!$C279)/(365.35*24*3600)</f>
        <v>87954.885452745672</v>
      </c>
      <c r="W279" s="2">
        <f>('L-Values'!S279*'D(Ti_Jollands) Times'!$F279*0.000001)^2/(4*'D(Ti_Jollands) Times'!$C279)/(365.35*24*3600)</f>
        <v>92532.370139137784</v>
      </c>
      <c r="X279" s="2"/>
      <c r="Y279" s="2">
        <f>('L-Values'!U279*'D(Ti_Jollands) Times'!$F279*0.000001)^2/(4*'D(Ti_Jollands) Times'!$C279)/(365.35*24*3600)</f>
        <v>62154.071287280167</v>
      </c>
      <c r="Z279" s="2">
        <f>('L-Values'!V279*'D(Ti_Jollands) Times'!$F279*0.000001)^2/(4*'D(Ti_Jollands) Times'!$C279)/(365.35*24*3600)</f>
        <v>64794.278468505021</v>
      </c>
      <c r="AA279" s="2">
        <f>('L-Values'!W279*'D(Ti_Jollands) Times'!$F279*0.000001)^2/(4*'D(Ti_Jollands) Times'!$C279)/(365.35*24*3600)</f>
        <v>58.670902680732084</v>
      </c>
      <c r="AB279" s="2">
        <f>('L-Values'!X279*'D(Ti_Jollands) Times'!$F279*0.000001)^2/(4*'D(Ti_Jollands) Times'!$C279)/(365.35*24*3600)</f>
        <v>322763.84868429764</v>
      </c>
      <c r="AC279" s="2">
        <f t="shared" si="18"/>
        <v>64735.607565824292</v>
      </c>
      <c r="AD279" s="2">
        <f t="shared" si="19"/>
        <v>257969.57021579263</v>
      </c>
    </row>
    <row r="280" spans="1:30" x14ac:dyDescent="0.2">
      <c r="A280" t="str">
        <f>'L-Values'!A280</f>
        <v>CGI014-qtz10-CL-fit-4-offset</v>
      </c>
      <c r="B280">
        <v>750</v>
      </c>
      <c r="C280">
        <f t="shared" si="16"/>
        <v>6.6965312637759184E-25</v>
      </c>
      <c r="D280">
        <v>1550</v>
      </c>
      <c r="E280">
        <v>1024</v>
      </c>
      <c r="F280">
        <f t="shared" si="17"/>
        <v>1.513671875</v>
      </c>
      <c r="I280" s="2">
        <f>('L-Values'!E280*'D(Ti_Jollands) Times'!$F280*0.000001)^2/(4*'D(Ti_Jollands) Times'!$C280)/(365.35*24*3600)</f>
        <v>15604.264390264258</v>
      </c>
      <c r="J280" s="2">
        <f>('L-Values'!F280*'D(Ti_Jollands) Times'!$F280*0.000001)^2/(4*'D(Ti_Jollands) Times'!$C280)/(365.35*24*3600)</f>
        <v>105306.92061396511</v>
      </c>
      <c r="K280" s="2">
        <f>('L-Values'!G280*'D(Ti_Jollands) Times'!$F280*0.000001)^2/(4*'D(Ti_Jollands) Times'!$C280)/(365.35*24*3600)</f>
        <v>85452.434299790431</v>
      </c>
      <c r="L280" s="2">
        <f>('L-Values'!H280*'D(Ti_Jollands) Times'!$F280*0.000001)^2/(4*'D(Ti_Jollands) Times'!$C280)/(365.35*24*3600)</f>
        <v>177074.4841770982</v>
      </c>
      <c r="M280" s="2">
        <f>('L-Values'!I280*'D(Ti_Jollands) Times'!$F280*0.000001)^2/(4*'D(Ti_Jollands) Times'!$C280)/(365.35*24*3600)</f>
        <v>96633.249138114435</v>
      </c>
      <c r="N280" s="2">
        <f>('L-Values'!J280*'D(Ti_Jollands) Times'!$F280*0.000001)^2/(4*'D(Ti_Jollands) Times'!$C280)/(365.35*24*3600)</f>
        <v>22327.250867798171</v>
      </c>
      <c r="O280" s="2">
        <f>('L-Values'!K280*'D(Ti_Jollands) Times'!$F280*0.000001)^2/(4*'D(Ti_Jollands) Times'!$C280)/(365.35*24*3600)</f>
        <v>75847.521859894652</v>
      </c>
      <c r="P280" s="2">
        <f>('L-Values'!L280*'D(Ti_Jollands) Times'!$F280*0.000001)^2/(4*'D(Ti_Jollands) Times'!$C280)/(365.35*24*3600)</f>
        <v>62861.624781773215</v>
      </c>
      <c r="Q280" s="2">
        <f>('L-Values'!M280*'D(Ti_Jollands) Times'!$F280*0.000001)^2/(4*'D(Ti_Jollands) Times'!$C280)/(365.35*24*3600)</f>
        <v>117787.97628508897</v>
      </c>
      <c r="R280" s="2">
        <f>('L-Values'!N280*'D(Ti_Jollands) Times'!$F280*0.000001)^2/(4*'D(Ti_Jollands) Times'!$C280)/(365.35*24*3600)</f>
        <v>120960.97965836622</v>
      </c>
      <c r="S280" s="2">
        <f>('L-Values'!O280*'D(Ti_Jollands) Times'!$F280*0.000001)^2/(4*'D(Ti_Jollands) Times'!$C280)/(365.35*24*3600)</f>
        <v>204594.24588924283</v>
      </c>
      <c r="T280" s="2"/>
      <c r="U280" s="2">
        <f>('L-Values'!Q280*'D(Ti_Jollands) Times'!$F280*0.000001)^2/(4*'D(Ti_Jollands) Times'!$C280)/(365.35*24*3600)</f>
        <v>98022.024127584751</v>
      </c>
      <c r="V280" s="2">
        <f>('L-Values'!R280*'D(Ti_Jollands) Times'!$F280*0.000001)^2/(4*'D(Ti_Jollands) Times'!$C280)/(365.35*24*3600)</f>
        <v>89579.312451805745</v>
      </c>
      <c r="W280" s="2">
        <f>('L-Values'!S280*'D(Ti_Jollands) Times'!$F280*0.000001)^2/(4*'D(Ti_Jollands) Times'!$C280)/(365.35*24*3600)</f>
        <v>96633.249138114435</v>
      </c>
      <c r="X280" s="2"/>
      <c r="Y280" s="2">
        <f>('L-Values'!U280*'D(Ti_Jollands) Times'!$F280*0.000001)^2/(4*'D(Ti_Jollands) Times'!$C280)/(365.35*24*3600)</f>
        <v>87284.611143526752</v>
      </c>
      <c r="Z280" s="2">
        <f>('L-Values'!V280*'D(Ti_Jollands) Times'!$F280*0.000001)^2/(4*'D(Ti_Jollands) Times'!$C280)/(365.35*24*3600)</f>
        <v>94394.570828045384</v>
      </c>
      <c r="AA280" s="2">
        <f>('L-Values'!W280*'D(Ti_Jollands) Times'!$F280*0.000001)^2/(4*'D(Ti_Jollands) Times'!$C280)/(365.35*24*3600)</f>
        <v>15761.933993098402</v>
      </c>
      <c r="AB280" s="2">
        <f>('L-Values'!X280*'D(Ti_Jollands) Times'!$F280*0.000001)^2/(4*'D(Ti_Jollands) Times'!$C280)/(365.35*24*3600)</f>
        <v>285335.53111334005</v>
      </c>
      <c r="AC280" s="2">
        <f t="shared" si="18"/>
        <v>78632.636834946985</v>
      </c>
      <c r="AD280" s="2">
        <f t="shared" si="19"/>
        <v>190940.96028529468</v>
      </c>
    </row>
    <row r="281" spans="1:30" x14ac:dyDescent="0.2">
      <c r="A281" t="str">
        <f>'L-Values'!A281</f>
        <v>CGI014-qtz11-CL-fit-1-offset</v>
      </c>
      <c r="B281">
        <v>750</v>
      </c>
      <c r="C281">
        <f t="shared" si="16"/>
        <v>6.6965312637759184E-25</v>
      </c>
      <c r="D281">
        <v>1500</v>
      </c>
      <c r="E281">
        <v>1024</v>
      </c>
      <c r="F281">
        <f t="shared" si="17"/>
        <v>1.46484375</v>
      </c>
      <c r="I281" s="2">
        <f>('L-Values'!E281*'D(Ti_Jollands) Times'!$F281*0.000001)^2/(4*'D(Ti_Jollands) Times'!$C281)/(365.35*24*3600)</f>
        <v>1169479.9325327701</v>
      </c>
      <c r="J281" s="2">
        <f>('L-Values'!F281*'D(Ti_Jollands) Times'!$F281*0.000001)^2/(4*'D(Ti_Jollands) Times'!$C281)/(365.35*24*3600)</f>
        <v>1056490.8474895887</v>
      </c>
      <c r="K281" s="2">
        <f>('L-Values'!G281*'D(Ti_Jollands) Times'!$F281*0.000001)^2/(4*'D(Ti_Jollands) Times'!$C281)/(365.35*24*3600)</f>
        <v>879648.01880457916</v>
      </c>
      <c r="L281" s="2">
        <f>('L-Values'!H281*'D(Ti_Jollands) Times'!$F281*0.000001)^2/(4*'D(Ti_Jollands) Times'!$C281)/(365.35*24*3600)</f>
        <v>1646916.0143238406</v>
      </c>
      <c r="M281" s="2">
        <f>('L-Values'!I281*'D(Ti_Jollands) Times'!$F281*0.000001)^2/(4*'D(Ti_Jollands) Times'!$C281)/(365.35*24*3600)</f>
        <v>929245.40858471359</v>
      </c>
      <c r="N281" s="2">
        <f>('L-Values'!J281*'D(Ti_Jollands) Times'!$F281*0.000001)^2/(4*'D(Ti_Jollands) Times'!$C281)/(365.35*24*3600)</f>
        <v>675543.90633925097</v>
      </c>
      <c r="O281" s="2">
        <f>('L-Values'!K281*'D(Ti_Jollands) Times'!$F281*0.000001)^2/(4*'D(Ti_Jollands) Times'!$C281)/(365.35*24*3600)</f>
        <v>472026.39865234838</v>
      </c>
      <c r="P281" s="2">
        <f>('L-Values'!L281*'D(Ti_Jollands) Times'!$F281*0.000001)^2/(4*'D(Ti_Jollands) Times'!$C281)/(365.35*24*3600)</f>
        <v>662789.82197086979</v>
      </c>
      <c r="Q281" s="2">
        <f>('L-Values'!M281*'D(Ti_Jollands) Times'!$F281*0.000001)^2/(4*'D(Ti_Jollands) Times'!$C281)/(365.35*24*3600)</f>
        <v>759662.33285789867</v>
      </c>
      <c r="R281" s="2">
        <f>('L-Values'!N281*'D(Ti_Jollands) Times'!$F281*0.000001)^2/(4*'D(Ti_Jollands) Times'!$C281)/(365.35*24*3600)</f>
        <v>706273.37925136345</v>
      </c>
      <c r="S281" s="2">
        <f>('L-Values'!O281*'D(Ti_Jollands) Times'!$F281*0.000001)^2/(4*'D(Ti_Jollands) Times'!$C281)/(365.35*24*3600)</f>
        <v>986388.95568032202</v>
      </c>
      <c r="T281" s="2"/>
      <c r="U281" s="2">
        <f>('L-Values'!Q281*'D(Ti_Jollands) Times'!$F281*0.000001)^2/(4*'D(Ti_Jollands) Times'!$C281)/(365.35*24*3600)</f>
        <v>852366.65759567078</v>
      </c>
      <c r="V281" s="2">
        <f>('L-Values'!R281*'D(Ti_Jollands) Times'!$F281*0.000001)^2/(4*'D(Ti_Jollands) Times'!$C281)/(365.35*24*3600)</f>
        <v>880647.02458806289</v>
      </c>
      <c r="W281" s="2">
        <f>('L-Values'!S281*'D(Ti_Jollands) Times'!$F281*0.000001)^2/(4*'D(Ti_Jollands) Times'!$C281)/(365.35*24*3600)</f>
        <v>879648.01880457916</v>
      </c>
      <c r="X281" s="2"/>
      <c r="Y281" s="2">
        <f>('L-Values'!U281*'D(Ti_Jollands) Times'!$F281*0.000001)^2/(4*'D(Ti_Jollands) Times'!$C281)/(365.35*24*3600)</f>
        <v>834859.72143462114</v>
      </c>
      <c r="Z281" s="2">
        <f>('L-Values'!V281*'D(Ti_Jollands) Times'!$F281*0.000001)^2/(4*'D(Ti_Jollands) Times'!$C281)/(365.35*24*3600)</f>
        <v>861888.8347760787</v>
      </c>
      <c r="AA281" s="2">
        <f>('L-Values'!W281*'D(Ti_Jollands) Times'!$F281*0.000001)^2/(4*'D(Ti_Jollands) Times'!$C281)/(365.35*24*3600)</f>
        <v>415041.59519149445</v>
      </c>
      <c r="AB281" s="2">
        <f>('L-Values'!X281*'D(Ti_Jollands) Times'!$F281*0.000001)^2/(4*'D(Ti_Jollands) Times'!$C281)/(365.35*24*3600)</f>
        <v>1829695.6814133378</v>
      </c>
      <c r="AC281" s="2">
        <f t="shared" si="18"/>
        <v>446847.23958458425</v>
      </c>
      <c r="AD281" s="2">
        <f t="shared" si="19"/>
        <v>967806.84663725912</v>
      </c>
    </row>
    <row r="282" spans="1:30" x14ac:dyDescent="0.2">
      <c r="A282" t="str">
        <f>'L-Values'!A282</f>
        <v>CGI014-qtz11-CL-fit-2-offset</v>
      </c>
      <c r="B282">
        <v>750</v>
      </c>
      <c r="C282">
        <f t="shared" si="16"/>
        <v>6.6965312637759184E-25</v>
      </c>
      <c r="D282">
        <v>1500</v>
      </c>
      <c r="E282">
        <v>1024</v>
      </c>
      <c r="F282">
        <f t="shared" si="17"/>
        <v>1.46484375</v>
      </c>
      <c r="I282" s="2">
        <f>('L-Values'!E282*'D(Ti_Jollands) Times'!$F282*0.000001)^2/(4*'D(Ti_Jollands) Times'!$C282)/(365.35*24*3600)</f>
        <v>3054917.5062921606</v>
      </c>
      <c r="J282" s="2">
        <f>('L-Values'!F282*'D(Ti_Jollands) Times'!$F282*0.000001)^2/(4*'D(Ti_Jollands) Times'!$C282)/(365.35*24*3600)</f>
        <v>3888815.7677063169</v>
      </c>
      <c r="K282" s="2">
        <f>('L-Values'!G282*'D(Ti_Jollands) Times'!$F282*0.000001)^2/(4*'D(Ti_Jollands) Times'!$C282)/(365.35*24*3600)</f>
        <v>2283291.9730464728</v>
      </c>
      <c r="L282" s="2">
        <f>('L-Values'!H282*'D(Ti_Jollands) Times'!$F282*0.000001)^2/(4*'D(Ti_Jollands) Times'!$C282)/(365.35*24*3600)</f>
        <v>2729492.9805350946</v>
      </c>
      <c r="M282" s="2">
        <f>('L-Values'!I282*'D(Ti_Jollands) Times'!$F282*0.000001)^2/(4*'D(Ti_Jollands) Times'!$C282)/(365.35*24*3600)</f>
        <v>3023878.5946071129</v>
      </c>
      <c r="N282" s="2">
        <f>('L-Values'!J282*'D(Ti_Jollands) Times'!$F282*0.000001)^2/(4*'D(Ti_Jollands) Times'!$C282)/(365.35*24*3600)</f>
        <v>3109328.536573879</v>
      </c>
      <c r="O282" s="2">
        <f>('L-Values'!K282*'D(Ti_Jollands) Times'!$F282*0.000001)^2/(4*'D(Ti_Jollands) Times'!$C282)/(365.35*24*3600)</f>
        <v>2883082.9520013737</v>
      </c>
      <c r="P282" s="2">
        <f>('L-Values'!L282*'D(Ti_Jollands) Times'!$F282*0.000001)^2/(4*'D(Ti_Jollands) Times'!$C282)/(365.35*24*3600)</f>
        <v>3223038.8365344163</v>
      </c>
      <c r="Q282" s="2">
        <f>('L-Values'!M282*'D(Ti_Jollands) Times'!$F282*0.000001)^2/(4*'D(Ti_Jollands) Times'!$C282)/(365.35*24*3600)</f>
        <v>1992658.0966603262</v>
      </c>
      <c r="R282" s="2">
        <f>('L-Values'!N282*'D(Ti_Jollands) Times'!$F282*0.000001)^2/(4*'D(Ti_Jollands) Times'!$C282)/(365.35*24*3600)</f>
        <v>2709219.7514339704</v>
      </c>
      <c r="S282" s="2">
        <f>('L-Values'!O282*'D(Ti_Jollands) Times'!$F282*0.000001)^2/(4*'D(Ti_Jollands) Times'!$C282)/(365.35*24*3600)</f>
        <v>3436899.2771010827</v>
      </c>
      <c r="T282" s="2"/>
      <c r="U282" s="2">
        <f>('L-Values'!Q282*'D(Ti_Jollands) Times'!$F282*0.000001)^2/(4*'D(Ti_Jollands) Times'!$C282)/(365.35*24*3600)</f>
        <v>2946917.1849186402</v>
      </c>
      <c r="V282" s="2">
        <f>('L-Values'!R282*'D(Ti_Jollands) Times'!$F282*0.000001)^2/(4*'D(Ti_Jollands) Times'!$C282)/(365.35*24*3600)</f>
        <v>2917883.3365695314</v>
      </c>
      <c r="W282" s="2">
        <f>('L-Values'!S282*'D(Ti_Jollands) Times'!$F282*0.000001)^2/(4*'D(Ti_Jollands) Times'!$C282)/(365.35*24*3600)</f>
        <v>3023878.5946071129</v>
      </c>
      <c r="X282" s="2"/>
      <c r="Y282" s="2">
        <f>('L-Values'!U282*'D(Ti_Jollands) Times'!$F282*0.000001)^2/(4*'D(Ti_Jollands) Times'!$C282)/(365.35*24*3600)</f>
        <v>2901854.4337668456</v>
      </c>
      <c r="Z282" s="2">
        <f>('L-Values'!V282*'D(Ti_Jollands) Times'!$F282*0.000001)^2/(4*'D(Ti_Jollands) Times'!$C282)/(365.35*24*3600)</f>
        <v>2910314.3313849689</v>
      </c>
      <c r="AA282" s="2">
        <f>('L-Values'!W282*'D(Ti_Jollands) Times'!$F282*0.000001)^2/(4*'D(Ti_Jollands) Times'!$C282)/(365.35*24*3600)</f>
        <v>2059249.5172221623</v>
      </c>
      <c r="AB282" s="2">
        <f>('L-Values'!X282*'D(Ti_Jollands) Times'!$F282*0.000001)^2/(4*'D(Ti_Jollands) Times'!$C282)/(365.35*24*3600)</f>
        <v>4121282.8177602566</v>
      </c>
      <c r="AC282" s="2">
        <f t="shared" si="18"/>
        <v>851064.81416280661</v>
      </c>
      <c r="AD282" s="2">
        <f t="shared" si="19"/>
        <v>1210968.4863752876</v>
      </c>
    </row>
    <row r="283" spans="1:30" x14ac:dyDescent="0.2">
      <c r="A283" t="str">
        <f>'L-Values'!A283</f>
        <v>CGI014-qtz11-CL-fit-3-offset</v>
      </c>
      <c r="B283">
        <v>750</v>
      </c>
      <c r="C283">
        <f t="shared" si="16"/>
        <v>6.6965312637759184E-25</v>
      </c>
      <c r="D283">
        <v>1500</v>
      </c>
      <c r="E283">
        <v>1024</v>
      </c>
      <c r="F283">
        <f t="shared" si="17"/>
        <v>1.46484375</v>
      </c>
      <c r="I283" s="2">
        <f>('L-Values'!E283*'D(Ti_Jollands) Times'!$F283*0.000001)^2/(4*'D(Ti_Jollands) Times'!$C283)/(365.35*24*3600)</f>
        <v>225898.47360577944</v>
      </c>
      <c r="J283" s="2">
        <f>('L-Values'!F283*'D(Ti_Jollands) Times'!$F283*0.000001)^2/(4*'D(Ti_Jollands) Times'!$C283)/(365.35*24*3600)</f>
        <v>576767.59852519317</v>
      </c>
      <c r="K283" s="2">
        <f>('L-Values'!G283*'D(Ti_Jollands) Times'!$F283*0.000001)^2/(4*'D(Ti_Jollands) Times'!$C283)/(365.35*24*3600)</f>
        <v>598151.34281381767</v>
      </c>
      <c r="L283" s="2">
        <f>('L-Values'!H283*'D(Ti_Jollands) Times'!$F283*0.000001)^2/(4*'D(Ti_Jollands) Times'!$C283)/(365.35*24*3600)</f>
        <v>285530.05157006299</v>
      </c>
      <c r="M283" s="2">
        <f>('L-Values'!I283*'D(Ti_Jollands) Times'!$F283*0.000001)^2/(4*'D(Ti_Jollands) Times'!$C283)/(365.35*24*3600)</f>
        <v>585808.37515356345</v>
      </c>
      <c r="N283" s="2">
        <f>('L-Values'!J283*'D(Ti_Jollands) Times'!$F283*0.000001)^2/(4*'D(Ti_Jollands) Times'!$C283)/(365.35*24*3600)</f>
        <v>378318.53062627633</v>
      </c>
      <c r="O283" s="2">
        <f>('L-Values'!K283*'D(Ti_Jollands) Times'!$F283*0.000001)^2/(4*'D(Ti_Jollands) Times'!$C283)/(365.35*24*3600)</f>
        <v>498380.01137620129</v>
      </c>
      <c r="P283" s="2">
        <f>('L-Values'!L283*'D(Ti_Jollands) Times'!$F283*0.000001)^2/(4*'D(Ti_Jollands) Times'!$C283)/(365.35*24*3600)</f>
        <v>378429.22986701253</v>
      </c>
      <c r="Q283" s="2">
        <f>('L-Values'!M283*'D(Ti_Jollands) Times'!$F283*0.000001)^2/(4*'D(Ti_Jollands) Times'!$C283)/(365.35*24*3600)</f>
        <v>504208.63520589733</v>
      </c>
      <c r="R283" s="2">
        <f>('L-Values'!N283*'D(Ti_Jollands) Times'!$F283*0.000001)^2/(4*'D(Ti_Jollands) Times'!$C283)/(365.35*24*3600)</f>
        <v>552560.8605860956</v>
      </c>
      <c r="S283" s="2">
        <f>('L-Values'!O283*'D(Ti_Jollands) Times'!$F283*0.000001)^2/(4*'D(Ti_Jollands) Times'!$C283)/(365.35*24*3600)</f>
        <v>531418.31087237876</v>
      </c>
      <c r="T283" s="2"/>
      <c r="U283" s="2">
        <f>('L-Values'!Q283*'D(Ti_Jollands) Times'!$F283*0.000001)^2/(4*'D(Ti_Jollands) Times'!$C283)/(365.35*24*3600)</f>
        <v>464985.00390599092</v>
      </c>
      <c r="V283" s="2">
        <f>('L-Values'!R283*'D(Ti_Jollands) Times'!$F283*0.000001)^2/(4*'D(Ti_Jollands) Times'!$C283)/(365.35*24*3600)</f>
        <v>455806.82958905125</v>
      </c>
      <c r="W283" s="2">
        <f>('L-Values'!S283*'D(Ti_Jollands) Times'!$F283*0.000001)^2/(4*'D(Ti_Jollands) Times'!$C283)/(365.35*24*3600)</f>
        <v>504208.63520589733</v>
      </c>
      <c r="X283" s="2"/>
      <c r="Y283" s="2">
        <f>('L-Values'!U283*'D(Ti_Jollands) Times'!$F283*0.000001)^2/(4*'D(Ti_Jollands) Times'!$C283)/(365.35*24*3600)</f>
        <v>474170.54235905083</v>
      </c>
      <c r="Z283" s="2">
        <f>('L-Values'!V283*'D(Ti_Jollands) Times'!$F283*0.000001)^2/(4*'D(Ti_Jollands) Times'!$C283)/(365.35*24*3600)</f>
        <v>468686.25335051981</v>
      </c>
      <c r="AA283" s="2">
        <f>('L-Values'!W283*'D(Ti_Jollands) Times'!$F283*0.000001)^2/(4*'D(Ti_Jollands) Times'!$C283)/(365.35*24*3600)</f>
        <v>268045.74192885298</v>
      </c>
      <c r="AB283" s="2">
        <f>('L-Values'!X283*'D(Ti_Jollands) Times'!$F283*0.000001)^2/(4*'D(Ti_Jollands) Times'!$C283)/(365.35*24*3600)</f>
        <v>750890.51725281484</v>
      </c>
      <c r="AC283" s="2">
        <f t="shared" si="18"/>
        <v>200640.51142166683</v>
      </c>
      <c r="AD283" s="2">
        <f t="shared" si="19"/>
        <v>282204.26390229503</v>
      </c>
    </row>
    <row r="284" spans="1:30" x14ac:dyDescent="0.2">
      <c r="A284" t="str">
        <f>'L-Values'!A284</f>
        <v>CGI014-qtz11-CL-fit-4-offset</v>
      </c>
      <c r="B284">
        <v>750</v>
      </c>
      <c r="C284">
        <f t="shared" si="16"/>
        <v>6.6965312637759184E-25</v>
      </c>
      <c r="D284">
        <v>1500</v>
      </c>
      <c r="E284">
        <v>1024</v>
      </c>
      <c r="F284">
        <f t="shared" si="17"/>
        <v>1.46484375</v>
      </c>
      <c r="I284" s="2">
        <f>('L-Values'!E284*'D(Ti_Jollands) Times'!$F284*0.000001)^2/(4*'D(Ti_Jollands) Times'!$C284)/(365.35*24*3600)</f>
        <v>125696.74252246009</v>
      </c>
      <c r="J284" s="2">
        <f>('L-Values'!F284*'D(Ti_Jollands) Times'!$F284*0.000001)^2/(4*'D(Ti_Jollands) Times'!$C284)/(365.35*24*3600)</f>
        <v>198923.85093215248</v>
      </c>
      <c r="K284" s="2">
        <f>('L-Values'!G284*'D(Ti_Jollands) Times'!$F284*0.000001)^2/(4*'D(Ti_Jollands) Times'!$C284)/(365.35*24*3600)</f>
        <v>152409.78484243041</v>
      </c>
      <c r="L284" s="2">
        <f>('L-Values'!H284*'D(Ti_Jollands) Times'!$F284*0.000001)^2/(4*'D(Ti_Jollands) Times'!$C284)/(365.35*24*3600)</f>
        <v>113207.04569970147</v>
      </c>
      <c r="M284" s="2">
        <f>('L-Values'!I284*'D(Ti_Jollands) Times'!$F284*0.000001)^2/(4*'D(Ti_Jollands) Times'!$C284)/(365.35*24*3600)</f>
        <v>115753.32913536039</v>
      </c>
      <c r="N284" s="2">
        <f>('L-Values'!J284*'D(Ti_Jollands) Times'!$F284*0.000001)^2/(4*'D(Ti_Jollands) Times'!$C284)/(365.35*24*3600)</f>
        <v>105662.72967471449</v>
      </c>
      <c r="O284" s="2">
        <f>('L-Values'!K284*'D(Ti_Jollands) Times'!$F284*0.000001)^2/(4*'D(Ti_Jollands) Times'!$C284)/(365.35*24*3600)</f>
        <v>102805.36536288157</v>
      </c>
      <c r="P284" s="2">
        <f>('L-Values'!L284*'D(Ti_Jollands) Times'!$F284*0.000001)^2/(4*'D(Ti_Jollands) Times'!$C284)/(365.35*24*3600)</f>
        <v>73562.458741204915</v>
      </c>
      <c r="Q284" s="2">
        <f>('L-Values'!M284*'D(Ti_Jollands) Times'!$F284*0.000001)^2/(4*'D(Ti_Jollands) Times'!$C284)/(365.35*24*3600)</f>
        <v>115447.75433976806</v>
      </c>
      <c r="R284" s="2">
        <f>('L-Values'!N284*'D(Ti_Jollands) Times'!$F284*0.000001)^2/(4*'D(Ti_Jollands) Times'!$C284)/(365.35*24*3600)</f>
        <v>98900.737735069284</v>
      </c>
      <c r="S284" s="2">
        <f>('L-Values'!O284*'D(Ti_Jollands) Times'!$F284*0.000001)^2/(4*'D(Ti_Jollands) Times'!$C284)/(365.35*24*3600)</f>
        <v>19978.154998293496</v>
      </c>
      <c r="T284" s="2"/>
      <c r="U284" s="2">
        <f>('L-Values'!Q284*'D(Ti_Jollands) Times'!$F284*0.000001)^2/(4*'D(Ti_Jollands) Times'!$C284)/(365.35*24*3600)</f>
        <v>105204.56342317506</v>
      </c>
      <c r="V284" s="2">
        <f>('L-Values'!R284*'D(Ti_Jollands) Times'!$F284*0.000001)^2/(4*'D(Ti_Jollands) Times'!$C284)/(365.35*24*3600)</f>
        <v>105929.59022646649</v>
      </c>
      <c r="W284" s="2">
        <f>('L-Values'!S284*'D(Ti_Jollands) Times'!$F284*0.000001)^2/(4*'D(Ti_Jollands) Times'!$C284)/(365.35*24*3600)</f>
        <v>113207.04569970147</v>
      </c>
      <c r="X284" s="2"/>
      <c r="Y284" s="2">
        <f>('L-Values'!U284*'D(Ti_Jollands) Times'!$F284*0.000001)^2/(4*'D(Ti_Jollands) Times'!$C284)/(365.35*24*3600)</f>
        <v>100627.18611149993</v>
      </c>
      <c r="Z284" s="2">
        <f>('L-Values'!V284*'D(Ti_Jollands) Times'!$F284*0.000001)^2/(4*'D(Ti_Jollands) Times'!$C284)/(365.35*24*3600)</f>
        <v>88820.037448351053</v>
      </c>
      <c r="AA284" s="2">
        <f>('L-Values'!W284*'D(Ti_Jollands) Times'!$F284*0.000001)^2/(4*'D(Ti_Jollands) Times'!$C284)/(365.35*24*3600)</f>
        <v>2879.489157145048</v>
      </c>
      <c r="AB284" s="2">
        <f>('L-Values'!X284*'D(Ti_Jollands) Times'!$F284*0.000001)^2/(4*'D(Ti_Jollands) Times'!$C284)/(365.35*24*3600)</f>
        <v>268123.66664851713</v>
      </c>
      <c r="AC284" s="2">
        <f t="shared" si="18"/>
        <v>85940.548291206011</v>
      </c>
      <c r="AD284" s="2">
        <f t="shared" si="19"/>
        <v>179303.62920016609</v>
      </c>
    </row>
    <row r="285" spans="1:30" x14ac:dyDescent="0.2">
      <c r="A285" t="str">
        <f>'L-Values'!A285</f>
        <v>CGI014-qtz11-CL-fit-5-offset</v>
      </c>
      <c r="B285">
        <v>750</v>
      </c>
      <c r="C285">
        <f t="shared" si="16"/>
        <v>6.6965312637759184E-25</v>
      </c>
      <c r="D285">
        <v>1500</v>
      </c>
      <c r="E285">
        <v>1024</v>
      </c>
      <c r="F285">
        <f t="shared" si="17"/>
        <v>1.46484375</v>
      </c>
      <c r="I285" s="2">
        <f>('L-Values'!E285*'D(Ti_Jollands) Times'!$F285*0.000001)^2/(4*'D(Ti_Jollands) Times'!$C285)/(365.35*24*3600)</f>
        <v>32274.34256135119</v>
      </c>
      <c r="J285" s="2">
        <f>('L-Values'!F285*'D(Ti_Jollands) Times'!$F285*0.000001)^2/(4*'D(Ti_Jollands) Times'!$C285)/(365.35*24*3600)</f>
        <v>93470.589346859531</v>
      </c>
      <c r="K285" s="2">
        <f>('L-Values'!G285*'D(Ti_Jollands) Times'!$F285*0.000001)^2/(4*'D(Ti_Jollands) Times'!$C285)/(365.35*24*3600)</f>
        <v>76123.388674225338</v>
      </c>
      <c r="L285" s="2">
        <f>('L-Values'!H285*'D(Ti_Jollands) Times'!$F285*0.000001)^2/(4*'D(Ti_Jollands) Times'!$C285)/(365.35*24*3600)</f>
        <v>37105.702207612201</v>
      </c>
      <c r="M285" s="2">
        <f>('L-Values'!I285*'D(Ti_Jollands) Times'!$F285*0.000001)^2/(4*'D(Ti_Jollands) Times'!$C285)/(365.35*24*3600)</f>
        <v>43239.359572165456</v>
      </c>
      <c r="N285" s="2">
        <f>('L-Values'!J285*'D(Ti_Jollands) Times'!$F285*0.000001)^2/(4*'D(Ti_Jollands) Times'!$C285)/(365.35*24*3600)</f>
        <v>57049.788517305773</v>
      </c>
      <c r="O285" s="2">
        <f>('L-Values'!K285*'D(Ti_Jollands) Times'!$F285*0.000001)^2/(4*'D(Ti_Jollands) Times'!$C285)/(365.35*24*3600)</f>
        <v>1260.0047047415737</v>
      </c>
      <c r="P285" s="2">
        <f>('L-Values'!L285*'D(Ti_Jollands) Times'!$F285*0.000001)^2/(4*'D(Ti_Jollands) Times'!$C285)/(365.35*24*3600)</f>
        <v>18595.036784102002</v>
      </c>
      <c r="Q285" s="2">
        <f>('L-Values'!M285*'D(Ti_Jollands) Times'!$F285*0.000001)^2/(4*'D(Ti_Jollands) Times'!$C285)/(365.35*24*3600)</f>
        <v>38238.779529411608</v>
      </c>
      <c r="R285" s="2">
        <f>('L-Values'!N285*'D(Ti_Jollands) Times'!$F285*0.000001)^2/(4*'D(Ti_Jollands) Times'!$C285)/(365.35*24*3600)</f>
        <v>32974.261307028442</v>
      </c>
      <c r="S285" s="2">
        <f>('L-Values'!O285*'D(Ti_Jollands) Times'!$F285*0.000001)^2/(4*'D(Ti_Jollands) Times'!$C285)/(365.35*24*3600)</f>
        <v>17367.25554180946</v>
      </c>
      <c r="T285" s="2"/>
      <c r="U285" s="2">
        <f>('L-Values'!Q285*'D(Ti_Jollands) Times'!$F285*0.000001)^2/(4*'D(Ti_Jollands) Times'!$C285)/(365.35*24*3600)</f>
        <v>46331.760368876559</v>
      </c>
      <c r="V285" s="2">
        <f>('L-Values'!R285*'D(Ti_Jollands) Times'!$F285*0.000001)^2/(4*'D(Ti_Jollands) Times'!$C285)/(365.35*24*3600)</f>
        <v>35806.466130890898</v>
      </c>
      <c r="W285" s="2">
        <f>('L-Values'!S285*'D(Ti_Jollands) Times'!$F285*0.000001)^2/(4*'D(Ti_Jollands) Times'!$C285)/(365.35*24*3600)</f>
        <v>37105.702207612201</v>
      </c>
      <c r="X285" s="2"/>
      <c r="Y285" s="2">
        <f>('L-Values'!U285*'D(Ti_Jollands) Times'!$F285*0.000001)^2/(4*'D(Ti_Jollands) Times'!$C285)/(365.35*24*3600)</f>
        <v>37754.206149811173</v>
      </c>
      <c r="Z285" s="2">
        <f>('L-Values'!V285*'D(Ti_Jollands) Times'!$F285*0.000001)^2/(4*'D(Ti_Jollands) Times'!$C285)/(365.35*24*3600)</f>
        <v>34270.17289862215</v>
      </c>
      <c r="AA285" s="2">
        <f>('L-Values'!W285*'D(Ti_Jollands) Times'!$F285*0.000001)^2/(4*'D(Ti_Jollands) Times'!$C285)/(365.35*24*3600)</f>
        <v>1326.7042862831031</v>
      </c>
      <c r="AB285" s="2">
        <f>('L-Values'!X285*'D(Ti_Jollands) Times'!$F285*0.000001)^2/(4*'D(Ti_Jollands) Times'!$C285)/(365.35*24*3600)</f>
        <v>118778.94621837944</v>
      </c>
      <c r="AC285" s="2">
        <f t="shared" si="18"/>
        <v>32943.468612339049</v>
      </c>
      <c r="AD285" s="2">
        <f t="shared" si="19"/>
        <v>84508.773319757282</v>
      </c>
    </row>
    <row r="286" spans="1:30" x14ac:dyDescent="0.2">
      <c r="A286" t="str">
        <f>'L-Values'!A286</f>
        <v>CGI014-qtz12-CL-fit-1-offset</v>
      </c>
      <c r="B286">
        <v>750</v>
      </c>
      <c r="C286">
        <f t="shared" si="16"/>
        <v>6.6965312637759184E-25</v>
      </c>
      <c r="D286">
        <v>1650</v>
      </c>
      <c r="E286">
        <v>1024</v>
      </c>
      <c r="F286">
        <f t="shared" si="17"/>
        <v>1.611328125</v>
      </c>
      <c r="I286" s="2">
        <f>('L-Values'!E286*'D(Ti_Jollands) Times'!$F286*0.000001)^2/(4*'D(Ti_Jollands) Times'!$C286)/(365.35*24*3600)</f>
        <v>5216274.1049223663</v>
      </c>
      <c r="J286" s="2">
        <f>('L-Values'!F286*'D(Ti_Jollands) Times'!$F286*0.000001)^2/(4*'D(Ti_Jollands) Times'!$C286)/(365.35*24*3600)</f>
        <v>6407975.7024390344</v>
      </c>
      <c r="K286" s="2">
        <f>('L-Values'!G286*'D(Ti_Jollands) Times'!$F286*0.000001)^2/(4*'D(Ti_Jollands) Times'!$C286)/(365.35*24*3600)</f>
        <v>5121205.5821882626</v>
      </c>
      <c r="L286" s="2">
        <f>('L-Values'!H286*'D(Ti_Jollands) Times'!$F286*0.000001)^2/(4*'D(Ti_Jollands) Times'!$C286)/(365.35*24*3600)</f>
        <v>9613081.2571805082</v>
      </c>
      <c r="M286" s="2">
        <f>('L-Values'!I286*'D(Ti_Jollands) Times'!$F286*0.000001)^2/(4*'D(Ti_Jollands) Times'!$C286)/(365.35*24*3600)</f>
        <v>8817624.2949399147</v>
      </c>
      <c r="N286" s="2">
        <f>('L-Values'!J286*'D(Ti_Jollands) Times'!$F286*0.000001)^2/(4*'D(Ti_Jollands) Times'!$C286)/(365.35*24*3600)</f>
        <v>6320753.698276354</v>
      </c>
      <c r="O286" s="2">
        <f>('L-Values'!K286*'D(Ti_Jollands) Times'!$F286*0.000001)^2/(4*'D(Ti_Jollands) Times'!$C286)/(365.35*24*3600)</f>
        <v>5927842.4031273434</v>
      </c>
      <c r="P286" s="2">
        <f>('L-Values'!L286*'D(Ti_Jollands) Times'!$F286*0.000001)^2/(4*'D(Ti_Jollands) Times'!$C286)/(365.35*24*3600)</f>
        <v>6497094.796263149</v>
      </c>
      <c r="Q286" s="2">
        <f>('L-Values'!M286*'D(Ti_Jollands) Times'!$F286*0.000001)^2/(4*'D(Ti_Jollands) Times'!$C286)/(365.35*24*3600)</f>
        <v>4845297.9731409978</v>
      </c>
      <c r="R286" s="2">
        <f>('L-Values'!N286*'D(Ti_Jollands) Times'!$F286*0.000001)^2/(4*'D(Ti_Jollands) Times'!$C286)/(365.35*24*3600)</f>
        <v>6592332.4912575586</v>
      </c>
      <c r="S286" s="2">
        <f>('L-Values'!O286*'D(Ti_Jollands) Times'!$F286*0.000001)^2/(4*'D(Ti_Jollands) Times'!$C286)/(365.35*24*3600)</f>
        <v>7877502.3096305123</v>
      </c>
      <c r="T286" s="2"/>
      <c r="U286" s="2">
        <f>('L-Values'!Q286*'D(Ti_Jollands) Times'!$F286*0.000001)^2/(4*'D(Ti_Jollands) Times'!$C286)/(365.35*24*3600)</f>
        <v>6536121.1191544244</v>
      </c>
      <c r="V286" s="2">
        <f>('L-Values'!R286*'D(Ti_Jollands) Times'!$F286*0.000001)^2/(4*'D(Ti_Jollands) Times'!$C286)/(365.35*24*3600)</f>
        <v>6582247.9478317387</v>
      </c>
      <c r="W286" s="2">
        <f>('L-Values'!S286*'D(Ti_Jollands) Times'!$F286*0.000001)^2/(4*'D(Ti_Jollands) Times'!$C286)/(365.35*24*3600)</f>
        <v>6407975.7024390344</v>
      </c>
      <c r="X286" s="2"/>
      <c r="Y286" s="2">
        <f>('L-Values'!U286*'D(Ti_Jollands) Times'!$F286*0.000001)^2/(4*'D(Ti_Jollands) Times'!$C286)/(365.35*24*3600)</f>
        <v>6531727.0731847994</v>
      </c>
      <c r="Z286" s="2">
        <f>('L-Values'!V286*'D(Ti_Jollands) Times'!$F286*0.000001)^2/(4*'D(Ti_Jollands) Times'!$C286)/(365.35*24*3600)</f>
        <v>6573353.1721970029</v>
      </c>
      <c r="AA286" s="2">
        <f>('L-Values'!W286*'D(Ti_Jollands) Times'!$F286*0.000001)^2/(4*'D(Ti_Jollands) Times'!$C286)/(365.35*24*3600)</f>
        <v>4348377.6232561693</v>
      </c>
      <c r="AB286" s="2">
        <f>('L-Values'!X286*'D(Ti_Jollands) Times'!$F286*0.000001)^2/(4*'D(Ti_Jollands) Times'!$C286)/(365.35*24*3600)</f>
        <v>10114221.826547612</v>
      </c>
      <c r="AC286" s="2">
        <f t="shared" si="18"/>
        <v>2224975.5489408337</v>
      </c>
      <c r="AD286" s="2">
        <f t="shared" si="19"/>
        <v>3540868.6543506086</v>
      </c>
    </row>
    <row r="287" spans="1:30" x14ac:dyDescent="0.2">
      <c r="A287" t="str">
        <f>'L-Values'!A287</f>
        <v>CGI014-qtz12-CL-fit-2-offset</v>
      </c>
      <c r="B287">
        <v>750</v>
      </c>
      <c r="C287">
        <f t="shared" si="16"/>
        <v>6.6965312637759184E-25</v>
      </c>
      <c r="D287">
        <v>1650</v>
      </c>
      <c r="E287">
        <v>1024</v>
      </c>
      <c r="F287">
        <f t="shared" si="17"/>
        <v>1.611328125</v>
      </c>
      <c r="I287" s="2">
        <f>('L-Values'!E287*'D(Ti_Jollands) Times'!$F287*0.000001)^2/(4*'D(Ti_Jollands) Times'!$C287)/(365.35*24*3600)</f>
        <v>1378088.740755032</v>
      </c>
      <c r="J287" s="2">
        <f>('L-Values'!F287*'D(Ti_Jollands) Times'!$F287*0.000001)^2/(4*'D(Ti_Jollands) Times'!$C287)/(365.35*24*3600)</f>
        <v>2131427.0648204964</v>
      </c>
      <c r="K287" s="2">
        <f>('L-Values'!G287*'D(Ti_Jollands) Times'!$F287*0.000001)^2/(4*'D(Ti_Jollands) Times'!$C287)/(365.35*24*3600)</f>
        <v>1481741.8953301266</v>
      </c>
      <c r="L287" s="2">
        <f>('L-Values'!H287*'D(Ti_Jollands) Times'!$F287*0.000001)^2/(4*'D(Ti_Jollands) Times'!$C287)/(365.35*24*3600)</f>
        <v>0</v>
      </c>
      <c r="M287" s="2">
        <f>('L-Values'!I287*'D(Ti_Jollands) Times'!$F287*0.000001)^2/(4*'D(Ti_Jollands) Times'!$C287)/(365.35*24*3600)</f>
        <v>1783718.617484306</v>
      </c>
      <c r="N287" s="2">
        <f>('L-Values'!J287*'D(Ti_Jollands) Times'!$F287*0.000001)^2/(4*'D(Ti_Jollands) Times'!$C287)/(365.35*24*3600)</f>
        <v>1208959.3725281963</v>
      </c>
      <c r="O287" s="2">
        <f>('L-Values'!K287*'D(Ti_Jollands) Times'!$F287*0.000001)^2/(4*'D(Ti_Jollands) Times'!$C287)/(365.35*24*3600)</f>
        <v>2191864.953842436</v>
      </c>
      <c r="P287" s="2">
        <f>('L-Values'!L287*'D(Ti_Jollands) Times'!$F287*0.000001)^2/(4*'D(Ti_Jollands) Times'!$C287)/(365.35*24*3600)</f>
        <v>0</v>
      </c>
      <c r="Q287" s="2">
        <f>('L-Values'!M287*'D(Ti_Jollands) Times'!$F287*0.000001)^2/(4*'D(Ti_Jollands) Times'!$C287)/(365.35*24*3600)</f>
        <v>555961.19474609918</v>
      </c>
      <c r="R287" s="2">
        <f>('L-Values'!N287*'D(Ti_Jollands) Times'!$F287*0.000001)^2/(4*'D(Ti_Jollands) Times'!$C287)/(365.35*24*3600)</f>
        <v>0</v>
      </c>
      <c r="S287" s="2">
        <f>('L-Values'!O287*'D(Ti_Jollands) Times'!$F287*0.000001)^2/(4*'D(Ti_Jollands) Times'!$C287)/(365.35*24*3600)</f>
        <v>805528.55881265085</v>
      </c>
      <c r="T287" s="2"/>
      <c r="U287" s="2">
        <f>('L-Values'!Q287*'D(Ti_Jollands) Times'!$F287*0.000001)^2/(4*'D(Ti_Jollands) Times'!$C287)/(365.35*24*3600)</f>
        <v>1432712.2231994469</v>
      </c>
      <c r="V287" s="2">
        <f>('L-Values'!R287*'D(Ti_Jollands) Times'!$F287*0.000001)^2/(4*'D(Ti_Jollands) Times'!$C287)/(365.35*24*3600)</f>
        <v>1383520.1655787819</v>
      </c>
      <c r="W287" s="2">
        <f>('L-Values'!S287*'D(Ti_Jollands) Times'!$F287*0.000001)^2/(4*'D(Ti_Jollands) Times'!$C287)/(365.35*24*3600)</f>
        <v>1429445.5565149195</v>
      </c>
      <c r="X287" s="2"/>
      <c r="Y287" s="2">
        <f>('L-Values'!U287*'D(Ti_Jollands) Times'!$F287*0.000001)^2/(4*'D(Ti_Jollands) Times'!$C287)/(365.35*24*3600)</f>
        <v>1348804.8728296161</v>
      </c>
      <c r="Z287" s="2">
        <f>('L-Values'!V287*'D(Ti_Jollands) Times'!$F287*0.000001)^2/(4*'D(Ti_Jollands) Times'!$C287)/(365.35*24*3600)</f>
        <v>1392227.126594838</v>
      </c>
      <c r="AA287" s="2">
        <f>('L-Values'!W287*'D(Ti_Jollands) Times'!$F287*0.000001)^2/(4*'D(Ti_Jollands) Times'!$C287)/(365.35*24*3600)</f>
        <v>430047.92154327675</v>
      </c>
      <c r="AB287" s="2">
        <f>('L-Values'!X287*'D(Ti_Jollands) Times'!$F287*0.000001)^2/(4*'D(Ti_Jollands) Times'!$C287)/(365.35*24*3600)</f>
        <v>3179801.3065885175</v>
      </c>
      <c r="AC287" s="2">
        <f t="shared" si="18"/>
        <v>962179.20505156124</v>
      </c>
      <c r="AD287" s="2">
        <f t="shared" si="19"/>
        <v>1787574.1799936795</v>
      </c>
    </row>
    <row r="288" spans="1:30" x14ac:dyDescent="0.2">
      <c r="A288" t="str">
        <f>'L-Values'!A288</f>
        <v>CGI014-qtz12-CL-fit-3-offset</v>
      </c>
      <c r="B288">
        <v>750</v>
      </c>
      <c r="C288">
        <f t="shared" si="16"/>
        <v>6.6965312637759184E-25</v>
      </c>
      <c r="D288">
        <v>1650</v>
      </c>
      <c r="E288">
        <v>1024</v>
      </c>
      <c r="F288">
        <f t="shared" si="17"/>
        <v>1.611328125</v>
      </c>
      <c r="I288" s="2">
        <f>('L-Values'!E288*'D(Ti_Jollands) Times'!$F288*0.000001)^2/(4*'D(Ti_Jollands) Times'!$C288)/(365.35*24*3600)</f>
        <v>165447.50598165145</v>
      </c>
      <c r="J288" s="2">
        <f>('L-Values'!F288*'D(Ti_Jollands) Times'!$F288*0.000001)^2/(4*'D(Ti_Jollands) Times'!$C288)/(365.35*24*3600)</f>
        <v>373569.27078141912</v>
      </c>
      <c r="K288" s="2">
        <f>('L-Values'!G288*'D(Ti_Jollands) Times'!$F288*0.000001)^2/(4*'D(Ti_Jollands) Times'!$C288)/(365.35*24*3600)</f>
        <v>402469.58651138417</v>
      </c>
      <c r="L288" s="2">
        <f>('L-Values'!H288*'D(Ti_Jollands) Times'!$F288*0.000001)^2/(4*'D(Ti_Jollands) Times'!$C288)/(365.35*24*3600)</f>
        <v>406575.23139437306</v>
      </c>
      <c r="M288" s="2">
        <f>('L-Values'!I288*'D(Ti_Jollands) Times'!$F288*0.000001)^2/(4*'D(Ti_Jollands) Times'!$C288)/(365.35*24*3600)</f>
        <v>507001.35690952215</v>
      </c>
      <c r="N288" s="2">
        <f>('L-Values'!J288*'D(Ti_Jollands) Times'!$F288*0.000001)^2/(4*'D(Ti_Jollands) Times'!$C288)/(365.35*24*3600)</f>
        <v>447976.37371970568</v>
      </c>
      <c r="O288" s="2">
        <f>('L-Values'!K288*'D(Ti_Jollands) Times'!$F288*0.000001)^2/(4*'D(Ti_Jollands) Times'!$C288)/(365.35*24*3600)</f>
        <v>270153.01756429451</v>
      </c>
      <c r="P288" s="2">
        <f>('L-Values'!L288*'D(Ti_Jollands) Times'!$F288*0.000001)^2/(4*'D(Ti_Jollands) Times'!$C288)/(365.35*24*3600)</f>
        <v>775491.95927276113</v>
      </c>
      <c r="Q288" s="2">
        <f>('L-Values'!M288*'D(Ti_Jollands) Times'!$F288*0.000001)^2/(4*'D(Ti_Jollands) Times'!$C288)/(365.35*24*3600)</f>
        <v>894795.548037178</v>
      </c>
      <c r="R288" s="2">
        <f>('L-Values'!N288*'D(Ti_Jollands) Times'!$F288*0.000001)^2/(4*'D(Ti_Jollands) Times'!$C288)/(365.35*24*3600)</f>
        <v>954551.86264051194</v>
      </c>
      <c r="S288" s="2">
        <f>('L-Values'!O288*'D(Ti_Jollands) Times'!$F288*0.000001)^2/(4*'D(Ti_Jollands) Times'!$C288)/(365.35*24*3600)</f>
        <v>843964.8212758397</v>
      </c>
      <c r="T288" s="2"/>
      <c r="U288" s="2">
        <f>('L-Values'!Q288*'D(Ti_Jollands) Times'!$F288*0.000001)^2/(4*'D(Ti_Jollands) Times'!$C288)/(365.35*24*3600)</f>
        <v>505583.89108493627</v>
      </c>
      <c r="V288" s="2">
        <f>('L-Values'!R288*'D(Ti_Jollands) Times'!$F288*0.000001)^2/(4*'D(Ti_Jollands) Times'!$C288)/(365.35*24*3600)</f>
        <v>517529.80564209417</v>
      </c>
      <c r="W288" s="2">
        <f>('L-Values'!S288*'D(Ti_Jollands) Times'!$F288*0.000001)^2/(4*'D(Ti_Jollands) Times'!$C288)/(365.35*24*3600)</f>
        <v>447976.37371970568</v>
      </c>
      <c r="X288" s="2"/>
      <c r="Y288" s="2">
        <f>('L-Values'!U288*'D(Ti_Jollands) Times'!$F288*0.000001)^2/(4*'D(Ti_Jollands) Times'!$C288)/(365.35*24*3600)</f>
        <v>523237.89317844977</v>
      </c>
      <c r="Z288" s="2">
        <f>('L-Values'!V288*'D(Ti_Jollands) Times'!$F288*0.000001)^2/(4*'D(Ti_Jollands) Times'!$C288)/(365.35*24*3600)</f>
        <v>529398.01932814484</v>
      </c>
      <c r="AA288" s="2">
        <f>('L-Values'!W288*'D(Ti_Jollands) Times'!$F288*0.000001)^2/(4*'D(Ti_Jollands) Times'!$C288)/(365.35*24*3600)</f>
        <v>245461.80650080476</v>
      </c>
      <c r="AB288" s="2">
        <f>('L-Values'!X288*'D(Ti_Jollands) Times'!$F288*0.000001)^2/(4*'D(Ti_Jollands) Times'!$C288)/(365.35*24*3600)</f>
        <v>967094.99922947027</v>
      </c>
      <c r="AC288" s="2">
        <f t="shared" si="18"/>
        <v>283936.21282734012</v>
      </c>
      <c r="AD288" s="2">
        <f t="shared" si="19"/>
        <v>437696.97990132542</v>
      </c>
    </row>
    <row r="289" spans="1:30" x14ac:dyDescent="0.2">
      <c r="A289" t="str">
        <f>'L-Values'!A289</f>
        <v>CGI015-qtz01-CL-fit-1-offset</v>
      </c>
      <c r="B289">
        <v>750</v>
      </c>
      <c r="C289">
        <f t="shared" si="16"/>
        <v>6.6965312637759184E-25</v>
      </c>
      <c r="D289">
        <v>1800</v>
      </c>
      <c r="E289">
        <v>1024</v>
      </c>
      <c r="F289">
        <f t="shared" si="17"/>
        <v>1.7578125</v>
      </c>
      <c r="I289" s="2">
        <f>('L-Values'!E289*'D(Ti_Jollands) Times'!$F289*0.000001)^2/(4*'D(Ti_Jollands) Times'!$C289)/(365.35*24*3600)</f>
        <v>223851.56495006112</v>
      </c>
      <c r="J289" s="2">
        <f>('L-Values'!F289*'D(Ti_Jollands) Times'!$F289*0.000001)^2/(4*'D(Ti_Jollands) Times'!$C289)/(365.35*24*3600)</f>
        <v>1358561.097589714</v>
      </c>
      <c r="K289" s="2">
        <f>('L-Values'!G289*'D(Ti_Jollands) Times'!$F289*0.000001)^2/(4*'D(Ti_Jollands) Times'!$C289)/(365.35*24*3600)</f>
        <v>381901.11534102808</v>
      </c>
      <c r="L289" s="2">
        <f>('L-Values'!H289*'D(Ti_Jollands) Times'!$F289*0.000001)^2/(4*'D(Ti_Jollands) Times'!$C289)/(365.35*24*3600)</f>
        <v>1100061.2536587843</v>
      </c>
      <c r="M289" s="2">
        <f>('L-Values'!I289*'D(Ti_Jollands) Times'!$F289*0.000001)^2/(4*'D(Ti_Jollands) Times'!$C289)/(365.35*24*3600)</f>
        <v>2076858.46010536</v>
      </c>
      <c r="N289" s="2">
        <f>('L-Values'!J289*'D(Ti_Jollands) Times'!$F289*0.000001)^2/(4*'D(Ti_Jollands) Times'!$C289)/(365.35*24*3600)</f>
        <v>128585.38637583274</v>
      </c>
      <c r="O289" s="2">
        <f>('L-Values'!K289*'D(Ti_Jollands) Times'!$F289*0.000001)^2/(4*'D(Ti_Jollands) Times'!$C289)/(365.35*24*3600)</f>
        <v>479455.8655110707</v>
      </c>
      <c r="P289" s="2">
        <f>('L-Values'!L289*'D(Ti_Jollands) Times'!$F289*0.000001)^2/(4*'D(Ti_Jollands) Times'!$C289)/(365.35*24*3600)</f>
        <v>383499.03822430421</v>
      </c>
      <c r="Q289" s="2">
        <f>('L-Values'!M289*'D(Ti_Jollands) Times'!$F289*0.000001)^2/(4*'D(Ti_Jollands) Times'!$C289)/(365.35*24*3600)</f>
        <v>270085.72962856671</v>
      </c>
      <c r="R289" s="2">
        <f>('L-Values'!N289*'D(Ti_Jollands) Times'!$F289*0.000001)^2/(4*'D(Ti_Jollands) Times'!$C289)/(365.35*24*3600)</f>
        <v>456049.15294406156</v>
      </c>
      <c r="S289" s="2">
        <f>('L-Values'!O289*'D(Ti_Jollands) Times'!$F289*0.000001)^2/(4*'D(Ti_Jollands) Times'!$C289)/(365.35*24*3600)</f>
        <v>19352.074852730002</v>
      </c>
      <c r="T289" s="2"/>
      <c r="U289" s="2">
        <f>('L-Values'!Q289*'D(Ti_Jollands) Times'!$F289*0.000001)^2/(4*'D(Ti_Jollands) Times'!$C289)/(365.35*24*3600)</f>
        <v>506246.92959901312</v>
      </c>
      <c r="V289" s="2">
        <f>('L-Values'!R289*'D(Ti_Jollands) Times'!$F289*0.000001)^2/(4*'D(Ti_Jollands) Times'!$C289)/(365.35*24*3600)</f>
        <v>496520.79229177197</v>
      </c>
      <c r="W289" s="2">
        <f>('L-Values'!S289*'D(Ti_Jollands) Times'!$F289*0.000001)^2/(4*'D(Ti_Jollands) Times'!$C289)/(365.35*24*3600)</f>
        <v>383499.03822430421</v>
      </c>
      <c r="X289" s="2"/>
      <c r="Y289" s="2">
        <f>('L-Values'!U289*'D(Ti_Jollands) Times'!$F289*0.000001)^2/(4*'D(Ti_Jollands) Times'!$C289)/(365.35*24*3600)</f>
        <v>482848.11459082452</v>
      </c>
      <c r="Z289" s="2">
        <f>('L-Values'!V289*'D(Ti_Jollands) Times'!$F289*0.000001)^2/(4*'D(Ti_Jollands) Times'!$C289)/(365.35*24*3600)</f>
        <v>500078.52130680205</v>
      </c>
      <c r="AA289" s="2">
        <f>('L-Values'!W289*'D(Ti_Jollands) Times'!$F289*0.000001)^2/(4*'D(Ti_Jollands) Times'!$C289)/(365.35*24*3600)</f>
        <v>25896.117744714815</v>
      </c>
      <c r="AB289" s="2">
        <f>('L-Values'!X289*'D(Ti_Jollands) Times'!$F289*0.000001)^2/(4*'D(Ti_Jollands) Times'!$C289)/(365.35*24*3600)</f>
        <v>1906651.7359159493</v>
      </c>
      <c r="AC289" s="2">
        <f t="shared" si="18"/>
        <v>474182.40356208722</v>
      </c>
      <c r="AD289" s="2">
        <f t="shared" si="19"/>
        <v>1406573.2146091473</v>
      </c>
    </row>
    <row r="290" spans="1:30" x14ac:dyDescent="0.2">
      <c r="A290" t="str">
        <f>'L-Values'!A290</f>
        <v>CGI015-qtz01-CL-fit-2-offset</v>
      </c>
      <c r="B290">
        <v>750</v>
      </c>
      <c r="C290">
        <f t="shared" si="16"/>
        <v>6.6965312637759184E-25</v>
      </c>
      <c r="D290">
        <v>1800</v>
      </c>
      <c r="E290">
        <v>1024</v>
      </c>
      <c r="F290">
        <f t="shared" si="17"/>
        <v>1.7578125</v>
      </c>
      <c r="I290" s="2">
        <f>('L-Values'!E290*'D(Ti_Jollands) Times'!$F290*0.000001)^2/(4*'D(Ti_Jollands) Times'!$C290)/(365.35*24*3600)</f>
        <v>454750.3393097996</v>
      </c>
      <c r="J290" s="2">
        <f>('L-Values'!F290*'D(Ti_Jollands) Times'!$F290*0.000001)^2/(4*'D(Ti_Jollands) Times'!$C290)/(365.35*24*3600)</f>
        <v>329786.38375719194</v>
      </c>
      <c r="K290" s="2">
        <f>('L-Values'!G290*'D(Ti_Jollands) Times'!$F290*0.000001)^2/(4*'D(Ti_Jollands) Times'!$C290)/(365.35*24*3600)</f>
        <v>376838.83063170238</v>
      </c>
      <c r="L290" s="2">
        <f>('L-Values'!H290*'D(Ti_Jollands) Times'!$F290*0.000001)^2/(4*'D(Ti_Jollands) Times'!$C290)/(365.35*24*3600)</f>
        <v>341053.9450069248</v>
      </c>
      <c r="M290" s="2">
        <f>('L-Values'!I290*'D(Ti_Jollands) Times'!$F290*0.000001)^2/(4*'D(Ti_Jollands) Times'!$C290)/(365.35*24*3600)</f>
        <v>330973.0424386388</v>
      </c>
      <c r="N290" s="2">
        <f>('L-Values'!J290*'D(Ti_Jollands) Times'!$F290*0.000001)^2/(4*'D(Ti_Jollands) Times'!$C290)/(365.35*24*3600)</f>
        <v>409756.82157967251</v>
      </c>
      <c r="O290" s="2">
        <f>('L-Values'!K290*'D(Ti_Jollands) Times'!$F290*0.000001)^2/(4*'D(Ti_Jollands) Times'!$C290)/(365.35*24*3600)</f>
        <v>412012.03340830776</v>
      </c>
      <c r="P290" s="2">
        <f>('L-Values'!L290*'D(Ti_Jollands) Times'!$F290*0.000001)^2/(4*'D(Ti_Jollands) Times'!$C290)/(365.35*24*3600)</f>
        <v>328130.57437035203</v>
      </c>
      <c r="Q290" s="2">
        <f>('L-Values'!M290*'D(Ti_Jollands) Times'!$F290*0.000001)^2/(4*'D(Ti_Jollands) Times'!$C290)/(365.35*24*3600)</f>
        <v>367962.28746476019</v>
      </c>
      <c r="R290" s="2">
        <f>('L-Values'!N290*'D(Ti_Jollands) Times'!$F290*0.000001)^2/(4*'D(Ti_Jollands) Times'!$C290)/(365.35*24*3600)</f>
        <v>609881.05919497821</v>
      </c>
      <c r="S290" s="2">
        <f>('L-Values'!O290*'D(Ti_Jollands) Times'!$F290*0.000001)^2/(4*'D(Ti_Jollands) Times'!$C290)/(365.35*24*3600)</f>
        <v>592238.02977803862</v>
      </c>
      <c r="T290" s="2"/>
      <c r="U290" s="2">
        <f>('L-Values'!Q290*'D(Ti_Jollands) Times'!$F290*0.000001)^2/(4*'D(Ti_Jollands) Times'!$C290)/(365.35*24*3600)</f>
        <v>407471.06179619511</v>
      </c>
      <c r="V290" s="2">
        <f>('L-Values'!R290*'D(Ti_Jollands) Times'!$F290*0.000001)^2/(4*'D(Ti_Jollands) Times'!$C290)/(365.35*24*3600)</f>
        <v>408872.31422257476</v>
      </c>
      <c r="W290" s="2">
        <f>('L-Values'!S290*'D(Ti_Jollands) Times'!$F290*0.000001)^2/(4*'D(Ti_Jollands) Times'!$C290)/(365.35*24*3600)</f>
        <v>376838.83063170238</v>
      </c>
      <c r="X290" s="2"/>
      <c r="Y290" s="2">
        <f>('L-Values'!U290*'D(Ti_Jollands) Times'!$F290*0.000001)^2/(4*'D(Ti_Jollands) Times'!$C290)/(365.35*24*3600)</f>
        <v>402372.20016783429</v>
      </c>
      <c r="Z290" s="2">
        <f>('L-Values'!V290*'D(Ti_Jollands) Times'!$F290*0.000001)^2/(4*'D(Ti_Jollands) Times'!$C290)/(365.35*24*3600)</f>
        <v>401109.76927824307</v>
      </c>
      <c r="AA290" s="2">
        <f>('L-Values'!W290*'D(Ti_Jollands) Times'!$F290*0.000001)^2/(4*'D(Ti_Jollands) Times'!$C290)/(365.35*24*3600)</f>
        <v>121150.97313602078</v>
      </c>
      <c r="AB290" s="2">
        <f>('L-Values'!X290*'D(Ti_Jollands) Times'!$F290*0.000001)^2/(4*'D(Ti_Jollands) Times'!$C290)/(365.35*24*3600)</f>
        <v>805285.72902724706</v>
      </c>
      <c r="AC290" s="2">
        <f t="shared" si="18"/>
        <v>279958.7961422223</v>
      </c>
      <c r="AD290" s="2">
        <f t="shared" si="19"/>
        <v>404175.95974900399</v>
      </c>
    </row>
    <row r="291" spans="1:30" x14ac:dyDescent="0.2">
      <c r="A291" t="str">
        <f>'L-Values'!A291</f>
        <v>CGI015-qtz01-CL-fit-3-offset</v>
      </c>
      <c r="B291">
        <v>750</v>
      </c>
      <c r="C291">
        <f t="shared" si="16"/>
        <v>6.6965312637759184E-25</v>
      </c>
      <c r="D291">
        <v>1800</v>
      </c>
      <c r="E291">
        <v>1024</v>
      </c>
      <c r="F291">
        <f t="shared" si="17"/>
        <v>1.7578125</v>
      </c>
      <c r="I291" s="2">
        <f>('L-Values'!E291*'D(Ti_Jollands) Times'!$F291*0.000001)^2/(4*'D(Ti_Jollands) Times'!$C291)/(365.35*24*3600)</f>
        <v>536628.72261755855</v>
      </c>
      <c r="J291" s="2">
        <f>('L-Values'!F291*'D(Ti_Jollands) Times'!$F291*0.000001)^2/(4*'D(Ti_Jollands) Times'!$C291)/(365.35*24*3600)</f>
        <v>497346.85056822642</v>
      </c>
      <c r="K291" s="2">
        <f>('L-Values'!G291*'D(Ti_Jollands) Times'!$F291*0.000001)^2/(4*'D(Ti_Jollands) Times'!$C291)/(365.35*24*3600)</f>
        <v>570787.16859238571</v>
      </c>
      <c r="L291" s="2">
        <f>('L-Values'!H291*'D(Ti_Jollands) Times'!$F291*0.000001)^2/(4*'D(Ti_Jollands) Times'!$C291)/(365.35*24*3600)</f>
        <v>294520.08007423725</v>
      </c>
      <c r="M291" s="2">
        <f>('L-Values'!I291*'D(Ti_Jollands) Times'!$F291*0.000001)^2/(4*'D(Ti_Jollands) Times'!$C291)/(365.35*24*3600)</f>
        <v>560543.10143220657</v>
      </c>
      <c r="N291" s="2">
        <f>('L-Values'!J291*'D(Ti_Jollands) Times'!$F291*0.000001)^2/(4*'D(Ti_Jollands) Times'!$C291)/(365.35*24*3600)</f>
        <v>732249.06277265737</v>
      </c>
      <c r="O291" s="2">
        <f>('L-Values'!K291*'D(Ti_Jollands) Times'!$F291*0.000001)^2/(4*'D(Ti_Jollands) Times'!$C291)/(365.35*24*3600)</f>
        <v>781606.60723804228</v>
      </c>
      <c r="P291" s="2">
        <f>('L-Values'!L291*'D(Ti_Jollands) Times'!$F291*0.000001)^2/(4*'D(Ti_Jollands) Times'!$C291)/(365.35*24*3600)</f>
        <v>905244.61739205127</v>
      </c>
      <c r="Q291" s="2">
        <f>('L-Values'!M291*'D(Ti_Jollands) Times'!$F291*0.000001)^2/(4*'D(Ti_Jollands) Times'!$C291)/(365.35*24*3600)</f>
        <v>587809.2440020279</v>
      </c>
      <c r="R291" s="2">
        <f>('L-Values'!N291*'D(Ti_Jollands) Times'!$F291*0.000001)^2/(4*'D(Ti_Jollands) Times'!$C291)/(365.35*24*3600)</f>
        <v>476808.75212809263</v>
      </c>
      <c r="S291" s="2">
        <f>('L-Values'!O291*'D(Ti_Jollands) Times'!$F291*0.000001)^2/(4*'D(Ti_Jollands) Times'!$C291)/(365.35*24*3600)</f>
        <v>661310.10988454078</v>
      </c>
      <c r="T291" s="2"/>
      <c r="U291" s="2">
        <f>('L-Values'!Q291*'D(Ti_Jollands) Times'!$F291*0.000001)^2/(4*'D(Ti_Jollands) Times'!$C291)/(365.35*24*3600)</f>
        <v>579751.03198810935</v>
      </c>
      <c r="V291" s="2">
        <f>('L-Values'!R291*'D(Ti_Jollands) Times'!$F291*0.000001)^2/(4*'D(Ti_Jollands) Times'!$C291)/(365.35*24*3600)</f>
        <v>589590.56072694459</v>
      </c>
      <c r="W291" s="2">
        <f>('L-Values'!S291*'D(Ti_Jollands) Times'!$F291*0.000001)^2/(4*'D(Ti_Jollands) Times'!$C291)/(365.35*24*3600)</f>
        <v>570787.16859238571</v>
      </c>
      <c r="X291" s="2"/>
      <c r="Y291" s="2">
        <f>('L-Values'!U291*'D(Ti_Jollands) Times'!$F291*0.000001)^2/(4*'D(Ti_Jollands) Times'!$C291)/(365.35*24*3600)</f>
        <v>576538.31491352001</v>
      </c>
      <c r="Z291" s="2">
        <f>('L-Values'!V291*'D(Ti_Jollands) Times'!$F291*0.000001)^2/(4*'D(Ti_Jollands) Times'!$C291)/(365.35*24*3600)</f>
        <v>580036.20788867085</v>
      </c>
      <c r="AA291" s="2">
        <f>('L-Values'!W291*'D(Ti_Jollands) Times'!$F291*0.000001)^2/(4*'D(Ti_Jollands) Times'!$C291)/(365.35*24*3600)</f>
        <v>305045.31212255952</v>
      </c>
      <c r="AB291" s="2">
        <f>('L-Values'!X291*'D(Ti_Jollands) Times'!$F291*0.000001)^2/(4*'D(Ti_Jollands) Times'!$C291)/(365.35*24*3600)</f>
        <v>975941.97597350378</v>
      </c>
      <c r="AC291" s="2">
        <f t="shared" si="18"/>
        <v>274990.89576611132</v>
      </c>
      <c r="AD291" s="2">
        <f t="shared" si="19"/>
        <v>395905.76808483293</v>
      </c>
    </row>
    <row r="292" spans="1:30" x14ac:dyDescent="0.2">
      <c r="A292" t="str">
        <f>'L-Values'!A292</f>
        <v>CGI015-qtz01-CL-fit-4-offset</v>
      </c>
      <c r="B292">
        <v>750</v>
      </c>
      <c r="C292">
        <f t="shared" si="16"/>
        <v>6.6965312637759184E-25</v>
      </c>
      <c r="D292">
        <v>1800</v>
      </c>
      <c r="E292">
        <v>1024</v>
      </c>
      <c r="F292">
        <f t="shared" si="17"/>
        <v>1.7578125</v>
      </c>
      <c r="I292" s="2">
        <f>('L-Values'!E292*'D(Ti_Jollands) Times'!$F292*0.000001)^2/(4*'D(Ti_Jollands) Times'!$C292)/(365.35*24*3600)</f>
        <v>327303.68046950124</v>
      </c>
      <c r="J292" s="2">
        <f>('L-Values'!F292*'D(Ti_Jollands) Times'!$F292*0.000001)^2/(4*'D(Ti_Jollands) Times'!$C292)/(365.35*24*3600)</f>
        <v>272499.63632231695</v>
      </c>
      <c r="K292" s="2">
        <f>('L-Values'!G292*'D(Ti_Jollands) Times'!$F292*0.000001)^2/(4*'D(Ti_Jollands) Times'!$C292)/(365.35*24*3600)</f>
        <v>348120.91813354631</v>
      </c>
      <c r="L292" s="2">
        <f>('L-Values'!H292*'D(Ti_Jollands) Times'!$F292*0.000001)^2/(4*'D(Ti_Jollands) Times'!$C292)/(365.35*24*3600)</f>
        <v>153623.77413596565</v>
      </c>
      <c r="M292" s="2">
        <f>('L-Values'!I292*'D(Ti_Jollands) Times'!$F292*0.000001)^2/(4*'D(Ti_Jollands) Times'!$C292)/(365.35*24*3600)</f>
        <v>195070.14139978186</v>
      </c>
      <c r="N292" s="2">
        <f>('L-Values'!J292*'D(Ti_Jollands) Times'!$F292*0.000001)^2/(4*'D(Ti_Jollands) Times'!$C292)/(365.35*24*3600)</f>
        <v>292991.98660445563</v>
      </c>
      <c r="O292" s="2">
        <f>('L-Values'!K292*'D(Ti_Jollands) Times'!$F292*0.000001)^2/(4*'D(Ti_Jollands) Times'!$C292)/(365.35*24*3600)</f>
        <v>220934.62118425209</v>
      </c>
      <c r="P292" s="2">
        <f>('L-Values'!L292*'D(Ti_Jollands) Times'!$F292*0.000001)^2/(4*'D(Ti_Jollands) Times'!$C292)/(365.35*24*3600)</f>
        <v>319259.59351859969</v>
      </c>
      <c r="Q292" s="2">
        <f>('L-Values'!M292*'D(Ti_Jollands) Times'!$F292*0.000001)^2/(4*'D(Ti_Jollands) Times'!$C292)/(365.35*24*3600)</f>
        <v>261247.49316047376</v>
      </c>
      <c r="R292" s="2">
        <f>('L-Values'!N292*'D(Ti_Jollands) Times'!$F292*0.000001)^2/(4*'D(Ti_Jollands) Times'!$C292)/(365.35*24*3600)</f>
        <v>184681.40559566382</v>
      </c>
      <c r="S292" s="2">
        <f>('L-Values'!O292*'D(Ti_Jollands) Times'!$F292*0.000001)^2/(4*'D(Ti_Jollands) Times'!$C292)/(365.35*24*3600)</f>
        <v>115233.51608905722</v>
      </c>
      <c r="T292" s="2"/>
      <c r="U292" s="2">
        <f>('L-Values'!Q292*'D(Ti_Jollands) Times'!$F292*0.000001)^2/(4*'D(Ti_Jollands) Times'!$C292)/(365.35*24*3600)</f>
        <v>237102.19825833273</v>
      </c>
      <c r="V292" s="2">
        <f>('L-Values'!R292*'D(Ti_Jollands) Times'!$F292*0.000001)^2/(4*'D(Ti_Jollands) Times'!$C292)/(365.35*24*3600)</f>
        <v>238715.60109519897</v>
      </c>
      <c r="W292" s="2">
        <f>('L-Values'!S292*'D(Ti_Jollands) Times'!$F292*0.000001)^2/(4*'D(Ti_Jollands) Times'!$C292)/(365.35*24*3600)</f>
        <v>261247.49316047376</v>
      </c>
      <c r="X292" s="2"/>
      <c r="Y292" s="2">
        <f>('L-Values'!U292*'D(Ti_Jollands) Times'!$F292*0.000001)^2/(4*'D(Ti_Jollands) Times'!$C292)/(365.35*24*3600)</f>
        <v>244198.52723318964</v>
      </c>
      <c r="Z292" s="2">
        <f>('L-Values'!V292*'D(Ti_Jollands) Times'!$F292*0.000001)^2/(4*'D(Ti_Jollands) Times'!$C292)/(365.35*24*3600)</f>
        <v>242979.81512529645</v>
      </c>
      <c r="AA292" s="2">
        <f>('L-Values'!W292*'D(Ti_Jollands) Times'!$F292*0.000001)^2/(4*'D(Ti_Jollands) Times'!$C292)/(365.35*24*3600)</f>
        <v>120255.22361039123</v>
      </c>
      <c r="AB292" s="2">
        <f>('L-Values'!X292*'D(Ti_Jollands) Times'!$F292*0.000001)^2/(4*'D(Ti_Jollands) Times'!$C292)/(365.35*24*3600)</f>
        <v>424342.1670650529</v>
      </c>
      <c r="AC292" s="2">
        <f t="shared" si="18"/>
        <v>122724.59151490522</v>
      </c>
      <c r="AD292" s="2">
        <f t="shared" si="19"/>
        <v>181362.35193975645</v>
      </c>
    </row>
    <row r="293" spans="1:30" x14ac:dyDescent="0.2">
      <c r="A293" t="str">
        <f>'L-Values'!A293</f>
        <v>CGI015-qtz01-CL-fit-5-offset</v>
      </c>
      <c r="B293">
        <v>750</v>
      </c>
      <c r="C293">
        <f t="shared" si="16"/>
        <v>6.6965312637759184E-25</v>
      </c>
      <c r="D293">
        <v>1800</v>
      </c>
      <c r="E293">
        <v>1024</v>
      </c>
      <c r="F293">
        <f t="shared" si="17"/>
        <v>1.7578125</v>
      </c>
      <c r="I293" s="2">
        <f>('L-Values'!E293*'D(Ti_Jollands) Times'!$F293*0.000001)^2/(4*'D(Ti_Jollands) Times'!$C293)/(365.35*24*3600)</f>
        <v>113484.00242520671</v>
      </c>
      <c r="J293" s="2">
        <f>('L-Values'!F293*'D(Ti_Jollands) Times'!$F293*0.000001)^2/(4*'D(Ti_Jollands) Times'!$C293)/(365.35*24*3600)</f>
        <v>93342.2231586415</v>
      </c>
      <c r="K293" s="2">
        <f>('L-Values'!G293*'D(Ti_Jollands) Times'!$F293*0.000001)^2/(4*'D(Ti_Jollands) Times'!$C293)/(365.35*24*3600)</f>
        <v>254610.15207713956</v>
      </c>
      <c r="L293" s="2">
        <f>('L-Values'!H293*'D(Ti_Jollands) Times'!$F293*0.000001)^2/(4*'D(Ti_Jollands) Times'!$C293)/(365.35*24*3600)</f>
        <v>270665.82799958537</v>
      </c>
      <c r="M293" s="2">
        <f>('L-Values'!I293*'D(Ti_Jollands) Times'!$F293*0.000001)^2/(4*'D(Ti_Jollands) Times'!$C293)/(365.35*24*3600)</f>
        <v>273420.60337147443</v>
      </c>
      <c r="N293" s="2">
        <f>('L-Values'!J293*'D(Ti_Jollands) Times'!$F293*0.000001)^2/(4*'D(Ti_Jollands) Times'!$C293)/(365.35*24*3600)</f>
        <v>109151.06344182536</v>
      </c>
      <c r="O293" s="2">
        <f>('L-Values'!K293*'D(Ti_Jollands) Times'!$F293*0.000001)^2/(4*'D(Ti_Jollands) Times'!$C293)/(365.35*24*3600)</f>
        <v>157089.82350473141</v>
      </c>
      <c r="P293" s="2">
        <f>('L-Values'!L293*'D(Ti_Jollands) Times'!$F293*0.000001)^2/(4*'D(Ti_Jollands) Times'!$C293)/(365.35*24*3600)</f>
        <v>170103.73764189266</v>
      </c>
      <c r="Q293" s="2">
        <f>('L-Values'!M293*'D(Ti_Jollands) Times'!$F293*0.000001)^2/(4*'D(Ti_Jollands) Times'!$C293)/(365.35*24*3600)</f>
        <v>580595.91359320888</v>
      </c>
      <c r="R293" s="2">
        <f>('L-Values'!N293*'D(Ti_Jollands) Times'!$F293*0.000001)^2/(4*'D(Ti_Jollands) Times'!$C293)/(365.35*24*3600)</f>
        <v>123992.65963303023</v>
      </c>
      <c r="S293" s="2">
        <f>('L-Values'!O293*'D(Ti_Jollands) Times'!$F293*0.000001)^2/(4*'D(Ti_Jollands) Times'!$C293)/(365.35*24*3600)</f>
        <v>336951.43634485774</v>
      </c>
      <c r="T293" s="2"/>
      <c r="U293" s="2">
        <f>('L-Values'!Q293*'D(Ti_Jollands) Times'!$F293*0.000001)^2/(4*'D(Ti_Jollands) Times'!$C293)/(365.35*24*3600)</f>
        <v>185505.36652488212</v>
      </c>
      <c r="V293" s="2">
        <f>('L-Values'!R293*'D(Ti_Jollands) Times'!$F293*0.000001)^2/(4*'D(Ti_Jollands) Times'!$C293)/(365.35*24*3600)</f>
        <v>208588.68326972981</v>
      </c>
      <c r="W293" s="2">
        <f>('L-Values'!S293*'D(Ti_Jollands) Times'!$F293*0.000001)^2/(4*'D(Ti_Jollands) Times'!$C293)/(365.35*24*3600)</f>
        <v>170103.73764189266</v>
      </c>
      <c r="X293" s="2"/>
      <c r="Y293" s="2">
        <f>('L-Values'!U293*'D(Ti_Jollands) Times'!$F293*0.000001)^2/(4*'D(Ti_Jollands) Times'!$C293)/(365.35*24*3600)</f>
        <v>167759.9378121495</v>
      </c>
      <c r="Z293" s="2">
        <f>('L-Values'!V293*'D(Ti_Jollands) Times'!$F293*0.000001)^2/(4*'D(Ti_Jollands) Times'!$C293)/(365.35*24*3600)</f>
        <v>183573.83386946455</v>
      </c>
      <c r="AA293" s="2">
        <f>('L-Values'!W293*'D(Ti_Jollands) Times'!$F293*0.000001)^2/(4*'D(Ti_Jollands) Times'!$C293)/(365.35*24*3600)</f>
        <v>63597.878164425958</v>
      </c>
      <c r="AB293" s="2">
        <f>('L-Values'!X293*'D(Ti_Jollands) Times'!$F293*0.000001)^2/(4*'D(Ti_Jollands) Times'!$C293)/(365.35*24*3600)</f>
        <v>396678.9249476479</v>
      </c>
      <c r="AC293" s="2">
        <f t="shared" si="18"/>
        <v>119975.95570503859</v>
      </c>
      <c r="AD293" s="2">
        <f t="shared" si="19"/>
        <v>213105.09107818335</v>
      </c>
    </row>
    <row r="294" spans="1:30" x14ac:dyDescent="0.2">
      <c r="A294" t="str">
        <f>'L-Values'!A294</f>
        <v>CGI015-qtz01-CL-fit-6-offset</v>
      </c>
      <c r="B294">
        <v>750</v>
      </c>
      <c r="C294">
        <f t="shared" si="16"/>
        <v>6.6965312637759184E-25</v>
      </c>
      <c r="D294">
        <v>1800</v>
      </c>
      <c r="E294">
        <v>1024</v>
      </c>
      <c r="F294">
        <f t="shared" si="17"/>
        <v>1.7578125</v>
      </c>
      <c r="I294" s="2">
        <f>('L-Values'!E294*'D(Ti_Jollands) Times'!$F294*0.000001)^2/(4*'D(Ti_Jollands) Times'!$C294)/(365.35*24*3600)</f>
        <v>28688.818020206614</v>
      </c>
      <c r="J294" s="2">
        <f>('L-Values'!F294*'D(Ti_Jollands) Times'!$F294*0.000001)^2/(4*'D(Ti_Jollands) Times'!$C294)/(365.35*24*3600)</f>
        <v>23106.154167668221</v>
      </c>
      <c r="K294" s="2">
        <f>('L-Values'!G294*'D(Ti_Jollands) Times'!$F294*0.000001)^2/(4*'D(Ti_Jollands) Times'!$C294)/(365.35*24*3600)</f>
        <v>20190.426560112148</v>
      </c>
      <c r="L294" s="2">
        <f>('L-Values'!H294*'D(Ti_Jollands) Times'!$F294*0.000001)^2/(4*'D(Ti_Jollands) Times'!$C294)/(365.35*24*3600)</f>
        <v>28160.592438310487</v>
      </c>
      <c r="M294" s="2">
        <f>('L-Values'!I294*'D(Ti_Jollands) Times'!$F294*0.000001)^2/(4*'D(Ti_Jollands) Times'!$C294)/(365.35*24*3600)</f>
        <v>12216.120114620768</v>
      </c>
      <c r="N294" s="2">
        <f>('L-Values'!J294*'D(Ti_Jollands) Times'!$F294*0.000001)^2/(4*'D(Ti_Jollands) Times'!$C294)/(365.35*24*3600)</f>
        <v>2761.8857568509266</v>
      </c>
      <c r="O294" s="2">
        <f>('L-Values'!K294*'D(Ti_Jollands) Times'!$F294*0.000001)^2/(4*'D(Ti_Jollands) Times'!$C294)/(365.35*24*3600)</f>
        <v>32777.732666200456</v>
      </c>
      <c r="P294" s="2">
        <f>('L-Values'!L294*'D(Ti_Jollands) Times'!$F294*0.000001)^2/(4*'D(Ti_Jollands) Times'!$C294)/(365.35*24*3600)</f>
        <v>2951.8795647300076</v>
      </c>
      <c r="Q294" s="2">
        <f>('L-Values'!M294*'D(Ti_Jollands) Times'!$F294*0.000001)^2/(4*'D(Ti_Jollands) Times'!$C294)/(365.35*24*3600)</f>
        <v>43290.210978669267</v>
      </c>
      <c r="R294" s="2">
        <f>('L-Values'!N294*'D(Ti_Jollands) Times'!$F294*0.000001)^2/(4*'D(Ti_Jollands) Times'!$C294)/(365.35*24*3600)</f>
        <v>3094.2441988291212</v>
      </c>
      <c r="S294" s="2">
        <f>('L-Values'!O294*'D(Ti_Jollands) Times'!$F294*0.000001)^2/(4*'D(Ti_Jollands) Times'!$C294)/(365.35*24*3600)</f>
        <v>63113.404640881185</v>
      </c>
      <c r="T294" s="2"/>
      <c r="U294" s="2">
        <f>('L-Values'!Q294*'D(Ti_Jollands) Times'!$F294*0.000001)^2/(4*'D(Ti_Jollands) Times'!$C294)/(365.35*24*3600)</f>
        <v>28536.413051294912</v>
      </c>
      <c r="V294" s="2">
        <f>('L-Values'!R294*'D(Ti_Jollands) Times'!$F294*0.000001)^2/(4*'D(Ti_Jollands) Times'!$C294)/(365.35*24*3600)</f>
        <v>19718.78212798497</v>
      </c>
      <c r="W294" s="2">
        <f>('L-Values'!S294*'D(Ti_Jollands) Times'!$F294*0.000001)^2/(4*'D(Ti_Jollands) Times'!$C294)/(365.35*24*3600)</f>
        <v>23106.154167668221</v>
      </c>
      <c r="X294" s="2"/>
      <c r="Y294" s="2">
        <f>('L-Values'!U294*'D(Ti_Jollands) Times'!$F294*0.000001)^2/(4*'D(Ti_Jollands) Times'!$C294)/(365.35*24*3600)</f>
        <v>22458.739039900462</v>
      </c>
      <c r="Z294" s="2">
        <f>('L-Values'!V294*'D(Ti_Jollands) Times'!$F294*0.000001)^2/(4*'D(Ti_Jollands) Times'!$C294)/(365.35*24*3600)</f>
        <v>25084.293753407146</v>
      </c>
      <c r="AA294" s="2">
        <f>('L-Values'!W294*'D(Ti_Jollands) Times'!$F294*0.000001)^2/(4*'D(Ti_Jollands) Times'!$C294)/(365.35*24*3600)</f>
        <v>301.83533615417309</v>
      </c>
      <c r="AB294" s="2">
        <f>('L-Values'!X294*'D(Ti_Jollands) Times'!$F294*0.000001)^2/(4*'D(Ti_Jollands) Times'!$C294)/(365.35*24*3600)</f>
        <v>135049.20801107021</v>
      </c>
      <c r="AC294" s="2">
        <f t="shared" si="18"/>
        <v>24782.458417252972</v>
      </c>
      <c r="AD294" s="2">
        <f t="shared" si="19"/>
        <v>109964.91425766307</v>
      </c>
    </row>
    <row r="295" spans="1:30" x14ac:dyDescent="0.2">
      <c r="A295" t="str">
        <f>'L-Values'!A295</f>
        <v>CGI015-qtz02-CL-fit-1-offset</v>
      </c>
      <c r="B295">
        <v>750</v>
      </c>
      <c r="C295">
        <f t="shared" si="16"/>
        <v>6.6965312637759184E-25</v>
      </c>
      <c r="D295">
        <v>1550</v>
      </c>
      <c r="E295">
        <v>1024</v>
      </c>
      <c r="F295">
        <f t="shared" si="17"/>
        <v>1.513671875</v>
      </c>
      <c r="I295" s="2">
        <f>('L-Values'!E295*'D(Ti_Jollands) Times'!$F295*0.000001)^2/(4*'D(Ti_Jollands) Times'!$C295)/(365.35*24*3600)</f>
        <v>5731354.4402988721</v>
      </c>
      <c r="J295" s="2">
        <f>('L-Values'!F295*'D(Ti_Jollands) Times'!$F295*0.000001)^2/(4*'D(Ti_Jollands) Times'!$C295)/(365.35*24*3600)</f>
        <v>5823947.6593056275</v>
      </c>
      <c r="K295" s="2">
        <f>('L-Values'!G295*'D(Ti_Jollands) Times'!$F295*0.000001)^2/(4*'D(Ti_Jollands) Times'!$C295)/(365.35*24*3600)</f>
        <v>6087618.5087528946</v>
      </c>
      <c r="L295" s="2">
        <f>('L-Values'!H295*'D(Ti_Jollands) Times'!$F295*0.000001)^2/(4*'D(Ti_Jollands) Times'!$C295)/(365.35*24*3600)</f>
        <v>5499890.4992322419</v>
      </c>
      <c r="M295" s="2">
        <f>('L-Values'!I295*'D(Ti_Jollands) Times'!$F295*0.000001)^2/(4*'D(Ti_Jollands) Times'!$C295)/(365.35*24*3600)</f>
        <v>5907232.4020874044</v>
      </c>
      <c r="N295" s="2">
        <f>('L-Values'!J295*'D(Ti_Jollands) Times'!$F295*0.000001)^2/(4*'D(Ti_Jollands) Times'!$C295)/(365.35*24*3600)</f>
        <v>5136486.9986666087</v>
      </c>
      <c r="O295" s="2">
        <f>('L-Values'!K295*'D(Ti_Jollands) Times'!$F295*0.000001)^2/(4*'D(Ti_Jollands) Times'!$C295)/(365.35*24*3600)</f>
        <v>4303704.2843820285</v>
      </c>
      <c r="P295" s="2">
        <f>('L-Values'!L295*'D(Ti_Jollands) Times'!$F295*0.000001)^2/(4*'D(Ti_Jollands) Times'!$C295)/(365.35*24*3600)</f>
        <v>6138140.9237020798</v>
      </c>
      <c r="Q295" s="2">
        <f>('L-Values'!M295*'D(Ti_Jollands) Times'!$F295*0.000001)^2/(4*'D(Ti_Jollands) Times'!$C295)/(365.35*24*3600)</f>
        <v>7448103.0488881925</v>
      </c>
      <c r="R295" s="2">
        <f>('L-Values'!N295*'D(Ti_Jollands) Times'!$F295*0.000001)^2/(4*'D(Ti_Jollands) Times'!$C295)/(365.35*24*3600)</f>
        <v>7608382.2660444584</v>
      </c>
      <c r="S295" s="2">
        <f>('L-Values'!O295*'D(Ti_Jollands) Times'!$F295*0.000001)^2/(4*'D(Ti_Jollands) Times'!$C295)/(365.35*24*3600)</f>
        <v>5401877.2045638245</v>
      </c>
      <c r="T295" s="2"/>
      <c r="U295" s="2">
        <f>('L-Values'!Q295*'D(Ti_Jollands) Times'!$F295*0.000001)^2/(4*'D(Ti_Jollands) Times'!$C295)/(365.35*24*3600)</f>
        <v>5845472.054087406</v>
      </c>
      <c r="V295" s="2">
        <f>('L-Values'!R295*'D(Ti_Jollands) Times'!$F295*0.000001)^2/(4*'D(Ti_Jollands) Times'!$C295)/(365.35*24*3600)</f>
        <v>5882995.4730433868</v>
      </c>
      <c r="W295" s="2">
        <f>('L-Values'!S295*'D(Ti_Jollands) Times'!$F295*0.000001)^2/(4*'D(Ti_Jollands) Times'!$C295)/(365.35*24*3600)</f>
        <v>5823947.6593056275</v>
      </c>
      <c r="X295" s="2"/>
      <c r="Y295" s="2">
        <f>('L-Values'!U295*'D(Ti_Jollands) Times'!$F295*0.000001)^2/(4*'D(Ti_Jollands) Times'!$C295)/(365.35*24*3600)</f>
        <v>5897148.7139243037</v>
      </c>
      <c r="Z295" s="2">
        <f>('L-Values'!V295*'D(Ti_Jollands) Times'!$F295*0.000001)^2/(4*'D(Ti_Jollands) Times'!$C295)/(365.35*24*3600)</f>
        <v>5872781.635509002</v>
      </c>
      <c r="AA295" s="2">
        <f>('L-Values'!W295*'D(Ti_Jollands) Times'!$F295*0.000001)^2/(4*'D(Ti_Jollands) Times'!$C295)/(365.35*24*3600)</f>
        <v>4029985.049283918</v>
      </c>
      <c r="AB295" s="2">
        <f>('L-Values'!X295*'D(Ti_Jollands) Times'!$F295*0.000001)^2/(4*'D(Ti_Jollands) Times'!$C295)/(365.35*24*3600)</f>
        <v>8174288.9492159449</v>
      </c>
      <c r="AC295" s="2">
        <f t="shared" si="18"/>
        <v>1842796.586225084</v>
      </c>
      <c r="AD295" s="2">
        <f t="shared" si="19"/>
        <v>2301507.3137069428</v>
      </c>
    </row>
    <row r="296" spans="1:30" x14ac:dyDescent="0.2">
      <c r="A296" t="str">
        <f>'L-Values'!A296</f>
        <v>CGI015-qtz02-CL-fit-2-offset</v>
      </c>
      <c r="B296">
        <v>750</v>
      </c>
      <c r="C296">
        <f t="shared" si="16"/>
        <v>6.6965312637759184E-25</v>
      </c>
      <c r="D296">
        <v>1550</v>
      </c>
      <c r="E296">
        <v>1024</v>
      </c>
      <c r="F296">
        <f t="shared" si="17"/>
        <v>1.513671875</v>
      </c>
      <c r="I296" s="2">
        <f>('L-Values'!E296*'D(Ti_Jollands) Times'!$F296*0.000001)^2/(4*'D(Ti_Jollands) Times'!$C296)/(365.35*24*3600)</f>
        <v>167270.38412257883</v>
      </c>
      <c r="J296" s="2">
        <f>('L-Values'!F296*'D(Ti_Jollands) Times'!$F296*0.000001)^2/(4*'D(Ti_Jollands) Times'!$C296)/(365.35*24*3600)</f>
        <v>231074.79379177516</v>
      </c>
      <c r="K296" s="2">
        <f>('L-Values'!G296*'D(Ti_Jollands) Times'!$F296*0.000001)^2/(4*'D(Ti_Jollands) Times'!$C296)/(365.35*24*3600)</f>
        <v>203987.26503210736</v>
      </c>
      <c r="L296" s="2">
        <f>('L-Values'!H296*'D(Ti_Jollands) Times'!$F296*0.000001)^2/(4*'D(Ti_Jollands) Times'!$C296)/(365.35*24*3600)</f>
        <v>93523.452464334579</v>
      </c>
      <c r="M296" s="2">
        <f>('L-Values'!I296*'D(Ti_Jollands) Times'!$F296*0.000001)^2/(4*'D(Ti_Jollands) Times'!$C296)/(365.35*24*3600)</f>
        <v>232398.94891052475</v>
      </c>
      <c r="N296" s="2">
        <f>('L-Values'!J296*'D(Ti_Jollands) Times'!$F296*0.000001)^2/(4*'D(Ti_Jollands) Times'!$C296)/(365.35*24*3600)</f>
        <v>326592.38661941583</v>
      </c>
      <c r="O296" s="2">
        <f>('L-Values'!K296*'D(Ti_Jollands) Times'!$F296*0.000001)^2/(4*'D(Ti_Jollands) Times'!$C296)/(365.35*24*3600)</f>
        <v>266109.1641584594</v>
      </c>
      <c r="P296" s="2">
        <f>('L-Values'!L296*'D(Ti_Jollands) Times'!$F296*0.000001)^2/(4*'D(Ti_Jollands) Times'!$C296)/(365.35*24*3600)</f>
        <v>405654.0758677572</v>
      </c>
      <c r="Q296" s="2">
        <f>('L-Values'!M296*'D(Ti_Jollands) Times'!$F296*0.000001)^2/(4*'D(Ti_Jollands) Times'!$C296)/(365.35*24*3600)</f>
        <v>359324.31683300738</v>
      </c>
      <c r="R296" s="2">
        <f>('L-Values'!N296*'D(Ti_Jollands) Times'!$F296*0.000001)^2/(4*'D(Ti_Jollands) Times'!$C296)/(365.35*24*3600)</f>
        <v>324853.62731335225</v>
      </c>
      <c r="S296" s="2">
        <f>('L-Values'!O296*'D(Ti_Jollands) Times'!$F296*0.000001)^2/(4*'D(Ti_Jollands) Times'!$C296)/(365.35*24*3600)</f>
        <v>192544.08532134586</v>
      </c>
      <c r="T296" s="2"/>
      <c r="U296" s="2">
        <f>('L-Values'!Q296*'D(Ti_Jollands) Times'!$F296*0.000001)^2/(4*'D(Ti_Jollands) Times'!$C296)/(365.35*24*3600)</f>
        <v>261570.77686294873</v>
      </c>
      <c r="V296" s="2">
        <f>('L-Values'!R296*'D(Ti_Jollands) Times'!$F296*0.000001)^2/(4*'D(Ti_Jollands) Times'!$C296)/(365.35*24*3600)</f>
        <v>246528.25069908166</v>
      </c>
      <c r="W296" s="2">
        <f>('L-Values'!S296*'D(Ti_Jollands) Times'!$F296*0.000001)^2/(4*'D(Ti_Jollands) Times'!$C296)/(365.35*24*3600)</f>
        <v>232398.94891052475</v>
      </c>
      <c r="X296" s="2"/>
      <c r="Y296" s="2">
        <f>('L-Values'!U296*'D(Ti_Jollands) Times'!$F296*0.000001)^2/(4*'D(Ti_Jollands) Times'!$C296)/(365.35*24*3600)</f>
        <v>244501.28437228739</v>
      </c>
      <c r="Z296" s="2">
        <f>('L-Values'!V296*'D(Ti_Jollands) Times'!$F296*0.000001)^2/(4*'D(Ti_Jollands) Times'!$C296)/(365.35*24*3600)</f>
        <v>242671.40100883957</v>
      </c>
      <c r="AA296" s="2">
        <f>('L-Values'!W296*'D(Ti_Jollands) Times'!$F296*0.000001)^2/(4*'D(Ti_Jollands) Times'!$C296)/(365.35*24*3600)</f>
        <v>101773.56966299943</v>
      </c>
      <c r="AB296" s="2">
        <f>('L-Values'!X296*'D(Ti_Jollands) Times'!$F296*0.000001)^2/(4*'D(Ti_Jollands) Times'!$C296)/(365.35*24*3600)</f>
        <v>393513.70297705242</v>
      </c>
      <c r="AC296" s="2">
        <f t="shared" si="18"/>
        <v>140897.83134584012</v>
      </c>
      <c r="AD296" s="2">
        <f t="shared" si="19"/>
        <v>150842.30196821285</v>
      </c>
    </row>
    <row r="297" spans="1:30" x14ac:dyDescent="0.2">
      <c r="A297" t="str">
        <f>'L-Values'!A297</f>
        <v>CGI015-qtz02-CL-fit-3-offset</v>
      </c>
      <c r="B297">
        <v>750</v>
      </c>
      <c r="C297">
        <f t="shared" si="16"/>
        <v>6.6965312637759184E-25</v>
      </c>
      <c r="D297">
        <v>1550</v>
      </c>
      <c r="E297">
        <v>1024</v>
      </c>
      <c r="F297">
        <f t="shared" si="17"/>
        <v>1.513671875</v>
      </c>
      <c r="I297" s="2">
        <f>('L-Values'!E297*'D(Ti_Jollands) Times'!$F297*0.000001)^2/(4*'D(Ti_Jollands) Times'!$C297)/(365.35*24*3600)</f>
        <v>194402.47422395632</v>
      </c>
      <c r="J297" s="2">
        <f>('L-Values'!F297*'D(Ti_Jollands) Times'!$F297*0.000001)^2/(4*'D(Ti_Jollands) Times'!$C297)/(365.35*24*3600)</f>
        <v>146108.9586539749</v>
      </c>
      <c r="K297" s="2">
        <f>('L-Values'!G297*'D(Ti_Jollands) Times'!$F297*0.000001)^2/(4*'D(Ti_Jollands) Times'!$C297)/(365.35*24*3600)</f>
        <v>114294.97980034919</v>
      </c>
      <c r="L297" s="2">
        <f>('L-Values'!H297*'D(Ti_Jollands) Times'!$F297*0.000001)^2/(4*'D(Ti_Jollands) Times'!$C297)/(365.35*24*3600)</f>
        <v>211923.25932805584</v>
      </c>
      <c r="M297" s="2">
        <f>('L-Values'!I297*'D(Ti_Jollands) Times'!$F297*0.000001)^2/(4*'D(Ti_Jollands) Times'!$C297)/(365.35*24*3600)</f>
        <v>193107.64926314625</v>
      </c>
      <c r="N297" s="2">
        <f>('L-Values'!J297*'D(Ti_Jollands) Times'!$F297*0.000001)^2/(4*'D(Ti_Jollands) Times'!$C297)/(365.35*24*3600)</f>
        <v>151237.30172768165</v>
      </c>
      <c r="O297" s="2">
        <f>('L-Values'!K297*'D(Ti_Jollands) Times'!$F297*0.000001)^2/(4*'D(Ti_Jollands) Times'!$C297)/(365.35*24*3600)</f>
        <v>131751.82778056985</v>
      </c>
      <c r="P297" s="2">
        <f>('L-Values'!L297*'D(Ti_Jollands) Times'!$F297*0.000001)^2/(4*'D(Ti_Jollands) Times'!$C297)/(365.35*24*3600)</f>
        <v>113732.4563459083</v>
      </c>
      <c r="Q297" s="2">
        <f>('L-Values'!M297*'D(Ti_Jollands) Times'!$F297*0.000001)^2/(4*'D(Ti_Jollands) Times'!$C297)/(365.35*24*3600)</f>
        <v>128496.04725050427</v>
      </c>
      <c r="R297" s="2">
        <f>('L-Values'!N297*'D(Ti_Jollands) Times'!$F297*0.000001)^2/(4*'D(Ti_Jollands) Times'!$C297)/(365.35*24*3600)</f>
        <v>271014.14065041934</v>
      </c>
      <c r="S297" s="2">
        <f>('L-Values'!O297*'D(Ti_Jollands) Times'!$F297*0.000001)^2/(4*'D(Ti_Jollands) Times'!$C297)/(365.35*24*3600)</f>
        <v>84843.692844716803</v>
      </c>
      <c r="T297" s="2"/>
      <c r="U297" s="2">
        <f>('L-Values'!Q297*'D(Ti_Jollands) Times'!$F297*0.000001)^2/(4*'D(Ti_Jollands) Times'!$C297)/(365.35*24*3600)</f>
        <v>153051.25973351681</v>
      </c>
      <c r="V297" s="2">
        <f>('L-Values'!R297*'D(Ti_Jollands) Times'!$F297*0.000001)^2/(4*'D(Ti_Jollands) Times'!$C297)/(365.35*24*3600)</f>
        <v>154267.84401808135</v>
      </c>
      <c r="W297" s="2">
        <f>('L-Values'!S297*'D(Ti_Jollands) Times'!$F297*0.000001)^2/(4*'D(Ti_Jollands) Times'!$C297)/(365.35*24*3600)</f>
        <v>146108.9586539749</v>
      </c>
      <c r="X297" s="2"/>
      <c r="Y297" s="2">
        <f>('L-Values'!U297*'D(Ti_Jollands) Times'!$F297*0.000001)^2/(4*'D(Ti_Jollands) Times'!$C297)/(365.35*24*3600)</f>
        <v>156270.5217402525</v>
      </c>
      <c r="Z297" s="2">
        <f>('L-Values'!V297*'D(Ti_Jollands) Times'!$F297*0.000001)^2/(4*'D(Ti_Jollands) Times'!$C297)/(365.35*24*3600)</f>
        <v>156114.00287816572</v>
      </c>
      <c r="AA297" s="2">
        <f>('L-Values'!W297*'D(Ti_Jollands) Times'!$F297*0.000001)^2/(4*'D(Ti_Jollands) Times'!$C297)/(365.35*24*3600)</f>
        <v>52044.03524611771</v>
      </c>
      <c r="AB297" s="2">
        <f>('L-Values'!X297*'D(Ti_Jollands) Times'!$F297*0.000001)^2/(4*'D(Ti_Jollands) Times'!$C297)/(365.35*24*3600)</f>
        <v>305880.89059890725</v>
      </c>
      <c r="AC297" s="2">
        <f t="shared" si="18"/>
        <v>104069.96763204801</v>
      </c>
      <c r="AD297" s="2">
        <f t="shared" si="19"/>
        <v>149766.88772074154</v>
      </c>
    </row>
    <row r="298" spans="1:30" x14ac:dyDescent="0.2">
      <c r="A298" t="str">
        <f>'L-Values'!A298</f>
        <v>CGI015-qtz02-CL-fit-4-offset</v>
      </c>
      <c r="B298">
        <v>750</v>
      </c>
      <c r="C298">
        <f t="shared" si="16"/>
        <v>6.6965312637759184E-25</v>
      </c>
      <c r="D298">
        <v>1550</v>
      </c>
      <c r="E298">
        <v>1024</v>
      </c>
      <c r="F298">
        <f t="shared" si="17"/>
        <v>1.513671875</v>
      </c>
      <c r="I298" s="2">
        <f>('L-Values'!E298*'D(Ti_Jollands) Times'!$F298*0.000001)^2/(4*'D(Ti_Jollands) Times'!$C298)/(365.35*24*3600)</f>
        <v>21400.087896669571</v>
      </c>
      <c r="J298" s="2">
        <f>('L-Values'!F298*'D(Ti_Jollands) Times'!$F298*0.000001)^2/(4*'D(Ti_Jollands) Times'!$C298)/(365.35*24*3600)</f>
        <v>15916.800660568966</v>
      </c>
      <c r="K298" s="2">
        <f>('L-Values'!G298*'D(Ti_Jollands) Times'!$F298*0.000001)^2/(4*'D(Ti_Jollands) Times'!$C298)/(365.35*24*3600)</f>
        <v>11594.150875023814</v>
      </c>
      <c r="L298" s="2">
        <f>('L-Values'!H298*'D(Ti_Jollands) Times'!$F298*0.000001)^2/(4*'D(Ti_Jollands) Times'!$C298)/(365.35*24*3600)</f>
        <v>15319.784056047298</v>
      </c>
      <c r="M298" s="2">
        <f>('L-Values'!I298*'D(Ti_Jollands) Times'!$F298*0.000001)^2/(4*'D(Ti_Jollands) Times'!$C298)/(365.35*24*3600)</f>
        <v>19004.194345681481</v>
      </c>
      <c r="N298" s="2">
        <f>('L-Values'!J298*'D(Ti_Jollands) Times'!$F298*0.000001)^2/(4*'D(Ti_Jollands) Times'!$C298)/(365.35*24*3600)</f>
        <v>22339.403656508795</v>
      </c>
      <c r="O298" s="2">
        <f>('L-Values'!K298*'D(Ti_Jollands) Times'!$F298*0.000001)^2/(4*'D(Ti_Jollands) Times'!$C298)/(365.35*24*3600)</f>
        <v>19647.253347455513</v>
      </c>
      <c r="P298" s="2">
        <f>('L-Values'!L298*'D(Ti_Jollands) Times'!$F298*0.000001)^2/(4*'D(Ti_Jollands) Times'!$C298)/(365.35*24*3600)</f>
        <v>30838.719006189844</v>
      </c>
      <c r="Q298" s="2">
        <f>('L-Values'!M298*'D(Ti_Jollands) Times'!$F298*0.000001)^2/(4*'D(Ti_Jollands) Times'!$C298)/(365.35*24*3600)</f>
        <v>24627.406870168743</v>
      </c>
      <c r="R298" s="2">
        <f>('L-Values'!N298*'D(Ti_Jollands) Times'!$F298*0.000001)^2/(4*'D(Ti_Jollands) Times'!$C298)/(365.35*24*3600)</f>
        <v>28330.017145420257</v>
      </c>
      <c r="S298" s="2">
        <f>('L-Values'!O298*'D(Ti_Jollands) Times'!$F298*0.000001)^2/(4*'D(Ti_Jollands) Times'!$C298)/(365.35*24*3600)</f>
        <v>18195.182009083237</v>
      </c>
      <c r="T298" s="2"/>
      <c r="U298" s="2">
        <f>('L-Values'!Q298*'D(Ti_Jollands) Times'!$F298*0.000001)^2/(4*'D(Ti_Jollands) Times'!$C298)/(365.35*24*3600)</f>
        <v>22225.382833921562</v>
      </c>
      <c r="V298" s="2">
        <f>('L-Values'!R298*'D(Ti_Jollands) Times'!$F298*0.000001)^2/(4*'D(Ti_Jollands) Times'!$C298)/(365.35*24*3600)</f>
        <v>20296.725859563892</v>
      </c>
      <c r="W298" s="2">
        <f>('L-Values'!S298*'D(Ti_Jollands) Times'!$F298*0.000001)^2/(4*'D(Ti_Jollands) Times'!$C298)/(365.35*24*3600)</f>
        <v>19647.253347455513</v>
      </c>
      <c r="X298" s="2"/>
      <c r="Y298" s="2">
        <f>('L-Values'!U298*'D(Ti_Jollands) Times'!$F298*0.000001)^2/(4*'D(Ti_Jollands) Times'!$C298)/(365.35*24*3600)</f>
        <v>20949.317685385653</v>
      </c>
      <c r="Z298" s="2">
        <f>('L-Values'!V298*'D(Ti_Jollands) Times'!$F298*0.000001)^2/(4*'D(Ti_Jollands) Times'!$C298)/(365.35*24*3600)</f>
        <v>18039.821101376634</v>
      </c>
      <c r="AA298" s="2">
        <f>('L-Values'!W298*'D(Ti_Jollands) Times'!$F298*0.000001)^2/(4*'D(Ti_Jollands) Times'!$C298)/(365.35*24*3600)</f>
        <v>133.71891369769753</v>
      </c>
      <c r="AB298" s="2">
        <f>('L-Values'!X298*'D(Ti_Jollands) Times'!$F298*0.000001)^2/(4*'D(Ti_Jollands) Times'!$C298)/(365.35*24*3600)</f>
        <v>56663.764182145904</v>
      </c>
      <c r="AC298" s="2">
        <f t="shared" si="18"/>
        <v>17906.102187678938</v>
      </c>
      <c r="AD298" s="2">
        <f t="shared" si="19"/>
        <v>38623.94308076927</v>
      </c>
    </row>
    <row r="299" spans="1:30" x14ac:dyDescent="0.2">
      <c r="A299" t="str">
        <f>'L-Values'!A299</f>
        <v>CGI015-qtz03-CL-fit-1-offset</v>
      </c>
      <c r="B299">
        <v>750</v>
      </c>
      <c r="C299">
        <f t="shared" si="16"/>
        <v>6.6965312637759184E-25</v>
      </c>
      <c r="D299">
        <v>1750</v>
      </c>
      <c r="E299">
        <v>1024</v>
      </c>
      <c r="F299">
        <f t="shared" si="17"/>
        <v>1.708984375</v>
      </c>
      <c r="I299" s="2">
        <f>('L-Values'!E299*'D(Ti_Jollands) Times'!$F299*0.000001)^2/(4*'D(Ti_Jollands) Times'!$C299)/(365.35*24*3600)</f>
        <v>1677798.0378084874</v>
      </c>
      <c r="J299" s="2">
        <f>('L-Values'!F299*'D(Ti_Jollands) Times'!$F299*0.000001)^2/(4*'D(Ti_Jollands) Times'!$C299)/(365.35*24*3600)</f>
        <v>1864012.4591113285</v>
      </c>
      <c r="K299" s="2">
        <f>('L-Values'!G299*'D(Ti_Jollands) Times'!$F299*0.000001)^2/(4*'D(Ti_Jollands) Times'!$C299)/(365.35*24*3600)</f>
        <v>1799449.584272088</v>
      </c>
      <c r="L299" s="2">
        <f>('L-Values'!H299*'D(Ti_Jollands) Times'!$F299*0.000001)^2/(4*'D(Ti_Jollands) Times'!$C299)/(365.35*24*3600)</f>
        <v>1562811.9475069053</v>
      </c>
      <c r="M299" s="2">
        <f>('L-Values'!I299*'D(Ti_Jollands) Times'!$F299*0.000001)^2/(4*'D(Ti_Jollands) Times'!$C299)/(365.35*24*3600)</f>
        <v>1542819.5344160933</v>
      </c>
      <c r="N299" s="2">
        <f>('L-Values'!J299*'D(Ti_Jollands) Times'!$F299*0.000001)^2/(4*'D(Ti_Jollands) Times'!$C299)/(365.35*24*3600)</f>
        <v>2144260.7896895208</v>
      </c>
      <c r="O299" s="2">
        <f>('L-Values'!K299*'D(Ti_Jollands) Times'!$F299*0.000001)^2/(4*'D(Ti_Jollands) Times'!$C299)/(365.35*24*3600)</f>
        <v>898216.77391551109</v>
      </c>
      <c r="P299" s="2">
        <f>('L-Values'!L299*'D(Ti_Jollands) Times'!$F299*0.000001)^2/(4*'D(Ti_Jollands) Times'!$C299)/(365.35*24*3600)</f>
        <v>1024048.7933073052</v>
      </c>
      <c r="Q299" s="2">
        <f>('L-Values'!M299*'D(Ti_Jollands) Times'!$F299*0.000001)^2/(4*'D(Ti_Jollands) Times'!$C299)/(365.35*24*3600)</f>
        <v>859036.72616881039</v>
      </c>
      <c r="R299" s="2">
        <f>('L-Values'!N299*'D(Ti_Jollands) Times'!$F299*0.000001)^2/(4*'D(Ti_Jollands) Times'!$C299)/(365.35*24*3600)</f>
        <v>896227.21095644031</v>
      </c>
      <c r="S299" s="2">
        <f>('L-Values'!O299*'D(Ti_Jollands) Times'!$F299*0.000001)^2/(4*'D(Ti_Jollands) Times'!$C299)/(365.35*24*3600)</f>
        <v>1395699.816323725</v>
      </c>
      <c r="T299" s="2"/>
      <c r="U299" s="2">
        <f>('L-Values'!Q299*'D(Ti_Jollands) Times'!$F299*0.000001)^2/(4*'D(Ti_Jollands) Times'!$C299)/(365.35*24*3600)</f>
        <v>1430099.2847256407</v>
      </c>
      <c r="V299" s="2">
        <f>('L-Values'!R299*'D(Ti_Jollands) Times'!$F299*0.000001)^2/(4*'D(Ti_Jollands) Times'!$C299)/(365.35*24*3600)</f>
        <v>1390943.2033955592</v>
      </c>
      <c r="W299" s="2">
        <f>('L-Values'!S299*'D(Ti_Jollands) Times'!$F299*0.000001)^2/(4*'D(Ti_Jollands) Times'!$C299)/(365.35*24*3600)</f>
        <v>1542819.5344160933</v>
      </c>
      <c r="X299" s="2"/>
      <c r="Y299" s="2">
        <f>('L-Values'!U299*'D(Ti_Jollands) Times'!$F299*0.000001)^2/(4*'D(Ti_Jollands) Times'!$C299)/(365.35*24*3600)</f>
        <v>1356999.5081377255</v>
      </c>
      <c r="Z299" s="2">
        <f>('L-Values'!V299*'D(Ti_Jollands) Times'!$F299*0.000001)^2/(4*'D(Ti_Jollands) Times'!$C299)/(365.35*24*3600)</f>
        <v>1395793.2901195725</v>
      </c>
      <c r="AA299" s="2">
        <f>('L-Values'!W299*'D(Ti_Jollands) Times'!$F299*0.000001)^2/(4*'D(Ti_Jollands) Times'!$C299)/(365.35*24*3600)</f>
        <v>555976.27591305098</v>
      </c>
      <c r="AB299" s="2">
        <f>('L-Values'!X299*'D(Ti_Jollands) Times'!$F299*0.000001)^2/(4*'D(Ti_Jollands) Times'!$C299)/(365.35*24*3600)</f>
        <v>2839918.7097118078</v>
      </c>
      <c r="AC299" s="2">
        <f t="shared" si="18"/>
        <v>839817.01420652156</v>
      </c>
      <c r="AD299" s="2">
        <f t="shared" si="19"/>
        <v>1444125.4195922352</v>
      </c>
    </row>
    <row r="300" spans="1:30" x14ac:dyDescent="0.2">
      <c r="A300" t="str">
        <f>'L-Values'!A300</f>
        <v>CGI015-qtz03-CL-fit-2-offset</v>
      </c>
      <c r="B300">
        <v>750</v>
      </c>
      <c r="C300">
        <f t="shared" si="16"/>
        <v>6.6965312637759184E-25</v>
      </c>
      <c r="D300">
        <v>1750</v>
      </c>
      <c r="E300">
        <v>1024</v>
      </c>
      <c r="F300">
        <f t="shared" si="17"/>
        <v>1.708984375</v>
      </c>
      <c r="I300" s="2">
        <f>('L-Values'!E300*'D(Ti_Jollands) Times'!$F300*0.000001)^2/(4*'D(Ti_Jollands) Times'!$C300)/(365.35*24*3600)</f>
        <v>837440.54024638794</v>
      </c>
      <c r="J300" s="2">
        <f>('L-Values'!F300*'D(Ti_Jollands) Times'!$F300*0.000001)^2/(4*'D(Ti_Jollands) Times'!$C300)/(365.35*24*3600)</f>
        <v>1610145.1474033999</v>
      </c>
      <c r="K300" s="2">
        <f>('L-Values'!G300*'D(Ti_Jollands) Times'!$F300*0.000001)^2/(4*'D(Ti_Jollands) Times'!$C300)/(365.35*24*3600)</f>
        <v>1810562.955005585</v>
      </c>
      <c r="L300" s="2">
        <f>('L-Values'!H300*'D(Ti_Jollands) Times'!$F300*0.000001)^2/(4*'D(Ti_Jollands) Times'!$C300)/(365.35*24*3600)</f>
        <v>1228957.8194165833</v>
      </c>
      <c r="M300" s="2">
        <f>('L-Values'!I300*'D(Ti_Jollands) Times'!$F300*0.000001)^2/(4*'D(Ti_Jollands) Times'!$C300)/(365.35*24*3600)</f>
        <v>1358837.7512265339</v>
      </c>
      <c r="N300" s="2">
        <f>('L-Values'!J300*'D(Ti_Jollands) Times'!$F300*0.000001)^2/(4*'D(Ti_Jollands) Times'!$C300)/(365.35*24*3600)</f>
        <v>1865794.6041981627</v>
      </c>
      <c r="O300" s="2">
        <f>('L-Values'!K300*'D(Ti_Jollands) Times'!$F300*0.000001)^2/(4*'D(Ti_Jollands) Times'!$C300)/(365.35*24*3600)</f>
        <v>1644683.765374498</v>
      </c>
      <c r="P300" s="2">
        <f>('L-Values'!L300*'D(Ti_Jollands) Times'!$F300*0.000001)^2/(4*'D(Ti_Jollands) Times'!$C300)/(365.35*24*3600)</f>
        <v>1712975.1080039651</v>
      </c>
      <c r="Q300" s="2">
        <f>('L-Values'!M300*'D(Ti_Jollands) Times'!$F300*0.000001)^2/(4*'D(Ti_Jollands) Times'!$C300)/(365.35*24*3600)</f>
        <v>2022384.0770748656</v>
      </c>
      <c r="R300" s="2">
        <f>('L-Values'!N300*'D(Ti_Jollands) Times'!$F300*0.000001)^2/(4*'D(Ti_Jollands) Times'!$C300)/(365.35*24*3600)</f>
        <v>1991241.67374282</v>
      </c>
      <c r="S300" s="2">
        <f>('L-Values'!O300*'D(Ti_Jollands) Times'!$F300*0.000001)^2/(4*'D(Ti_Jollands) Times'!$C300)/(365.35*24*3600)</f>
        <v>1457748.9608047516</v>
      </c>
      <c r="T300" s="2"/>
      <c r="U300" s="2">
        <f>('L-Values'!Q300*'D(Ti_Jollands) Times'!$F300*0.000001)^2/(4*'D(Ti_Jollands) Times'!$C300)/(365.35*24*3600)</f>
        <v>1602836.4230603336</v>
      </c>
      <c r="V300" s="2">
        <f>('L-Values'!R300*'D(Ti_Jollands) Times'!$F300*0.000001)^2/(4*'D(Ti_Jollands) Times'!$C300)/(365.35*24*3600)</f>
        <v>1574265.6572575585</v>
      </c>
      <c r="W300" s="2">
        <f>('L-Values'!S300*'D(Ti_Jollands) Times'!$F300*0.000001)^2/(4*'D(Ti_Jollands) Times'!$C300)/(365.35*24*3600)</f>
        <v>1644683.765374498</v>
      </c>
      <c r="X300" s="2"/>
      <c r="Y300" s="2">
        <f>('L-Values'!U300*'D(Ti_Jollands) Times'!$F300*0.000001)^2/(4*'D(Ti_Jollands) Times'!$C300)/(365.35*24*3600)</f>
        <v>1539164.4788562534</v>
      </c>
      <c r="Z300" s="2">
        <f>('L-Values'!V300*'D(Ti_Jollands) Times'!$F300*0.000001)^2/(4*'D(Ti_Jollands) Times'!$C300)/(365.35*24*3600)</f>
        <v>1551236.0118696569</v>
      </c>
      <c r="AA300" s="2">
        <f>('L-Values'!W300*'D(Ti_Jollands) Times'!$F300*0.000001)^2/(4*'D(Ti_Jollands) Times'!$C300)/(365.35*24*3600)</f>
        <v>841327.74676969717</v>
      </c>
      <c r="AB300" s="2">
        <f>('L-Values'!X300*'D(Ti_Jollands) Times'!$F300*0.000001)^2/(4*'D(Ti_Jollands) Times'!$C300)/(365.35*24*3600)</f>
        <v>2605160.2503250479</v>
      </c>
      <c r="AC300" s="2">
        <f t="shared" si="18"/>
        <v>709908.26509995968</v>
      </c>
      <c r="AD300" s="2">
        <f t="shared" si="19"/>
        <v>1053924.238455391</v>
      </c>
    </row>
    <row r="301" spans="1:30" x14ac:dyDescent="0.2">
      <c r="A301" t="str">
        <f>'L-Values'!A301</f>
        <v>CGI015-qtz03-CL-fit-3-offset</v>
      </c>
      <c r="B301">
        <v>750</v>
      </c>
      <c r="C301">
        <f t="shared" si="16"/>
        <v>6.6965312637759184E-25</v>
      </c>
      <c r="D301">
        <v>1750</v>
      </c>
      <c r="E301">
        <v>1024</v>
      </c>
      <c r="F301">
        <f t="shared" si="17"/>
        <v>1.708984375</v>
      </c>
      <c r="I301" s="2">
        <f>('L-Values'!E301*'D(Ti_Jollands) Times'!$F301*0.000001)^2/(4*'D(Ti_Jollands) Times'!$C301)/(365.35*24*3600)</f>
        <v>452932.58730862394</v>
      </c>
      <c r="J301" s="2">
        <f>('L-Values'!F301*'D(Ti_Jollands) Times'!$F301*0.000001)^2/(4*'D(Ti_Jollands) Times'!$C301)/(365.35*24*3600)</f>
        <v>489160.80728638684</v>
      </c>
      <c r="K301" s="2">
        <f>('L-Values'!G301*'D(Ti_Jollands) Times'!$F301*0.000001)^2/(4*'D(Ti_Jollands) Times'!$C301)/(365.35*24*3600)</f>
        <v>597460.46572746697</v>
      </c>
      <c r="L301" s="2">
        <f>('L-Values'!H301*'D(Ti_Jollands) Times'!$F301*0.000001)^2/(4*'D(Ti_Jollands) Times'!$C301)/(365.35*24*3600)</f>
        <v>324199.72402697225</v>
      </c>
      <c r="M301" s="2">
        <f>('L-Values'!I301*'D(Ti_Jollands) Times'!$F301*0.000001)^2/(4*'D(Ti_Jollands) Times'!$C301)/(365.35*24*3600)</f>
        <v>242931.14499451048</v>
      </c>
      <c r="N301" s="2">
        <f>('L-Values'!J301*'D(Ti_Jollands) Times'!$F301*0.000001)^2/(4*'D(Ti_Jollands) Times'!$C301)/(365.35*24*3600)</f>
        <v>338790.97329787136</v>
      </c>
      <c r="O301" s="2">
        <f>('L-Values'!K301*'D(Ti_Jollands) Times'!$F301*0.000001)^2/(4*'D(Ti_Jollands) Times'!$C301)/(365.35*24*3600)</f>
        <v>331462.17383836373</v>
      </c>
      <c r="P301" s="2">
        <f>('L-Values'!L301*'D(Ti_Jollands) Times'!$F301*0.000001)^2/(4*'D(Ti_Jollands) Times'!$C301)/(365.35*24*3600)</f>
        <v>467877.92281073605</v>
      </c>
      <c r="Q301" s="2">
        <f>('L-Values'!M301*'D(Ti_Jollands) Times'!$F301*0.000001)^2/(4*'D(Ti_Jollands) Times'!$C301)/(365.35*24*3600)</f>
        <v>539071.77524676127</v>
      </c>
      <c r="R301" s="2">
        <f>('L-Values'!N301*'D(Ti_Jollands) Times'!$F301*0.000001)^2/(4*'D(Ti_Jollands) Times'!$C301)/(365.35*24*3600)</f>
        <v>355438.07918258215</v>
      </c>
      <c r="S301" s="2">
        <f>('L-Values'!O301*'D(Ti_Jollands) Times'!$F301*0.000001)^2/(4*'D(Ti_Jollands) Times'!$C301)/(365.35*24*3600)</f>
        <v>328655.31373389886</v>
      </c>
      <c r="T301" s="2"/>
      <c r="U301" s="2">
        <f>('L-Values'!Q301*'D(Ti_Jollands) Times'!$F301*0.000001)^2/(4*'D(Ti_Jollands) Times'!$C301)/(365.35*24*3600)</f>
        <v>394212.61466995033</v>
      </c>
      <c r="V301" s="2">
        <f>('L-Values'!R301*'D(Ti_Jollands) Times'!$F301*0.000001)^2/(4*'D(Ti_Jollands) Times'!$C301)/(365.35*24*3600)</f>
        <v>399551.74347079906</v>
      </c>
      <c r="W301" s="2">
        <f>('L-Values'!S301*'D(Ti_Jollands) Times'!$F301*0.000001)^2/(4*'D(Ti_Jollands) Times'!$C301)/(365.35*24*3600)</f>
        <v>355438.07918258215</v>
      </c>
      <c r="X301" s="2"/>
      <c r="Y301" s="2">
        <f>('L-Values'!U301*'D(Ti_Jollands) Times'!$F301*0.000001)^2/(4*'D(Ti_Jollands) Times'!$C301)/(365.35*24*3600)</f>
        <v>383971.77659051429</v>
      </c>
      <c r="Z301" s="2">
        <f>('L-Values'!V301*'D(Ti_Jollands) Times'!$F301*0.000001)^2/(4*'D(Ti_Jollands) Times'!$C301)/(365.35*24*3600)</f>
        <v>385573.49873236072</v>
      </c>
      <c r="AA301" s="2">
        <f>('L-Values'!W301*'D(Ti_Jollands) Times'!$F301*0.000001)^2/(4*'D(Ti_Jollands) Times'!$C301)/(365.35*24*3600)</f>
        <v>187521.9332874821</v>
      </c>
      <c r="AB301" s="2">
        <f>('L-Values'!X301*'D(Ti_Jollands) Times'!$F301*0.000001)^2/(4*'D(Ti_Jollands) Times'!$C301)/(365.35*24*3600)</f>
        <v>611543.22018244769</v>
      </c>
      <c r="AC301" s="2">
        <f t="shared" si="18"/>
        <v>198051.56544487862</v>
      </c>
      <c r="AD301" s="2">
        <f t="shared" si="19"/>
        <v>225969.72145008697</v>
      </c>
    </row>
    <row r="302" spans="1:30" x14ac:dyDescent="0.2">
      <c r="A302" t="str">
        <f>'L-Values'!A302</f>
        <v>CGI015-qtz03-CL-fit-4-offset</v>
      </c>
      <c r="B302">
        <v>750</v>
      </c>
      <c r="C302">
        <f t="shared" si="16"/>
        <v>6.6965312637759184E-25</v>
      </c>
      <c r="D302">
        <v>1750</v>
      </c>
      <c r="E302">
        <v>1024</v>
      </c>
      <c r="F302">
        <f t="shared" si="17"/>
        <v>1.708984375</v>
      </c>
      <c r="I302" s="2">
        <f>('L-Values'!E302*'D(Ti_Jollands) Times'!$F302*0.000001)^2/(4*'D(Ti_Jollands) Times'!$C302)/(365.35*24*3600)</f>
        <v>725024.96434639569</v>
      </c>
      <c r="J302" s="2">
        <f>('L-Values'!F302*'D(Ti_Jollands) Times'!$F302*0.000001)^2/(4*'D(Ti_Jollands) Times'!$C302)/(365.35*24*3600)</f>
        <v>875966.13168683043</v>
      </c>
      <c r="K302" s="2">
        <f>('L-Values'!G302*'D(Ti_Jollands) Times'!$F302*0.000001)^2/(4*'D(Ti_Jollands) Times'!$C302)/(365.35*24*3600)</f>
        <v>778629.78832965263</v>
      </c>
      <c r="L302" s="2">
        <f>('L-Values'!H302*'D(Ti_Jollands) Times'!$F302*0.000001)^2/(4*'D(Ti_Jollands) Times'!$C302)/(365.35*24*3600)</f>
        <v>653780.78569234873</v>
      </c>
      <c r="M302" s="2">
        <f>('L-Values'!I302*'D(Ti_Jollands) Times'!$F302*0.000001)^2/(4*'D(Ti_Jollands) Times'!$C302)/(365.35*24*3600)</f>
        <v>425019.75157159322</v>
      </c>
      <c r="N302" s="2">
        <f>('L-Values'!J302*'D(Ti_Jollands) Times'!$F302*0.000001)^2/(4*'D(Ti_Jollands) Times'!$C302)/(365.35*24*3600)</f>
        <v>533504.48528055719</v>
      </c>
      <c r="O302" s="2">
        <f>('L-Values'!K302*'D(Ti_Jollands) Times'!$F302*0.000001)^2/(4*'D(Ti_Jollands) Times'!$C302)/(365.35*24*3600)</f>
        <v>487070.98014349153</v>
      </c>
      <c r="P302" s="2">
        <f>('L-Values'!L302*'D(Ti_Jollands) Times'!$F302*0.000001)^2/(4*'D(Ti_Jollands) Times'!$C302)/(365.35*24*3600)</f>
        <v>888885.56710695871</v>
      </c>
      <c r="Q302" s="2">
        <f>('L-Values'!M302*'D(Ti_Jollands) Times'!$F302*0.000001)^2/(4*'D(Ti_Jollands) Times'!$C302)/(365.35*24*3600)</f>
        <v>182582.26262424927</v>
      </c>
      <c r="R302" s="2">
        <f>('L-Values'!N302*'D(Ti_Jollands) Times'!$F302*0.000001)^2/(4*'D(Ti_Jollands) Times'!$C302)/(365.35*24*3600)</f>
        <v>200262.80874773668</v>
      </c>
      <c r="S302" s="2">
        <f>('L-Values'!O302*'D(Ti_Jollands) Times'!$F302*0.000001)^2/(4*'D(Ti_Jollands) Times'!$C302)/(365.35*24*3600)</f>
        <v>457713.43470634799</v>
      </c>
      <c r="T302" s="2"/>
      <c r="U302" s="2">
        <f>('L-Values'!Q302*'D(Ti_Jollands) Times'!$F302*0.000001)^2/(4*'D(Ti_Jollands) Times'!$C302)/(365.35*24*3600)</f>
        <v>506474.89151904482</v>
      </c>
      <c r="V302" s="2">
        <f>('L-Values'!R302*'D(Ti_Jollands) Times'!$F302*0.000001)^2/(4*'D(Ti_Jollands) Times'!$C302)/(365.35*24*3600)</f>
        <v>535929.41736955161</v>
      </c>
      <c r="W302" s="2">
        <f>('L-Values'!S302*'D(Ti_Jollands) Times'!$F302*0.000001)^2/(4*'D(Ti_Jollands) Times'!$C302)/(365.35*24*3600)</f>
        <v>533504.48528055719</v>
      </c>
      <c r="X302" s="2"/>
      <c r="Y302" s="2">
        <f>('L-Values'!U302*'D(Ti_Jollands) Times'!$F302*0.000001)^2/(4*'D(Ti_Jollands) Times'!$C302)/(365.35*24*3600)</f>
        <v>449907.17159112147</v>
      </c>
      <c r="Z302" s="2">
        <f>('L-Values'!V302*'D(Ti_Jollands) Times'!$F302*0.000001)^2/(4*'D(Ti_Jollands) Times'!$C302)/(365.35*24*3600)</f>
        <v>477045.80248589697</v>
      </c>
      <c r="AA302" s="2">
        <f>('L-Values'!W302*'D(Ti_Jollands) Times'!$F302*0.000001)^2/(4*'D(Ti_Jollands) Times'!$C302)/(365.35*24*3600)</f>
        <v>227566.75803429665</v>
      </c>
      <c r="AB302" s="2">
        <f>('L-Values'!X302*'D(Ti_Jollands) Times'!$F302*0.000001)^2/(4*'D(Ti_Jollands) Times'!$C302)/(365.35*24*3600)</f>
        <v>964889.16862314357</v>
      </c>
      <c r="AC302" s="2">
        <f t="shared" si="18"/>
        <v>249479.04445160032</v>
      </c>
      <c r="AD302" s="2">
        <f t="shared" si="19"/>
        <v>487843.3661372466</v>
      </c>
    </row>
    <row r="303" spans="1:30" x14ac:dyDescent="0.2">
      <c r="A303" t="str">
        <f>'L-Values'!A303</f>
        <v>CGI015-qtz03-CL-fit-5-offset</v>
      </c>
      <c r="B303">
        <v>750</v>
      </c>
      <c r="C303">
        <f t="shared" si="16"/>
        <v>6.6965312637759184E-25</v>
      </c>
      <c r="D303">
        <v>1750</v>
      </c>
      <c r="E303">
        <v>1024</v>
      </c>
      <c r="F303">
        <f t="shared" si="17"/>
        <v>1.708984375</v>
      </c>
      <c r="I303" s="2">
        <f>('L-Values'!E303*'D(Ti_Jollands) Times'!$F303*0.000001)^2/(4*'D(Ti_Jollands) Times'!$C303)/(365.35*24*3600)</f>
        <v>320677.11791506439</v>
      </c>
      <c r="J303" s="2">
        <f>('L-Values'!F303*'D(Ti_Jollands) Times'!$F303*0.000001)^2/(4*'D(Ti_Jollands) Times'!$C303)/(365.35*24*3600)</f>
        <v>107194.42491988801</v>
      </c>
      <c r="K303" s="2">
        <f>('L-Values'!G303*'D(Ti_Jollands) Times'!$F303*0.000001)^2/(4*'D(Ti_Jollands) Times'!$C303)/(365.35*24*3600)</f>
        <v>216205.61216967157</v>
      </c>
      <c r="L303" s="2">
        <f>('L-Values'!H303*'D(Ti_Jollands) Times'!$F303*0.000001)^2/(4*'D(Ti_Jollands) Times'!$C303)/(365.35*24*3600)</f>
        <v>101233.1929189738</v>
      </c>
      <c r="M303" s="2">
        <f>('L-Values'!I303*'D(Ti_Jollands) Times'!$F303*0.000001)^2/(4*'D(Ti_Jollands) Times'!$C303)/(365.35*24*3600)</f>
        <v>152389.68967023783</v>
      </c>
      <c r="N303" s="2">
        <f>('L-Values'!J303*'D(Ti_Jollands) Times'!$F303*0.000001)^2/(4*'D(Ti_Jollands) Times'!$C303)/(365.35*24*3600)</f>
        <v>163629.26938375735</v>
      </c>
      <c r="O303" s="2">
        <f>('L-Values'!K303*'D(Ti_Jollands) Times'!$F303*0.000001)^2/(4*'D(Ti_Jollands) Times'!$C303)/(365.35*24*3600)</f>
        <v>177733.81939555949</v>
      </c>
      <c r="P303" s="2">
        <f>('L-Values'!L303*'D(Ti_Jollands) Times'!$F303*0.000001)^2/(4*'D(Ti_Jollands) Times'!$C303)/(365.35*24*3600)</f>
        <v>161309.28950106926</v>
      </c>
      <c r="Q303" s="2">
        <f>('L-Values'!M303*'D(Ti_Jollands) Times'!$F303*0.000001)^2/(4*'D(Ti_Jollands) Times'!$C303)/(365.35*24*3600)</f>
        <v>194690.19331907755</v>
      </c>
      <c r="R303" s="2">
        <f>('L-Values'!N303*'D(Ti_Jollands) Times'!$F303*0.000001)^2/(4*'D(Ti_Jollands) Times'!$C303)/(365.35*24*3600)</f>
        <v>254115.5183115438</v>
      </c>
      <c r="S303" s="2">
        <f>('L-Values'!O303*'D(Ti_Jollands) Times'!$F303*0.000001)^2/(4*'D(Ti_Jollands) Times'!$C303)/(365.35*24*3600)</f>
        <v>334327.2775728844</v>
      </c>
      <c r="T303" s="2"/>
      <c r="U303" s="2">
        <f>('L-Values'!Q303*'D(Ti_Jollands) Times'!$F303*0.000001)^2/(4*'D(Ti_Jollands) Times'!$C303)/(365.35*24*3600)</f>
        <v>197476.74698044188</v>
      </c>
      <c r="V303" s="2">
        <f>('L-Values'!R303*'D(Ti_Jollands) Times'!$F303*0.000001)^2/(4*'D(Ti_Jollands) Times'!$C303)/(365.35*24*3600)</f>
        <v>191882.76682577134</v>
      </c>
      <c r="W303" s="2">
        <f>('L-Values'!S303*'D(Ti_Jollands) Times'!$F303*0.000001)^2/(4*'D(Ti_Jollands) Times'!$C303)/(365.35*24*3600)</f>
        <v>177733.81939555949</v>
      </c>
      <c r="X303" s="2"/>
      <c r="Y303" s="2">
        <f>('L-Values'!U303*'D(Ti_Jollands) Times'!$F303*0.000001)^2/(4*'D(Ti_Jollands) Times'!$C303)/(365.35*24*3600)</f>
        <v>188850.25531272191</v>
      </c>
      <c r="Z303" s="2">
        <f>('L-Values'!V303*'D(Ti_Jollands) Times'!$F303*0.000001)^2/(4*'D(Ti_Jollands) Times'!$C303)/(365.35*24*3600)</f>
        <v>190283.29037469259</v>
      </c>
      <c r="AA303" s="2">
        <f>('L-Values'!W303*'D(Ti_Jollands) Times'!$F303*0.000001)^2/(4*'D(Ti_Jollands) Times'!$C303)/(365.35*24*3600)</f>
        <v>50736.048068284734</v>
      </c>
      <c r="AB303" s="2">
        <f>('L-Values'!X303*'D(Ti_Jollands) Times'!$F303*0.000001)^2/(4*'D(Ti_Jollands) Times'!$C303)/(365.35*24*3600)</f>
        <v>422614.73657610122</v>
      </c>
      <c r="AC303" s="2">
        <f t="shared" si="18"/>
        <v>139547.24230640786</v>
      </c>
      <c r="AD303" s="2">
        <f t="shared" si="19"/>
        <v>232331.44620140863</v>
      </c>
    </row>
    <row r="304" spans="1:30" x14ac:dyDescent="0.2">
      <c r="A304" t="str">
        <f>'L-Values'!A304</f>
        <v>CGI015-qtz04-CL-fit-1-offset</v>
      </c>
      <c r="B304">
        <v>750</v>
      </c>
      <c r="C304">
        <f t="shared" si="16"/>
        <v>6.6965312637759184E-25</v>
      </c>
      <c r="D304">
        <v>2000</v>
      </c>
      <c r="E304">
        <v>1024</v>
      </c>
      <c r="F304">
        <f t="shared" si="17"/>
        <v>1.953125</v>
      </c>
      <c r="I304" s="2">
        <f>('L-Values'!E304*'D(Ti_Jollands) Times'!$F304*0.000001)^2/(4*'D(Ti_Jollands) Times'!$C304)/(365.35*24*3600)</f>
        <v>824568.46324054338</v>
      </c>
      <c r="J304" s="2">
        <f>('L-Values'!F304*'D(Ti_Jollands) Times'!$F304*0.000001)^2/(4*'D(Ti_Jollands) Times'!$C304)/(365.35*24*3600)</f>
        <v>965020.69926001143</v>
      </c>
      <c r="K304" s="2">
        <f>('L-Values'!G304*'D(Ti_Jollands) Times'!$F304*0.000001)^2/(4*'D(Ti_Jollands) Times'!$C304)/(365.35*24*3600)</f>
        <v>1122377.4479321514</v>
      </c>
      <c r="L304" s="2">
        <f>('L-Values'!H304*'D(Ti_Jollands) Times'!$F304*0.000001)^2/(4*'D(Ti_Jollands) Times'!$C304)/(365.35*24*3600)</f>
        <v>969741.66529030493</v>
      </c>
      <c r="M304" s="2">
        <f>('L-Values'!I304*'D(Ti_Jollands) Times'!$F304*0.000001)^2/(4*'D(Ti_Jollands) Times'!$C304)/(365.35*24*3600)</f>
        <v>891169.82634704199</v>
      </c>
      <c r="N304" s="2">
        <f>('L-Values'!J304*'D(Ti_Jollands) Times'!$F304*0.000001)^2/(4*'D(Ti_Jollands) Times'!$C304)/(365.35*24*3600)</f>
        <v>971722.11717448966</v>
      </c>
      <c r="O304" s="2">
        <f>('L-Values'!K304*'D(Ti_Jollands) Times'!$F304*0.000001)^2/(4*'D(Ti_Jollands) Times'!$C304)/(365.35*24*3600)</f>
        <v>966122.7320249906</v>
      </c>
      <c r="P304" s="2">
        <f>('L-Values'!L304*'D(Ti_Jollands) Times'!$F304*0.000001)^2/(4*'D(Ti_Jollands) Times'!$C304)/(365.35*24*3600)</f>
        <v>876346.13103433058</v>
      </c>
      <c r="Q304" s="2">
        <f>('L-Values'!M304*'D(Ti_Jollands) Times'!$F304*0.000001)^2/(4*'D(Ti_Jollands) Times'!$C304)/(365.35*24*3600)</f>
        <v>938319.62091577076</v>
      </c>
      <c r="R304" s="2">
        <f>('L-Values'!N304*'D(Ti_Jollands) Times'!$F304*0.000001)^2/(4*'D(Ti_Jollands) Times'!$C304)/(365.35*24*3600)</f>
        <v>957471.3495535712</v>
      </c>
      <c r="S304" s="2">
        <f>('L-Values'!O304*'D(Ti_Jollands) Times'!$F304*0.000001)^2/(4*'D(Ti_Jollands) Times'!$C304)/(365.35*24*3600)</f>
        <v>1255801.8051437829</v>
      </c>
      <c r="T304" s="2"/>
      <c r="U304" s="2">
        <f>('L-Values'!Q304*'D(Ti_Jollands) Times'!$F304*0.000001)^2/(4*'D(Ti_Jollands) Times'!$C304)/(365.35*24*3600)</f>
        <v>987524.4331409341</v>
      </c>
      <c r="V304" s="2">
        <f>('L-Values'!R304*'D(Ti_Jollands) Times'!$F304*0.000001)^2/(4*'D(Ti_Jollands) Times'!$C304)/(365.35*24*3600)</f>
        <v>973131.28826555377</v>
      </c>
      <c r="W304" s="2">
        <f>('L-Values'!S304*'D(Ti_Jollands) Times'!$F304*0.000001)^2/(4*'D(Ti_Jollands) Times'!$C304)/(365.35*24*3600)</f>
        <v>965020.69926001143</v>
      </c>
      <c r="X304" s="2"/>
      <c r="Y304" s="2">
        <f>('L-Values'!U304*'D(Ti_Jollands) Times'!$F304*0.000001)^2/(4*'D(Ti_Jollands) Times'!$C304)/(365.35*24*3600)</f>
        <v>963032.76791686239</v>
      </c>
      <c r="Z304" s="2">
        <f>('L-Values'!V304*'D(Ti_Jollands) Times'!$F304*0.000001)^2/(4*'D(Ti_Jollands) Times'!$C304)/(365.35*24*3600)</f>
        <v>976572.88313617394</v>
      </c>
      <c r="AA304" s="2">
        <f>('L-Values'!W304*'D(Ti_Jollands) Times'!$F304*0.000001)^2/(4*'D(Ti_Jollands) Times'!$C304)/(365.35*24*3600)</f>
        <v>643765.58026905381</v>
      </c>
      <c r="AB304" s="2">
        <f>('L-Values'!X304*'D(Ti_Jollands) Times'!$F304*0.000001)^2/(4*'D(Ti_Jollands) Times'!$C304)/(365.35*24*3600)</f>
        <v>1334246.0202976067</v>
      </c>
      <c r="AC304" s="2">
        <f t="shared" si="18"/>
        <v>332807.30286712013</v>
      </c>
      <c r="AD304" s="2">
        <f t="shared" si="19"/>
        <v>357673.13716143277</v>
      </c>
    </row>
    <row r="305" spans="1:30" x14ac:dyDescent="0.2">
      <c r="A305" t="str">
        <f>'L-Values'!A305</f>
        <v>CGI015-qtz04-CL-fit-2-offset</v>
      </c>
      <c r="B305">
        <v>750</v>
      </c>
      <c r="C305">
        <f t="shared" si="16"/>
        <v>6.6965312637759184E-25</v>
      </c>
      <c r="D305">
        <v>2000</v>
      </c>
      <c r="E305">
        <v>1024</v>
      </c>
      <c r="F305">
        <f t="shared" si="17"/>
        <v>1.953125</v>
      </c>
      <c r="I305" s="2">
        <f>('L-Values'!E305*'D(Ti_Jollands) Times'!$F305*0.000001)^2/(4*'D(Ti_Jollands) Times'!$C305)/(365.35*24*3600)</f>
        <v>585998.07634001528</v>
      </c>
      <c r="J305" s="2">
        <f>('L-Values'!F305*'D(Ti_Jollands) Times'!$F305*0.000001)^2/(4*'D(Ti_Jollands) Times'!$C305)/(365.35*24*3600)</f>
        <v>673912.2369348997</v>
      </c>
      <c r="K305" s="2">
        <f>('L-Values'!G305*'D(Ti_Jollands) Times'!$F305*0.000001)^2/(4*'D(Ti_Jollands) Times'!$C305)/(365.35*24*3600)</f>
        <v>579942.20842352253</v>
      </c>
      <c r="L305" s="2">
        <f>('L-Values'!H305*'D(Ti_Jollands) Times'!$F305*0.000001)^2/(4*'D(Ti_Jollands) Times'!$C305)/(365.35*24*3600)</f>
        <v>671409.62996614911</v>
      </c>
      <c r="M305" s="2">
        <f>('L-Values'!I305*'D(Ti_Jollands) Times'!$F305*0.000001)^2/(4*'D(Ti_Jollands) Times'!$C305)/(365.35*24*3600)</f>
        <v>419505.06042315764</v>
      </c>
      <c r="N305" s="2">
        <f>('L-Values'!J305*'D(Ti_Jollands) Times'!$F305*0.000001)^2/(4*'D(Ti_Jollands) Times'!$C305)/(365.35*24*3600)</f>
        <v>620121.54781818669</v>
      </c>
      <c r="O305" s="2">
        <f>('L-Values'!K305*'D(Ti_Jollands) Times'!$F305*0.000001)^2/(4*'D(Ti_Jollands) Times'!$C305)/(365.35*24*3600)</f>
        <v>487855.46892257239</v>
      </c>
      <c r="P305" s="2">
        <f>('L-Values'!L305*'D(Ti_Jollands) Times'!$F305*0.000001)^2/(4*'D(Ti_Jollands) Times'!$C305)/(365.35*24*3600)</f>
        <v>802817.47105952178</v>
      </c>
      <c r="Q305" s="2">
        <f>('L-Values'!M305*'D(Ti_Jollands) Times'!$F305*0.000001)^2/(4*'D(Ti_Jollands) Times'!$C305)/(365.35*24*3600)</f>
        <v>604531.48835557012</v>
      </c>
      <c r="R305" s="2">
        <f>('L-Values'!N305*'D(Ti_Jollands) Times'!$F305*0.000001)^2/(4*'D(Ti_Jollands) Times'!$C305)/(365.35*24*3600)</f>
        <v>629679.01513913448</v>
      </c>
      <c r="S305" s="2">
        <f>('L-Values'!O305*'D(Ti_Jollands) Times'!$F305*0.000001)^2/(4*'D(Ti_Jollands) Times'!$C305)/(365.35*24*3600)</f>
        <v>324162.29656398779</v>
      </c>
      <c r="T305" s="2"/>
      <c r="U305" s="2">
        <f>('L-Values'!Q305*'D(Ti_Jollands) Times'!$F305*0.000001)^2/(4*'D(Ti_Jollands) Times'!$C305)/(365.35*24*3600)</f>
        <v>603326.30849352875</v>
      </c>
      <c r="V305" s="2">
        <f>('L-Values'!R305*'D(Ti_Jollands) Times'!$F305*0.000001)^2/(4*'D(Ti_Jollands) Times'!$C305)/(365.35*24*3600)</f>
        <v>574480.10954584333</v>
      </c>
      <c r="W305" s="2">
        <f>('L-Values'!S305*'D(Ti_Jollands) Times'!$F305*0.000001)^2/(4*'D(Ti_Jollands) Times'!$C305)/(365.35*24*3600)</f>
        <v>604531.48835557012</v>
      </c>
      <c r="X305" s="2"/>
      <c r="Y305" s="2">
        <f>('L-Values'!U305*'D(Ti_Jollands) Times'!$F305*0.000001)^2/(4*'D(Ti_Jollands) Times'!$C305)/(365.35*24*3600)</f>
        <v>594851.37235440139</v>
      </c>
      <c r="Z305" s="2">
        <f>('L-Values'!V305*'D(Ti_Jollands) Times'!$F305*0.000001)^2/(4*'D(Ti_Jollands) Times'!$C305)/(365.35*24*3600)</f>
        <v>605236.00315118826</v>
      </c>
      <c r="AA305" s="2">
        <f>('L-Values'!W305*'D(Ti_Jollands) Times'!$F305*0.000001)^2/(4*'D(Ti_Jollands) Times'!$C305)/(365.35*24*3600)</f>
        <v>276877.80396464473</v>
      </c>
      <c r="AB305" s="2">
        <f>('L-Values'!X305*'D(Ti_Jollands) Times'!$F305*0.000001)^2/(4*'D(Ti_Jollands) Times'!$C305)/(365.35*24*3600)</f>
        <v>1066438.0930564166</v>
      </c>
      <c r="AC305" s="2">
        <f t="shared" si="18"/>
        <v>328358.19918654353</v>
      </c>
      <c r="AD305" s="2">
        <f t="shared" si="19"/>
        <v>461202.08990522835</v>
      </c>
    </row>
    <row r="306" spans="1:30" x14ac:dyDescent="0.2">
      <c r="A306" t="str">
        <f>'L-Values'!A306</f>
        <v>CGI015-qtz04-CL-fit-3-offset</v>
      </c>
      <c r="B306">
        <v>750</v>
      </c>
      <c r="C306">
        <f t="shared" si="16"/>
        <v>6.6965312637759184E-25</v>
      </c>
      <c r="D306">
        <v>2000</v>
      </c>
      <c r="E306">
        <v>1024</v>
      </c>
      <c r="F306">
        <f t="shared" si="17"/>
        <v>1.953125</v>
      </c>
      <c r="I306" s="2">
        <f>('L-Values'!E306*'D(Ti_Jollands) Times'!$F306*0.000001)^2/(4*'D(Ti_Jollands) Times'!$C306)/(365.35*24*3600)</f>
        <v>178909.6454201575</v>
      </c>
      <c r="J306" s="2">
        <f>('L-Values'!F306*'D(Ti_Jollands) Times'!$F306*0.000001)^2/(4*'D(Ti_Jollands) Times'!$C306)/(365.35*24*3600)</f>
        <v>89568.286255894971</v>
      </c>
      <c r="K306" s="2">
        <f>('L-Values'!G306*'D(Ti_Jollands) Times'!$F306*0.000001)^2/(4*'D(Ti_Jollands) Times'!$C306)/(365.35*24*3600)</f>
        <v>101290.1778088344</v>
      </c>
      <c r="L306" s="2">
        <f>('L-Values'!H306*'D(Ti_Jollands) Times'!$F306*0.000001)^2/(4*'D(Ti_Jollands) Times'!$C306)/(365.35*24*3600)</f>
        <v>81352.751921535324</v>
      </c>
      <c r="M306" s="2">
        <f>('L-Values'!I306*'D(Ti_Jollands) Times'!$F306*0.000001)^2/(4*'D(Ti_Jollands) Times'!$C306)/(365.35*24*3600)</f>
        <v>61351.991385343055</v>
      </c>
      <c r="N306" s="2">
        <f>('L-Values'!J306*'D(Ti_Jollands) Times'!$F306*0.000001)^2/(4*'D(Ti_Jollands) Times'!$C306)/(365.35*24*3600)</f>
        <v>174119.25194303834</v>
      </c>
      <c r="O306" s="2">
        <f>('L-Values'!K306*'D(Ti_Jollands) Times'!$F306*0.000001)^2/(4*'D(Ti_Jollands) Times'!$C306)/(365.35*24*3600)</f>
        <v>292235.8851914439</v>
      </c>
      <c r="P306" s="2">
        <f>('L-Values'!L306*'D(Ti_Jollands) Times'!$F306*0.000001)^2/(4*'D(Ti_Jollands) Times'!$C306)/(365.35*24*3600)</f>
        <v>138784.47102122556</v>
      </c>
      <c r="Q306" s="2">
        <f>('L-Values'!M306*'D(Ti_Jollands) Times'!$F306*0.000001)^2/(4*'D(Ti_Jollands) Times'!$C306)/(365.35*24*3600)</f>
        <v>249559.93147328644</v>
      </c>
      <c r="R306" s="2">
        <f>('L-Values'!N306*'D(Ti_Jollands) Times'!$F306*0.000001)^2/(4*'D(Ti_Jollands) Times'!$C306)/(365.35*24*3600)</f>
        <v>50533.158455504767</v>
      </c>
      <c r="S306" s="2">
        <f>('L-Values'!O306*'D(Ti_Jollands) Times'!$F306*0.000001)^2/(4*'D(Ti_Jollands) Times'!$C306)/(365.35*24*3600)</f>
        <v>96430.904610856043</v>
      </c>
      <c r="T306" s="2"/>
      <c r="U306" s="2">
        <f>('L-Values'!Q306*'D(Ti_Jollands) Times'!$F306*0.000001)^2/(4*'D(Ti_Jollands) Times'!$C306)/(365.35*24*3600)</f>
        <v>134822.61793888672</v>
      </c>
      <c r="V306" s="2">
        <f>('L-Values'!R306*'D(Ti_Jollands) Times'!$F306*0.000001)^2/(4*'D(Ti_Jollands) Times'!$C306)/(365.35*24*3600)</f>
        <v>128211.28859752364</v>
      </c>
      <c r="W306" s="2">
        <f>('L-Values'!S306*'D(Ti_Jollands) Times'!$F306*0.000001)^2/(4*'D(Ti_Jollands) Times'!$C306)/(365.35*24*3600)</f>
        <v>101290.1778088344</v>
      </c>
      <c r="X306" s="2"/>
      <c r="Y306" s="2">
        <f>('L-Values'!U306*'D(Ti_Jollands) Times'!$F306*0.000001)^2/(4*'D(Ti_Jollands) Times'!$C306)/(365.35*24*3600)</f>
        <v>125358.44619357614</v>
      </c>
      <c r="Z306" s="2">
        <f>('L-Values'!V306*'D(Ti_Jollands) Times'!$F306*0.000001)^2/(4*'D(Ti_Jollands) Times'!$C306)/(365.35*24*3600)</f>
        <v>120475.48339634745</v>
      </c>
      <c r="AA306" s="2">
        <f>('L-Values'!W306*'D(Ti_Jollands) Times'!$F306*0.000001)^2/(4*'D(Ti_Jollands) Times'!$C306)/(365.35*24*3600)</f>
        <v>3109.7863555940248</v>
      </c>
      <c r="AB306" s="2">
        <f>('L-Values'!X306*'D(Ti_Jollands) Times'!$F306*0.000001)^2/(4*'D(Ti_Jollands) Times'!$C306)/(365.35*24*3600)</f>
        <v>312231.40065654204</v>
      </c>
      <c r="AC306" s="2">
        <f t="shared" si="18"/>
        <v>117365.69704075342</v>
      </c>
      <c r="AD306" s="2">
        <f t="shared" si="19"/>
        <v>191755.9172601946</v>
      </c>
    </row>
    <row r="307" spans="1:30" x14ac:dyDescent="0.2">
      <c r="A307" t="str">
        <f>'L-Values'!A307</f>
        <v>CGI015-qtz04-CL-fit-4-offset</v>
      </c>
      <c r="B307">
        <v>750</v>
      </c>
      <c r="C307">
        <f t="shared" si="16"/>
        <v>6.6965312637759184E-25</v>
      </c>
      <c r="D307">
        <v>2000</v>
      </c>
      <c r="E307">
        <v>1024</v>
      </c>
      <c r="F307">
        <f t="shared" si="17"/>
        <v>1.953125</v>
      </c>
      <c r="I307" s="2">
        <f>('L-Values'!E307*'D(Ti_Jollands) Times'!$F307*0.000001)^2/(4*'D(Ti_Jollands) Times'!$C307)/(365.35*24*3600)</f>
        <v>122253.4823056092</v>
      </c>
      <c r="J307" s="2">
        <f>('L-Values'!F307*'D(Ti_Jollands) Times'!$F307*0.000001)^2/(4*'D(Ti_Jollands) Times'!$C307)/(365.35*24*3600)</f>
        <v>2999.9084334818981</v>
      </c>
      <c r="K307" s="2">
        <f>('L-Values'!G307*'D(Ti_Jollands) Times'!$F307*0.000001)^2/(4*'D(Ti_Jollands) Times'!$C307)/(365.35*24*3600)</f>
        <v>80470.34488759443</v>
      </c>
      <c r="L307" s="2">
        <f>('L-Values'!H307*'D(Ti_Jollands) Times'!$F307*0.000001)^2/(4*'D(Ti_Jollands) Times'!$C307)/(365.35*24*3600)</f>
        <v>63454.946843104648</v>
      </c>
      <c r="M307" s="2">
        <f>('L-Values'!I307*'D(Ti_Jollands) Times'!$F307*0.000001)^2/(4*'D(Ti_Jollands) Times'!$C307)/(365.35*24*3600)</f>
        <v>64771.338447153103</v>
      </c>
      <c r="N307" s="2">
        <f>('L-Values'!J307*'D(Ti_Jollands) Times'!$F307*0.000001)^2/(4*'D(Ti_Jollands) Times'!$C307)/(365.35*24*3600)</f>
        <v>107829.18540103824</v>
      </c>
      <c r="O307" s="2">
        <f>('L-Values'!K307*'D(Ti_Jollands) Times'!$F307*0.000001)^2/(4*'D(Ti_Jollands) Times'!$C307)/(365.35*24*3600)</f>
        <v>76260.482367112709</v>
      </c>
      <c r="P307" s="2">
        <f>('L-Values'!L307*'D(Ti_Jollands) Times'!$F307*0.000001)^2/(4*'D(Ti_Jollands) Times'!$C307)/(365.35*24*3600)</f>
        <v>1021.2902360859612</v>
      </c>
      <c r="Q307" s="2">
        <f>('L-Values'!M307*'D(Ti_Jollands) Times'!$F307*0.000001)^2/(4*'D(Ti_Jollands) Times'!$C307)/(365.35*24*3600)</f>
        <v>40498.08192206794</v>
      </c>
      <c r="R307" s="2">
        <f>('L-Values'!N307*'D(Ti_Jollands) Times'!$F307*0.000001)^2/(4*'D(Ti_Jollands) Times'!$C307)/(365.35*24*3600)</f>
        <v>72378.402054053062</v>
      </c>
      <c r="S307" s="2">
        <f>('L-Values'!O307*'D(Ti_Jollands) Times'!$F307*0.000001)^2/(4*'D(Ti_Jollands) Times'!$C307)/(365.35*24*3600)</f>
        <v>46490.240601720601</v>
      </c>
      <c r="T307" s="2"/>
      <c r="U307" s="2">
        <f>('L-Values'!Q307*'D(Ti_Jollands) Times'!$F307*0.000001)^2/(4*'D(Ti_Jollands) Times'!$C307)/(365.35*24*3600)</f>
        <v>74333.820068534231</v>
      </c>
      <c r="V307" s="2">
        <f>('L-Values'!R307*'D(Ti_Jollands) Times'!$F307*0.000001)^2/(4*'D(Ti_Jollands) Times'!$C307)/(365.35*24*3600)</f>
        <v>52352.379319134998</v>
      </c>
      <c r="W307" s="2">
        <f>('L-Values'!S307*'D(Ti_Jollands) Times'!$F307*0.000001)^2/(4*'D(Ti_Jollands) Times'!$C307)/(365.35*24*3600)</f>
        <v>64771.338447153103</v>
      </c>
      <c r="X307" s="2"/>
      <c r="Y307" s="2">
        <f>('L-Values'!U307*'D(Ti_Jollands) Times'!$F307*0.000001)^2/(4*'D(Ti_Jollands) Times'!$C307)/(365.35*24*3600)</f>
        <v>69567.012838891635</v>
      </c>
      <c r="Z307" s="2">
        <f>('L-Values'!V307*'D(Ti_Jollands) Times'!$F307*0.000001)^2/(4*'D(Ti_Jollands) Times'!$C307)/(365.35*24*3600)</f>
        <v>73148.666745812516</v>
      </c>
      <c r="AA307" s="2">
        <f>('L-Values'!W307*'D(Ti_Jollands) Times'!$F307*0.000001)^2/(4*'D(Ti_Jollands) Times'!$C307)/(365.35*24*3600)</f>
        <v>1554.1573723165093</v>
      </c>
      <c r="AB307" s="2">
        <f>('L-Values'!X307*'D(Ti_Jollands) Times'!$F307*0.000001)^2/(4*'D(Ti_Jollands) Times'!$C307)/(365.35*24*3600)</f>
        <v>623376.97058493295</v>
      </c>
      <c r="AC307" s="2">
        <f t="shared" si="18"/>
        <v>71594.50937349601</v>
      </c>
      <c r="AD307" s="2">
        <f t="shared" si="19"/>
        <v>550228.30383912043</v>
      </c>
    </row>
    <row r="308" spans="1:30" x14ac:dyDescent="0.2">
      <c r="A308" t="str">
        <f>'L-Values'!A308</f>
        <v>CGI015-qtz05-CL-fit-1-offset</v>
      </c>
      <c r="B308">
        <v>750</v>
      </c>
      <c r="C308">
        <f t="shared" si="16"/>
        <v>6.6965312637759184E-25</v>
      </c>
      <c r="D308">
        <v>1900</v>
      </c>
      <c r="E308">
        <v>1024</v>
      </c>
      <c r="F308">
        <f t="shared" si="17"/>
        <v>1.85546875</v>
      </c>
      <c r="I308" s="2">
        <f>('L-Values'!E308*'D(Ti_Jollands) Times'!$F308*0.000001)^2/(4*'D(Ti_Jollands) Times'!$C308)/(365.35*24*3600)</f>
        <v>2739941.6074303742</v>
      </c>
      <c r="J308" s="2">
        <f>('L-Values'!F308*'D(Ti_Jollands) Times'!$F308*0.000001)^2/(4*'D(Ti_Jollands) Times'!$C308)/(365.35*24*3600)</f>
        <v>2277454.8685379606</v>
      </c>
      <c r="K308" s="2">
        <f>('L-Values'!G308*'D(Ti_Jollands) Times'!$F308*0.000001)^2/(4*'D(Ti_Jollands) Times'!$C308)/(365.35*24*3600)</f>
        <v>3613010.5183737762</v>
      </c>
      <c r="L308" s="2">
        <f>('L-Values'!H308*'D(Ti_Jollands) Times'!$F308*0.000001)^2/(4*'D(Ti_Jollands) Times'!$C308)/(365.35*24*3600)</f>
        <v>2607057.7467851997</v>
      </c>
      <c r="M308" s="2">
        <f>('L-Values'!I308*'D(Ti_Jollands) Times'!$F308*0.000001)^2/(4*'D(Ti_Jollands) Times'!$C308)/(365.35*24*3600)</f>
        <v>2804715.1768571418</v>
      </c>
      <c r="N308" s="2">
        <f>('L-Values'!J308*'D(Ti_Jollands) Times'!$F308*0.000001)^2/(4*'D(Ti_Jollands) Times'!$C308)/(365.35*24*3600)</f>
        <v>2139710.3790884581</v>
      </c>
      <c r="O308" s="2">
        <f>('L-Values'!K308*'D(Ti_Jollands) Times'!$F308*0.000001)^2/(4*'D(Ti_Jollands) Times'!$C308)/(365.35*24*3600)</f>
        <v>4189969.8646280468</v>
      </c>
      <c r="P308" s="2">
        <f>('L-Values'!L308*'D(Ti_Jollands) Times'!$F308*0.000001)^2/(4*'D(Ti_Jollands) Times'!$C308)/(365.35*24*3600)</f>
        <v>2546744.7749330061</v>
      </c>
      <c r="Q308" s="2">
        <f>('L-Values'!M308*'D(Ti_Jollands) Times'!$F308*0.000001)^2/(4*'D(Ti_Jollands) Times'!$C308)/(365.35*24*3600)</f>
        <v>1382595.6103997629</v>
      </c>
      <c r="R308" s="2">
        <f>('L-Values'!N308*'D(Ti_Jollands) Times'!$F308*0.000001)^2/(4*'D(Ti_Jollands) Times'!$C308)/(365.35*24*3600)</f>
        <v>1042508.7368044421</v>
      </c>
      <c r="S308" s="2">
        <f>('L-Values'!O308*'D(Ti_Jollands) Times'!$F308*0.000001)^2/(4*'D(Ti_Jollands) Times'!$C308)/(365.35*24*3600)</f>
        <v>2116053.0043165847</v>
      </c>
      <c r="T308" s="2"/>
      <c r="U308" s="2">
        <f>('L-Values'!Q308*'D(Ti_Jollands) Times'!$F308*0.000001)^2/(4*'D(Ti_Jollands) Times'!$C308)/(365.35*24*3600)</f>
        <v>2309376.4023926631</v>
      </c>
      <c r="V308" s="2">
        <f>('L-Values'!R308*'D(Ti_Jollands) Times'!$F308*0.000001)^2/(4*'D(Ti_Jollands) Times'!$C308)/(365.35*24*3600)</f>
        <v>2419910.0371731063</v>
      </c>
      <c r="W308" s="2">
        <f>('L-Values'!S308*'D(Ti_Jollands) Times'!$F308*0.000001)^2/(4*'D(Ti_Jollands) Times'!$C308)/(365.35*24*3600)</f>
        <v>2546744.7749330061</v>
      </c>
      <c r="X308" s="2"/>
      <c r="Y308" s="2">
        <f>('L-Values'!U308*'D(Ti_Jollands) Times'!$F308*0.000001)^2/(4*'D(Ti_Jollands) Times'!$C308)/(365.35*24*3600)</f>
        <v>2276388.5865993951</v>
      </c>
      <c r="Z308" s="2">
        <f>('L-Values'!V308*'D(Ti_Jollands) Times'!$F308*0.000001)^2/(4*'D(Ti_Jollands) Times'!$C308)/(365.35*24*3600)</f>
        <v>2288880.2921554497</v>
      </c>
      <c r="AA308" s="2">
        <f>('L-Values'!W308*'D(Ti_Jollands) Times'!$F308*0.000001)^2/(4*'D(Ti_Jollands) Times'!$C308)/(365.35*24*3600)</f>
        <v>1465122.0225638784</v>
      </c>
      <c r="AB308" s="2">
        <f>('L-Values'!X308*'D(Ti_Jollands) Times'!$F308*0.000001)^2/(4*'D(Ti_Jollands) Times'!$C308)/(365.35*24*3600)</f>
        <v>3444637.3379313448</v>
      </c>
      <c r="AC308" s="2">
        <f t="shared" si="18"/>
        <v>823758.2695915713</v>
      </c>
      <c r="AD308" s="2">
        <f t="shared" si="19"/>
        <v>1155757.045775895</v>
      </c>
    </row>
    <row r="309" spans="1:30" x14ac:dyDescent="0.2">
      <c r="A309" t="str">
        <f>'L-Values'!A309</f>
        <v>CGI015-qtz05-CL-fit-2-offset</v>
      </c>
      <c r="B309">
        <v>750</v>
      </c>
      <c r="C309">
        <f t="shared" si="16"/>
        <v>6.6965312637759184E-25</v>
      </c>
      <c r="D309">
        <v>1900</v>
      </c>
      <c r="E309">
        <v>1024</v>
      </c>
      <c r="F309">
        <f t="shared" si="17"/>
        <v>1.85546875</v>
      </c>
      <c r="I309" s="2">
        <f>('L-Values'!E309*'D(Ti_Jollands) Times'!$F309*0.000001)^2/(4*'D(Ti_Jollands) Times'!$C309)/(365.35*24*3600)</f>
        <v>362046.85326850461</v>
      </c>
      <c r="J309" s="2">
        <f>('L-Values'!F309*'D(Ti_Jollands) Times'!$F309*0.000001)^2/(4*'D(Ti_Jollands) Times'!$C309)/(365.35*24*3600)</f>
        <v>337615.86755722261</v>
      </c>
      <c r="K309" s="2">
        <f>('L-Values'!G309*'D(Ti_Jollands) Times'!$F309*0.000001)^2/(4*'D(Ti_Jollands) Times'!$C309)/(365.35*24*3600)</f>
        <v>338061.02462476492</v>
      </c>
      <c r="L309" s="2">
        <f>('L-Values'!H309*'D(Ti_Jollands) Times'!$F309*0.000001)^2/(4*'D(Ti_Jollands) Times'!$C309)/(365.35*24*3600)</f>
        <v>354935.25779374252</v>
      </c>
      <c r="M309" s="2">
        <f>('L-Values'!I309*'D(Ti_Jollands) Times'!$F309*0.000001)^2/(4*'D(Ti_Jollands) Times'!$C309)/(365.35*24*3600)</f>
        <v>369149.68146880867</v>
      </c>
      <c r="N309" s="2">
        <f>('L-Values'!J309*'D(Ti_Jollands) Times'!$F309*0.000001)^2/(4*'D(Ti_Jollands) Times'!$C309)/(365.35*24*3600)</f>
        <v>438336.64013492793</v>
      </c>
      <c r="O309" s="2">
        <f>('L-Values'!K309*'D(Ti_Jollands) Times'!$F309*0.000001)^2/(4*'D(Ti_Jollands) Times'!$C309)/(365.35*24*3600)</f>
        <v>561747.56751359673</v>
      </c>
      <c r="P309" s="2">
        <f>('L-Values'!L309*'D(Ti_Jollands) Times'!$F309*0.000001)^2/(4*'D(Ti_Jollands) Times'!$C309)/(365.35*24*3600)</f>
        <v>434450.58386844065</v>
      </c>
      <c r="Q309" s="2">
        <f>('L-Values'!M309*'D(Ti_Jollands) Times'!$F309*0.000001)^2/(4*'D(Ti_Jollands) Times'!$C309)/(365.35*24*3600)</f>
        <v>521080.60965603753</v>
      </c>
      <c r="R309" s="2">
        <f>('L-Values'!N309*'D(Ti_Jollands) Times'!$F309*0.000001)^2/(4*'D(Ti_Jollands) Times'!$C309)/(365.35*24*3600)</f>
        <v>251230.49281947894</v>
      </c>
      <c r="S309" s="2">
        <f>('L-Values'!O309*'D(Ti_Jollands) Times'!$F309*0.000001)^2/(4*'D(Ti_Jollands) Times'!$C309)/(365.35*24*3600)</f>
        <v>347665.97474912711</v>
      </c>
      <c r="T309" s="2"/>
      <c r="U309" s="2">
        <f>('L-Values'!Q309*'D(Ti_Jollands) Times'!$F309*0.000001)^2/(4*'D(Ti_Jollands) Times'!$C309)/(365.35*24*3600)</f>
        <v>384953.56162593199</v>
      </c>
      <c r="V309" s="2">
        <f>('L-Values'!R309*'D(Ti_Jollands) Times'!$F309*0.000001)^2/(4*'D(Ti_Jollands) Times'!$C309)/(365.35*24*3600)</f>
        <v>387895.58055217552</v>
      </c>
      <c r="W309" s="2">
        <f>('L-Values'!S309*'D(Ti_Jollands) Times'!$F309*0.000001)^2/(4*'D(Ti_Jollands) Times'!$C309)/(365.35*24*3600)</f>
        <v>362046.85326850461</v>
      </c>
      <c r="X309" s="2"/>
      <c r="Y309" s="2">
        <f>('L-Values'!U309*'D(Ti_Jollands) Times'!$F309*0.000001)^2/(4*'D(Ti_Jollands) Times'!$C309)/(365.35*24*3600)</f>
        <v>370751.59059683367</v>
      </c>
      <c r="Z309" s="2">
        <f>('L-Values'!V309*'D(Ti_Jollands) Times'!$F309*0.000001)^2/(4*'D(Ti_Jollands) Times'!$C309)/(365.35*24*3600)</f>
        <v>370207.06190409639</v>
      </c>
      <c r="AA309" s="2">
        <f>('L-Values'!W309*'D(Ti_Jollands) Times'!$F309*0.000001)^2/(4*'D(Ti_Jollands) Times'!$C309)/(365.35*24*3600)</f>
        <v>226520.32561831342</v>
      </c>
      <c r="AB309" s="2">
        <f>('L-Values'!X309*'D(Ti_Jollands) Times'!$F309*0.000001)^2/(4*'D(Ti_Jollands) Times'!$C309)/(365.35*24*3600)</f>
        <v>580624.99768626573</v>
      </c>
      <c r="AC309" s="2">
        <f t="shared" si="18"/>
        <v>143686.73628578297</v>
      </c>
      <c r="AD309" s="2">
        <f t="shared" si="19"/>
        <v>210417.93578216934</v>
      </c>
    </row>
    <row r="310" spans="1:30" x14ac:dyDescent="0.2">
      <c r="A310" t="str">
        <f>'L-Values'!A310</f>
        <v>CGI015-qtz05-CL-fit-3-offset</v>
      </c>
      <c r="B310">
        <v>750</v>
      </c>
      <c r="C310">
        <f t="shared" si="16"/>
        <v>6.6965312637759184E-25</v>
      </c>
      <c r="D310">
        <v>1900</v>
      </c>
      <c r="E310">
        <v>1024</v>
      </c>
      <c r="F310">
        <f t="shared" si="17"/>
        <v>1.85546875</v>
      </c>
      <c r="I310" s="2">
        <f>('L-Values'!E310*'D(Ti_Jollands) Times'!$F310*0.000001)^2/(4*'D(Ti_Jollands) Times'!$C310)/(365.35*24*3600)</f>
        <v>295958.28934321826</v>
      </c>
      <c r="J310" s="2">
        <f>('L-Values'!F310*'D(Ti_Jollands) Times'!$F310*0.000001)^2/(4*'D(Ti_Jollands) Times'!$C310)/(365.35*24*3600)</f>
        <v>260642.36015058946</v>
      </c>
      <c r="K310" s="2">
        <f>('L-Values'!G310*'D(Ti_Jollands) Times'!$F310*0.000001)^2/(4*'D(Ti_Jollands) Times'!$C310)/(365.35*24*3600)</f>
        <v>201170.34198694635</v>
      </c>
      <c r="L310" s="2">
        <f>('L-Values'!H310*'D(Ti_Jollands) Times'!$F310*0.000001)^2/(4*'D(Ti_Jollands) Times'!$C310)/(365.35*24*3600)</f>
        <v>101343.89337216654</v>
      </c>
      <c r="M310" s="2">
        <f>('L-Values'!I310*'D(Ti_Jollands) Times'!$F310*0.000001)^2/(4*'D(Ti_Jollands) Times'!$C310)/(365.35*24*3600)</f>
        <v>48880.703886568983</v>
      </c>
      <c r="N310" s="2">
        <f>('L-Values'!J310*'D(Ti_Jollands) Times'!$F310*0.000001)^2/(4*'D(Ti_Jollands) Times'!$C310)/(365.35*24*3600)</f>
        <v>58062.406287296872</v>
      </c>
      <c r="O310" s="2">
        <f>('L-Values'!K310*'D(Ti_Jollands) Times'!$F310*0.000001)^2/(4*'D(Ti_Jollands) Times'!$C310)/(365.35*24*3600)</f>
        <v>196091.2416950842</v>
      </c>
      <c r="P310" s="2">
        <f>('L-Values'!L310*'D(Ti_Jollands) Times'!$F310*0.000001)^2/(4*'D(Ti_Jollands) Times'!$C310)/(365.35*24*3600)</f>
        <v>170782.69707360765</v>
      </c>
      <c r="Q310" s="2">
        <f>('L-Values'!M310*'D(Ti_Jollands) Times'!$F310*0.000001)^2/(4*'D(Ti_Jollands) Times'!$C310)/(365.35*24*3600)</f>
        <v>53345.367571912102</v>
      </c>
      <c r="R310" s="2">
        <f>('L-Values'!N310*'D(Ti_Jollands) Times'!$F310*0.000001)^2/(4*'D(Ti_Jollands) Times'!$C310)/(365.35*24*3600)</f>
        <v>91573.150212376931</v>
      </c>
      <c r="S310" s="2">
        <f>('L-Values'!O310*'D(Ti_Jollands) Times'!$F310*0.000001)^2/(4*'D(Ti_Jollands) Times'!$C310)/(365.35*24*3600)</f>
        <v>46361.039383709933</v>
      </c>
      <c r="T310" s="2"/>
      <c r="U310" s="2">
        <f>('L-Values'!Q310*'D(Ti_Jollands) Times'!$F310*0.000001)^2/(4*'D(Ti_Jollands) Times'!$C310)/(365.35*24*3600)</f>
        <v>131846.93618169116</v>
      </c>
      <c r="V310" s="2">
        <f>('L-Values'!R310*'D(Ti_Jollands) Times'!$F310*0.000001)^2/(4*'D(Ti_Jollands) Times'!$C310)/(365.35*24*3600)</f>
        <v>124958.54073940018</v>
      </c>
      <c r="W310" s="2">
        <f>('L-Values'!S310*'D(Ti_Jollands) Times'!$F310*0.000001)^2/(4*'D(Ti_Jollands) Times'!$C310)/(365.35*24*3600)</f>
        <v>101343.89337216654</v>
      </c>
      <c r="X310" s="2"/>
      <c r="Y310" s="2">
        <f>('L-Values'!U310*'D(Ti_Jollands) Times'!$F310*0.000001)^2/(4*'D(Ti_Jollands) Times'!$C310)/(365.35*24*3600)</f>
        <v>127275.2698735404</v>
      </c>
      <c r="Z310" s="2">
        <f>('L-Values'!V310*'D(Ti_Jollands) Times'!$F310*0.000001)^2/(4*'D(Ti_Jollands) Times'!$C310)/(365.35*24*3600)</f>
        <v>121448.51278131982</v>
      </c>
      <c r="AA310" s="2">
        <f>('L-Values'!W310*'D(Ti_Jollands) Times'!$F310*0.000001)^2/(4*'D(Ti_Jollands) Times'!$C310)/(365.35*24*3600)</f>
        <v>3156.2386963976805</v>
      </c>
      <c r="AB310" s="2">
        <f>('L-Values'!X310*'D(Ti_Jollands) Times'!$F310*0.000001)^2/(4*'D(Ti_Jollands) Times'!$C310)/(365.35*24*3600)</f>
        <v>278617.64971215109</v>
      </c>
      <c r="AC310" s="2">
        <f t="shared" si="18"/>
        <v>118292.27408492214</v>
      </c>
      <c r="AD310" s="2">
        <f t="shared" si="19"/>
        <v>157169.13693083127</v>
      </c>
    </row>
    <row r="311" spans="1:30" x14ac:dyDescent="0.2">
      <c r="A311" t="str">
        <f>'L-Values'!A311</f>
        <v>CGI015-qtz05-CL-fit-4-offset</v>
      </c>
      <c r="B311">
        <v>750</v>
      </c>
      <c r="C311">
        <f t="shared" si="16"/>
        <v>6.6965312637759184E-25</v>
      </c>
      <c r="D311">
        <v>1900</v>
      </c>
      <c r="E311">
        <v>1024</v>
      </c>
      <c r="F311">
        <f t="shared" si="17"/>
        <v>1.85546875</v>
      </c>
      <c r="I311" s="2">
        <f>('L-Values'!E311*'D(Ti_Jollands) Times'!$F311*0.000001)^2/(4*'D(Ti_Jollands) Times'!$C311)/(365.35*24*3600)</f>
        <v>200923.61554589085</v>
      </c>
      <c r="J311" s="2">
        <f>('L-Values'!F311*'D(Ti_Jollands) Times'!$F311*0.000001)^2/(4*'D(Ti_Jollands) Times'!$C311)/(365.35*24*3600)</f>
        <v>249385.85832836767</v>
      </c>
      <c r="K311" s="2">
        <f>('L-Values'!G311*'D(Ti_Jollands) Times'!$F311*0.000001)^2/(4*'D(Ti_Jollands) Times'!$C311)/(365.35*24*3600)</f>
        <v>280656.86065977148</v>
      </c>
      <c r="L311" s="2">
        <f>('L-Values'!H311*'D(Ti_Jollands) Times'!$F311*0.000001)^2/(4*'D(Ti_Jollands) Times'!$C311)/(365.35*24*3600)</f>
        <v>256109.30159098635</v>
      </c>
      <c r="M311" s="2">
        <f>('L-Values'!I311*'D(Ti_Jollands) Times'!$F311*0.000001)^2/(4*'D(Ti_Jollands) Times'!$C311)/(365.35*24*3600)</f>
        <v>125646.59097949549</v>
      </c>
      <c r="N311" s="2">
        <f>('L-Values'!J311*'D(Ti_Jollands) Times'!$F311*0.000001)^2/(4*'D(Ti_Jollands) Times'!$C311)/(365.35*24*3600)</f>
        <v>191274.31703929009</v>
      </c>
      <c r="O311" s="2">
        <f>('L-Values'!K311*'D(Ti_Jollands) Times'!$F311*0.000001)^2/(4*'D(Ti_Jollands) Times'!$C311)/(365.35*24*3600)</f>
        <v>80144.001625648234</v>
      </c>
      <c r="P311" s="2">
        <f>('L-Values'!L311*'D(Ti_Jollands) Times'!$F311*0.000001)^2/(4*'D(Ti_Jollands) Times'!$C311)/(365.35*24*3600)</f>
        <v>28714.01051183906</v>
      </c>
      <c r="Q311" s="2">
        <f>('L-Values'!M311*'D(Ti_Jollands) Times'!$F311*0.000001)^2/(4*'D(Ti_Jollands) Times'!$C311)/(365.35*24*3600)</f>
        <v>245859.08912151979</v>
      </c>
      <c r="R311" s="2">
        <f>('L-Values'!N311*'D(Ti_Jollands) Times'!$F311*0.000001)^2/(4*'D(Ti_Jollands) Times'!$C311)/(365.35*24*3600)</f>
        <v>147340.37063353066</v>
      </c>
      <c r="S311" s="2">
        <f>('L-Values'!O311*'D(Ti_Jollands) Times'!$F311*0.000001)^2/(4*'D(Ti_Jollands) Times'!$C311)/(365.35*24*3600)</f>
        <v>43809.450087360419</v>
      </c>
      <c r="T311" s="2"/>
      <c r="U311" s="2">
        <f>('L-Values'!Q311*'D(Ti_Jollands) Times'!$F311*0.000001)^2/(4*'D(Ti_Jollands) Times'!$C311)/(365.35*24*3600)</f>
        <v>152471.39855367513</v>
      </c>
      <c r="V311" s="2">
        <f>('L-Values'!R311*'D(Ti_Jollands) Times'!$F311*0.000001)^2/(4*'D(Ti_Jollands) Times'!$C311)/(365.35*24*3600)</f>
        <v>154008.93048901219</v>
      </c>
      <c r="W311" s="2">
        <f>('L-Values'!S311*'D(Ti_Jollands) Times'!$F311*0.000001)^2/(4*'D(Ti_Jollands) Times'!$C311)/(365.35*24*3600)</f>
        <v>191274.31703929009</v>
      </c>
      <c r="X311" s="2"/>
      <c r="Y311" s="2">
        <f>('L-Values'!U311*'D(Ti_Jollands) Times'!$F311*0.000001)^2/(4*'D(Ti_Jollands) Times'!$C311)/(365.35*24*3600)</f>
        <v>144290.90452498925</v>
      </c>
      <c r="Z311" s="2">
        <f>('L-Values'!V311*'D(Ti_Jollands) Times'!$F311*0.000001)^2/(4*'D(Ti_Jollands) Times'!$C311)/(365.35*24*3600)</f>
        <v>136252.8088182965</v>
      </c>
      <c r="AA311" s="2">
        <f>('L-Values'!W311*'D(Ti_Jollands) Times'!$F311*0.000001)^2/(4*'D(Ti_Jollands) Times'!$C311)/(365.35*24*3600)</f>
        <v>2193.5690361785814</v>
      </c>
      <c r="AB311" s="2">
        <f>('L-Values'!X311*'D(Ti_Jollands) Times'!$F311*0.000001)^2/(4*'D(Ti_Jollands) Times'!$C311)/(365.35*24*3600)</f>
        <v>404385.94858801918</v>
      </c>
      <c r="AC311" s="2">
        <f t="shared" si="18"/>
        <v>134059.23978211792</v>
      </c>
      <c r="AD311" s="2">
        <f t="shared" si="19"/>
        <v>268133.13976972271</v>
      </c>
    </row>
    <row r="312" spans="1:30" x14ac:dyDescent="0.2">
      <c r="A312" t="str">
        <f>'L-Values'!A312</f>
        <v>CGI015-qtz06-CL-fit-1-offset</v>
      </c>
      <c r="B312">
        <v>750</v>
      </c>
      <c r="C312">
        <f t="shared" si="16"/>
        <v>6.6965312637759184E-25</v>
      </c>
      <c r="D312">
        <v>1700</v>
      </c>
      <c r="E312">
        <v>1024</v>
      </c>
      <c r="F312">
        <f t="shared" si="17"/>
        <v>1.66015625</v>
      </c>
      <c r="I312" s="2">
        <f>('L-Values'!E312*'D(Ti_Jollands) Times'!$F312*0.000001)^2/(4*'D(Ti_Jollands) Times'!$C312)/(365.35*24*3600)</f>
        <v>957235.45645064639</v>
      </c>
      <c r="J312" s="2">
        <f>('L-Values'!F312*'D(Ti_Jollands) Times'!$F312*0.000001)^2/(4*'D(Ti_Jollands) Times'!$C312)/(365.35*24*3600)</f>
        <v>1042874.266212841</v>
      </c>
      <c r="K312" s="2">
        <f>('L-Values'!G312*'D(Ti_Jollands) Times'!$F312*0.000001)^2/(4*'D(Ti_Jollands) Times'!$C312)/(365.35*24*3600)</f>
        <v>810426.2697583097</v>
      </c>
      <c r="L312" s="2">
        <f>('L-Values'!H312*'D(Ti_Jollands) Times'!$F312*0.000001)^2/(4*'D(Ti_Jollands) Times'!$C312)/(365.35*24*3600)</f>
        <v>1288831.989901114</v>
      </c>
      <c r="M312" s="2">
        <f>('L-Values'!I312*'D(Ti_Jollands) Times'!$F312*0.000001)^2/(4*'D(Ti_Jollands) Times'!$C312)/(365.35*24*3600)</f>
        <v>1519577.055083456</v>
      </c>
      <c r="N312" s="2">
        <f>('L-Values'!J312*'D(Ti_Jollands) Times'!$F312*0.000001)^2/(4*'D(Ti_Jollands) Times'!$C312)/(365.35*24*3600)</f>
        <v>1166652.1496661899</v>
      </c>
      <c r="O312" s="2">
        <f>('L-Values'!K312*'D(Ti_Jollands) Times'!$F312*0.000001)^2/(4*'D(Ti_Jollands) Times'!$C312)/(365.35*24*3600)</f>
        <v>1134246.066921602</v>
      </c>
      <c r="P312" s="2">
        <f>('L-Values'!L312*'D(Ti_Jollands) Times'!$F312*0.000001)^2/(4*'D(Ti_Jollands) Times'!$C312)/(365.35*24*3600)</f>
        <v>901409.54695548152</v>
      </c>
      <c r="Q312" s="2">
        <f>('L-Values'!M312*'D(Ti_Jollands) Times'!$F312*0.000001)^2/(4*'D(Ti_Jollands) Times'!$C312)/(365.35*24*3600)</f>
        <v>762259.47420775215</v>
      </c>
      <c r="R312" s="2">
        <f>('L-Values'!N312*'D(Ti_Jollands) Times'!$F312*0.000001)^2/(4*'D(Ti_Jollands) Times'!$C312)/(365.35*24*3600)</f>
        <v>1535793.8596837006</v>
      </c>
      <c r="S312" s="2">
        <f>('L-Values'!O312*'D(Ti_Jollands) Times'!$F312*0.000001)^2/(4*'D(Ti_Jollands) Times'!$C312)/(365.35*24*3600)</f>
        <v>1677153.3079135735</v>
      </c>
      <c r="T312" s="2"/>
      <c r="U312" s="2">
        <f>('L-Values'!Q312*'D(Ti_Jollands) Times'!$F312*0.000001)^2/(4*'D(Ti_Jollands) Times'!$C312)/(365.35*24*3600)</f>
        <v>1117010.4854243218</v>
      </c>
      <c r="V312" s="2">
        <f>('L-Values'!R312*'D(Ti_Jollands) Times'!$F312*0.000001)^2/(4*'D(Ti_Jollands) Times'!$C312)/(365.35*24*3600)</f>
        <v>1144853.3023752277</v>
      </c>
      <c r="W312" s="2">
        <f>('L-Values'!S312*'D(Ti_Jollands) Times'!$F312*0.000001)^2/(4*'D(Ti_Jollands) Times'!$C312)/(365.35*24*3600)</f>
        <v>1134246.066921602</v>
      </c>
      <c r="X312" s="2"/>
      <c r="Y312" s="2">
        <f>('L-Values'!U312*'D(Ti_Jollands) Times'!$F312*0.000001)^2/(4*'D(Ti_Jollands) Times'!$C312)/(365.35*24*3600)</f>
        <v>1102626.1167605107</v>
      </c>
      <c r="Z312" s="2">
        <f>('L-Values'!V312*'D(Ti_Jollands) Times'!$F312*0.000001)^2/(4*'D(Ti_Jollands) Times'!$C312)/(365.35*24*3600)</f>
        <v>1126167.3044812765</v>
      </c>
      <c r="AA312" s="2">
        <f>('L-Values'!W312*'D(Ti_Jollands) Times'!$F312*0.000001)^2/(4*'D(Ti_Jollands) Times'!$C312)/(365.35*24*3600)</f>
        <v>629119.01053795696</v>
      </c>
      <c r="AB312" s="2">
        <f>('L-Values'!X312*'D(Ti_Jollands) Times'!$F312*0.000001)^2/(4*'D(Ti_Jollands) Times'!$C312)/(365.35*24*3600)</f>
        <v>1855182.0225857743</v>
      </c>
      <c r="AC312" s="2">
        <f t="shared" si="18"/>
        <v>497048.29394331959</v>
      </c>
      <c r="AD312" s="2">
        <f t="shared" si="19"/>
        <v>729014.71810449776</v>
      </c>
    </row>
    <row r="313" spans="1:30" x14ac:dyDescent="0.2">
      <c r="A313" t="str">
        <f>'L-Values'!A313</f>
        <v>CGI015-qtz06-CL-fit-2-offset</v>
      </c>
      <c r="B313">
        <v>750</v>
      </c>
      <c r="C313">
        <f t="shared" si="16"/>
        <v>6.6965312637759184E-25</v>
      </c>
      <c r="D313">
        <v>1700</v>
      </c>
      <c r="E313">
        <v>1024</v>
      </c>
      <c r="F313">
        <f t="shared" si="17"/>
        <v>1.66015625</v>
      </c>
      <c r="I313" s="2">
        <f>('L-Values'!E313*'D(Ti_Jollands) Times'!$F313*0.000001)^2/(4*'D(Ti_Jollands) Times'!$C313)/(365.35*24*3600)</f>
        <v>925048.38865918689</v>
      </c>
      <c r="J313" s="2">
        <f>('L-Values'!F313*'D(Ti_Jollands) Times'!$F313*0.000001)^2/(4*'D(Ti_Jollands) Times'!$C313)/(365.35*24*3600)</f>
        <v>476741.36346174596</v>
      </c>
      <c r="K313" s="2">
        <f>('L-Values'!G313*'D(Ti_Jollands) Times'!$F313*0.000001)^2/(4*'D(Ti_Jollands) Times'!$C313)/(365.35*24*3600)</f>
        <v>666027.9831692673</v>
      </c>
      <c r="L313" s="2">
        <f>('L-Values'!H313*'D(Ti_Jollands) Times'!$F313*0.000001)^2/(4*'D(Ti_Jollands) Times'!$C313)/(365.35*24*3600)</f>
        <v>623029.66692081536</v>
      </c>
      <c r="M313" s="2">
        <f>('L-Values'!I313*'D(Ti_Jollands) Times'!$F313*0.000001)^2/(4*'D(Ti_Jollands) Times'!$C313)/(365.35*24*3600)</f>
        <v>667807.80059615755</v>
      </c>
      <c r="N313" s="2">
        <f>('L-Values'!J313*'D(Ti_Jollands) Times'!$F313*0.000001)^2/(4*'D(Ti_Jollands) Times'!$C313)/(365.35*24*3600)</f>
        <v>822857.64430860383</v>
      </c>
      <c r="O313" s="2">
        <f>('L-Values'!K313*'D(Ti_Jollands) Times'!$F313*0.000001)^2/(4*'D(Ti_Jollands) Times'!$C313)/(365.35*24*3600)</f>
        <v>391812.17195852957</v>
      </c>
      <c r="P313" s="2">
        <f>('L-Values'!L313*'D(Ti_Jollands) Times'!$F313*0.000001)^2/(4*'D(Ti_Jollands) Times'!$C313)/(365.35*24*3600)</f>
        <v>453628.46414807608</v>
      </c>
      <c r="Q313" s="2">
        <f>('L-Values'!M313*'D(Ti_Jollands) Times'!$F313*0.000001)^2/(4*'D(Ti_Jollands) Times'!$C313)/(365.35*24*3600)</f>
        <v>308602.75622696796</v>
      </c>
      <c r="R313" s="2">
        <f>('L-Values'!N313*'D(Ti_Jollands) Times'!$F313*0.000001)^2/(4*'D(Ti_Jollands) Times'!$C313)/(365.35*24*3600)</f>
        <v>601815.45420242858</v>
      </c>
      <c r="S313" s="2">
        <f>('L-Values'!O313*'D(Ti_Jollands) Times'!$F313*0.000001)^2/(4*'D(Ti_Jollands) Times'!$C313)/(365.35*24*3600)</f>
        <v>468171.51200359501</v>
      </c>
      <c r="T313" s="2"/>
      <c r="U313" s="2">
        <f>('L-Values'!Q313*'D(Ti_Jollands) Times'!$F313*0.000001)^2/(4*'D(Ti_Jollands) Times'!$C313)/(365.35*24*3600)</f>
        <v>568722.85425412445</v>
      </c>
      <c r="V313" s="2">
        <f>('L-Values'!R313*'D(Ti_Jollands) Times'!$F313*0.000001)^2/(4*'D(Ti_Jollands) Times'!$C313)/(365.35*24*3600)</f>
        <v>568925.11146290298</v>
      </c>
      <c r="W313" s="2">
        <f>('L-Values'!S313*'D(Ti_Jollands) Times'!$F313*0.000001)^2/(4*'D(Ti_Jollands) Times'!$C313)/(365.35*24*3600)</f>
        <v>601815.45420242858</v>
      </c>
      <c r="X313" s="2"/>
      <c r="Y313" s="2">
        <f>('L-Values'!U313*'D(Ti_Jollands) Times'!$F313*0.000001)^2/(4*'D(Ti_Jollands) Times'!$C313)/(365.35*24*3600)</f>
        <v>558592.89834580303</v>
      </c>
      <c r="Z313" s="2">
        <f>('L-Values'!V313*'D(Ti_Jollands) Times'!$F313*0.000001)^2/(4*'D(Ti_Jollands) Times'!$C313)/(365.35*24*3600)</f>
        <v>553176.70260338427</v>
      </c>
      <c r="AA313" s="2">
        <f>('L-Values'!W313*'D(Ti_Jollands) Times'!$F313*0.000001)^2/(4*'D(Ti_Jollands) Times'!$C313)/(365.35*24*3600)</f>
        <v>273885.52033405012</v>
      </c>
      <c r="AB313" s="2">
        <f>('L-Values'!X313*'D(Ti_Jollands) Times'!$F313*0.000001)^2/(4*'D(Ti_Jollands) Times'!$C313)/(365.35*24*3600)</f>
        <v>864801.58015449566</v>
      </c>
      <c r="AC313" s="2">
        <f t="shared" si="18"/>
        <v>279291.18226933415</v>
      </c>
      <c r="AD313" s="2">
        <f t="shared" si="19"/>
        <v>311624.87755111139</v>
      </c>
    </row>
    <row r="314" spans="1:30" x14ac:dyDescent="0.2">
      <c r="A314" t="str">
        <f>'L-Values'!A314</f>
        <v>CGI015-qtz06-CL-fit-3-offset</v>
      </c>
      <c r="B314">
        <v>750</v>
      </c>
      <c r="C314">
        <f t="shared" si="16"/>
        <v>6.6965312637759184E-25</v>
      </c>
      <c r="D314">
        <v>1700</v>
      </c>
      <c r="E314">
        <v>1024</v>
      </c>
      <c r="F314">
        <f t="shared" si="17"/>
        <v>1.66015625</v>
      </c>
      <c r="I314" s="2">
        <f>('L-Values'!E314*'D(Ti_Jollands) Times'!$F314*0.000001)^2/(4*'D(Ti_Jollands) Times'!$C314)/(365.35*24*3600)</f>
        <v>1114.4105487706768</v>
      </c>
      <c r="J314" s="2">
        <f>('L-Values'!F314*'D(Ti_Jollands) Times'!$F314*0.000001)^2/(4*'D(Ti_Jollands) Times'!$C314)/(365.35*24*3600)</f>
        <v>140147.05235220521</v>
      </c>
      <c r="K314" s="2">
        <f>('L-Values'!G314*'D(Ti_Jollands) Times'!$F314*0.000001)^2/(4*'D(Ti_Jollands) Times'!$C314)/(365.35*24*3600)</f>
        <v>484411.17669790389</v>
      </c>
      <c r="L314" s="2">
        <f>('L-Values'!H314*'D(Ti_Jollands) Times'!$F314*0.000001)^2/(4*'D(Ti_Jollands) Times'!$C314)/(365.35*24*3600)</f>
        <v>85161.753307703155</v>
      </c>
      <c r="M314" s="2">
        <f>('L-Values'!I314*'D(Ti_Jollands) Times'!$F314*0.000001)^2/(4*'D(Ti_Jollands) Times'!$C314)/(365.35*24*3600)</f>
        <v>0</v>
      </c>
      <c r="N314" s="2">
        <f>('L-Values'!J314*'D(Ti_Jollands) Times'!$F314*0.000001)^2/(4*'D(Ti_Jollands) Times'!$C314)/(365.35*24*3600)</f>
        <v>1810.8829981839251</v>
      </c>
      <c r="O314" s="2">
        <f>('L-Values'!K314*'D(Ti_Jollands) Times'!$F314*0.000001)^2/(4*'D(Ti_Jollands) Times'!$C314)/(365.35*24*3600)</f>
        <v>1002612.4853859922</v>
      </c>
      <c r="P314" s="2">
        <f>('L-Values'!L314*'D(Ti_Jollands) Times'!$F314*0.000001)^2/(4*'D(Ti_Jollands) Times'!$C314)/(365.35*24*3600)</f>
        <v>1539737.4119536842</v>
      </c>
      <c r="Q314" s="2">
        <f>('L-Values'!M314*'D(Ti_Jollands) Times'!$F314*0.000001)^2/(4*'D(Ti_Jollands) Times'!$C314)/(365.35*24*3600)</f>
        <v>89362.725702360549</v>
      </c>
      <c r="R314" s="2">
        <f>('L-Values'!N314*'D(Ti_Jollands) Times'!$F314*0.000001)^2/(4*'D(Ti_Jollands) Times'!$C314)/(365.35*24*3600)</f>
        <v>434150.70236747182</v>
      </c>
      <c r="S314" s="2">
        <f>('L-Values'!O314*'D(Ti_Jollands) Times'!$F314*0.000001)^2/(4*'D(Ti_Jollands) Times'!$C314)/(365.35*24*3600)</f>
        <v>137047.3191692823</v>
      </c>
      <c r="T314" s="2"/>
      <c r="U314" s="2">
        <f>('L-Values'!Q314*'D(Ti_Jollands) Times'!$F314*0.000001)^2/(4*'D(Ti_Jollands) Times'!$C314)/(365.35*24*3600)</f>
        <v>452320.37552293768</v>
      </c>
      <c r="V314" s="2">
        <f>('L-Values'!R314*'D(Ti_Jollands) Times'!$F314*0.000001)^2/(4*'D(Ti_Jollands) Times'!$C314)/(365.35*24*3600)</f>
        <v>250833.08837897252</v>
      </c>
      <c r="W314" s="2">
        <f>('L-Values'!S314*'D(Ti_Jollands) Times'!$F314*0.000001)^2/(4*'D(Ti_Jollands) Times'!$C314)/(365.35*24*3600)</f>
        <v>138592.8527695337</v>
      </c>
      <c r="X314" s="2"/>
      <c r="Y314" s="2">
        <f>('L-Values'!U314*'D(Ti_Jollands) Times'!$F314*0.000001)^2/(4*'D(Ti_Jollands) Times'!$C314)/(365.35*24*3600)</f>
        <v>446255.34174219921</v>
      </c>
      <c r="Z314" s="2">
        <f>('L-Values'!V314*'D(Ti_Jollands) Times'!$F314*0.000001)^2/(4*'D(Ti_Jollands) Times'!$C314)/(365.35*24*3600)</f>
        <v>546010.99317491183</v>
      </c>
      <c r="AA314" s="2">
        <f>('L-Values'!W314*'D(Ti_Jollands) Times'!$F314*0.000001)^2/(4*'D(Ti_Jollands) Times'!$C314)/(365.35*24*3600)</f>
        <v>3338.7213934866759</v>
      </c>
      <c r="AB314" s="2">
        <f>('L-Values'!X314*'D(Ti_Jollands) Times'!$F314*0.000001)^2/(4*'D(Ti_Jollands) Times'!$C314)/(365.35*24*3600)</f>
        <v>3651396.0066922987</v>
      </c>
      <c r="AC314" s="2">
        <f t="shared" si="18"/>
        <v>542672.27178142511</v>
      </c>
      <c r="AD314" s="2">
        <f t="shared" si="19"/>
        <v>3105385.0135173867</v>
      </c>
    </row>
    <row r="315" spans="1:30" x14ac:dyDescent="0.2">
      <c r="A315" t="str">
        <f>'L-Values'!A315</f>
        <v>CGI015-qtz06-CL-fit-4-offset</v>
      </c>
      <c r="B315">
        <v>750</v>
      </c>
      <c r="C315">
        <f t="shared" si="16"/>
        <v>6.6965312637759184E-25</v>
      </c>
      <c r="D315">
        <v>1700</v>
      </c>
      <c r="E315">
        <v>1024</v>
      </c>
      <c r="F315">
        <f t="shared" si="17"/>
        <v>1.66015625</v>
      </c>
      <c r="I315" s="2">
        <f>('L-Values'!E315*'D(Ti_Jollands) Times'!$F315*0.000001)^2/(4*'D(Ti_Jollands) Times'!$C315)/(365.35*24*3600)</f>
        <v>251226.08597466018</v>
      </c>
      <c r="J315" s="2">
        <f>('L-Values'!F315*'D(Ti_Jollands) Times'!$F315*0.000001)^2/(4*'D(Ti_Jollands) Times'!$C315)/(365.35*24*3600)</f>
        <v>439662.42826988298</v>
      </c>
      <c r="K315" s="2">
        <f>('L-Values'!G315*'D(Ti_Jollands) Times'!$F315*0.000001)^2/(4*'D(Ti_Jollands) Times'!$C315)/(365.35*24*3600)</f>
        <v>457721.82463055605</v>
      </c>
      <c r="L315" s="2">
        <f>('L-Values'!H315*'D(Ti_Jollands) Times'!$F315*0.000001)^2/(4*'D(Ti_Jollands) Times'!$C315)/(365.35*24*3600)</f>
        <v>206308.8416841134</v>
      </c>
      <c r="M315" s="2">
        <f>('L-Values'!I315*'D(Ti_Jollands) Times'!$F315*0.000001)^2/(4*'D(Ti_Jollands) Times'!$C315)/(365.35*24*3600)</f>
        <v>379499.07558415312</v>
      </c>
      <c r="N315" s="2">
        <f>('L-Values'!J315*'D(Ti_Jollands) Times'!$F315*0.000001)^2/(4*'D(Ti_Jollands) Times'!$C315)/(365.35*24*3600)</f>
        <v>449723.82644811529</v>
      </c>
      <c r="O315" s="2">
        <f>('L-Values'!K315*'D(Ti_Jollands) Times'!$F315*0.000001)^2/(4*'D(Ti_Jollands) Times'!$C315)/(365.35*24*3600)</f>
        <v>385792.99517397315</v>
      </c>
      <c r="P315" s="2">
        <f>('L-Values'!L315*'D(Ti_Jollands) Times'!$F315*0.000001)^2/(4*'D(Ti_Jollands) Times'!$C315)/(365.35*24*3600)</f>
        <v>398648.53702299937</v>
      </c>
      <c r="Q315" s="2">
        <f>('L-Values'!M315*'D(Ti_Jollands) Times'!$F315*0.000001)^2/(4*'D(Ti_Jollands) Times'!$C315)/(365.35*24*3600)</f>
        <v>777850.41364812548</v>
      </c>
      <c r="R315" s="2">
        <f>('L-Values'!N315*'D(Ti_Jollands) Times'!$F315*0.000001)^2/(4*'D(Ti_Jollands) Times'!$C315)/(365.35*24*3600)</f>
        <v>524319.34330376051</v>
      </c>
      <c r="S315" s="2">
        <f>('L-Values'!O315*'D(Ti_Jollands) Times'!$F315*0.000001)^2/(4*'D(Ti_Jollands) Times'!$C315)/(365.35*24*3600)</f>
        <v>305539.0630949745</v>
      </c>
      <c r="T315" s="2"/>
      <c r="U315" s="2">
        <f>('L-Values'!Q315*'D(Ti_Jollands) Times'!$F315*0.000001)^2/(4*'D(Ti_Jollands) Times'!$C315)/(365.35*24*3600)</f>
        <v>430817.58750348748</v>
      </c>
      <c r="V315" s="2">
        <f>('L-Values'!R315*'D(Ti_Jollands) Times'!$F315*0.000001)^2/(4*'D(Ti_Jollands) Times'!$C315)/(365.35*24*3600)</f>
        <v>404152.63183913333</v>
      </c>
      <c r="W315" s="2">
        <f>('L-Values'!S315*'D(Ti_Jollands) Times'!$F315*0.000001)^2/(4*'D(Ti_Jollands) Times'!$C315)/(365.35*24*3600)</f>
        <v>398648.53702299937</v>
      </c>
      <c r="X315" s="2"/>
      <c r="Y315" s="2">
        <f>('L-Values'!U315*'D(Ti_Jollands) Times'!$F315*0.000001)^2/(4*'D(Ti_Jollands) Times'!$C315)/(365.35*24*3600)</f>
        <v>418174.28507362597</v>
      </c>
      <c r="Z315" s="2">
        <f>('L-Values'!V315*'D(Ti_Jollands) Times'!$F315*0.000001)^2/(4*'D(Ti_Jollands) Times'!$C315)/(365.35*24*3600)</f>
        <v>424765.31526941218</v>
      </c>
      <c r="AA315" s="2">
        <f>('L-Values'!W315*'D(Ti_Jollands) Times'!$F315*0.000001)^2/(4*'D(Ti_Jollands) Times'!$C315)/(365.35*24*3600)</f>
        <v>232471.35359459411</v>
      </c>
      <c r="AB315" s="2">
        <f>('L-Values'!X315*'D(Ti_Jollands) Times'!$F315*0.000001)^2/(4*'D(Ti_Jollands) Times'!$C315)/(365.35*24*3600)</f>
        <v>702131.34858469979</v>
      </c>
      <c r="AC315" s="2">
        <f t="shared" si="18"/>
        <v>192293.96167481807</v>
      </c>
      <c r="AD315" s="2">
        <f t="shared" si="19"/>
        <v>277366.03331528761</v>
      </c>
    </row>
    <row r="316" spans="1:30" x14ac:dyDescent="0.2">
      <c r="A316" t="str">
        <f>'L-Values'!A316</f>
        <v>CGI015-qtz07-CL-fit-1-offset</v>
      </c>
      <c r="B316">
        <v>750</v>
      </c>
      <c r="C316">
        <f t="shared" si="16"/>
        <v>6.6965312637759184E-25</v>
      </c>
      <c r="D316">
        <v>2250</v>
      </c>
      <c r="E316">
        <v>1024</v>
      </c>
      <c r="F316">
        <f t="shared" si="17"/>
        <v>2.197265625</v>
      </c>
      <c r="I316" s="2">
        <f>('L-Values'!E316*'D(Ti_Jollands) Times'!$F316*0.000001)^2/(4*'D(Ti_Jollands) Times'!$C316)/(365.35*24*3600)</f>
        <v>1249426.9554372632</v>
      </c>
      <c r="J316" s="2">
        <f>('L-Values'!F316*'D(Ti_Jollands) Times'!$F316*0.000001)^2/(4*'D(Ti_Jollands) Times'!$C316)/(365.35*24*3600)</f>
        <v>1225049.5232868858</v>
      </c>
      <c r="K316" s="2">
        <f>('L-Values'!G316*'D(Ti_Jollands) Times'!$F316*0.000001)^2/(4*'D(Ti_Jollands) Times'!$C316)/(365.35*24*3600)</f>
        <v>1538836.2522077628</v>
      </c>
      <c r="L316" s="2">
        <f>('L-Values'!H316*'D(Ti_Jollands) Times'!$F316*0.000001)^2/(4*'D(Ti_Jollands) Times'!$C316)/(365.35*24*3600)</f>
        <v>1131406.1158306049</v>
      </c>
      <c r="M316" s="2">
        <f>('L-Values'!I316*'D(Ti_Jollands) Times'!$F316*0.000001)^2/(4*'D(Ti_Jollands) Times'!$C316)/(365.35*24*3600)</f>
        <v>1313202.9812075139</v>
      </c>
      <c r="N316" s="2">
        <f>('L-Values'!J316*'D(Ti_Jollands) Times'!$F316*0.000001)^2/(4*'D(Ti_Jollands) Times'!$C316)/(365.35*24*3600)</f>
        <v>1015420.7162230922</v>
      </c>
      <c r="O316" s="2">
        <f>('L-Values'!K316*'D(Ti_Jollands) Times'!$F316*0.000001)^2/(4*'D(Ti_Jollands) Times'!$C316)/(365.35*24*3600)</f>
        <v>1246897.3095325185</v>
      </c>
      <c r="P316" s="2">
        <f>('L-Values'!L316*'D(Ti_Jollands) Times'!$F316*0.000001)^2/(4*'D(Ti_Jollands) Times'!$C316)/(365.35*24*3600)</f>
        <v>829884.18556751742</v>
      </c>
      <c r="Q316" s="2">
        <f>('L-Values'!M316*'D(Ti_Jollands) Times'!$F316*0.000001)^2/(4*'D(Ti_Jollands) Times'!$C316)/(365.35*24*3600)</f>
        <v>794832.78145840904</v>
      </c>
      <c r="R316" s="2">
        <f>('L-Values'!N316*'D(Ti_Jollands) Times'!$F316*0.000001)^2/(4*'D(Ti_Jollands) Times'!$C316)/(365.35*24*3600)</f>
        <v>843598.22437835974</v>
      </c>
      <c r="S316" s="2">
        <f>('L-Values'!O316*'D(Ti_Jollands) Times'!$F316*0.000001)^2/(4*'D(Ti_Jollands) Times'!$C316)/(365.35*24*3600)</f>
        <v>1353432.6899742007</v>
      </c>
      <c r="T316" s="2"/>
      <c r="U316" s="2">
        <f>('L-Values'!Q316*'D(Ti_Jollands) Times'!$F316*0.000001)^2/(4*'D(Ti_Jollands) Times'!$C316)/(365.35*24*3600)</f>
        <v>1137875.0958749985</v>
      </c>
      <c r="V316" s="2">
        <f>('L-Values'!R316*'D(Ti_Jollands) Times'!$F316*0.000001)^2/(4*'D(Ti_Jollands) Times'!$C316)/(365.35*24*3600)</f>
        <v>1128116.1842842239</v>
      </c>
      <c r="W316" s="2">
        <f>('L-Values'!S316*'D(Ti_Jollands) Times'!$F316*0.000001)^2/(4*'D(Ti_Jollands) Times'!$C316)/(365.35*24*3600)</f>
        <v>1225049.5232868858</v>
      </c>
      <c r="X316" s="2"/>
      <c r="Y316" s="2">
        <f>('L-Values'!U316*'D(Ti_Jollands) Times'!$F316*0.000001)^2/(4*'D(Ti_Jollands) Times'!$C316)/(365.35*24*3600)</f>
        <v>1135830.2100047076</v>
      </c>
      <c r="Z316" s="2">
        <f>('L-Values'!V316*'D(Ti_Jollands) Times'!$F316*0.000001)^2/(4*'D(Ti_Jollands) Times'!$C316)/(365.35*24*3600)</f>
        <v>1146168.402960733</v>
      </c>
      <c r="AA316" s="2">
        <f>('L-Values'!W316*'D(Ti_Jollands) Times'!$F316*0.000001)^2/(4*'D(Ti_Jollands) Times'!$C316)/(365.35*24*3600)</f>
        <v>717553.34316491371</v>
      </c>
      <c r="AB316" s="2">
        <f>('L-Values'!X316*'D(Ti_Jollands) Times'!$F316*0.000001)^2/(4*'D(Ti_Jollands) Times'!$C316)/(365.35*24*3600)</f>
        <v>1718355.8420471479</v>
      </c>
      <c r="AC316" s="2">
        <f t="shared" si="18"/>
        <v>428615.05979581934</v>
      </c>
      <c r="AD316" s="2">
        <f t="shared" si="19"/>
        <v>572187.43908641487</v>
      </c>
    </row>
    <row r="317" spans="1:30" x14ac:dyDescent="0.2">
      <c r="A317" t="str">
        <f>'L-Values'!A317</f>
        <v>CGI015-qtz07-CL-fit-2-offset</v>
      </c>
      <c r="B317">
        <v>750</v>
      </c>
      <c r="C317">
        <f t="shared" si="16"/>
        <v>6.6965312637759184E-25</v>
      </c>
      <c r="D317">
        <v>2250</v>
      </c>
      <c r="E317">
        <v>1024</v>
      </c>
      <c r="F317">
        <f t="shared" si="17"/>
        <v>2.197265625</v>
      </c>
      <c r="I317" s="2">
        <f>('L-Values'!E317*'D(Ti_Jollands) Times'!$F317*0.000001)^2/(4*'D(Ti_Jollands) Times'!$C317)/(365.35*24*3600)</f>
        <v>6240542.6745442413</v>
      </c>
      <c r="J317" s="2">
        <f>('L-Values'!F317*'D(Ti_Jollands) Times'!$F317*0.000001)^2/(4*'D(Ti_Jollands) Times'!$C317)/(365.35*24*3600)</f>
        <v>6238033.1862317985</v>
      </c>
      <c r="K317" s="2">
        <f>('L-Values'!G317*'D(Ti_Jollands) Times'!$F317*0.000001)^2/(4*'D(Ti_Jollands) Times'!$C317)/(365.35*24*3600)</f>
        <v>6366656.1514437338</v>
      </c>
      <c r="L317" s="2">
        <f>('L-Values'!H317*'D(Ti_Jollands) Times'!$F317*0.000001)^2/(4*'D(Ti_Jollands) Times'!$C317)/(365.35*24*3600)</f>
        <v>3395065.8547419449</v>
      </c>
      <c r="M317" s="2">
        <f>('L-Values'!I317*'D(Ti_Jollands) Times'!$F317*0.000001)^2/(4*'D(Ti_Jollands) Times'!$C317)/(365.35*24*3600)</f>
        <v>3885747.1615117225</v>
      </c>
      <c r="N317" s="2">
        <f>('L-Values'!J317*'D(Ti_Jollands) Times'!$F317*0.000001)^2/(4*'D(Ti_Jollands) Times'!$C317)/(365.35*24*3600)</f>
        <v>3100246.0748533425</v>
      </c>
      <c r="O317" s="2">
        <f>('L-Values'!K317*'D(Ti_Jollands) Times'!$F317*0.000001)^2/(4*'D(Ti_Jollands) Times'!$C317)/(365.35*24*3600)</f>
        <v>3172038.4837203012</v>
      </c>
      <c r="P317" s="2">
        <f>('L-Values'!L317*'D(Ti_Jollands) Times'!$F317*0.000001)^2/(4*'D(Ti_Jollands) Times'!$C317)/(365.35*24*3600)</f>
        <v>4364024.972963796</v>
      </c>
      <c r="Q317" s="2">
        <f>('L-Values'!M317*'D(Ti_Jollands) Times'!$F317*0.000001)^2/(4*'D(Ti_Jollands) Times'!$C317)/(365.35*24*3600)</f>
        <v>2067864.7391882187</v>
      </c>
      <c r="R317" s="2">
        <f>('L-Values'!N317*'D(Ti_Jollands) Times'!$F317*0.000001)^2/(4*'D(Ti_Jollands) Times'!$C317)/(365.35*24*3600)</f>
        <v>6471145.2687672814</v>
      </c>
      <c r="S317" s="2">
        <f>('L-Values'!O317*'D(Ti_Jollands) Times'!$F317*0.000001)^2/(4*'D(Ti_Jollands) Times'!$C317)/(365.35*24*3600)</f>
        <v>4635580.1682089623</v>
      </c>
      <c r="T317" s="2"/>
      <c r="U317" s="2">
        <f>('L-Values'!Q317*'D(Ti_Jollands) Times'!$F317*0.000001)^2/(4*'D(Ti_Jollands) Times'!$C317)/(365.35*24*3600)</f>
        <v>4489147.1266709799</v>
      </c>
      <c r="V317" s="2">
        <f>('L-Values'!R317*'D(Ti_Jollands) Times'!$F317*0.000001)^2/(4*'D(Ti_Jollands) Times'!$C317)/(365.35*24*3600)</f>
        <v>4409399.3182678195</v>
      </c>
      <c r="W317" s="2">
        <f>('L-Values'!S317*'D(Ti_Jollands) Times'!$F317*0.000001)^2/(4*'D(Ti_Jollands) Times'!$C317)/(365.35*24*3600)</f>
        <v>4364024.972963796</v>
      </c>
      <c r="X317" s="2"/>
      <c r="Y317" s="2">
        <f>('L-Values'!U317*'D(Ti_Jollands) Times'!$F317*0.000001)^2/(4*'D(Ti_Jollands) Times'!$C317)/(365.35*24*3600)</f>
        <v>4298700.3363272268</v>
      </c>
      <c r="Z317" s="2">
        <f>('L-Values'!V317*'D(Ti_Jollands) Times'!$F317*0.000001)^2/(4*'D(Ti_Jollands) Times'!$C317)/(365.35*24*3600)</f>
        <v>4480494.1190393856</v>
      </c>
      <c r="AA317" s="2">
        <f>('L-Values'!W317*'D(Ti_Jollands) Times'!$F317*0.000001)^2/(4*'D(Ti_Jollands) Times'!$C317)/(365.35*24*3600)</f>
        <v>2429445.3262460465</v>
      </c>
      <c r="AB317" s="2">
        <f>('L-Values'!X317*'D(Ti_Jollands) Times'!$F317*0.000001)^2/(4*'D(Ti_Jollands) Times'!$C317)/(365.35*24*3600)</f>
        <v>8461883.8257854097</v>
      </c>
      <c r="AC317" s="2">
        <f t="shared" si="18"/>
        <v>2051048.7927933391</v>
      </c>
      <c r="AD317" s="2">
        <f t="shared" si="19"/>
        <v>3981389.7067460241</v>
      </c>
    </row>
    <row r="318" spans="1:30" x14ac:dyDescent="0.2">
      <c r="A318" t="str">
        <f>'L-Values'!A318</f>
        <v>CGI015-qtz07-CL-fit-3-offset</v>
      </c>
      <c r="B318">
        <v>750</v>
      </c>
      <c r="C318">
        <f t="shared" si="16"/>
        <v>6.6965312637759184E-25</v>
      </c>
      <c r="D318">
        <v>2250</v>
      </c>
      <c r="E318">
        <v>1024</v>
      </c>
      <c r="F318">
        <f t="shared" si="17"/>
        <v>2.197265625</v>
      </c>
      <c r="I318" s="2">
        <f>('L-Values'!E318*'D(Ti_Jollands) Times'!$F318*0.000001)^2/(4*'D(Ti_Jollands) Times'!$C318)/(365.35*24*3600)</f>
        <v>203738.13749268267</v>
      </c>
      <c r="J318" s="2">
        <f>('L-Values'!F318*'D(Ti_Jollands) Times'!$F318*0.000001)^2/(4*'D(Ti_Jollands) Times'!$C318)/(365.35*24*3600)</f>
        <v>279084.41268152749</v>
      </c>
      <c r="K318" s="2">
        <f>('L-Values'!G318*'D(Ti_Jollands) Times'!$F318*0.000001)^2/(4*'D(Ti_Jollands) Times'!$C318)/(365.35*24*3600)</f>
        <v>277754.35824534943</v>
      </c>
      <c r="L318" s="2">
        <f>('L-Values'!H318*'D(Ti_Jollands) Times'!$F318*0.000001)^2/(4*'D(Ti_Jollands) Times'!$C318)/(365.35*24*3600)</f>
        <v>353925.60551312001</v>
      </c>
      <c r="M318" s="2">
        <f>('L-Values'!I318*'D(Ti_Jollands) Times'!$F318*0.000001)^2/(4*'D(Ti_Jollands) Times'!$C318)/(365.35*24*3600)</f>
        <v>286956.0799890504</v>
      </c>
      <c r="N318" s="2">
        <f>('L-Values'!J318*'D(Ti_Jollands) Times'!$F318*0.000001)^2/(4*'D(Ti_Jollands) Times'!$C318)/(365.35*24*3600)</f>
        <v>280433.85861295741</v>
      </c>
      <c r="O318" s="2">
        <f>('L-Values'!K318*'D(Ti_Jollands) Times'!$F318*0.000001)^2/(4*'D(Ti_Jollands) Times'!$C318)/(365.35*24*3600)</f>
        <v>292386.71597992402</v>
      </c>
      <c r="P318" s="2">
        <f>('L-Values'!L318*'D(Ti_Jollands) Times'!$F318*0.000001)^2/(4*'D(Ti_Jollands) Times'!$C318)/(365.35*24*3600)</f>
        <v>346008.8098220948</v>
      </c>
      <c r="Q318" s="2">
        <f>('L-Values'!M318*'D(Ti_Jollands) Times'!$F318*0.000001)^2/(4*'D(Ti_Jollands) Times'!$C318)/(365.35*24*3600)</f>
        <v>234707.99353361147</v>
      </c>
      <c r="R318" s="2">
        <f>('L-Values'!N318*'D(Ti_Jollands) Times'!$F318*0.000001)^2/(4*'D(Ti_Jollands) Times'!$C318)/(365.35*24*3600)</f>
        <v>214556.93743776242</v>
      </c>
      <c r="S318" s="2">
        <f>('L-Values'!O318*'D(Ti_Jollands) Times'!$F318*0.000001)^2/(4*'D(Ti_Jollands) Times'!$C318)/(365.35*24*3600)</f>
        <v>553960.50962329283</v>
      </c>
      <c r="T318" s="2"/>
      <c r="U318" s="2">
        <f>('L-Values'!Q318*'D(Ti_Jollands) Times'!$F318*0.000001)^2/(4*'D(Ti_Jollands) Times'!$C318)/(365.35*24*3600)</f>
        <v>292916.73945683136</v>
      </c>
      <c r="V318" s="2">
        <f>('L-Values'!R318*'D(Ti_Jollands) Times'!$F318*0.000001)^2/(4*'D(Ti_Jollands) Times'!$C318)/(365.35*24*3600)</f>
        <v>296306.96240707103</v>
      </c>
      <c r="W318" s="2">
        <f>('L-Values'!S318*'D(Ti_Jollands) Times'!$F318*0.000001)^2/(4*'D(Ti_Jollands) Times'!$C318)/(365.35*24*3600)</f>
        <v>280433.85861295741</v>
      </c>
      <c r="X318" s="2"/>
      <c r="Y318" s="2">
        <f>('L-Values'!U318*'D(Ti_Jollands) Times'!$F318*0.000001)^2/(4*'D(Ti_Jollands) Times'!$C318)/(365.35*24*3600)</f>
        <v>271990.02145191282</v>
      </c>
      <c r="Z318" s="2">
        <f>('L-Values'!V318*'D(Ti_Jollands) Times'!$F318*0.000001)^2/(4*'D(Ti_Jollands) Times'!$C318)/(365.35*24*3600)</f>
        <v>281435.81978757557</v>
      </c>
      <c r="AA318" s="2">
        <f>('L-Values'!W318*'D(Ti_Jollands) Times'!$F318*0.000001)^2/(4*'D(Ti_Jollands) Times'!$C318)/(365.35*24*3600)</f>
        <v>143959.42117847523</v>
      </c>
      <c r="AB318" s="2">
        <f>('L-Values'!X318*'D(Ti_Jollands) Times'!$F318*0.000001)^2/(4*'D(Ti_Jollands) Times'!$C318)/(365.35*24*3600)</f>
        <v>511844.8161978345</v>
      </c>
      <c r="AC318" s="2">
        <f t="shared" si="18"/>
        <v>137476.39860910035</v>
      </c>
      <c r="AD318" s="2">
        <f t="shared" si="19"/>
        <v>230408.99641025893</v>
      </c>
    </row>
    <row r="319" spans="1:30" x14ac:dyDescent="0.2">
      <c r="A319" t="str">
        <f>'L-Values'!A319</f>
        <v>CGI015-qtz07-CL-fit-4-offset</v>
      </c>
      <c r="B319">
        <v>750</v>
      </c>
      <c r="C319">
        <f t="shared" si="16"/>
        <v>6.6965312637759184E-25</v>
      </c>
      <c r="D319">
        <v>2250</v>
      </c>
      <c r="E319">
        <v>1024</v>
      </c>
      <c r="F319">
        <f t="shared" si="17"/>
        <v>2.197265625</v>
      </c>
      <c r="I319" s="2">
        <f>('L-Values'!E319*'D(Ti_Jollands) Times'!$F319*0.000001)^2/(4*'D(Ti_Jollands) Times'!$C319)/(365.35*24*3600)</f>
        <v>223139.21221541392</v>
      </c>
      <c r="J319" s="2">
        <f>('L-Values'!F319*'D(Ti_Jollands) Times'!$F319*0.000001)^2/(4*'D(Ti_Jollands) Times'!$C319)/(365.35*24*3600)</f>
        <v>149147.65584237871</v>
      </c>
      <c r="K319" s="2">
        <f>('L-Values'!G319*'D(Ti_Jollands) Times'!$F319*0.000001)^2/(4*'D(Ti_Jollands) Times'!$C319)/(365.35*24*3600)</f>
        <v>235071.29288206773</v>
      </c>
      <c r="L319" s="2">
        <f>('L-Values'!H319*'D(Ti_Jollands) Times'!$F319*0.000001)^2/(4*'D(Ti_Jollands) Times'!$C319)/(365.35*24*3600)</f>
        <v>212964.64368745603</v>
      </c>
      <c r="M319" s="2">
        <f>('L-Values'!I319*'D(Ti_Jollands) Times'!$F319*0.000001)^2/(4*'D(Ti_Jollands) Times'!$C319)/(365.35*24*3600)</f>
        <v>239656.513775656</v>
      </c>
      <c r="N319" s="2">
        <f>('L-Values'!J319*'D(Ti_Jollands) Times'!$F319*0.000001)^2/(4*'D(Ti_Jollands) Times'!$C319)/(365.35*24*3600)</f>
        <v>236238.1405539987</v>
      </c>
      <c r="O319" s="2">
        <f>('L-Values'!K319*'D(Ti_Jollands) Times'!$F319*0.000001)^2/(4*'D(Ti_Jollands) Times'!$C319)/(365.35*24*3600)</f>
        <v>231835.23283687508</v>
      </c>
      <c r="P319" s="2">
        <f>('L-Values'!L319*'D(Ti_Jollands) Times'!$F319*0.000001)^2/(4*'D(Ti_Jollands) Times'!$C319)/(365.35*24*3600)</f>
        <v>228967.5794175801</v>
      </c>
      <c r="Q319" s="2">
        <f>('L-Values'!M319*'D(Ti_Jollands) Times'!$F319*0.000001)^2/(4*'D(Ti_Jollands) Times'!$C319)/(365.35*24*3600)</f>
        <v>208510.11813040028</v>
      </c>
      <c r="R319" s="2">
        <f>('L-Values'!N319*'D(Ti_Jollands) Times'!$F319*0.000001)^2/(4*'D(Ti_Jollands) Times'!$C319)/(365.35*24*3600)</f>
        <v>295197.36276914307</v>
      </c>
      <c r="S319" s="2">
        <f>('L-Values'!O319*'D(Ti_Jollands) Times'!$F319*0.000001)^2/(4*'D(Ti_Jollands) Times'!$C319)/(365.35*24*3600)</f>
        <v>317863.12510169175</v>
      </c>
      <c r="T319" s="2"/>
      <c r="U319" s="2">
        <f>('L-Values'!Q319*'D(Ti_Jollands) Times'!$F319*0.000001)^2/(4*'D(Ti_Jollands) Times'!$C319)/(365.35*24*3600)</f>
        <v>252407.15466103659</v>
      </c>
      <c r="V319" s="2">
        <f>('L-Values'!R319*'D(Ti_Jollands) Times'!$F319*0.000001)^2/(4*'D(Ti_Jollands) Times'!$C319)/(365.35*24*3600)</f>
        <v>232519.21870034427</v>
      </c>
      <c r="W319" s="2">
        <f>('L-Values'!S319*'D(Ti_Jollands) Times'!$F319*0.000001)^2/(4*'D(Ti_Jollands) Times'!$C319)/(365.35*24*3600)</f>
        <v>231835.23283687508</v>
      </c>
      <c r="X319" s="2"/>
      <c r="Y319" s="2">
        <f>('L-Values'!U319*'D(Ti_Jollands) Times'!$F319*0.000001)^2/(4*'D(Ti_Jollands) Times'!$C319)/(365.35*24*3600)</f>
        <v>248124.98522860996</v>
      </c>
      <c r="Z319" s="2">
        <f>('L-Values'!V319*'D(Ti_Jollands) Times'!$F319*0.000001)^2/(4*'D(Ti_Jollands) Times'!$C319)/(365.35*24*3600)</f>
        <v>230597.20375787548</v>
      </c>
      <c r="AA319" s="2">
        <f>('L-Values'!W319*'D(Ti_Jollands) Times'!$F319*0.000001)^2/(4*'D(Ti_Jollands) Times'!$C319)/(365.35*24*3600)</f>
        <v>32784.637132558644</v>
      </c>
      <c r="AB319" s="2">
        <f>('L-Values'!X319*'D(Ti_Jollands) Times'!$F319*0.000001)^2/(4*'D(Ti_Jollands) Times'!$C319)/(365.35*24*3600)</f>
        <v>438427.78913473943</v>
      </c>
      <c r="AC319" s="2">
        <f t="shared" si="18"/>
        <v>197812.56662531683</v>
      </c>
      <c r="AD319" s="2">
        <f t="shared" si="19"/>
        <v>207830.58537686395</v>
      </c>
    </row>
    <row r="320" spans="1:30" x14ac:dyDescent="0.2">
      <c r="A320" t="str">
        <f>'L-Values'!A320</f>
        <v>CGI015-qtz07-CL-fit-5-offset</v>
      </c>
      <c r="B320">
        <v>750</v>
      </c>
      <c r="C320">
        <f t="shared" si="16"/>
        <v>6.6965312637759184E-25</v>
      </c>
      <c r="D320">
        <v>2250</v>
      </c>
      <c r="E320">
        <v>1024</v>
      </c>
      <c r="F320">
        <f t="shared" si="17"/>
        <v>2.197265625</v>
      </c>
      <c r="I320" s="2">
        <f>('L-Values'!E320*'D(Ti_Jollands) Times'!$F320*0.000001)^2/(4*'D(Ti_Jollands) Times'!$C320)/(365.35*24*3600)</f>
        <v>437512.09360042954</v>
      </c>
      <c r="J320" s="2">
        <f>('L-Values'!F320*'D(Ti_Jollands) Times'!$F320*0.000001)^2/(4*'D(Ti_Jollands) Times'!$C320)/(365.35*24*3600)</f>
        <v>452260.68504620378</v>
      </c>
      <c r="K320" s="2">
        <f>('L-Values'!G320*'D(Ti_Jollands) Times'!$F320*0.000001)^2/(4*'D(Ti_Jollands) Times'!$C320)/(365.35*24*3600)</f>
        <v>383117.0104831981</v>
      </c>
      <c r="L320" s="2">
        <f>('L-Values'!H320*'D(Ti_Jollands) Times'!$F320*0.000001)^2/(4*'D(Ti_Jollands) Times'!$C320)/(365.35*24*3600)</f>
        <v>488403.2548470177</v>
      </c>
      <c r="M320" s="2">
        <f>('L-Values'!I320*'D(Ti_Jollands) Times'!$F320*0.000001)^2/(4*'D(Ti_Jollands) Times'!$C320)/(365.35*24*3600)</f>
        <v>422631.85836422973</v>
      </c>
      <c r="N320" s="2">
        <f>('L-Values'!J320*'D(Ti_Jollands) Times'!$F320*0.000001)^2/(4*'D(Ti_Jollands) Times'!$C320)/(365.35*24*3600)</f>
        <v>527475.68651107466</v>
      </c>
      <c r="O320" s="2">
        <f>('L-Values'!K320*'D(Ti_Jollands) Times'!$F320*0.000001)^2/(4*'D(Ti_Jollands) Times'!$C320)/(365.35*24*3600)</f>
        <v>339062.11381433532</v>
      </c>
      <c r="P320" s="2">
        <f>('L-Values'!L320*'D(Ti_Jollands) Times'!$F320*0.000001)^2/(4*'D(Ti_Jollands) Times'!$C320)/(365.35*24*3600)</f>
        <v>206256.26189138528</v>
      </c>
      <c r="Q320" s="2">
        <f>('L-Values'!M320*'D(Ti_Jollands) Times'!$F320*0.000001)^2/(4*'D(Ti_Jollands) Times'!$C320)/(365.35*24*3600)</f>
        <v>301267.73696106992</v>
      </c>
      <c r="R320" s="2">
        <f>('L-Values'!N320*'D(Ti_Jollands) Times'!$F320*0.000001)^2/(4*'D(Ti_Jollands) Times'!$C320)/(365.35*24*3600)</f>
        <v>567571.41935134225</v>
      </c>
      <c r="S320" s="2">
        <f>('L-Values'!O320*'D(Ti_Jollands) Times'!$F320*0.000001)^2/(4*'D(Ti_Jollands) Times'!$C320)/(365.35*24*3600)</f>
        <v>492088.4404255898</v>
      </c>
      <c r="T320" s="2"/>
      <c r="U320" s="2">
        <f>('L-Values'!Q320*'D(Ti_Jollands) Times'!$F320*0.000001)^2/(4*'D(Ti_Jollands) Times'!$C320)/(365.35*24*3600)</f>
        <v>422595.35486724303</v>
      </c>
      <c r="V320" s="2">
        <f>('L-Values'!R320*'D(Ti_Jollands) Times'!$F320*0.000001)^2/(4*'D(Ti_Jollands) Times'!$C320)/(365.35*24*3600)</f>
        <v>412904.01988446165</v>
      </c>
      <c r="W320" s="2">
        <f>('L-Values'!S320*'D(Ti_Jollands) Times'!$F320*0.000001)^2/(4*'D(Ti_Jollands) Times'!$C320)/(365.35*24*3600)</f>
        <v>437512.09360042954</v>
      </c>
      <c r="X320" s="2"/>
      <c r="Y320" s="2">
        <f>('L-Values'!U320*'D(Ti_Jollands) Times'!$F320*0.000001)^2/(4*'D(Ti_Jollands) Times'!$C320)/(365.35*24*3600)</f>
        <v>393203.80436680384</v>
      </c>
      <c r="Z320" s="2">
        <f>('L-Values'!V320*'D(Ti_Jollands) Times'!$F320*0.000001)^2/(4*'D(Ti_Jollands) Times'!$C320)/(365.35*24*3600)</f>
        <v>399730.10967400309</v>
      </c>
      <c r="AA320" s="2">
        <f>('L-Values'!W320*'D(Ti_Jollands) Times'!$F320*0.000001)^2/(4*'D(Ti_Jollands) Times'!$C320)/(365.35*24*3600)</f>
        <v>34792.140335315424</v>
      </c>
      <c r="AB320" s="2">
        <f>('L-Values'!X320*'D(Ti_Jollands) Times'!$F320*0.000001)^2/(4*'D(Ti_Jollands) Times'!$C320)/(365.35*24*3600)</f>
        <v>1292300.6142004102</v>
      </c>
      <c r="AC320" s="2">
        <f t="shared" si="18"/>
        <v>364937.96933868766</v>
      </c>
      <c r="AD320" s="2">
        <f t="shared" si="19"/>
        <v>892570.50452640711</v>
      </c>
    </row>
    <row r="321" spans="1:30" x14ac:dyDescent="0.2">
      <c r="A321" t="str">
        <f>'L-Values'!A321</f>
        <v>CGI015-qtz07-CL-fit-6-offset</v>
      </c>
      <c r="B321">
        <v>750</v>
      </c>
      <c r="C321">
        <f t="shared" si="16"/>
        <v>6.6965312637759184E-25</v>
      </c>
      <c r="D321">
        <v>2250</v>
      </c>
      <c r="E321">
        <v>1024</v>
      </c>
      <c r="F321">
        <f t="shared" si="17"/>
        <v>2.197265625</v>
      </c>
      <c r="I321" s="2">
        <f>('L-Values'!E321*'D(Ti_Jollands) Times'!$F321*0.000001)^2/(4*'D(Ti_Jollands) Times'!$C321)/(365.35*24*3600)</f>
        <v>91256.934199344018</v>
      </c>
      <c r="J321" s="2">
        <f>('L-Values'!F321*'D(Ti_Jollands) Times'!$F321*0.000001)^2/(4*'D(Ti_Jollands) Times'!$C321)/(365.35*24*3600)</f>
        <v>142361.35511412879</v>
      </c>
      <c r="K321" s="2">
        <f>('L-Values'!G321*'D(Ti_Jollands) Times'!$F321*0.000001)^2/(4*'D(Ti_Jollands) Times'!$C321)/(365.35*24*3600)</f>
        <v>153069.12156375311</v>
      </c>
      <c r="L321" s="2">
        <f>('L-Values'!H321*'D(Ti_Jollands) Times'!$F321*0.000001)^2/(4*'D(Ti_Jollands) Times'!$C321)/(365.35*24*3600)</f>
        <v>78925.492681702803</v>
      </c>
      <c r="M321" s="2">
        <f>('L-Values'!I321*'D(Ti_Jollands) Times'!$F321*0.000001)^2/(4*'D(Ti_Jollands) Times'!$C321)/(365.35*24*3600)</f>
        <v>124575.12014160526</v>
      </c>
      <c r="N321" s="2">
        <f>('L-Values'!J321*'D(Ti_Jollands) Times'!$F321*0.000001)^2/(4*'D(Ti_Jollands) Times'!$C321)/(365.35*24*3600)</f>
        <v>139326.13878180098</v>
      </c>
      <c r="O321" s="2">
        <f>('L-Values'!K321*'D(Ti_Jollands) Times'!$F321*0.000001)^2/(4*'D(Ti_Jollands) Times'!$C321)/(365.35*24*3600)</f>
        <v>181563.13271310102</v>
      </c>
      <c r="P321" s="2">
        <f>('L-Values'!L321*'D(Ti_Jollands) Times'!$F321*0.000001)^2/(4*'D(Ti_Jollands) Times'!$C321)/(365.35*24*3600)</f>
        <v>137407.21756924636</v>
      </c>
      <c r="Q321" s="2">
        <f>('L-Values'!M321*'D(Ti_Jollands) Times'!$F321*0.000001)^2/(4*'D(Ti_Jollands) Times'!$C321)/(365.35*24*3600)</f>
        <v>137196.46087641528</v>
      </c>
      <c r="R321" s="2">
        <f>('L-Values'!N321*'D(Ti_Jollands) Times'!$F321*0.000001)^2/(4*'D(Ti_Jollands) Times'!$C321)/(365.35*24*3600)</f>
        <v>89569.967670083177</v>
      </c>
      <c r="S321" s="2">
        <f>('L-Values'!O321*'D(Ti_Jollands) Times'!$F321*0.000001)^2/(4*'D(Ti_Jollands) Times'!$C321)/(365.35*24*3600)</f>
        <v>72775.956548773145</v>
      </c>
      <c r="T321" s="2"/>
      <c r="U321" s="2">
        <f>('L-Values'!Q321*'D(Ti_Jollands) Times'!$F321*0.000001)^2/(4*'D(Ti_Jollands) Times'!$C321)/(365.35*24*3600)</f>
        <v>127405.38909590099</v>
      </c>
      <c r="V321" s="2">
        <f>('L-Values'!R321*'D(Ti_Jollands) Times'!$F321*0.000001)^2/(4*'D(Ti_Jollands) Times'!$C321)/(365.35*24*3600)</f>
        <v>120221.64337332679</v>
      </c>
      <c r="W321" s="2">
        <f>('L-Values'!S321*'D(Ti_Jollands) Times'!$F321*0.000001)^2/(4*'D(Ti_Jollands) Times'!$C321)/(365.35*24*3600)</f>
        <v>137196.46087641528</v>
      </c>
      <c r="X321" s="2"/>
      <c r="Y321" s="2">
        <f>('L-Values'!U321*'D(Ti_Jollands) Times'!$F321*0.000001)^2/(4*'D(Ti_Jollands) Times'!$C321)/(365.35*24*3600)</f>
        <v>120707.96660533162</v>
      </c>
      <c r="Z321" s="2">
        <f>('L-Values'!V321*'D(Ti_Jollands) Times'!$F321*0.000001)^2/(4*'D(Ti_Jollands) Times'!$C321)/(365.35*24*3600)</f>
        <v>113888.17751094914</v>
      </c>
      <c r="AA321" s="2">
        <f>('L-Values'!W321*'D(Ti_Jollands) Times'!$F321*0.000001)^2/(4*'D(Ti_Jollands) Times'!$C321)/(365.35*24*3600)</f>
        <v>3930.8076636951646</v>
      </c>
      <c r="AB321" s="2">
        <f>('L-Values'!X321*'D(Ti_Jollands) Times'!$F321*0.000001)^2/(4*'D(Ti_Jollands) Times'!$C321)/(365.35*24*3600)</f>
        <v>244675.05919068182</v>
      </c>
      <c r="AC321" s="2">
        <f t="shared" si="18"/>
        <v>109957.36984725398</v>
      </c>
      <c r="AD321" s="2">
        <f t="shared" si="19"/>
        <v>130786.88167973267</v>
      </c>
    </row>
    <row r="322" spans="1:30" x14ac:dyDescent="0.2">
      <c r="A322" t="str">
        <f>'L-Values'!A322</f>
        <v>CGI015-qtz08-CL-fit-1-offset</v>
      </c>
      <c r="B322">
        <v>750</v>
      </c>
      <c r="C322">
        <f t="shared" si="16"/>
        <v>6.6965312637759184E-25</v>
      </c>
      <c r="D322">
        <v>1150</v>
      </c>
      <c r="E322">
        <v>1024</v>
      </c>
      <c r="F322">
        <f t="shared" si="17"/>
        <v>1.123046875</v>
      </c>
      <c r="I322" s="2">
        <f>('L-Values'!E322*'D(Ti_Jollands) Times'!$F322*0.000001)^2/(4*'D(Ti_Jollands) Times'!$C322)/(365.35*24*3600)</f>
        <v>453832.77710061357</v>
      </c>
      <c r="J322" s="2">
        <f>('L-Values'!F322*'D(Ti_Jollands) Times'!$F322*0.000001)^2/(4*'D(Ti_Jollands) Times'!$C322)/(365.35*24*3600)</f>
        <v>549618.65906317835</v>
      </c>
      <c r="K322" s="2">
        <f>('L-Values'!G322*'D(Ti_Jollands) Times'!$F322*0.000001)^2/(4*'D(Ti_Jollands) Times'!$C322)/(365.35*24*3600)</f>
        <v>616472.29987689143</v>
      </c>
      <c r="L322" s="2">
        <f>('L-Values'!H322*'D(Ti_Jollands) Times'!$F322*0.000001)^2/(4*'D(Ti_Jollands) Times'!$C322)/(365.35*24*3600)</f>
        <v>651130.52884714806</v>
      </c>
      <c r="M322" s="2">
        <f>('L-Values'!I322*'D(Ti_Jollands) Times'!$F322*0.000001)^2/(4*'D(Ti_Jollands) Times'!$C322)/(365.35*24*3600)</f>
        <v>642136.41019313433</v>
      </c>
      <c r="N322" s="2">
        <f>('L-Values'!J322*'D(Ti_Jollands) Times'!$F322*0.000001)^2/(4*'D(Ti_Jollands) Times'!$C322)/(365.35*24*3600)</f>
        <v>389077.38106724375</v>
      </c>
      <c r="O322" s="2">
        <f>('L-Values'!K322*'D(Ti_Jollands) Times'!$F322*0.000001)^2/(4*'D(Ti_Jollands) Times'!$C322)/(365.35*24*3600)</f>
        <v>425581.40451325011</v>
      </c>
      <c r="P322" s="2">
        <f>('L-Values'!L322*'D(Ti_Jollands) Times'!$F322*0.000001)^2/(4*'D(Ti_Jollands) Times'!$C322)/(365.35*24*3600)</f>
        <v>651880.97977093712</v>
      </c>
      <c r="Q322" s="2">
        <f>('L-Values'!M322*'D(Ti_Jollands) Times'!$F322*0.000001)^2/(4*'D(Ti_Jollands) Times'!$C322)/(365.35*24*3600)</f>
        <v>563173.88580152136</v>
      </c>
      <c r="R322" s="2">
        <f>('L-Values'!N322*'D(Ti_Jollands) Times'!$F322*0.000001)^2/(4*'D(Ti_Jollands) Times'!$C322)/(365.35*24*3600)</f>
        <v>388097.14697609865</v>
      </c>
      <c r="S322" s="2">
        <f>('L-Values'!O322*'D(Ti_Jollands) Times'!$F322*0.000001)^2/(4*'D(Ti_Jollands) Times'!$C322)/(365.35*24*3600)</f>
        <v>484906.87816596072</v>
      </c>
      <c r="T322" s="2"/>
      <c r="U322" s="2">
        <f>('L-Values'!Q322*'D(Ti_Jollands) Times'!$F322*0.000001)^2/(4*'D(Ti_Jollands) Times'!$C322)/(365.35*24*3600)</f>
        <v>523352.1486828858</v>
      </c>
      <c r="V322" s="2">
        <f>('L-Values'!R322*'D(Ti_Jollands) Times'!$F322*0.000001)^2/(4*'D(Ti_Jollands) Times'!$C322)/(365.35*24*3600)</f>
        <v>523879.37578342651</v>
      </c>
      <c r="W322" s="2">
        <f>('L-Values'!S322*'D(Ti_Jollands) Times'!$F322*0.000001)^2/(4*'D(Ti_Jollands) Times'!$C322)/(365.35*24*3600)</f>
        <v>549618.65906317835</v>
      </c>
      <c r="X322" s="2"/>
      <c r="Y322" s="2">
        <f>('L-Values'!U322*'D(Ti_Jollands) Times'!$F322*0.000001)^2/(4*'D(Ti_Jollands) Times'!$C322)/(365.35*24*3600)</f>
        <v>524821.3560693186</v>
      </c>
      <c r="Z322" s="2">
        <f>('L-Values'!V322*'D(Ti_Jollands) Times'!$F322*0.000001)^2/(4*'D(Ti_Jollands) Times'!$C322)/(365.35*24*3600)</f>
        <v>529360.92092249251</v>
      </c>
      <c r="AA322" s="2">
        <f>('L-Values'!W322*'D(Ti_Jollands) Times'!$F322*0.000001)^2/(4*'D(Ti_Jollands) Times'!$C322)/(365.35*24*3600)</f>
        <v>323665.55102290132</v>
      </c>
      <c r="AB322" s="2">
        <f>('L-Values'!X322*'D(Ti_Jollands) Times'!$F322*0.000001)^2/(4*'D(Ti_Jollands) Times'!$C322)/(365.35*24*3600)</f>
        <v>791054.93805390876</v>
      </c>
      <c r="AC322" s="2">
        <f t="shared" si="18"/>
        <v>205695.3698995912</v>
      </c>
      <c r="AD322" s="2">
        <f t="shared" si="19"/>
        <v>261694.01713141624</v>
      </c>
    </row>
    <row r="323" spans="1:30" x14ac:dyDescent="0.2">
      <c r="A323" t="str">
        <f>'L-Values'!A323</f>
        <v>CGI015-qtz08-CL-fit-2-offset</v>
      </c>
      <c r="B323">
        <v>750</v>
      </c>
      <c r="C323">
        <f t="shared" ref="C323:C385" si="20">10^(-8.3-(311/(2.303*0.00831451*(B323+273.15))))</f>
        <v>6.6965312637759184E-25</v>
      </c>
      <c r="D323">
        <v>1150</v>
      </c>
      <c r="E323">
        <v>1024</v>
      </c>
      <c r="F323">
        <f t="shared" ref="F323:F385" si="21">D323/E323</f>
        <v>1.123046875</v>
      </c>
      <c r="I323" s="2">
        <f>('L-Values'!E323*'D(Ti_Jollands) Times'!$F323*0.000001)^2/(4*'D(Ti_Jollands) Times'!$C323)/(365.35*24*3600)</f>
        <v>282892.97955028282</v>
      </c>
      <c r="J323" s="2">
        <f>('L-Values'!F323*'D(Ti_Jollands) Times'!$F323*0.000001)^2/(4*'D(Ti_Jollands) Times'!$C323)/(365.35*24*3600)</f>
        <v>230330.28298917576</v>
      </c>
      <c r="K323" s="2">
        <f>('L-Values'!G323*'D(Ti_Jollands) Times'!$F323*0.000001)^2/(4*'D(Ti_Jollands) Times'!$C323)/(365.35*24*3600)</f>
        <v>290328.10469438584</v>
      </c>
      <c r="L323" s="2">
        <f>('L-Values'!H323*'D(Ti_Jollands) Times'!$F323*0.000001)^2/(4*'D(Ti_Jollands) Times'!$C323)/(365.35*24*3600)</f>
        <v>173271.78972248783</v>
      </c>
      <c r="M323" s="2">
        <f>('L-Values'!I323*'D(Ti_Jollands) Times'!$F323*0.000001)^2/(4*'D(Ti_Jollands) Times'!$C323)/(365.35*24*3600)</f>
        <v>367339.6399990471</v>
      </c>
      <c r="N323" s="2">
        <f>('L-Values'!J323*'D(Ti_Jollands) Times'!$F323*0.000001)^2/(4*'D(Ti_Jollands) Times'!$C323)/(365.35*24*3600)</f>
        <v>175316.62346513066</v>
      </c>
      <c r="O323" s="2">
        <f>('L-Values'!K323*'D(Ti_Jollands) Times'!$F323*0.000001)^2/(4*'D(Ti_Jollands) Times'!$C323)/(365.35*24*3600)</f>
        <v>223597.84025675588</v>
      </c>
      <c r="P323" s="2">
        <f>('L-Values'!L323*'D(Ti_Jollands) Times'!$F323*0.000001)^2/(4*'D(Ti_Jollands) Times'!$C323)/(365.35*24*3600)</f>
        <v>209171.63239501318</v>
      </c>
      <c r="Q323" s="2">
        <f>('L-Values'!M323*'D(Ti_Jollands) Times'!$F323*0.000001)^2/(4*'D(Ti_Jollands) Times'!$C323)/(365.35*24*3600)</f>
        <v>176613.85964398435</v>
      </c>
      <c r="R323" s="2">
        <f>('L-Values'!N323*'D(Ti_Jollands) Times'!$F323*0.000001)^2/(4*'D(Ti_Jollands) Times'!$C323)/(365.35*24*3600)</f>
        <v>441975.57356503478</v>
      </c>
      <c r="S323" s="2">
        <f>('L-Values'!O323*'D(Ti_Jollands) Times'!$F323*0.000001)^2/(4*'D(Ti_Jollands) Times'!$C323)/(365.35*24*3600)</f>
        <v>373789.08207260014</v>
      </c>
      <c r="T323" s="2"/>
      <c r="U323" s="2">
        <f>('L-Values'!Q323*'D(Ti_Jollands) Times'!$F323*0.000001)^2/(4*'D(Ti_Jollands) Times'!$C323)/(365.35*24*3600)</f>
        <v>267169.84762485261</v>
      </c>
      <c r="V323" s="2">
        <f>('L-Values'!R323*'D(Ti_Jollands) Times'!$F323*0.000001)^2/(4*'D(Ti_Jollands) Times'!$C323)/(365.35*24*3600)</f>
        <v>260874.14157151565</v>
      </c>
      <c r="W323" s="2">
        <f>('L-Values'!S323*'D(Ti_Jollands) Times'!$F323*0.000001)^2/(4*'D(Ti_Jollands) Times'!$C323)/(365.35*24*3600)</f>
        <v>230330.28298917576</v>
      </c>
      <c r="X323" s="2"/>
      <c r="Y323" s="2">
        <f>('L-Values'!U323*'D(Ti_Jollands) Times'!$F323*0.000001)^2/(4*'D(Ti_Jollands) Times'!$C323)/(365.35*24*3600)</f>
        <v>265460.33737248107</v>
      </c>
      <c r="Z323" s="2">
        <f>('L-Values'!V323*'D(Ti_Jollands) Times'!$F323*0.000001)^2/(4*'D(Ti_Jollands) Times'!$C323)/(365.35*24*3600)</f>
        <v>275722.69757504272</v>
      </c>
      <c r="AA323" s="2">
        <f>('L-Values'!W323*'D(Ti_Jollands) Times'!$F323*0.000001)^2/(4*'D(Ti_Jollands) Times'!$C323)/(365.35*24*3600)</f>
        <v>129536.81313216161</v>
      </c>
      <c r="AB323" s="2">
        <f>('L-Values'!X323*'D(Ti_Jollands) Times'!$F323*0.000001)^2/(4*'D(Ti_Jollands) Times'!$C323)/(365.35*24*3600)</f>
        <v>615057.26943651377</v>
      </c>
      <c r="AC323" s="2">
        <f t="shared" ref="AC323:AC385" si="22">Z323-AA323</f>
        <v>146185.8844428811</v>
      </c>
      <c r="AD323" s="2">
        <f t="shared" ref="AD323:AD385" si="23">AB323-Z323</f>
        <v>339334.57186147105</v>
      </c>
    </row>
    <row r="324" spans="1:30" x14ac:dyDescent="0.2">
      <c r="A324" t="str">
        <f>'L-Values'!A324</f>
        <v>CGI015-qtz08-CL-fit-3-offset</v>
      </c>
      <c r="B324">
        <v>750</v>
      </c>
      <c r="C324">
        <f t="shared" si="20"/>
        <v>6.6965312637759184E-25</v>
      </c>
      <c r="D324">
        <v>1150</v>
      </c>
      <c r="E324">
        <v>1024</v>
      </c>
      <c r="F324">
        <f t="shared" si="21"/>
        <v>1.123046875</v>
      </c>
      <c r="I324" s="2">
        <f>('L-Values'!E324*'D(Ti_Jollands) Times'!$F324*0.000001)^2/(4*'D(Ti_Jollands) Times'!$C324)/(365.35*24*3600)</f>
        <v>992099.48264045978</v>
      </c>
      <c r="J324" s="2">
        <f>('L-Values'!F324*'D(Ti_Jollands) Times'!$F324*0.000001)^2/(4*'D(Ti_Jollands) Times'!$C324)/(365.35*24*3600)</f>
        <v>640993.98311605363</v>
      </c>
      <c r="K324" s="2">
        <f>('L-Values'!G324*'D(Ti_Jollands) Times'!$F324*0.000001)^2/(4*'D(Ti_Jollands) Times'!$C324)/(365.35*24*3600)</f>
        <v>814485.73938956147</v>
      </c>
      <c r="L324" s="2">
        <f>('L-Values'!H324*'D(Ti_Jollands) Times'!$F324*0.000001)^2/(4*'D(Ti_Jollands) Times'!$C324)/(365.35*24*3600)</f>
        <v>829266.09143530193</v>
      </c>
      <c r="M324" s="2">
        <f>('L-Values'!I324*'D(Ti_Jollands) Times'!$F324*0.000001)^2/(4*'D(Ti_Jollands) Times'!$C324)/(365.35*24*3600)</f>
        <v>2447698.5526442742</v>
      </c>
      <c r="N324" s="2">
        <f>('L-Values'!J324*'D(Ti_Jollands) Times'!$F324*0.000001)^2/(4*'D(Ti_Jollands) Times'!$C324)/(365.35*24*3600)</f>
        <v>529828.38348528999</v>
      </c>
      <c r="O324" s="2">
        <f>('L-Values'!K324*'D(Ti_Jollands) Times'!$F324*0.000001)^2/(4*'D(Ti_Jollands) Times'!$C324)/(365.35*24*3600)</f>
        <v>614944.18246882444</v>
      </c>
      <c r="P324" s="2">
        <f>('L-Values'!L324*'D(Ti_Jollands) Times'!$F324*0.000001)^2/(4*'D(Ti_Jollands) Times'!$C324)/(365.35*24*3600)</f>
        <v>700603.03172619664</v>
      </c>
      <c r="Q324" s="2">
        <f>('L-Values'!M324*'D(Ti_Jollands) Times'!$F324*0.000001)^2/(4*'D(Ti_Jollands) Times'!$C324)/(365.35*24*3600)</f>
        <v>1773663.792680637</v>
      </c>
      <c r="R324" s="2">
        <f>('L-Values'!N324*'D(Ti_Jollands) Times'!$F324*0.000001)^2/(4*'D(Ti_Jollands) Times'!$C324)/(365.35*24*3600)</f>
        <v>813275.66571387404</v>
      </c>
      <c r="S324" s="2">
        <f>('L-Values'!O324*'D(Ti_Jollands) Times'!$F324*0.000001)^2/(4*'D(Ti_Jollands) Times'!$C324)/(365.35*24*3600)</f>
        <v>1176483.9343499148</v>
      </c>
      <c r="T324" s="2"/>
      <c r="U324" s="2">
        <f>('L-Values'!Q324*'D(Ti_Jollands) Times'!$F324*0.000001)^2/(4*'D(Ti_Jollands) Times'!$C324)/(365.35*24*3600)</f>
        <v>945169.520767899</v>
      </c>
      <c r="V324" s="2">
        <f>('L-Values'!R324*'D(Ti_Jollands) Times'!$F324*0.000001)^2/(4*'D(Ti_Jollands) Times'!$C324)/(365.35*24*3600)</f>
        <v>971419.47282627714</v>
      </c>
      <c r="W324" s="2">
        <f>('L-Values'!S324*'D(Ti_Jollands) Times'!$F324*0.000001)^2/(4*'D(Ti_Jollands) Times'!$C324)/(365.35*24*3600)</f>
        <v>814485.73938956147</v>
      </c>
      <c r="X324" s="2"/>
      <c r="Y324" s="2">
        <f>('L-Values'!U324*'D(Ti_Jollands) Times'!$F324*0.000001)^2/(4*'D(Ti_Jollands) Times'!$C324)/(365.35*24*3600)</f>
        <v>927816.91592724423</v>
      </c>
      <c r="Z324" s="2">
        <f>('L-Values'!V324*'D(Ti_Jollands) Times'!$F324*0.000001)^2/(4*'D(Ti_Jollands) Times'!$C324)/(365.35*24*3600)</f>
        <v>956152.74200463877</v>
      </c>
      <c r="AA324" s="2">
        <f>('L-Values'!W324*'D(Ti_Jollands) Times'!$F324*0.000001)^2/(4*'D(Ti_Jollands) Times'!$C324)/(365.35*24*3600)</f>
        <v>159142.41137114519</v>
      </c>
      <c r="AB324" s="2">
        <f>('L-Values'!X324*'D(Ti_Jollands) Times'!$F324*0.000001)^2/(4*'D(Ti_Jollands) Times'!$C324)/(365.35*24*3600)</f>
        <v>2992798.6256455164</v>
      </c>
      <c r="AC324" s="2">
        <f t="shared" si="22"/>
        <v>797010.33063349361</v>
      </c>
      <c r="AD324" s="2">
        <f t="shared" si="23"/>
        <v>2036645.8836408777</v>
      </c>
    </row>
    <row r="325" spans="1:30" x14ac:dyDescent="0.2">
      <c r="A325" t="str">
        <f>'L-Values'!A325</f>
        <v>CGI015-qtz08-CL-fit-4-offset</v>
      </c>
      <c r="B325">
        <v>750</v>
      </c>
      <c r="C325">
        <f t="shared" si="20"/>
        <v>6.6965312637759184E-25</v>
      </c>
      <c r="D325">
        <v>1150</v>
      </c>
      <c r="E325">
        <v>1024</v>
      </c>
      <c r="F325">
        <f t="shared" si="21"/>
        <v>1.123046875</v>
      </c>
      <c r="I325" s="2">
        <f>('L-Values'!E325*'D(Ti_Jollands) Times'!$F325*0.000001)^2/(4*'D(Ti_Jollands) Times'!$C325)/(365.35*24*3600)</f>
        <v>185544.73076204458</v>
      </c>
      <c r="J325" s="2">
        <f>('L-Values'!F325*'D(Ti_Jollands) Times'!$F325*0.000001)^2/(4*'D(Ti_Jollands) Times'!$C325)/(365.35*24*3600)</f>
        <v>468716.82481111906</v>
      </c>
      <c r="K325" s="2">
        <f>('L-Values'!G325*'D(Ti_Jollands) Times'!$F325*0.000001)^2/(4*'D(Ti_Jollands) Times'!$C325)/(365.35*24*3600)</f>
        <v>247834.80783738798</v>
      </c>
      <c r="L325" s="2">
        <f>('L-Values'!H325*'D(Ti_Jollands) Times'!$F325*0.000001)^2/(4*'D(Ti_Jollands) Times'!$C325)/(365.35*24*3600)</f>
        <v>301894.96324169246</v>
      </c>
      <c r="M325" s="2">
        <f>('L-Values'!I325*'D(Ti_Jollands) Times'!$F325*0.000001)^2/(4*'D(Ti_Jollands) Times'!$C325)/(365.35*24*3600)</f>
        <v>240548.53824604163</v>
      </c>
      <c r="N325" s="2">
        <f>('L-Values'!J325*'D(Ti_Jollands) Times'!$F325*0.000001)^2/(4*'D(Ti_Jollands) Times'!$C325)/(365.35*24*3600)</f>
        <v>290661.2942427728</v>
      </c>
      <c r="O325" s="2">
        <f>('L-Values'!K325*'D(Ti_Jollands) Times'!$F325*0.000001)^2/(4*'D(Ti_Jollands) Times'!$C325)/(365.35*24*3600)</f>
        <v>283066.36911426508</v>
      </c>
      <c r="P325" s="2">
        <f>('L-Values'!L325*'D(Ti_Jollands) Times'!$F325*0.000001)^2/(4*'D(Ti_Jollands) Times'!$C325)/(365.35*24*3600)</f>
        <v>344614.97955130483</v>
      </c>
      <c r="Q325" s="2">
        <f>('L-Values'!M325*'D(Ti_Jollands) Times'!$F325*0.000001)^2/(4*'D(Ti_Jollands) Times'!$C325)/(365.35*24*3600)</f>
        <v>416008.16049130971</v>
      </c>
      <c r="R325" s="2">
        <f>('L-Values'!N325*'D(Ti_Jollands) Times'!$F325*0.000001)^2/(4*'D(Ti_Jollands) Times'!$C325)/(365.35*24*3600)</f>
        <v>783979.52867288655</v>
      </c>
      <c r="S325" s="2">
        <f>('L-Values'!O325*'D(Ti_Jollands) Times'!$F325*0.000001)^2/(4*'D(Ti_Jollands) Times'!$C325)/(365.35*24*3600)</f>
        <v>362988.06362508808</v>
      </c>
      <c r="T325" s="2"/>
      <c r="U325" s="2">
        <f>('L-Values'!Q325*'D(Ti_Jollands) Times'!$F325*0.000001)^2/(4*'D(Ti_Jollands) Times'!$C325)/(365.35*24*3600)</f>
        <v>352108.53889823094</v>
      </c>
      <c r="V325" s="2">
        <f>('L-Values'!R325*'D(Ti_Jollands) Times'!$F325*0.000001)^2/(4*'D(Ti_Jollands) Times'!$C325)/(365.35*24*3600)</f>
        <v>343206.63311037741</v>
      </c>
      <c r="W325" s="2">
        <f>('L-Values'!S325*'D(Ti_Jollands) Times'!$F325*0.000001)^2/(4*'D(Ti_Jollands) Times'!$C325)/(365.35*24*3600)</f>
        <v>301894.96324169246</v>
      </c>
      <c r="X325" s="2"/>
      <c r="Y325" s="2">
        <f>('L-Values'!U325*'D(Ti_Jollands) Times'!$F325*0.000001)^2/(4*'D(Ti_Jollands) Times'!$C325)/(365.35*24*3600)</f>
        <v>326323.08459984517</v>
      </c>
      <c r="Z325" s="2">
        <f>('L-Values'!V325*'D(Ti_Jollands) Times'!$F325*0.000001)^2/(4*'D(Ti_Jollands) Times'!$C325)/(365.35*24*3600)</f>
        <v>330800.24883502192</v>
      </c>
      <c r="AA325" s="2">
        <f>('L-Values'!W325*'D(Ti_Jollands) Times'!$F325*0.000001)^2/(4*'D(Ti_Jollands) Times'!$C325)/(365.35*24*3600)</f>
        <v>125119.98025922495</v>
      </c>
      <c r="AB325" s="2">
        <f>('L-Values'!X325*'D(Ti_Jollands) Times'!$F325*0.000001)^2/(4*'D(Ti_Jollands) Times'!$C325)/(365.35*24*3600)</f>
        <v>710587.84010155278</v>
      </c>
      <c r="AC325" s="2">
        <f t="shared" si="22"/>
        <v>205680.26857579697</v>
      </c>
      <c r="AD325" s="2">
        <f t="shared" si="23"/>
        <v>379787.59126653086</v>
      </c>
    </row>
    <row r="326" spans="1:30" x14ac:dyDescent="0.2">
      <c r="A326" t="str">
        <f>'L-Values'!A326</f>
        <v>CGI015-qtz08-CL-fit-5-offset</v>
      </c>
      <c r="B326">
        <v>750</v>
      </c>
      <c r="C326">
        <f t="shared" si="20"/>
        <v>6.6965312637759184E-25</v>
      </c>
      <c r="D326">
        <v>1150</v>
      </c>
      <c r="E326">
        <v>1024</v>
      </c>
      <c r="F326">
        <f t="shared" si="21"/>
        <v>1.123046875</v>
      </c>
      <c r="I326" s="2">
        <f>('L-Values'!E326*'D(Ti_Jollands) Times'!$F326*0.000001)^2/(4*'D(Ti_Jollands) Times'!$C326)/(365.35*24*3600)</f>
        <v>254408.75636853461</v>
      </c>
      <c r="J326" s="2">
        <f>('L-Values'!F326*'D(Ti_Jollands) Times'!$F326*0.000001)^2/(4*'D(Ti_Jollands) Times'!$C326)/(365.35*24*3600)</f>
        <v>307247.75867713988</v>
      </c>
      <c r="K326" s="2">
        <f>('L-Values'!G326*'D(Ti_Jollands) Times'!$F326*0.000001)^2/(4*'D(Ti_Jollands) Times'!$C326)/(365.35*24*3600)</f>
        <v>272431.80954474746</v>
      </c>
      <c r="L326" s="2">
        <f>('L-Values'!H326*'D(Ti_Jollands) Times'!$F326*0.000001)^2/(4*'D(Ti_Jollands) Times'!$C326)/(365.35*24*3600)</f>
        <v>192047.75219125187</v>
      </c>
      <c r="M326" s="2">
        <f>('L-Values'!I326*'D(Ti_Jollands) Times'!$F326*0.000001)^2/(4*'D(Ti_Jollands) Times'!$C326)/(365.35*24*3600)</f>
        <v>308952.01221599511</v>
      </c>
      <c r="N326" s="2">
        <f>('L-Values'!J326*'D(Ti_Jollands) Times'!$F326*0.000001)^2/(4*'D(Ti_Jollands) Times'!$C326)/(365.35*24*3600)</f>
        <v>331667.0967226394</v>
      </c>
      <c r="O326" s="2">
        <f>('L-Values'!K326*'D(Ti_Jollands) Times'!$F326*0.000001)^2/(4*'D(Ti_Jollands) Times'!$C326)/(365.35*24*3600)</f>
        <v>301595.59967127966</v>
      </c>
      <c r="P326" s="2">
        <f>('L-Values'!L326*'D(Ti_Jollands) Times'!$F326*0.000001)^2/(4*'D(Ti_Jollands) Times'!$C326)/(365.35*24*3600)</f>
        <v>543651.17593859963</v>
      </c>
      <c r="Q326" s="2">
        <f>('L-Values'!M326*'D(Ti_Jollands) Times'!$F326*0.000001)^2/(4*'D(Ti_Jollands) Times'!$C326)/(365.35*24*3600)</f>
        <v>753838.74276092881</v>
      </c>
      <c r="R326" s="2">
        <f>('L-Values'!N326*'D(Ti_Jollands) Times'!$F326*0.000001)^2/(4*'D(Ti_Jollands) Times'!$C326)/(365.35*24*3600)</f>
        <v>1042891.4118934955</v>
      </c>
      <c r="S326" s="2">
        <f>('L-Values'!O326*'D(Ti_Jollands) Times'!$F326*0.000001)^2/(4*'D(Ti_Jollands) Times'!$C326)/(365.35*24*3600)</f>
        <v>506076.73122538003</v>
      </c>
      <c r="T326" s="2"/>
      <c r="U326" s="2">
        <f>('L-Values'!Q326*'D(Ti_Jollands) Times'!$F326*0.000001)^2/(4*'D(Ti_Jollands) Times'!$C326)/(365.35*24*3600)</f>
        <v>397364.58626232756</v>
      </c>
      <c r="V326" s="2">
        <f>('L-Values'!R326*'D(Ti_Jollands) Times'!$F326*0.000001)^2/(4*'D(Ti_Jollands) Times'!$C326)/(365.35*24*3600)</f>
        <v>409363.31820936239</v>
      </c>
      <c r="W326" s="2">
        <f>('L-Values'!S326*'D(Ti_Jollands) Times'!$F326*0.000001)^2/(4*'D(Ti_Jollands) Times'!$C326)/(365.35*24*3600)</f>
        <v>308952.01221599511</v>
      </c>
      <c r="X326" s="2"/>
      <c r="Y326" s="2">
        <f>('L-Values'!U326*'D(Ti_Jollands) Times'!$F326*0.000001)^2/(4*'D(Ti_Jollands) Times'!$C326)/(365.35*24*3600)</f>
        <v>389762.26724897558</v>
      </c>
      <c r="Z326" s="2">
        <f>('L-Values'!V326*'D(Ti_Jollands) Times'!$F326*0.000001)^2/(4*'D(Ti_Jollands) Times'!$C326)/(365.35*24*3600)</f>
        <v>402436.54865035025</v>
      </c>
      <c r="AA326" s="2">
        <f>('L-Values'!W326*'D(Ti_Jollands) Times'!$F326*0.000001)^2/(4*'D(Ti_Jollands) Times'!$C326)/(365.35*24*3600)</f>
        <v>146400.26798862938</v>
      </c>
      <c r="AB326" s="2">
        <f>('L-Values'!X326*'D(Ti_Jollands) Times'!$F326*0.000001)^2/(4*'D(Ti_Jollands) Times'!$C326)/(365.35*24*3600)</f>
        <v>891886.64682203159</v>
      </c>
      <c r="AC326" s="2">
        <f t="shared" si="22"/>
        <v>256036.28066172087</v>
      </c>
      <c r="AD326" s="2">
        <f t="shared" si="23"/>
        <v>489450.09817168134</v>
      </c>
    </row>
    <row r="327" spans="1:30" x14ac:dyDescent="0.2">
      <c r="A327" t="str">
        <f>'L-Values'!A327</f>
        <v>CGI015-qtz08-CL-fit-6-offset</v>
      </c>
      <c r="B327">
        <v>750</v>
      </c>
      <c r="C327">
        <f t="shared" si="20"/>
        <v>6.6965312637759184E-25</v>
      </c>
      <c r="D327">
        <v>1150</v>
      </c>
      <c r="E327">
        <v>1024</v>
      </c>
      <c r="F327">
        <f t="shared" si="21"/>
        <v>1.123046875</v>
      </c>
      <c r="I327" s="2">
        <f>('L-Values'!E327*'D(Ti_Jollands) Times'!$F327*0.000001)^2/(4*'D(Ti_Jollands) Times'!$C327)/(365.35*24*3600)</f>
        <v>127926.96050347839</v>
      </c>
      <c r="J327" s="2">
        <f>('L-Values'!F327*'D(Ti_Jollands) Times'!$F327*0.000001)^2/(4*'D(Ti_Jollands) Times'!$C327)/(365.35*24*3600)</f>
        <v>181125.96420148475</v>
      </c>
      <c r="K327" s="2">
        <f>('L-Values'!G327*'D(Ti_Jollands) Times'!$F327*0.000001)^2/(4*'D(Ti_Jollands) Times'!$C327)/(365.35*24*3600)</f>
        <v>89211.012073714272</v>
      </c>
      <c r="L327" s="2">
        <f>('L-Values'!H327*'D(Ti_Jollands) Times'!$F327*0.000001)^2/(4*'D(Ti_Jollands) Times'!$C327)/(365.35*24*3600)</f>
        <v>50214.542757088646</v>
      </c>
      <c r="M327" s="2">
        <f>('L-Values'!I327*'D(Ti_Jollands) Times'!$F327*0.000001)^2/(4*'D(Ti_Jollands) Times'!$C327)/(365.35*24*3600)</f>
        <v>104434.66011240888</v>
      </c>
      <c r="N327" s="2">
        <f>('L-Values'!J327*'D(Ti_Jollands) Times'!$F327*0.000001)^2/(4*'D(Ti_Jollands) Times'!$C327)/(365.35*24*3600)</f>
        <v>86471.592248747824</v>
      </c>
      <c r="O327" s="2">
        <f>('L-Values'!K327*'D(Ti_Jollands) Times'!$F327*0.000001)^2/(4*'D(Ti_Jollands) Times'!$C327)/(365.35*24*3600)</f>
        <v>107826.07122426343</v>
      </c>
      <c r="P327" s="2">
        <f>('L-Values'!L327*'D(Ti_Jollands) Times'!$F327*0.000001)^2/(4*'D(Ti_Jollands) Times'!$C327)/(365.35*24*3600)</f>
        <v>120677.8314618204</v>
      </c>
      <c r="Q327" s="2">
        <f>('L-Values'!M327*'D(Ti_Jollands) Times'!$F327*0.000001)^2/(4*'D(Ti_Jollands) Times'!$C327)/(365.35*24*3600)</f>
        <v>138898.63396237968</v>
      </c>
      <c r="R327" s="2">
        <f>('L-Values'!N327*'D(Ti_Jollands) Times'!$F327*0.000001)^2/(4*'D(Ti_Jollands) Times'!$C327)/(365.35*24*3600)</f>
        <v>70546.529227333143</v>
      </c>
      <c r="S327" s="2">
        <f>('L-Values'!O327*'D(Ti_Jollands) Times'!$F327*0.000001)^2/(4*'D(Ti_Jollands) Times'!$C327)/(365.35*24*3600)</f>
        <v>148326.99027481483</v>
      </c>
      <c r="T327" s="2"/>
      <c r="U327" s="2">
        <f>('L-Values'!Q327*'D(Ti_Jollands) Times'!$F327*0.000001)^2/(4*'D(Ti_Jollands) Times'!$C327)/(365.35*24*3600)</f>
        <v>103672.72361768219</v>
      </c>
      <c r="V327" s="2">
        <f>('L-Values'!R327*'D(Ti_Jollands) Times'!$F327*0.000001)^2/(4*'D(Ti_Jollands) Times'!$C327)/(365.35*24*3600)</f>
        <v>108446.59422423475</v>
      </c>
      <c r="W327" s="2">
        <f>('L-Values'!S327*'D(Ti_Jollands) Times'!$F327*0.000001)^2/(4*'D(Ti_Jollands) Times'!$C327)/(365.35*24*3600)</f>
        <v>107826.07122426343</v>
      </c>
      <c r="X327" s="2"/>
      <c r="Y327" s="2">
        <f>('L-Values'!U327*'D(Ti_Jollands) Times'!$F327*0.000001)^2/(4*'D(Ti_Jollands) Times'!$C327)/(365.35*24*3600)</f>
        <v>104042.3907736667</v>
      </c>
      <c r="Z327" s="2">
        <f>('L-Values'!V327*'D(Ti_Jollands) Times'!$F327*0.000001)^2/(4*'D(Ti_Jollands) Times'!$C327)/(365.35*24*3600)</f>
        <v>113016.68122440392</v>
      </c>
      <c r="AA327" s="2">
        <f>('L-Values'!W327*'D(Ti_Jollands) Times'!$F327*0.000001)^2/(4*'D(Ti_Jollands) Times'!$C327)/(365.35*24*3600)</f>
        <v>37995.341674411859</v>
      </c>
      <c r="AB327" s="2">
        <f>('L-Values'!X327*'D(Ti_Jollands) Times'!$F327*0.000001)^2/(4*'D(Ti_Jollands) Times'!$C327)/(365.35*24*3600)</f>
        <v>302600.44767213595</v>
      </c>
      <c r="AC327" s="2">
        <f t="shared" si="22"/>
        <v>75021.339549992059</v>
      </c>
      <c r="AD327" s="2">
        <f t="shared" si="23"/>
        <v>189583.76644773205</v>
      </c>
    </row>
    <row r="328" spans="1:30" x14ac:dyDescent="0.2">
      <c r="A328" t="str">
        <f>'L-Values'!A328</f>
        <v>CGI015-qtz09-CL-fit-1-offset</v>
      </c>
      <c r="B328">
        <v>750</v>
      </c>
      <c r="C328">
        <f t="shared" si="20"/>
        <v>6.6965312637759184E-25</v>
      </c>
      <c r="D328">
        <v>2150</v>
      </c>
      <c r="E328">
        <v>1024</v>
      </c>
      <c r="F328">
        <f t="shared" si="21"/>
        <v>2.099609375</v>
      </c>
      <c r="I328" s="2">
        <f>('L-Values'!E328*'D(Ti_Jollands) Times'!$F328*0.000001)^2/(4*'D(Ti_Jollands) Times'!$C328)/(365.35*24*3600)</f>
        <v>1333561.4066235765</v>
      </c>
      <c r="J328" s="2">
        <f>('L-Values'!F328*'D(Ti_Jollands) Times'!$F328*0.000001)^2/(4*'D(Ti_Jollands) Times'!$C328)/(365.35*24*3600)</f>
        <v>1764283.9427915628</v>
      </c>
      <c r="K328" s="2">
        <f>('L-Values'!G328*'D(Ti_Jollands) Times'!$F328*0.000001)^2/(4*'D(Ti_Jollands) Times'!$C328)/(365.35*24*3600)</f>
        <v>1735267.3822273</v>
      </c>
      <c r="L328" s="2">
        <f>('L-Values'!H328*'D(Ti_Jollands) Times'!$F328*0.000001)^2/(4*'D(Ti_Jollands) Times'!$C328)/(365.35*24*3600)</f>
        <v>2073471.7767804731</v>
      </c>
      <c r="M328" s="2">
        <f>('L-Values'!I328*'D(Ti_Jollands) Times'!$F328*0.000001)^2/(4*'D(Ti_Jollands) Times'!$C328)/(365.35*24*3600)</f>
        <v>1553516.2030994131</v>
      </c>
      <c r="N328" s="2">
        <f>('L-Values'!J328*'D(Ti_Jollands) Times'!$F328*0.000001)^2/(4*'D(Ti_Jollands) Times'!$C328)/(365.35*24*3600)</f>
        <v>1835298.8340813899</v>
      </c>
      <c r="O328" s="2">
        <f>('L-Values'!K328*'D(Ti_Jollands) Times'!$F328*0.000001)^2/(4*'D(Ti_Jollands) Times'!$C328)/(365.35*24*3600)</f>
        <v>1768255.1431266651</v>
      </c>
      <c r="P328" s="2">
        <f>('L-Values'!L328*'D(Ti_Jollands) Times'!$F328*0.000001)^2/(4*'D(Ti_Jollands) Times'!$C328)/(365.35*24*3600)</f>
        <v>2019363.5137331702</v>
      </c>
      <c r="Q328" s="2">
        <f>('L-Values'!M328*'D(Ti_Jollands) Times'!$F328*0.000001)^2/(4*'D(Ti_Jollands) Times'!$C328)/(365.35*24*3600)</f>
        <v>2825529.7732235417</v>
      </c>
      <c r="R328" s="2">
        <f>('L-Values'!N328*'D(Ti_Jollands) Times'!$F328*0.000001)^2/(4*'D(Ti_Jollands) Times'!$C328)/(365.35*24*3600)</f>
        <v>2011655.2424967841</v>
      </c>
      <c r="S328" s="2">
        <f>('L-Values'!O328*'D(Ti_Jollands) Times'!$F328*0.000001)^2/(4*'D(Ti_Jollands) Times'!$C328)/(365.35*24*3600)</f>
        <v>2108258.2494721343</v>
      </c>
      <c r="T328" s="2"/>
      <c r="U328" s="2">
        <f>('L-Values'!Q328*'D(Ti_Jollands) Times'!$F328*0.000001)^2/(4*'D(Ti_Jollands) Times'!$C328)/(365.35*24*3600)</f>
        <v>1882438.3313116317</v>
      </c>
      <c r="V328" s="2">
        <f>('L-Values'!R328*'D(Ti_Jollands) Times'!$F328*0.000001)^2/(4*'D(Ti_Jollands) Times'!$C328)/(365.35*24*3600)</f>
        <v>1895250.7074283077</v>
      </c>
      <c r="W328" s="2">
        <f>('L-Values'!S328*'D(Ti_Jollands) Times'!$F328*0.000001)^2/(4*'D(Ti_Jollands) Times'!$C328)/(365.35*24*3600)</f>
        <v>1835298.8340813899</v>
      </c>
      <c r="X328" s="2"/>
      <c r="Y328" s="2">
        <f>('L-Values'!U328*'D(Ti_Jollands) Times'!$F328*0.000001)^2/(4*'D(Ti_Jollands) Times'!$C328)/(365.35*24*3600)</f>
        <v>1900676.6244034821</v>
      </c>
      <c r="Z328" s="2">
        <f>('L-Values'!V328*'D(Ti_Jollands) Times'!$F328*0.000001)^2/(4*'D(Ti_Jollands) Times'!$C328)/(365.35*24*3600)</f>
        <v>1930388.0776205952</v>
      </c>
      <c r="AA328" s="2">
        <f>('L-Values'!W328*'D(Ti_Jollands) Times'!$F328*0.000001)^2/(4*'D(Ti_Jollands) Times'!$C328)/(365.35*24*3600)</f>
        <v>1376647.9152083034</v>
      </c>
      <c r="AB328" s="2">
        <f>('L-Values'!X328*'D(Ti_Jollands) Times'!$F328*0.000001)^2/(4*'D(Ti_Jollands) Times'!$C328)/(365.35*24*3600)</f>
        <v>2888950.8313145167</v>
      </c>
      <c r="AC328" s="2">
        <f t="shared" si="22"/>
        <v>553740.16241229186</v>
      </c>
      <c r="AD328" s="2">
        <f t="shared" si="23"/>
        <v>958562.75369392149</v>
      </c>
    </row>
    <row r="329" spans="1:30" x14ac:dyDescent="0.2">
      <c r="A329" t="str">
        <f>'L-Values'!A329</f>
        <v>CGI015-qtz09-CL-fit-2-offset</v>
      </c>
      <c r="B329">
        <v>750</v>
      </c>
      <c r="C329">
        <f t="shared" si="20"/>
        <v>6.6965312637759184E-25</v>
      </c>
      <c r="D329">
        <v>2150</v>
      </c>
      <c r="E329">
        <v>1024</v>
      </c>
      <c r="F329">
        <f t="shared" si="21"/>
        <v>2.099609375</v>
      </c>
      <c r="I329" s="2">
        <f>('L-Values'!E329*'D(Ti_Jollands) Times'!$F329*0.000001)^2/(4*'D(Ti_Jollands) Times'!$C329)/(365.35*24*3600)</f>
        <v>1465026.742845179</v>
      </c>
      <c r="J329" s="2">
        <f>('L-Values'!F329*'D(Ti_Jollands) Times'!$F329*0.000001)^2/(4*'D(Ti_Jollands) Times'!$C329)/(365.35*24*3600)</f>
        <v>1695328.496215103</v>
      </c>
      <c r="K329" s="2">
        <f>('L-Values'!G329*'D(Ti_Jollands) Times'!$F329*0.000001)^2/(4*'D(Ti_Jollands) Times'!$C329)/(365.35*24*3600)</f>
        <v>1044498.15760356</v>
      </c>
      <c r="L329" s="2">
        <f>('L-Values'!H329*'D(Ti_Jollands) Times'!$F329*0.000001)^2/(4*'D(Ti_Jollands) Times'!$C329)/(365.35*24*3600)</f>
        <v>1266126.0113216839</v>
      </c>
      <c r="M329" s="2">
        <f>('L-Values'!I329*'D(Ti_Jollands) Times'!$F329*0.000001)^2/(4*'D(Ti_Jollands) Times'!$C329)/(365.35*24*3600)</f>
        <v>1072882.8010946489</v>
      </c>
      <c r="N329" s="2">
        <f>('L-Values'!J329*'D(Ti_Jollands) Times'!$F329*0.000001)^2/(4*'D(Ti_Jollands) Times'!$C329)/(365.35*24*3600)</f>
        <v>1364304.4962261301</v>
      </c>
      <c r="O329" s="2">
        <f>('L-Values'!K329*'D(Ti_Jollands) Times'!$F329*0.000001)^2/(4*'D(Ti_Jollands) Times'!$C329)/(365.35*24*3600)</f>
        <v>1436195.6701297942</v>
      </c>
      <c r="P329" s="2">
        <f>('L-Values'!L329*'D(Ti_Jollands) Times'!$F329*0.000001)^2/(4*'D(Ti_Jollands) Times'!$C329)/(365.35*24*3600)</f>
        <v>1645963.314180101</v>
      </c>
      <c r="Q329" s="2">
        <f>('L-Values'!M329*'D(Ti_Jollands) Times'!$F329*0.000001)^2/(4*'D(Ti_Jollands) Times'!$C329)/(365.35*24*3600)</f>
        <v>1607106.9551305382</v>
      </c>
      <c r="R329" s="2">
        <f>('L-Values'!N329*'D(Ti_Jollands) Times'!$F329*0.000001)^2/(4*'D(Ti_Jollands) Times'!$C329)/(365.35*24*3600)</f>
        <v>1795547.3264007405</v>
      </c>
      <c r="S329" s="2">
        <f>('L-Values'!O329*'D(Ti_Jollands) Times'!$F329*0.000001)^2/(4*'D(Ti_Jollands) Times'!$C329)/(365.35*24*3600)</f>
        <v>989925.36535765405</v>
      </c>
      <c r="T329" s="2"/>
      <c r="U329" s="2">
        <f>('L-Values'!Q329*'D(Ti_Jollands) Times'!$F329*0.000001)^2/(4*'D(Ti_Jollands) Times'!$C329)/(365.35*24*3600)</f>
        <v>1402624.9969884444</v>
      </c>
      <c r="V329" s="2">
        <f>('L-Values'!R329*'D(Ti_Jollands) Times'!$F329*0.000001)^2/(4*'D(Ti_Jollands) Times'!$C329)/(365.35*24*3600)</f>
        <v>1385437.6339909695</v>
      </c>
      <c r="W329" s="2">
        <f>('L-Values'!S329*'D(Ti_Jollands) Times'!$F329*0.000001)^2/(4*'D(Ti_Jollands) Times'!$C329)/(365.35*24*3600)</f>
        <v>1436195.6701297942</v>
      </c>
      <c r="X329" s="2"/>
      <c r="Y329" s="2">
        <f>('L-Values'!U329*'D(Ti_Jollands) Times'!$F329*0.000001)^2/(4*'D(Ti_Jollands) Times'!$C329)/(365.35*24*3600)</f>
        <v>1360001.9167643206</v>
      </c>
      <c r="Z329" s="2">
        <f>('L-Values'!V329*'D(Ti_Jollands) Times'!$F329*0.000001)^2/(4*'D(Ti_Jollands) Times'!$C329)/(365.35*24*3600)</f>
        <v>1364195.0798139761</v>
      </c>
      <c r="AA329" s="2">
        <f>('L-Values'!W329*'D(Ti_Jollands) Times'!$F329*0.000001)^2/(4*'D(Ti_Jollands) Times'!$C329)/(365.35*24*3600)</f>
        <v>786914.61019575037</v>
      </c>
      <c r="AB329" s="2">
        <f>('L-Values'!X329*'D(Ti_Jollands) Times'!$F329*0.000001)^2/(4*'D(Ti_Jollands) Times'!$C329)/(365.35*24*3600)</f>
        <v>2250654.6985894917</v>
      </c>
      <c r="AC329" s="2">
        <f t="shared" si="22"/>
        <v>577280.4696182257</v>
      </c>
      <c r="AD329" s="2">
        <f t="shared" si="23"/>
        <v>886459.61877551558</v>
      </c>
    </row>
    <row r="330" spans="1:30" x14ac:dyDescent="0.2">
      <c r="A330" t="str">
        <f>'L-Values'!A330</f>
        <v>CGI015-qtz09-CL-fit-3-offset</v>
      </c>
      <c r="B330">
        <v>750</v>
      </c>
      <c r="C330">
        <f t="shared" si="20"/>
        <v>6.6965312637759184E-25</v>
      </c>
      <c r="D330">
        <v>2150</v>
      </c>
      <c r="E330">
        <v>1024</v>
      </c>
      <c r="F330">
        <f t="shared" si="21"/>
        <v>2.099609375</v>
      </c>
      <c r="I330" s="2">
        <f>('L-Values'!E330*'D(Ti_Jollands) Times'!$F330*0.000001)^2/(4*'D(Ti_Jollands) Times'!$C330)/(365.35*24*3600)</f>
        <v>229551.60809078006</v>
      </c>
      <c r="J330" s="2">
        <f>('L-Values'!F330*'D(Ti_Jollands) Times'!$F330*0.000001)^2/(4*'D(Ti_Jollands) Times'!$C330)/(365.35*24*3600)</f>
        <v>209776.33350328315</v>
      </c>
      <c r="K330" s="2">
        <f>('L-Values'!G330*'D(Ti_Jollands) Times'!$F330*0.000001)^2/(4*'D(Ti_Jollands) Times'!$C330)/(365.35*24*3600)</f>
        <v>168791.36864572568</v>
      </c>
      <c r="L330" s="2">
        <f>('L-Values'!H330*'D(Ti_Jollands) Times'!$F330*0.000001)^2/(4*'D(Ti_Jollands) Times'!$C330)/(365.35*24*3600)</f>
        <v>145158.35007100651</v>
      </c>
      <c r="M330" s="2">
        <f>('L-Values'!I330*'D(Ti_Jollands) Times'!$F330*0.000001)^2/(4*'D(Ti_Jollands) Times'!$C330)/(365.35*24*3600)</f>
        <v>170413.67602438884</v>
      </c>
      <c r="N330" s="2">
        <f>('L-Values'!J330*'D(Ti_Jollands) Times'!$F330*0.000001)^2/(4*'D(Ti_Jollands) Times'!$C330)/(365.35*24*3600)</f>
        <v>167329.0679747824</v>
      </c>
      <c r="O330" s="2">
        <f>('L-Values'!K330*'D(Ti_Jollands) Times'!$F330*0.000001)^2/(4*'D(Ti_Jollands) Times'!$C330)/(365.35*24*3600)</f>
        <v>167558.73209193005</v>
      </c>
      <c r="P330" s="2">
        <f>('L-Values'!L330*'D(Ti_Jollands) Times'!$F330*0.000001)^2/(4*'D(Ti_Jollands) Times'!$C330)/(365.35*24*3600)</f>
        <v>356356.57506032265</v>
      </c>
      <c r="Q330" s="2">
        <f>('L-Values'!M330*'D(Ti_Jollands) Times'!$F330*0.000001)^2/(4*'D(Ti_Jollands) Times'!$C330)/(365.35*24*3600)</f>
        <v>230474.30164514304</v>
      </c>
      <c r="R330" s="2">
        <f>('L-Values'!N330*'D(Ti_Jollands) Times'!$F330*0.000001)^2/(4*'D(Ti_Jollands) Times'!$C330)/(365.35*24*3600)</f>
        <v>237597.55482812872</v>
      </c>
      <c r="S330" s="2">
        <f>('L-Values'!O330*'D(Ti_Jollands) Times'!$F330*0.000001)^2/(4*'D(Ti_Jollands) Times'!$C330)/(365.35*24*3600)</f>
        <v>266304.53303875064</v>
      </c>
      <c r="T330" s="2"/>
      <c r="U330" s="2">
        <f>('L-Values'!Q330*'D(Ti_Jollands) Times'!$F330*0.000001)^2/(4*'D(Ti_Jollands) Times'!$C330)/(365.35*24*3600)</f>
        <v>212928.61733240171</v>
      </c>
      <c r="V330" s="2">
        <f>('L-Values'!R330*'D(Ti_Jollands) Times'!$F330*0.000001)^2/(4*'D(Ti_Jollands) Times'!$C330)/(365.35*24*3600)</f>
        <v>209988.73492937093</v>
      </c>
      <c r="W330" s="2">
        <f>('L-Values'!S330*'D(Ti_Jollands) Times'!$F330*0.000001)^2/(4*'D(Ti_Jollands) Times'!$C330)/(365.35*24*3600)</f>
        <v>209776.33350328315</v>
      </c>
      <c r="X330" s="2"/>
      <c r="Y330" s="2">
        <f>('L-Values'!U330*'D(Ti_Jollands) Times'!$F330*0.000001)^2/(4*'D(Ti_Jollands) Times'!$C330)/(365.35*24*3600)</f>
        <v>194747.61968026147</v>
      </c>
      <c r="Z330" s="2">
        <f>('L-Values'!V330*'D(Ti_Jollands) Times'!$F330*0.000001)^2/(4*'D(Ti_Jollands) Times'!$C330)/(365.35*24*3600)</f>
        <v>196634.66743755946</v>
      </c>
      <c r="AA330" s="2">
        <f>('L-Values'!W330*'D(Ti_Jollands) Times'!$F330*0.000001)^2/(4*'D(Ti_Jollands) Times'!$C330)/(365.35*24*3600)</f>
        <v>82986.08363220538</v>
      </c>
      <c r="AB330" s="2">
        <f>('L-Values'!X330*'D(Ti_Jollands) Times'!$F330*0.000001)^2/(4*'D(Ti_Jollands) Times'!$C330)/(365.35*24*3600)</f>
        <v>352043.85300035973</v>
      </c>
      <c r="AC330" s="2">
        <f t="shared" si="22"/>
        <v>113648.58380535408</v>
      </c>
      <c r="AD330" s="2">
        <f t="shared" si="23"/>
        <v>155409.18556280027</v>
      </c>
    </row>
    <row r="331" spans="1:30" x14ac:dyDescent="0.2">
      <c r="A331" t="str">
        <f>'L-Values'!A331</f>
        <v>CGI015-qtz09-CL-fit-4-offset</v>
      </c>
      <c r="B331">
        <v>750</v>
      </c>
      <c r="C331">
        <f t="shared" si="20"/>
        <v>6.6965312637759184E-25</v>
      </c>
      <c r="D331">
        <v>2150</v>
      </c>
      <c r="E331">
        <v>1024</v>
      </c>
      <c r="F331">
        <f t="shared" si="21"/>
        <v>2.099609375</v>
      </c>
      <c r="I331" s="2">
        <f>('L-Values'!E331*'D(Ti_Jollands) Times'!$F331*0.000001)^2/(4*'D(Ti_Jollands) Times'!$C331)/(365.35*24*3600)</f>
        <v>198488.44337706282</v>
      </c>
      <c r="J331" s="2">
        <f>('L-Values'!F331*'D(Ti_Jollands) Times'!$F331*0.000001)^2/(4*'D(Ti_Jollands) Times'!$C331)/(365.35*24*3600)</f>
        <v>375446.93426873843</v>
      </c>
      <c r="K331" s="2">
        <f>('L-Values'!G331*'D(Ti_Jollands) Times'!$F331*0.000001)^2/(4*'D(Ti_Jollands) Times'!$C331)/(365.35*24*3600)</f>
        <v>469035.54672013142</v>
      </c>
      <c r="L331" s="2">
        <f>('L-Values'!H331*'D(Ti_Jollands) Times'!$F331*0.000001)^2/(4*'D(Ti_Jollands) Times'!$C331)/(365.35*24*3600)</f>
        <v>454930.63858140219</v>
      </c>
      <c r="M331" s="2">
        <f>('L-Values'!I331*'D(Ti_Jollands) Times'!$F331*0.000001)^2/(4*'D(Ti_Jollands) Times'!$C331)/(365.35*24*3600)</f>
        <v>550981.26289498596</v>
      </c>
      <c r="N331" s="2">
        <f>('L-Values'!J331*'D(Ti_Jollands) Times'!$F331*0.000001)^2/(4*'D(Ti_Jollands) Times'!$C331)/(365.35*24*3600)</f>
        <v>173620.24858592122</v>
      </c>
      <c r="O331" s="2">
        <f>('L-Values'!K331*'D(Ti_Jollands) Times'!$F331*0.000001)^2/(4*'D(Ti_Jollands) Times'!$C331)/(365.35*24*3600)</f>
        <v>292799.08224973985</v>
      </c>
      <c r="P331" s="2">
        <f>('L-Values'!L331*'D(Ti_Jollands) Times'!$F331*0.000001)^2/(4*'D(Ti_Jollands) Times'!$C331)/(365.35*24*3600)</f>
        <v>385830.39158310759</v>
      </c>
      <c r="Q331" s="2">
        <f>('L-Values'!M331*'D(Ti_Jollands) Times'!$F331*0.000001)^2/(4*'D(Ti_Jollands) Times'!$C331)/(365.35*24*3600)</f>
        <v>464209.36082937982</v>
      </c>
      <c r="R331" s="2">
        <f>('L-Values'!N331*'D(Ti_Jollands) Times'!$F331*0.000001)^2/(4*'D(Ti_Jollands) Times'!$C331)/(365.35*24*3600)</f>
        <v>344391.82325344661</v>
      </c>
      <c r="S331" s="2">
        <f>('L-Values'!O331*'D(Ti_Jollands) Times'!$F331*0.000001)^2/(4*'D(Ti_Jollands) Times'!$C331)/(365.35*24*3600)</f>
        <v>505855.91878691438</v>
      </c>
      <c r="T331" s="2"/>
      <c r="U331" s="2">
        <f>('L-Values'!Q331*'D(Ti_Jollands) Times'!$F331*0.000001)^2/(4*'D(Ti_Jollands) Times'!$C331)/(365.35*24*3600)</f>
        <v>405697.42861854681</v>
      </c>
      <c r="V331" s="2">
        <f>('L-Values'!R331*'D(Ti_Jollands) Times'!$F331*0.000001)^2/(4*'D(Ti_Jollands) Times'!$C331)/(365.35*24*3600)</f>
        <v>373014.32289319439</v>
      </c>
      <c r="W331" s="2">
        <f>('L-Values'!S331*'D(Ti_Jollands) Times'!$F331*0.000001)^2/(4*'D(Ti_Jollands) Times'!$C331)/(365.35*24*3600)</f>
        <v>385830.39158310759</v>
      </c>
      <c r="X331" s="2"/>
      <c r="Y331" s="2">
        <f>('L-Values'!U331*'D(Ti_Jollands) Times'!$F331*0.000001)^2/(4*'D(Ti_Jollands) Times'!$C331)/(365.35*24*3600)</f>
        <v>394337.8431919865</v>
      </c>
      <c r="Z331" s="2">
        <f>('L-Values'!V331*'D(Ti_Jollands) Times'!$F331*0.000001)^2/(4*'D(Ti_Jollands) Times'!$C331)/(365.35*24*3600)</f>
        <v>384701.01579107513</v>
      </c>
      <c r="AA331" s="2">
        <f>('L-Values'!W331*'D(Ti_Jollands) Times'!$F331*0.000001)^2/(4*'D(Ti_Jollands) Times'!$C331)/(365.35*24*3600)</f>
        <v>117155.54432828169</v>
      </c>
      <c r="AB331" s="2">
        <f>('L-Values'!X331*'D(Ti_Jollands) Times'!$F331*0.000001)^2/(4*'D(Ti_Jollands) Times'!$C331)/(365.35*24*3600)</f>
        <v>747644.66903079045</v>
      </c>
      <c r="AC331" s="2">
        <f t="shared" si="22"/>
        <v>267545.47146279342</v>
      </c>
      <c r="AD331" s="2">
        <f t="shared" si="23"/>
        <v>362943.65323971532</v>
      </c>
    </row>
    <row r="332" spans="1:30" x14ac:dyDescent="0.2">
      <c r="A332" t="str">
        <f>'L-Values'!A332</f>
        <v>CGI015-qtz09-CL-fit-5-offset</v>
      </c>
      <c r="B332">
        <v>750</v>
      </c>
      <c r="C332">
        <f t="shared" si="20"/>
        <v>6.6965312637759184E-25</v>
      </c>
      <c r="D332">
        <v>2150</v>
      </c>
      <c r="E332">
        <v>1024</v>
      </c>
      <c r="F332">
        <f t="shared" si="21"/>
        <v>2.099609375</v>
      </c>
      <c r="I332" s="2">
        <f>('L-Values'!E332*'D(Ti_Jollands) Times'!$F332*0.000001)^2/(4*'D(Ti_Jollands) Times'!$C332)/(365.35*24*3600)</f>
        <v>7.549650129347614E-3</v>
      </c>
      <c r="J332" s="2">
        <f>('L-Values'!F332*'D(Ti_Jollands) Times'!$F332*0.000001)^2/(4*'D(Ti_Jollands) Times'!$C332)/(365.35*24*3600)</f>
        <v>67109.710272951008</v>
      </c>
      <c r="K332" s="2">
        <f>('L-Values'!G332*'D(Ti_Jollands) Times'!$F332*0.000001)^2/(4*'D(Ti_Jollands) Times'!$C332)/(365.35*24*3600)</f>
        <v>63359.512729649672</v>
      </c>
      <c r="L332" s="2">
        <f>('L-Values'!H332*'D(Ti_Jollands) Times'!$F332*0.000001)^2/(4*'D(Ti_Jollands) Times'!$C332)/(365.35*24*3600)</f>
        <v>94.559406895335343</v>
      </c>
      <c r="M332" s="2">
        <f>('L-Values'!I332*'D(Ti_Jollands) Times'!$F332*0.000001)^2/(4*'D(Ti_Jollands) Times'!$C332)/(365.35*24*3600)</f>
        <v>130256.37087328004</v>
      </c>
      <c r="N332" s="2">
        <f>('L-Values'!J332*'D(Ti_Jollands) Times'!$F332*0.000001)^2/(4*'D(Ti_Jollands) Times'!$C332)/(365.35*24*3600)</f>
        <v>29248.807133523205</v>
      </c>
      <c r="O332" s="2">
        <f>('L-Values'!K332*'D(Ti_Jollands) Times'!$F332*0.000001)^2/(4*'D(Ti_Jollands) Times'!$C332)/(365.35*24*3600)</f>
        <v>48854.69730657521</v>
      </c>
      <c r="P332" s="2">
        <f>('L-Values'!L332*'D(Ti_Jollands) Times'!$F332*0.000001)^2/(4*'D(Ti_Jollands) Times'!$C332)/(365.35*24*3600)</f>
        <v>2.7668005732105674</v>
      </c>
      <c r="Q332" s="2">
        <f>('L-Values'!M332*'D(Ti_Jollands) Times'!$F332*0.000001)^2/(4*'D(Ti_Jollands) Times'!$C332)/(365.35*24*3600)</f>
        <v>42871.903511047574</v>
      </c>
      <c r="R332" s="2">
        <f>('L-Values'!N332*'D(Ti_Jollands) Times'!$F332*0.000001)^2/(4*'D(Ti_Jollands) Times'!$C332)/(365.35*24*3600)</f>
        <v>58747.228337634151</v>
      </c>
      <c r="S332" s="2">
        <f>('L-Values'!O332*'D(Ti_Jollands) Times'!$F332*0.000001)^2/(4*'D(Ti_Jollands) Times'!$C332)/(365.35*24*3600)</f>
        <v>19305.298484206789</v>
      </c>
      <c r="T332" s="2"/>
      <c r="U332" s="2">
        <f>('L-Values'!Q332*'D(Ti_Jollands) Times'!$F332*0.000001)^2/(4*'D(Ti_Jollands) Times'!$C332)/(365.35*24*3600)</f>
        <v>36809.79231734795</v>
      </c>
      <c r="V332" s="2">
        <f>('L-Values'!R332*'D(Ti_Jollands) Times'!$F332*0.000001)^2/(4*'D(Ti_Jollands) Times'!$C332)/(365.35*24*3600)</f>
        <v>28702.039404956591</v>
      </c>
      <c r="W332" s="2">
        <f>('L-Values'!S332*'D(Ti_Jollands) Times'!$F332*0.000001)^2/(4*'D(Ti_Jollands) Times'!$C332)/(365.35*24*3600)</f>
        <v>42871.903511047574</v>
      </c>
      <c r="X332" s="2"/>
      <c r="Y332" s="2">
        <f>('L-Values'!U332*'D(Ti_Jollands) Times'!$F332*0.000001)^2/(4*'D(Ti_Jollands) Times'!$C332)/(365.35*24*3600)</f>
        <v>33028.299905020715</v>
      </c>
      <c r="Z332" s="2">
        <f>('L-Values'!V332*'D(Ti_Jollands) Times'!$F332*0.000001)^2/(4*'D(Ti_Jollands) Times'!$C332)/(365.35*24*3600)</f>
        <v>36673.060274247684</v>
      </c>
      <c r="AA332" s="2">
        <f>('L-Values'!W332*'D(Ti_Jollands) Times'!$F332*0.000001)^2/(4*'D(Ti_Jollands) Times'!$C332)/(365.35*24*3600)</f>
        <v>782.55682137537212</v>
      </c>
      <c r="AB332" s="2">
        <f>('L-Values'!X332*'D(Ti_Jollands) Times'!$F332*0.000001)^2/(4*'D(Ti_Jollands) Times'!$C332)/(365.35*24*3600)</f>
        <v>158728.66764872085</v>
      </c>
      <c r="AC332" s="2">
        <f t="shared" si="22"/>
        <v>35890.503452872312</v>
      </c>
      <c r="AD332" s="2">
        <f t="shared" si="23"/>
        <v>122055.60737447315</v>
      </c>
    </row>
    <row r="333" spans="1:30" x14ac:dyDescent="0.2">
      <c r="A333" t="str">
        <f>'L-Values'!A333</f>
        <v>CGI015-qtz09-CL-fit-6-offset</v>
      </c>
      <c r="B333">
        <v>750</v>
      </c>
      <c r="C333">
        <f t="shared" si="20"/>
        <v>6.6965312637759184E-25</v>
      </c>
      <c r="D333">
        <v>2150</v>
      </c>
      <c r="E333">
        <v>1024</v>
      </c>
      <c r="F333">
        <f t="shared" si="21"/>
        <v>2.099609375</v>
      </c>
      <c r="I333" s="2">
        <f>('L-Values'!E333*'D(Ti_Jollands) Times'!$F333*0.000001)^2/(4*'D(Ti_Jollands) Times'!$C333)/(365.35*24*3600)</f>
        <v>394161.74543509795</v>
      </c>
      <c r="J333" s="2">
        <f>('L-Values'!F333*'D(Ti_Jollands) Times'!$F333*0.000001)^2/(4*'D(Ti_Jollands) Times'!$C333)/(365.35*24*3600)</f>
        <v>239272.44320178853</v>
      </c>
      <c r="K333" s="2">
        <f>('L-Values'!G333*'D(Ti_Jollands) Times'!$F333*0.000001)^2/(4*'D(Ti_Jollands) Times'!$C333)/(365.35*24*3600)</f>
        <v>304051.49303980963</v>
      </c>
      <c r="L333" s="2">
        <f>('L-Values'!H333*'D(Ti_Jollands) Times'!$F333*0.000001)^2/(4*'D(Ti_Jollands) Times'!$C333)/(365.35*24*3600)</f>
        <v>138120.42654851134</v>
      </c>
      <c r="M333" s="2">
        <f>('L-Values'!I333*'D(Ti_Jollands) Times'!$F333*0.000001)^2/(4*'D(Ti_Jollands) Times'!$C333)/(365.35*24*3600)</f>
        <v>200709.89714794795</v>
      </c>
      <c r="N333" s="2">
        <f>('L-Values'!J333*'D(Ti_Jollands) Times'!$F333*0.000001)^2/(4*'D(Ti_Jollands) Times'!$C333)/(365.35*24*3600)</f>
        <v>146240.4092964264</v>
      </c>
      <c r="O333" s="2">
        <f>('L-Values'!K333*'D(Ti_Jollands) Times'!$F333*0.000001)^2/(4*'D(Ti_Jollands) Times'!$C333)/(365.35*24*3600)</f>
        <v>181300.42279153442</v>
      </c>
      <c r="P333" s="2">
        <f>('L-Values'!L333*'D(Ti_Jollands) Times'!$F333*0.000001)^2/(4*'D(Ti_Jollands) Times'!$C333)/(365.35*24*3600)</f>
        <v>141572.85556165077</v>
      </c>
      <c r="Q333" s="2">
        <f>('L-Values'!M333*'D(Ti_Jollands) Times'!$F333*0.000001)^2/(4*'D(Ti_Jollands) Times'!$C333)/(365.35*24*3600)</f>
        <v>91056.463274057765</v>
      </c>
      <c r="R333" s="2">
        <f>('L-Values'!N333*'D(Ti_Jollands) Times'!$F333*0.000001)^2/(4*'D(Ti_Jollands) Times'!$C333)/(365.35*24*3600)</f>
        <v>102965.12355350589</v>
      </c>
      <c r="S333" s="2">
        <f>('L-Values'!O333*'D(Ti_Jollands) Times'!$F333*0.000001)^2/(4*'D(Ti_Jollands) Times'!$C333)/(365.35*24*3600)</f>
        <v>89159.394485085839</v>
      </c>
      <c r="T333" s="2"/>
      <c r="U333" s="2">
        <f>('L-Values'!Q333*'D(Ti_Jollands) Times'!$F333*0.000001)^2/(4*'D(Ti_Jollands) Times'!$C333)/(365.35*24*3600)</f>
        <v>197559.41506309828</v>
      </c>
      <c r="V333" s="2">
        <f>('L-Values'!R333*'D(Ti_Jollands) Times'!$F333*0.000001)^2/(4*'D(Ti_Jollands) Times'!$C333)/(365.35*24*3600)</f>
        <v>174400.48490421663</v>
      </c>
      <c r="W333" s="2">
        <f>('L-Values'!S333*'D(Ti_Jollands) Times'!$F333*0.000001)^2/(4*'D(Ti_Jollands) Times'!$C333)/(365.35*24*3600)</f>
        <v>146240.4092964264</v>
      </c>
      <c r="X333" s="2"/>
      <c r="Y333" s="2">
        <f>('L-Values'!U333*'D(Ti_Jollands) Times'!$F333*0.000001)^2/(4*'D(Ti_Jollands) Times'!$C333)/(365.35*24*3600)</f>
        <v>172511.33612084121</v>
      </c>
      <c r="Z333" s="2">
        <f>('L-Values'!V333*'D(Ti_Jollands) Times'!$F333*0.000001)^2/(4*'D(Ti_Jollands) Times'!$C333)/(365.35*24*3600)</f>
        <v>164642.33560485268</v>
      </c>
      <c r="AA333" s="2">
        <f>('L-Values'!W333*'D(Ti_Jollands) Times'!$F333*0.000001)^2/(4*'D(Ti_Jollands) Times'!$C333)/(365.35*24*3600)</f>
        <v>26324.025559385416</v>
      </c>
      <c r="AB333" s="2">
        <f>('L-Values'!X333*'D(Ti_Jollands) Times'!$F333*0.000001)^2/(4*'D(Ti_Jollands) Times'!$C333)/(365.35*24*3600)</f>
        <v>451207.24969564733</v>
      </c>
      <c r="AC333" s="2">
        <f t="shared" si="22"/>
        <v>138318.31004546725</v>
      </c>
      <c r="AD333" s="2">
        <f t="shared" si="23"/>
        <v>286564.91409079463</v>
      </c>
    </row>
    <row r="334" spans="1:30" x14ac:dyDescent="0.2">
      <c r="A334" t="str">
        <f>'L-Values'!A334</f>
        <v>CGI015-qtz10-CL-fit-1-offset</v>
      </c>
      <c r="B334">
        <v>750</v>
      </c>
      <c r="C334">
        <f t="shared" si="20"/>
        <v>6.6965312637759184E-25</v>
      </c>
      <c r="D334">
        <v>2050</v>
      </c>
      <c r="E334">
        <v>1024</v>
      </c>
      <c r="F334">
        <f t="shared" si="21"/>
        <v>2.001953125</v>
      </c>
      <c r="I334" s="2">
        <f>('L-Values'!E334*'D(Ti_Jollands) Times'!$F334*0.000001)^2/(4*'D(Ti_Jollands) Times'!$C334)/(365.35*24*3600)</f>
        <v>2248007.7212509196</v>
      </c>
      <c r="J334" s="2">
        <f>('L-Values'!F334*'D(Ti_Jollands) Times'!$F334*0.000001)^2/(4*'D(Ti_Jollands) Times'!$C334)/(365.35*24*3600)</f>
        <v>2567654.3666129308</v>
      </c>
      <c r="K334" s="2">
        <f>('L-Values'!G334*'D(Ti_Jollands) Times'!$F334*0.000001)^2/(4*'D(Ti_Jollands) Times'!$C334)/(365.35*24*3600)</f>
        <v>1663611.502146245</v>
      </c>
      <c r="L334" s="2">
        <f>('L-Values'!H334*'D(Ti_Jollands) Times'!$F334*0.000001)^2/(4*'D(Ti_Jollands) Times'!$C334)/(365.35*24*3600)</f>
        <v>2499119.6445924048</v>
      </c>
      <c r="M334" s="2">
        <f>('L-Values'!I334*'D(Ti_Jollands) Times'!$F334*0.000001)^2/(4*'D(Ti_Jollands) Times'!$C334)/(365.35*24*3600)</f>
        <v>2215712.1226430605</v>
      </c>
      <c r="N334" s="2">
        <f>('L-Values'!J334*'D(Ti_Jollands) Times'!$F334*0.000001)^2/(4*'D(Ti_Jollands) Times'!$C334)/(365.35*24*3600)</f>
        <v>2784790.0354616786</v>
      </c>
      <c r="O334" s="2">
        <f>('L-Values'!K334*'D(Ti_Jollands) Times'!$F334*0.000001)^2/(4*'D(Ti_Jollands) Times'!$C334)/(365.35*24*3600)</f>
        <v>2506220.0832901015</v>
      </c>
      <c r="P334" s="2">
        <f>('L-Values'!L334*'D(Ti_Jollands) Times'!$F334*0.000001)^2/(4*'D(Ti_Jollands) Times'!$C334)/(365.35*24*3600)</f>
        <v>2202567.6285007959</v>
      </c>
      <c r="Q334" s="2">
        <f>('L-Values'!M334*'D(Ti_Jollands) Times'!$F334*0.000001)^2/(4*'D(Ti_Jollands) Times'!$C334)/(365.35*24*3600)</f>
        <v>2294786.1224304442</v>
      </c>
      <c r="R334" s="2">
        <f>('L-Values'!N334*'D(Ti_Jollands) Times'!$F334*0.000001)^2/(4*'D(Ti_Jollands) Times'!$C334)/(365.35*24*3600)</f>
        <v>3481179.8605290847</v>
      </c>
      <c r="S334" s="2">
        <f>('L-Values'!O334*'D(Ti_Jollands) Times'!$F334*0.000001)^2/(4*'D(Ti_Jollands) Times'!$C334)/(365.35*24*3600)</f>
        <v>2303839.4155415823</v>
      </c>
      <c r="T334" s="2"/>
      <c r="U334" s="2">
        <f>('L-Values'!Q334*'D(Ti_Jollands) Times'!$F334*0.000001)^2/(4*'D(Ti_Jollands) Times'!$C334)/(365.35*24*3600)</f>
        <v>2409938.9112185412</v>
      </c>
      <c r="V334" s="2">
        <f>('L-Values'!R334*'D(Ti_Jollands) Times'!$F334*0.000001)^2/(4*'D(Ti_Jollands) Times'!$C334)/(365.35*24*3600)</f>
        <v>2415308.7489338391</v>
      </c>
      <c r="W334" s="2">
        <f>('L-Values'!S334*'D(Ti_Jollands) Times'!$F334*0.000001)^2/(4*'D(Ti_Jollands) Times'!$C334)/(365.35*24*3600)</f>
        <v>2303839.4155415823</v>
      </c>
      <c r="X334" s="2"/>
      <c r="Y334" s="2">
        <f>('L-Values'!U334*'D(Ti_Jollands) Times'!$F334*0.000001)^2/(4*'D(Ti_Jollands) Times'!$C334)/(365.35*24*3600)</f>
        <v>2402938.0922668711</v>
      </c>
      <c r="Z334" s="2">
        <f>('L-Values'!V334*'D(Ti_Jollands) Times'!$F334*0.000001)^2/(4*'D(Ti_Jollands) Times'!$C334)/(365.35*24*3600)</f>
        <v>2392723.2768823956</v>
      </c>
      <c r="AA334" s="2">
        <f>('L-Values'!W334*'D(Ti_Jollands) Times'!$F334*0.000001)^2/(4*'D(Ti_Jollands) Times'!$C334)/(365.35*24*3600)</f>
        <v>1618194.4624598939</v>
      </c>
      <c r="AB334" s="2">
        <f>('L-Values'!X334*'D(Ti_Jollands) Times'!$F334*0.000001)^2/(4*'D(Ti_Jollands) Times'!$C334)/(365.35*24*3600)</f>
        <v>3552129.1029692278</v>
      </c>
      <c r="AC334" s="2">
        <f t="shared" si="22"/>
        <v>774528.81442250172</v>
      </c>
      <c r="AD334" s="2">
        <f t="shared" si="23"/>
        <v>1159405.8260868322</v>
      </c>
    </row>
    <row r="335" spans="1:30" x14ac:dyDescent="0.2">
      <c r="A335" t="str">
        <f>'L-Values'!A335</f>
        <v>CGI015-qtz10-CL-fit-2-offset</v>
      </c>
      <c r="B335">
        <v>750</v>
      </c>
      <c r="C335">
        <f t="shared" si="20"/>
        <v>6.6965312637759184E-25</v>
      </c>
      <c r="D335">
        <v>2050</v>
      </c>
      <c r="E335">
        <v>1024</v>
      </c>
      <c r="F335">
        <f t="shared" si="21"/>
        <v>2.001953125</v>
      </c>
      <c r="I335" s="2">
        <f>('L-Values'!E335*'D(Ti_Jollands) Times'!$F335*0.000001)^2/(4*'D(Ti_Jollands) Times'!$C335)/(365.35*24*3600)</f>
        <v>674663.88337846682</v>
      </c>
      <c r="J335" s="2">
        <f>('L-Values'!F335*'D(Ti_Jollands) Times'!$F335*0.000001)^2/(4*'D(Ti_Jollands) Times'!$C335)/(365.35*24*3600)</f>
        <v>510296.63533931604</v>
      </c>
      <c r="K335" s="2">
        <f>('L-Values'!G335*'D(Ti_Jollands) Times'!$F335*0.000001)^2/(4*'D(Ti_Jollands) Times'!$C335)/(365.35*24*3600)</f>
        <v>111194.88381195143</v>
      </c>
      <c r="L335" s="2">
        <f>('L-Values'!H335*'D(Ti_Jollands) Times'!$F335*0.000001)^2/(4*'D(Ti_Jollands) Times'!$C335)/(365.35*24*3600)</f>
        <v>201576.7652917167</v>
      </c>
      <c r="M335" s="2">
        <f>('L-Values'!I335*'D(Ti_Jollands) Times'!$F335*0.000001)^2/(4*'D(Ti_Jollands) Times'!$C335)/(365.35*24*3600)</f>
        <v>322017.0613265346</v>
      </c>
      <c r="N335" s="2">
        <f>('L-Values'!J335*'D(Ti_Jollands) Times'!$F335*0.000001)^2/(4*'D(Ti_Jollands) Times'!$C335)/(365.35*24*3600)</f>
        <v>750177.28347165673</v>
      </c>
      <c r="O335" s="2">
        <f>('L-Values'!K335*'D(Ti_Jollands) Times'!$F335*0.000001)^2/(4*'D(Ti_Jollands) Times'!$C335)/(365.35*24*3600)</f>
        <v>64529.831423867734</v>
      </c>
      <c r="P335" s="2">
        <f>('L-Values'!L335*'D(Ti_Jollands) Times'!$F335*0.000001)^2/(4*'D(Ti_Jollands) Times'!$C335)/(365.35*24*3600)</f>
        <v>392372.41774222528</v>
      </c>
      <c r="Q335" s="2">
        <f>('L-Values'!M335*'D(Ti_Jollands) Times'!$F335*0.000001)^2/(4*'D(Ti_Jollands) Times'!$C335)/(365.35*24*3600)</f>
        <v>636988.73665622366</v>
      </c>
      <c r="R335" s="2">
        <f>('L-Values'!N335*'D(Ti_Jollands) Times'!$F335*0.000001)^2/(4*'D(Ti_Jollands) Times'!$C335)/(365.35*24*3600)</f>
        <v>384466.21773001546</v>
      </c>
      <c r="S335" s="2">
        <f>('L-Values'!O335*'D(Ti_Jollands) Times'!$F335*0.000001)^2/(4*'D(Ti_Jollands) Times'!$C335)/(365.35*24*3600)</f>
        <v>58280.680235629625</v>
      </c>
      <c r="T335" s="2"/>
      <c r="U335" s="2">
        <f>('L-Values'!Q335*'D(Ti_Jollands) Times'!$F335*0.000001)^2/(4*'D(Ti_Jollands) Times'!$C335)/(365.35*24*3600)</f>
        <v>471182.11884763133</v>
      </c>
      <c r="V335" s="2">
        <f>('L-Values'!R335*'D(Ti_Jollands) Times'!$F335*0.000001)^2/(4*'D(Ti_Jollands) Times'!$C335)/(365.35*24*3600)</f>
        <v>327159.20889327617</v>
      </c>
      <c r="W335" s="2">
        <f>('L-Values'!S335*'D(Ti_Jollands) Times'!$F335*0.000001)^2/(4*'D(Ti_Jollands) Times'!$C335)/(365.35*24*3600)</f>
        <v>384466.21773001546</v>
      </c>
      <c r="X335" s="2"/>
      <c r="Y335" s="2">
        <f>('L-Values'!U335*'D(Ti_Jollands) Times'!$F335*0.000001)^2/(4*'D(Ti_Jollands) Times'!$C335)/(365.35*24*3600)</f>
        <v>434361.34509851079</v>
      </c>
      <c r="Z335" s="2">
        <f>('L-Values'!V335*'D(Ti_Jollands) Times'!$F335*0.000001)^2/(4*'D(Ti_Jollands) Times'!$C335)/(365.35*24*3600)</f>
        <v>487878.69007328519</v>
      </c>
      <c r="AA335" s="2">
        <f>('L-Values'!W335*'D(Ti_Jollands) Times'!$F335*0.000001)^2/(4*'D(Ti_Jollands) Times'!$C335)/(365.35*24*3600)</f>
        <v>3113.8957050418376</v>
      </c>
      <c r="AB335" s="2">
        <f>('L-Values'!X335*'D(Ti_Jollands) Times'!$F335*0.000001)^2/(4*'D(Ti_Jollands) Times'!$C335)/(365.35*24*3600)</f>
        <v>3657019.2026054654</v>
      </c>
      <c r="AC335" s="2">
        <f t="shared" si="22"/>
        <v>484764.79436824337</v>
      </c>
      <c r="AD335" s="2">
        <f t="shared" si="23"/>
        <v>3169140.5125321802</v>
      </c>
    </row>
    <row r="336" spans="1:30" x14ac:dyDescent="0.2">
      <c r="A336" t="str">
        <f>'L-Values'!A336</f>
        <v>CGI015-qtz10-CL-fit-3-offset</v>
      </c>
      <c r="B336">
        <v>750</v>
      </c>
      <c r="C336">
        <f t="shared" si="20"/>
        <v>6.6965312637759184E-25</v>
      </c>
      <c r="D336">
        <v>2050</v>
      </c>
      <c r="E336">
        <v>1024</v>
      </c>
      <c r="F336">
        <f t="shared" si="21"/>
        <v>2.001953125</v>
      </c>
      <c r="I336" s="2">
        <f>('L-Values'!E336*'D(Ti_Jollands) Times'!$F336*0.000001)^2/(4*'D(Ti_Jollands) Times'!$C336)/(365.35*24*3600)</f>
        <v>368586.50674170494</v>
      </c>
      <c r="J336" s="2">
        <f>('L-Values'!F336*'D(Ti_Jollands) Times'!$F336*0.000001)^2/(4*'D(Ti_Jollands) Times'!$C336)/(365.35*24*3600)</f>
        <v>276036.493354354</v>
      </c>
      <c r="K336" s="2">
        <f>('L-Values'!G336*'D(Ti_Jollands) Times'!$F336*0.000001)^2/(4*'D(Ti_Jollands) Times'!$C336)/(365.35*24*3600)</f>
        <v>303262.49165590241</v>
      </c>
      <c r="L336" s="2">
        <f>('L-Values'!H336*'D(Ti_Jollands) Times'!$F336*0.000001)^2/(4*'D(Ti_Jollands) Times'!$C336)/(365.35*24*3600)</f>
        <v>388259.62488008151</v>
      </c>
      <c r="M336" s="2">
        <f>('L-Values'!I336*'D(Ti_Jollands) Times'!$F336*0.000001)^2/(4*'D(Ti_Jollands) Times'!$C336)/(365.35*24*3600)</f>
        <v>452468.87397569272</v>
      </c>
      <c r="N336" s="2">
        <f>('L-Values'!J336*'D(Ti_Jollands) Times'!$F336*0.000001)^2/(4*'D(Ti_Jollands) Times'!$C336)/(365.35*24*3600)</f>
        <v>428776.2189990856</v>
      </c>
      <c r="O336" s="2">
        <f>('L-Values'!K336*'D(Ti_Jollands) Times'!$F336*0.000001)^2/(4*'D(Ti_Jollands) Times'!$C336)/(365.35*24*3600)</f>
        <v>553445.51295099175</v>
      </c>
      <c r="P336" s="2">
        <f>('L-Values'!L336*'D(Ti_Jollands) Times'!$F336*0.000001)^2/(4*'D(Ti_Jollands) Times'!$C336)/(365.35*24*3600)</f>
        <v>28411.231135956812</v>
      </c>
      <c r="Q336" s="2">
        <f>('L-Values'!M336*'D(Ti_Jollands) Times'!$F336*0.000001)^2/(4*'D(Ti_Jollands) Times'!$C336)/(365.35*24*3600)</f>
        <v>0</v>
      </c>
      <c r="R336" s="2">
        <f>('L-Values'!N336*'D(Ti_Jollands) Times'!$F336*0.000001)^2/(4*'D(Ti_Jollands) Times'!$C336)/(365.35*24*3600)</f>
        <v>478874.44313265436</v>
      </c>
      <c r="S336" s="2">
        <f>('L-Values'!O336*'D(Ti_Jollands) Times'!$F336*0.000001)^2/(4*'D(Ti_Jollands) Times'!$C336)/(365.35*24*3600)</f>
        <v>564298.38779437635</v>
      </c>
      <c r="T336" s="2"/>
      <c r="U336" s="2">
        <f>('L-Values'!Q336*'D(Ti_Jollands) Times'!$F336*0.000001)^2/(4*'D(Ti_Jollands) Times'!$C336)/(365.35*24*3600)</f>
        <v>438791.61110165343</v>
      </c>
      <c r="V336" s="2">
        <f>('L-Values'!R336*'D(Ti_Jollands) Times'!$F336*0.000001)^2/(4*'D(Ti_Jollands) Times'!$C336)/(365.35*24*3600)</f>
        <v>358737.71460448619</v>
      </c>
      <c r="W336" s="2">
        <f>('L-Values'!S336*'D(Ti_Jollands) Times'!$F336*0.000001)^2/(4*'D(Ti_Jollands) Times'!$C336)/(365.35*24*3600)</f>
        <v>408266.61643036781</v>
      </c>
      <c r="X336" s="2"/>
      <c r="Y336" s="2">
        <f>('L-Values'!U336*'D(Ti_Jollands) Times'!$F336*0.000001)^2/(4*'D(Ti_Jollands) Times'!$C336)/(365.35*24*3600)</f>
        <v>377995.64314986911</v>
      </c>
      <c r="Z336" s="2">
        <f>('L-Values'!V336*'D(Ti_Jollands) Times'!$F336*0.000001)^2/(4*'D(Ti_Jollands) Times'!$C336)/(365.35*24*3600)</f>
        <v>381102.25736836978</v>
      </c>
      <c r="AA336" s="2">
        <f>('L-Values'!W336*'D(Ti_Jollands) Times'!$F336*0.000001)^2/(4*'D(Ti_Jollands) Times'!$C336)/(365.35*24*3600)</f>
        <v>4601.8064178619225</v>
      </c>
      <c r="AB336" s="2">
        <f>('L-Values'!X336*'D(Ti_Jollands) Times'!$F336*0.000001)^2/(4*'D(Ti_Jollands) Times'!$C336)/(365.35*24*3600)</f>
        <v>1968069.960780347</v>
      </c>
      <c r="AC336" s="2">
        <f t="shared" si="22"/>
        <v>376500.45095050789</v>
      </c>
      <c r="AD336" s="2">
        <f t="shared" si="23"/>
        <v>1586967.7034119773</v>
      </c>
    </row>
    <row r="337" spans="1:30" x14ac:dyDescent="0.2">
      <c r="A337" t="str">
        <f>'L-Values'!A337</f>
        <v>CGI015-qtz10-CL-fit-4-offset</v>
      </c>
      <c r="B337">
        <v>750</v>
      </c>
      <c r="C337">
        <f t="shared" si="20"/>
        <v>6.6965312637759184E-25</v>
      </c>
      <c r="D337">
        <v>2050</v>
      </c>
      <c r="E337">
        <v>1024</v>
      </c>
      <c r="F337">
        <f t="shared" si="21"/>
        <v>2.001953125</v>
      </c>
      <c r="I337" s="2">
        <f>('L-Values'!E337*'D(Ti_Jollands) Times'!$F337*0.000001)^2/(4*'D(Ti_Jollands) Times'!$C337)/(365.35*24*3600)</f>
        <v>143006.89214629709</v>
      </c>
      <c r="J337" s="2">
        <f>('L-Values'!F337*'D(Ti_Jollands) Times'!$F337*0.000001)^2/(4*'D(Ti_Jollands) Times'!$C337)/(365.35*24*3600)</f>
        <v>46221.454761741799</v>
      </c>
      <c r="K337" s="2">
        <f>('L-Values'!G337*'D(Ti_Jollands) Times'!$F337*0.000001)^2/(4*'D(Ti_Jollands) Times'!$C337)/(365.35*24*3600)</f>
        <v>22376.32033091578</v>
      </c>
      <c r="L337" s="2">
        <f>('L-Values'!H337*'D(Ti_Jollands) Times'!$F337*0.000001)^2/(4*'D(Ti_Jollands) Times'!$C337)/(365.35*24*3600)</f>
        <v>142698.66264534573</v>
      </c>
      <c r="M337" s="2">
        <f>('L-Values'!I337*'D(Ti_Jollands) Times'!$F337*0.000001)^2/(4*'D(Ti_Jollands) Times'!$C337)/(365.35*24*3600)</f>
        <v>45554.2701561422</v>
      </c>
      <c r="N337" s="2">
        <f>('L-Values'!J337*'D(Ti_Jollands) Times'!$F337*0.000001)^2/(4*'D(Ti_Jollands) Times'!$C337)/(365.35*24*3600)</f>
        <v>180378.68825591551</v>
      </c>
      <c r="O337" s="2">
        <f>('L-Values'!K337*'D(Ti_Jollands) Times'!$F337*0.000001)^2/(4*'D(Ti_Jollands) Times'!$C337)/(365.35*24*3600)</f>
        <v>173327.55366269776</v>
      </c>
      <c r="P337" s="2">
        <f>('L-Values'!L337*'D(Ti_Jollands) Times'!$F337*0.000001)^2/(4*'D(Ti_Jollands) Times'!$C337)/(365.35*24*3600)</f>
        <v>245982.03348930989</v>
      </c>
      <c r="Q337" s="2">
        <f>('L-Values'!M337*'D(Ti_Jollands) Times'!$F337*0.000001)^2/(4*'D(Ti_Jollands) Times'!$C337)/(365.35*24*3600)</f>
        <v>323235.82545915752</v>
      </c>
      <c r="R337" s="2">
        <f>('L-Values'!N337*'D(Ti_Jollands) Times'!$F337*0.000001)^2/(4*'D(Ti_Jollands) Times'!$C337)/(365.35*24*3600)</f>
        <v>172427.7058152977</v>
      </c>
      <c r="S337" s="2">
        <f>('L-Values'!O337*'D(Ti_Jollands) Times'!$F337*0.000001)^2/(4*'D(Ti_Jollands) Times'!$C337)/(365.35*24*3600)</f>
        <v>182415.74402081515</v>
      </c>
      <c r="T337" s="2"/>
      <c r="U337" s="2">
        <f>('L-Values'!Q337*'D(Ti_Jollands) Times'!$F337*0.000001)^2/(4*'D(Ti_Jollands) Times'!$C337)/(365.35*24*3600)</f>
        <v>168875.64482897019</v>
      </c>
      <c r="V337" s="2">
        <f>('L-Values'!R337*'D(Ti_Jollands) Times'!$F337*0.000001)^2/(4*'D(Ti_Jollands) Times'!$C337)/(365.35*24*3600)</f>
        <v>137696.10562075616</v>
      </c>
      <c r="W337" s="2">
        <f>('L-Values'!S337*'D(Ti_Jollands) Times'!$F337*0.000001)^2/(4*'D(Ti_Jollands) Times'!$C337)/(365.35*24*3600)</f>
        <v>172427.7058152977</v>
      </c>
      <c r="X337" s="2"/>
      <c r="Y337" s="2">
        <f>('L-Values'!U337*'D(Ti_Jollands) Times'!$F337*0.000001)^2/(4*'D(Ti_Jollands) Times'!$C337)/(365.35*24*3600)</f>
        <v>138898.51211197581</v>
      </c>
      <c r="Z337" s="2">
        <f>('L-Values'!V337*'D(Ti_Jollands) Times'!$F337*0.000001)^2/(4*'D(Ti_Jollands) Times'!$C337)/(365.35*24*3600)</f>
        <v>135016.01988541373</v>
      </c>
      <c r="AA337" s="2">
        <f>('L-Values'!W337*'D(Ti_Jollands) Times'!$F337*0.000001)^2/(4*'D(Ti_Jollands) Times'!$C337)/(365.35*24*3600)</f>
        <v>9004.9798914358562</v>
      </c>
      <c r="AB337" s="2">
        <f>('L-Values'!X337*'D(Ti_Jollands) Times'!$F337*0.000001)^2/(4*'D(Ti_Jollands) Times'!$C337)/(365.35*24*3600)</f>
        <v>392691.00201240095</v>
      </c>
      <c r="AC337" s="2">
        <f t="shared" si="22"/>
        <v>126011.03999397787</v>
      </c>
      <c r="AD337" s="2">
        <f t="shared" si="23"/>
        <v>257674.98212698722</v>
      </c>
    </row>
    <row r="338" spans="1:30" x14ac:dyDescent="0.2">
      <c r="A338" t="str">
        <f>'L-Values'!A338</f>
        <v>CGI015-qtz10-CL-fit-5-offset</v>
      </c>
      <c r="B338">
        <v>750</v>
      </c>
      <c r="C338">
        <f t="shared" si="20"/>
        <v>6.6965312637759184E-25</v>
      </c>
      <c r="D338">
        <v>2050</v>
      </c>
      <c r="E338">
        <v>1024</v>
      </c>
      <c r="F338">
        <f t="shared" si="21"/>
        <v>2.001953125</v>
      </c>
      <c r="I338" s="2">
        <f>('L-Values'!E338*'D(Ti_Jollands) Times'!$F338*0.000001)^2/(4*'D(Ti_Jollands) Times'!$C338)/(365.35*24*3600)</f>
        <v>102160.49285726402</v>
      </c>
      <c r="J338" s="2">
        <f>('L-Values'!F338*'D(Ti_Jollands) Times'!$F338*0.000001)^2/(4*'D(Ti_Jollands) Times'!$C338)/(365.35*24*3600)</f>
        <v>104043.54686288863</v>
      </c>
      <c r="K338" s="2">
        <f>('L-Values'!G338*'D(Ti_Jollands) Times'!$F338*0.000001)^2/(4*'D(Ti_Jollands) Times'!$C338)/(365.35*24*3600)</f>
        <v>128411.30390092876</v>
      </c>
      <c r="L338" s="2">
        <f>('L-Values'!H338*'D(Ti_Jollands) Times'!$F338*0.000001)^2/(4*'D(Ti_Jollands) Times'!$C338)/(365.35*24*3600)</f>
        <v>332070.00430850289</v>
      </c>
      <c r="M338" s="2">
        <f>('L-Values'!I338*'D(Ti_Jollands) Times'!$F338*0.000001)^2/(4*'D(Ti_Jollands) Times'!$C338)/(365.35*24*3600)</f>
        <v>243958.14973567918</v>
      </c>
      <c r="N338" s="2">
        <f>('L-Values'!J338*'D(Ti_Jollands) Times'!$F338*0.000001)^2/(4*'D(Ti_Jollands) Times'!$C338)/(365.35*24*3600)</f>
        <v>283285.29457310948</v>
      </c>
      <c r="O338" s="2">
        <f>('L-Values'!K338*'D(Ti_Jollands) Times'!$F338*0.000001)^2/(4*'D(Ti_Jollands) Times'!$C338)/(365.35*24*3600)</f>
        <v>270724.20199143526</v>
      </c>
      <c r="P338" s="2">
        <f>('L-Values'!L338*'D(Ti_Jollands) Times'!$F338*0.000001)^2/(4*'D(Ti_Jollands) Times'!$C338)/(365.35*24*3600)</f>
        <v>583433.75582269114</v>
      </c>
      <c r="Q338" s="2">
        <f>('L-Values'!M338*'D(Ti_Jollands) Times'!$F338*0.000001)^2/(4*'D(Ti_Jollands) Times'!$C338)/(365.35*24*3600)</f>
        <v>445645.56564703688</v>
      </c>
      <c r="R338" s="2">
        <f>('L-Values'!N338*'D(Ti_Jollands) Times'!$F338*0.000001)^2/(4*'D(Ti_Jollands) Times'!$C338)/(365.35*24*3600)</f>
        <v>362939.68485170236</v>
      </c>
      <c r="S338" s="2">
        <f>('L-Values'!O338*'D(Ti_Jollands) Times'!$F338*0.000001)^2/(4*'D(Ti_Jollands) Times'!$C338)/(365.35*24*3600)</f>
        <v>332458.51558802772</v>
      </c>
      <c r="T338" s="2"/>
      <c r="U338" s="2">
        <f>('L-Values'!Q338*'D(Ti_Jollands) Times'!$F338*0.000001)^2/(4*'D(Ti_Jollands) Times'!$C338)/(365.35*24*3600)</f>
        <v>262961.78749323526</v>
      </c>
      <c r="V338" s="2">
        <f>('L-Values'!R338*'D(Ti_Jollands) Times'!$F338*0.000001)^2/(4*'D(Ti_Jollands) Times'!$C338)/(365.35*24*3600)</f>
        <v>271696.28203846206</v>
      </c>
      <c r="W338" s="2">
        <f>('L-Values'!S338*'D(Ti_Jollands) Times'!$F338*0.000001)^2/(4*'D(Ti_Jollands) Times'!$C338)/(365.35*24*3600)</f>
        <v>283285.29457310948</v>
      </c>
      <c r="X338" s="2"/>
      <c r="Y338" s="2">
        <f>('L-Values'!U338*'D(Ti_Jollands) Times'!$F338*0.000001)^2/(4*'D(Ti_Jollands) Times'!$C338)/(365.35*24*3600)</f>
        <v>272557.58669520554</v>
      </c>
      <c r="Z338" s="2">
        <f>('L-Values'!V338*'D(Ti_Jollands) Times'!$F338*0.000001)^2/(4*'D(Ti_Jollands) Times'!$C338)/(365.35*24*3600)</f>
        <v>281343.48533577757</v>
      </c>
      <c r="AA338" s="2">
        <f>('L-Values'!W338*'D(Ti_Jollands) Times'!$F338*0.000001)^2/(4*'D(Ti_Jollands) Times'!$C338)/(365.35*24*3600)</f>
        <v>34130.172250719828</v>
      </c>
      <c r="AB338" s="2">
        <f>('L-Values'!X338*'D(Ti_Jollands) Times'!$F338*0.000001)^2/(4*'D(Ti_Jollands) Times'!$C338)/(365.35*24*3600)</f>
        <v>845802.06842392334</v>
      </c>
      <c r="AC338" s="2">
        <f t="shared" si="22"/>
        <v>247213.31308505774</v>
      </c>
      <c r="AD338" s="2">
        <f t="shared" si="23"/>
        <v>564458.58308814582</v>
      </c>
    </row>
    <row r="339" spans="1:30" x14ac:dyDescent="0.2">
      <c r="A339" t="str">
        <f>'L-Values'!A339</f>
        <v>CGI015-qtz10-CL-fit-6-offset</v>
      </c>
      <c r="B339">
        <v>750</v>
      </c>
      <c r="C339">
        <f t="shared" si="20"/>
        <v>6.6965312637759184E-25</v>
      </c>
      <c r="D339">
        <v>2050</v>
      </c>
      <c r="E339">
        <v>1024</v>
      </c>
      <c r="F339">
        <f t="shared" si="21"/>
        <v>2.001953125</v>
      </c>
      <c r="I339" s="2">
        <f>('L-Values'!E339*'D(Ti_Jollands) Times'!$F339*0.000001)^2/(4*'D(Ti_Jollands) Times'!$C339)/(365.35*24*3600)</f>
        <v>61700.453095545367</v>
      </c>
      <c r="J339" s="2">
        <f>('L-Values'!F339*'D(Ti_Jollands) Times'!$F339*0.000001)^2/(4*'D(Ti_Jollands) Times'!$C339)/(365.35*24*3600)</f>
        <v>129537.05130964301</v>
      </c>
      <c r="K339" s="2">
        <f>('L-Values'!G339*'D(Ti_Jollands) Times'!$F339*0.000001)^2/(4*'D(Ti_Jollands) Times'!$C339)/(365.35*24*3600)</f>
        <v>88782.162946965153</v>
      </c>
      <c r="L339" s="2">
        <f>('L-Values'!H339*'D(Ti_Jollands) Times'!$F339*0.000001)^2/(4*'D(Ti_Jollands) Times'!$C339)/(365.35*24*3600)</f>
        <v>71152.620354382292</v>
      </c>
      <c r="M339" s="2">
        <f>('L-Values'!I339*'D(Ti_Jollands) Times'!$F339*0.000001)^2/(4*'D(Ti_Jollands) Times'!$C339)/(365.35*24*3600)</f>
        <v>78253.662269673005</v>
      </c>
      <c r="N339" s="2">
        <f>('L-Values'!J339*'D(Ti_Jollands) Times'!$F339*0.000001)^2/(4*'D(Ti_Jollands) Times'!$C339)/(365.35*24*3600)</f>
        <v>54245.238303903236</v>
      </c>
      <c r="O339" s="2">
        <f>('L-Values'!K339*'D(Ti_Jollands) Times'!$F339*0.000001)^2/(4*'D(Ti_Jollands) Times'!$C339)/(365.35*24*3600)</f>
        <v>73200.164753373785</v>
      </c>
      <c r="P339" s="2">
        <f>('L-Values'!L339*'D(Ti_Jollands) Times'!$F339*0.000001)^2/(4*'D(Ti_Jollands) Times'!$C339)/(365.35*24*3600)</f>
        <v>104370.43901270912</v>
      </c>
      <c r="Q339" s="2">
        <f>('L-Values'!M339*'D(Ti_Jollands) Times'!$F339*0.000001)^2/(4*'D(Ti_Jollands) Times'!$C339)/(365.35*24*3600)</f>
        <v>63144.96299046612</v>
      </c>
      <c r="R339" s="2">
        <f>('L-Values'!N339*'D(Ti_Jollands) Times'!$F339*0.000001)^2/(4*'D(Ti_Jollands) Times'!$C339)/(365.35*24*3600)</f>
        <v>73243.329557732679</v>
      </c>
      <c r="S339" s="2">
        <f>('L-Values'!O339*'D(Ti_Jollands) Times'!$F339*0.000001)^2/(4*'D(Ti_Jollands) Times'!$C339)/(365.35*24*3600)</f>
        <v>56856.00814150308</v>
      </c>
      <c r="T339" s="2"/>
      <c r="U339" s="2">
        <f>('L-Values'!Q339*'D(Ti_Jollands) Times'!$F339*0.000001)^2/(4*'D(Ti_Jollands) Times'!$C339)/(365.35*24*3600)</f>
        <v>75358.845450473178</v>
      </c>
      <c r="V339" s="2">
        <f>('L-Values'!R339*'D(Ti_Jollands) Times'!$F339*0.000001)^2/(4*'D(Ti_Jollands) Times'!$C339)/(365.35*24*3600)</f>
        <v>76359.116437419492</v>
      </c>
      <c r="W339" s="2">
        <f>('L-Values'!S339*'D(Ti_Jollands) Times'!$F339*0.000001)^2/(4*'D(Ti_Jollands) Times'!$C339)/(365.35*24*3600)</f>
        <v>73200.164753373785</v>
      </c>
      <c r="X339" s="2"/>
      <c r="Y339" s="2">
        <f>('L-Values'!U339*'D(Ti_Jollands) Times'!$F339*0.000001)^2/(4*'D(Ti_Jollands) Times'!$C339)/(365.35*24*3600)</f>
        <v>69315.635841599578</v>
      </c>
      <c r="Z339" s="2">
        <f>('L-Values'!V339*'D(Ti_Jollands) Times'!$F339*0.000001)^2/(4*'D(Ti_Jollands) Times'!$C339)/(365.35*24*3600)</f>
        <v>62181.463637225512</v>
      </c>
      <c r="AA339" s="2">
        <f>('L-Values'!W339*'D(Ti_Jollands) Times'!$F339*0.000001)^2/(4*'D(Ti_Jollands) Times'!$C339)/(365.35*24*3600)</f>
        <v>2158.3877570699929</v>
      </c>
      <c r="AB339" s="2">
        <f>('L-Values'!X339*'D(Ti_Jollands) Times'!$F339*0.000001)^2/(4*'D(Ti_Jollands) Times'!$C339)/(365.35*24*3600)</f>
        <v>211019.92071771208</v>
      </c>
      <c r="AC339" s="2">
        <f t="shared" si="22"/>
        <v>60023.07588015552</v>
      </c>
      <c r="AD339" s="2">
        <f t="shared" si="23"/>
        <v>148838.45708048658</v>
      </c>
    </row>
    <row r="340" spans="1:30" x14ac:dyDescent="0.2">
      <c r="A340" t="str">
        <f>'L-Values'!A340</f>
        <v>CGI015-qtz10-CL-fit-7-offset</v>
      </c>
      <c r="B340">
        <v>750</v>
      </c>
      <c r="C340">
        <f t="shared" si="20"/>
        <v>6.6965312637759184E-25</v>
      </c>
      <c r="D340">
        <v>2050</v>
      </c>
      <c r="E340">
        <v>1024</v>
      </c>
      <c r="F340">
        <f t="shared" si="21"/>
        <v>2.001953125</v>
      </c>
      <c r="I340" s="2">
        <f>('L-Values'!E340*'D(Ti_Jollands) Times'!$F340*0.000001)^2/(4*'D(Ti_Jollands) Times'!$C340)/(365.35*24*3600)</f>
        <v>2101.6888522742147</v>
      </c>
      <c r="J340" s="2">
        <f>('L-Values'!F340*'D(Ti_Jollands) Times'!$F340*0.000001)^2/(4*'D(Ti_Jollands) Times'!$C340)/(365.35*24*3600)</f>
        <v>2613.0367797301951</v>
      </c>
      <c r="K340" s="2">
        <f>('L-Values'!G340*'D(Ti_Jollands) Times'!$F340*0.000001)^2/(4*'D(Ti_Jollands) Times'!$C340)/(365.35*24*3600)</f>
        <v>1831.848107248835</v>
      </c>
      <c r="L340" s="2">
        <f>('L-Values'!H340*'D(Ti_Jollands) Times'!$F340*0.000001)^2/(4*'D(Ti_Jollands) Times'!$C340)/(365.35*24*3600)</f>
        <v>1312.3087384593537</v>
      </c>
      <c r="M340" s="2">
        <f>('L-Values'!I340*'D(Ti_Jollands) Times'!$F340*0.000001)^2/(4*'D(Ti_Jollands) Times'!$C340)/(365.35*24*3600)</f>
        <v>17759.21271186581</v>
      </c>
      <c r="N340" s="2">
        <f>('L-Values'!J340*'D(Ti_Jollands) Times'!$F340*0.000001)^2/(4*'D(Ti_Jollands) Times'!$C340)/(365.35*24*3600)</f>
        <v>243.82737411139712</v>
      </c>
      <c r="O340" s="2">
        <f>('L-Values'!K340*'D(Ti_Jollands) Times'!$F340*0.000001)^2/(4*'D(Ti_Jollands) Times'!$C340)/(365.35*24*3600)</f>
        <v>2146.9641214817411</v>
      </c>
      <c r="P340" s="2">
        <f>('L-Values'!L340*'D(Ti_Jollands) Times'!$F340*0.000001)^2/(4*'D(Ti_Jollands) Times'!$C340)/(365.35*24*3600)</f>
        <v>1795.347733563266</v>
      </c>
      <c r="Q340" s="2">
        <f>('L-Values'!M340*'D(Ti_Jollands) Times'!$F340*0.000001)^2/(4*'D(Ti_Jollands) Times'!$C340)/(365.35*24*3600)</f>
        <v>1848.2285882443766</v>
      </c>
      <c r="R340" s="2">
        <f>('L-Values'!N340*'D(Ti_Jollands) Times'!$F340*0.000001)^2/(4*'D(Ti_Jollands) Times'!$C340)/(365.35*24*3600)</f>
        <v>20416.102874474833</v>
      </c>
      <c r="S340" s="2">
        <f>('L-Values'!O340*'D(Ti_Jollands) Times'!$F340*0.000001)^2/(4*'D(Ti_Jollands) Times'!$C340)/(365.35*24*3600)</f>
        <v>653.21526861420364</v>
      </c>
      <c r="T340" s="2"/>
      <c r="U340" s="2">
        <f>('L-Values'!Q340*'D(Ti_Jollands) Times'!$F340*0.000001)^2/(4*'D(Ti_Jollands) Times'!$C340)/(365.35*24*3600)</f>
        <v>1967.0530409981154</v>
      </c>
      <c r="V340" s="2">
        <f>('L-Values'!R340*'D(Ti_Jollands) Times'!$F340*0.000001)^2/(4*'D(Ti_Jollands) Times'!$C340)/(365.35*24*3600)</f>
        <v>3228.3836753939486</v>
      </c>
      <c r="W340" s="2">
        <f>('L-Values'!S340*'D(Ti_Jollands) Times'!$F340*0.000001)^2/(4*'D(Ti_Jollands) Times'!$C340)/(365.35*24*3600)</f>
        <v>1848.2285882443766</v>
      </c>
      <c r="X340" s="2"/>
      <c r="Y340" s="2">
        <f>('L-Values'!U340*'D(Ti_Jollands) Times'!$F340*0.000001)^2/(4*'D(Ti_Jollands) Times'!$C340)/(365.35*24*3600)</f>
        <v>2907.5495856088837</v>
      </c>
      <c r="Z340" s="2">
        <f>('L-Values'!V340*'D(Ti_Jollands) Times'!$F340*0.000001)^2/(4*'D(Ti_Jollands) Times'!$C340)/(365.35*24*3600)</f>
        <v>10484.719014900442</v>
      </c>
      <c r="AA340" s="2">
        <f>('L-Values'!W340*'D(Ti_Jollands) Times'!$F340*0.000001)^2/(4*'D(Ti_Jollands) Times'!$C340)/(365.35*24*3600)</f>
        <v>1.5864754181769872E-2</v>
      </c>
      <c r="AB340" s="2">
        <f>('L-Values'!X340*'D(Ti_Jollands) Times'!$F340*0.000001)^2/(4*'D(Ti_Jollands) Times'!$C340)/(365.35*24*3600)</f>
        <v>353410.09142933448</v>
      </c>
      <c r="AC340" s="2">
        <f t="shared" si="22"/>
        <v>10484.703150146261</v>
      </c>
      <c r="AD340" s="2">
        <f t="shared" si="23"/>
        <v>342925.37241443404</v>
      </c>
    </row>
    <row r="341" spans="1:30" x14ac:dyDescent="0.2">
      <c r="A341" t="str">
        <f>'L-Values'!A341</f>
        <v>CGI015-qtz11-CL-fit-1-offset</v>
      </c>
      <c r="B341">
        <v>750</v>
      </c>
      <c r="C341">
        <f t="shared" si="20"/>
        <v>6.6965312637759184E-25</v>
      </c>
      <c r="D341">
        <v>1700</v>
      </c>
      <c r="E341">
        <v>1024</v>
      </c>
      <c r="F341">
        <f t="shared" si="21"/>
        <v>1.66015625</v>
      </c>
      <c r="I341" s="2">
        <f>('L-Values'!E341*'D(Ti_Jollands) Times'!$F341*0.000001)^2/(4*'D(Ti_Jollands) Times'!$C341)/(365.35*24*3600)</f>
        <v>1378756.210057433</v>
      </c>
      <c r="J341" s="2">
        <f>('L-Values'!F341*'D(Ti_Jollands) Times'!$F341*0.000001)^2/(4*'D(Ti_Jollands) Times'!$C341)/(365.35*24*3600)</f>
        <v>1223252.7198830764</v>
      </c>
      <c r="K341" s="2">
        <f>('L-Values'!G341*'D(Ti_Jollands) Times'!$F341*0.000001)^2/(4*'D(Ti_Jollands) Times'!$C341)/(365.35*24*3600)</f>
        <v>1304763.0928592985</v>
      </c>
      <c r="L341" s="2">
        <f>('L-Values'!H341*'D(Ti_Jollands) Times'!$F341*0.000001)^2/(4*'D(Ti_Jollands) Times'!$C341)/(365.35*24*3600)</f>
        <v>1164076.2974732069</v>
      </c>
      <c r="M341" s="2">
        <f>('L-Values'!I341*'D(Ti_Jollands) Times'!$F341*0.000001)^2/(4*'D(Ti_Jollands) Times'!$C341)/(365.35*24*3600)</f>
        <v>1223472.7052960491</v>
      </c>
      <c r="N341" s="2">
        <f>('L-Values'!J341*'D(Ti_Jollands) Times'!$F341*0.000001)^2/(4*'D(Ti_Jollands) Times'!$C341)/(365.35*24*3600)</f>
        <v>1124758.7900790407</v>
      </c>
      <c r="O341" s="2">
        <f>('L-Values'!K341*'D(Ti_Jollands) Times'!$F341*0.000001)^2/(4*'D(Ti_Jollands) Times'!$C341)/(365.35*24*3600)</f>
        <v>1180180.5456592294</v>
      </c>
      <c r="P341" s="2">
        <f>('L-Values'!L341*'D(Ti_Jollands) Times'!$F341*0.000001)^2/(4*'D(Ti_Jollands) Times'!$C341)/(365.35*24*3600)</f>
        <v>1499408.0774120777</v>
      </c>
      <c r="Q341" s="2">
        <f>('L-Values'!M341*'D(Ti_Jollands) Times'!$F341*0.000001)^2/(4*'D(Ti_Jollands) Times'!$C341)/(365.35*24*3600)</f>
        <v>1645487.1589835954</v>
      </c>
      <c r="R341" s="2">
        <f>('L-Values'!N341*'D(Ti_Jollands) Times'!$F341*0.000001)^2/(4*'D(Ti_Jollands) Times'!$C341)/(365.35*24*3600)</f>
        <v>1469110.4352329446</v>
      </c>
      <c r="S341" s="2">
        <f>('L-Values'!O341*'D(Ti_Jollands) Times'!$F341*0.000001)^2/(4*'D(Ti_Jollands) Times'!$C341)/(365.35*24*3600)</f>
        <v>1819595.5384139668</v>
      </c>
      <c r="T341" s="2"/>
      <c r="U341" s="2">
        <f>('L-Values'!Q341*'D(Ti_Jollands) Times'!$F341*0.000001)^2/(4*'D(Ti_Jollands) Times'!$C341)/(365.35*24*3600)</f>
        <v>1354282.0722278357</v>
      </c>
      <c r="V341" s="2">
        <f>('L-Values'!R341*'D(Ti_Jollands) Times'!$F341*0.000001)^2/(4*'D(Ti_Jollands) Times'!$C341)/(365.35*24*3600)</f>
        <v>1358850.9265742069</v>
      </c>
      <c r="W341" s="2">
        <f>('L-Values'!S341*'D(Ti_Jollands) Times'!$F341*0.000001)^2/(4*'D(Ti_Jollands) Times'!$C341)/(365.35*24*3600)</f>
        <v>1304763.0928592985</v>
      </c>
      <c r="X341" s="2"/>
      <c r="Y341" s="2">
        <f>('L-Values'!U341*'D(Ti_Jollands) Times'!$F341*0.000001)^2/(4*'D(Ti_Jollands) Times'!$C341)/(365.35*24*3600)</f>
        <v>1340399.8389754856</v>
      </c>
      <c r="Z341" s="2">
        <f>('L-Values'!V341*'D(Ti_Jollands) Times'!$F341*0.000001)^2/(4*'D(Ti_Jollands) Times'!$C341)/(365.35*24*3600)</f>
        <v>1334739.0946743221</v>
      </c>
      <c r="AA341" s="2">
        <f>('L-Values'!W341*'D(Ti_Jollands) Times'!$F341*0.000001)^2/(4*'D(Ti_Jollands) Times'!$C341)/(365.35*24*3600)</f>
        <v>1039510.9287110133</v>
      </c>
      <c r="AB341" s="2">
        <f>('L-Values'!X341*'D(Ti_Jollands) Times'!$F341*0.000001)^2/(4*'D(Ti_Jollands) Times'!$C341)/(365.35*24*3600)</f>
        <v>1654050.9161452872</v>
      </c>
      <c r="AC341" s="2">
        <f t="shared" si="22"/>
        <v>295228.16596330877</v>
      </c>
      <c r="AD341" s="2">
        <f t="shared" si="23"/>
        <v>319311.82147096517</v>
      </c>
    </row>
    <row r="342" spans="1:30" x14ac:dyDescent="0.2">
      <c r="A342" t="str">
        <f>'L-Values'!A342</f>
        <v>CGI015-qtz11-CL-fit-2-offset</v>
      </c>
      <c r="B342">
        <v>750</v>
      </c>
      <c r="C342">
        <f t="shared" si="20"/>
        <v>6.6965312637759184E-25</v>
      </c>
      <c r="D342">
        <v>1700</v>
      </c>
      <c r="E342">
        <v>1024</v>
      </c>
      <c r="F342">
        <f t="shared" si="21"/>
        <v>1.66015625</v>
      </c>
      <c r="I342" s="2">
        <f>('L-Values'!E342*'D(Ti_Jollands) Times'!$F342*0.000001)^2/(4*'D(Ti_Jollands) Times'!$C342)/(365.35*24*3600)</f>
        <v>1514492.1026146044</v>
      </c>
      <c r="J342" s="2">
        <f>('L-Values'!F342*'D(Ti_Jollands) Times'!$F342*0.000001)^2/(4*'D(Ti_Jollands) Times'!$C342)/(365.35*24*3600)</f>
        <v>1374193.5446018397</v>
      </c>
      <c r="K342" s="2">
        <f>('L-Values'!G342*'D(Ti_Jollands) Times'!$F342*0.000001)^2/(4*'D(Ti_Jollands) Times'!$C342)/(365.35*24*3600)</f>
        <v>1074693.9488098209</v>
      </c>
      <c r="L342" s="2">
        <f>('L-Values'!H342*'D(Ti_Jollands) Times'!$F342*0.000001)^2/(4*'D(Ti_Jollands) Times'!$C342)/(365.35*24*3600)</f>
        <v>1334173.8025059421</v>
      </c>
      <c r="M342" s="2">
        <f>('L-Values'!I342*'D(Ti_Jollands) Times'!$F342*0.000001)^2/(4*'D(Ti_Jollands) Times'!$C342)/(365.35*24*3600)</f>
        <v>1138426.3905795489</v>
      </c>
      <c r="N342" s="2">
        <f>('L-Values'!J342*'D(Ti_Jollands) Times'!$F342*0.000001)^2/(4*'D(Ti_Jollands) Times'!$C342)/(365.35*24*3600)</f>
        <v>1256527.3979170194</v>
      </c>
      <c r="O342" s="2">
        <f>('L-Values'!K342*'D(Ti_Jollands) Times'!$F342*0.000001)^2/(4*'D(Ti_Jollands) Times'!$C342)/(365.35*24*3600)</f>
        <v>1048417.7030913425</v>
      </c>
      <c r="P342" s="2">
        <f>('L-Values'!L342*'D(Ti_Jollands) Times'!$F342*0.000001)^2/(4*'D(Ti_Jollands) Times'!$C342)/(365.35*24*3600)</f>
        <v>873427.67675177462</v>
      </c>
      <c r="Q342" s="2">
        <f>('L-Values'!M342*'D(Ti_Jollands) Times'!$F342*0.000001)^2/(4*'D(Ti_Jollands) Times'!$C342)/(365.35*24*3600)</f>
        <v>1206069.3788772572</v>
      </c>
      <c r="R342" s="2">
        <f>('L-Values'!N342*'D(Ti_Jollands) Times'!$F342*0.000001)^2/(4*'D(Ti_Jollands) Times'!$C342)/(365.35*24*3600)</f>
        <v>659601.81784134964</v>
      </c>
      <c r="S342" s="2">
        <f>('L-Values'!O342*'D(Ti_Jollands) Times'!$F342*0.000001)^2/(4*'D(Ti_Jollands) Times'!$C342)/(365.35*24*3600)</f>
        <v>867456.91088073491</v>
      </c>
      <c r="T342" s="2"/>
      <c r="U342" s="2">
        <f>('L-Values'!Q342*'D(Ti_Jollands) Times'!$F342*0.000001)^2/(4*'D(Ti_Jollands) Times'!$C342)/(365.35*24*3600)</f>
        <v>1138427.3337885793</v>
      </c>
      <c r="V342" s="2">
        <f>('L-Values'!R342*'D(Ti_Jollands) Times'!$F342*0.000001)^2/(4*'D(Ti_Jollands) Times'!$C342)/(365.35*24*3600)</f>
        <v>1108771.9445601304</v>
      </c>
      <c r="W342" s="2">
        <f>('L-Values'!S342*'D(Ti_Jollands) Times'!$F342*0.000001)^2/(4*'D(Ti_Jollands) Times'!$C342)/(365.35*24*3600)</f>
        <v>1138426.3905795489</v>
      </c>
      <c r="X342" s="2"/>
      <c r="Y342" s="2">
        <f>('L-Values'!U342*'D(Ti_Jollands) Times'!$F342*0.000001)^2/(4*'D(Ti_Jollands) Times'!$C342)/(365.35*24*3600)</f>
        <v>1126886.8677650217</v>
      </c>
      <c r="Z342" s="2">
        <f>('L-Values'!V342*'D(Ti_Jollands) Times'!$F342*0.000001)^2/(4*'D(Ti_Jollands) Times'!$C342)/(365.35*24*3600)</f>
        <v>1151525.0216094125</v>
      </c>
      <c r="AA342" s="2">
        <f>('L-Values'!W342*'D(Ti_Jollands) Times'!$F342*0.000001)^2/(4*'D(Ti_Jollands) Times'!$C342)/(365.35*24*3600)</f>
        <v>629416.43717532104</v>
      </c>
      <c r="AB342" s="2">
        <f>('L-Values'!X342*'D(Ti_Jollands) Times'!$F342*0.000001)^2/(4*'D(Ti_Jollands) Times'!$C342)/(365.35*24*3600)</f>
        <v>1924349.7491372891</v>
      </c>
      <c r="AC342" s="2">
        <f t="shared" si="22"/>
        <v>522108.58443409146</v>
      </c>
      <c r="AD342" s="2">
        <f t="shared" si="23"/>
        <v>772824.72752787662</v>
      </c>
    </row>
    <row r="343" spans="1:30" x14ac:dyDescent="0.2">
      <c r="A343" t="str">
        <f>'L-Values'!A343</f>
        <v>CGI015-qtz11-CL-fit-3-offset</v>
      </c>
      <c r="B343">
        <v>750</v>
      </c>
      <c r="C343">
        <f t="shared" si="20"/>
        <v>6.6965312637759184E-25</v>
      </c>
      <c r="D343">
        <v>1700</v>
      </c>
      <c r="E343">
        <v>1024</v>
      </c>
      <c r="F343">
        <f t="shared" si="21"/>
        <v>1.66015625</v>
      </c>
      <c r="I343" s="2">
        <f>('L-Values'!E343*'D(Ti_Jollands) Times'!$F343*0.000001)^2/(4*'D(Ti_Jollands) Times'!$C343)/(365.35*24*3600)</f>
        <v>118930.21629291453</v>
      </c>
      <c r="J343" s="2">
        <f>('L-Values'!F343*'D(Ti_Jollands) Times'!$F343*0.000001)^2/(4*'D(Ti_Jollands) Times'!$C343)/(365.35*24*3600)</f>
        <v>5048.9094998782211</v>
      </c>
      <c r="K343" s="2">
        <f>('L-Values'!G343*'D(Ti_Jollands) Times'!$F343*0.000001)^2/(4*'D(Ti_Jollands) Times'!$C343)/(365.35*24*3600)</f>
        <v>113223.34441550303</v>
      </c>
      <c r="L343" s="2">
        <f>('L-Values'!H343*'D(Ti_Jollands) Times'!$F343*0.000001)^2/(4*'D(Ti_Jollands) Times'!$C343)/(365.35*24*3600)</f>
        <v>253156.97936083601</v>
      </c>
      <c r="M343" s="2">
        <f>('L-Values'!I343*'D(Ti_Jollands) Times'!$F343*0.000001)^2/(4*'D(Ti_Jollands) Times'!$C343)/(365.35*24*3600)</f>
        <v>124143.26706414743</v>
      </c>
      <c r="N343" s="2">
        <f>('L-Values'!J343*'D(Ti_Jollands) Times'!$F343*0.000001)^2/(4*'D(Ti_Jollands) Times'!$C343)/(365.35*24*3600)</f>
        <v>39945.495947502313</v>
      </c>
      <c r="O343" s="2">
        <f>('L-Values'!K343*'D(Ti_Jollands) Times'!$F343*0.000001)^2/(4*'D(Ti_Jollands) Times'!$C343)/(365.35*24*3600)</f>
        <v>121666.82779358918</v>
      </c>
      <c r="P343" s="2">
        <f>('L-Values'!L343*'D(Ti_Jollands) Times'!$F343*0.000001)^2/(4*'D(Ti_Jollands) Times'!$C343)/(365.35*24*3600)</f>
        <v>115974.53691702877</v>
      </c>
      <c r="Q343" s="2">
        <f>('L-Values'!M343*'D(Ti_Jollands) Times'!$F343*0.000001)^2/(4*'D(Ti_Jollands) Times'!$C343)/(365.35*24*3600)</f>
        <v>94715.98787790355</v>
      </c>
      <c r="R343" s="2">
        <f>('L-Values'!N343*'D(Ti_Jollands) Times'!$F343*0.000001)^2/(4*'D(Ti_Jollands) Times'!$C343)/(365.35*24*3600)</f>
        <v>155289.3547757137</v>
      </c>
      <c r="S343" s="2">
        <f>('L-Values'!O343*'D(Ti_Jollands) Times'!$F343*0.000001)^2/(4*'D(Ti_Jollands) Times'!$C343)/(365.35*24*3600)</f>
        <v>204310.72263074917</v>
      </c>
      <c r="T343" s="2"/>
      <c r="U343" s="2">
        <f>('L-Values'!Q343*'D(Ti_Jollands) Times'!$F343*0.000001)^2/(4*'D(Ti_Jollands) Times'!$C343)/(365.35*24*3600)</f>
        <v>100755.14641260836</v>
      </c>
      <c r="V343" s="2">
        <f>('L-Values'!R343*'D(Ti_Jollands) Times'!$F343*0.000001)^2/(4*'D(Ti_Jollands) Times'!$C343)/(365.35*24*3600)</f>
        <v>110160.52818245528</v>
      </c>
      <c r="W343" s="2">
        <f>('L-Values'!S343*'D(Ti_Jollands) Times'!$F343*0.000001)^2/(4*'D(Ti_Jollands) Times'!$C343)/(365.35*24*3600)</f>
        <v>118930.21629291453</v>
      </c>
      <c r="X343" s="2"/>
      <c r="Y343" s="2">
        <f>('L-Values'!U343*'D(Ti_Jollands) Times'!$F343*0.000001)^2/(4*'D(Ti_Jollands) Times'!$C343)/(365.35*24*3600)</f>
        <v>82400.105676449122</v>
      </c>
      <c r="Z343" s="2">
        <f>('L-Values'!V343*'D(Ti_Jollands) Times'!$F343*0.000001)^2/(4*'D(Ti_Jollands) Times'!$C343)/(365.35*24*3600)</f>
        <v>95216.091183886121</v>
      </c>
      <c r="AA343" s="2">
        <f>('L-Values'!W343*'D(Ti_Jollands) Times'!$F343*0.000001)^2/(4*'D(Ti_Jollands) Times'!$C343)/(365.35*24*3600)</f>
        <v>8573.049245811615</v>
      </c>
      <c r="AB343" s="2">
        <f>('L-Values'!X343*'D(Ti_Jollands) Times'!$F343*0.000001)^2/(4*'D(Ti_Jollands) Times'!$C343)/(365.35*24*3600)</f>
        <v>358005.44824492594</v>
      </c>
      <c r="AC343" s="2">
        <f t="shared" si="22"/>
        <v>86643.041938074501</v>
      </c>
      <c r="AD343" s="2">
        <f t="shared" si="23"/>
        <v>262789.35706103983</v>
      </c>
    </row>
    <row r="344" spans="1:30" x14ac:dyDescent="0.2">
      <c r="A344" t="str">
        <f>'L-Values'!A344</f>
        <v>CGI015-qtz11-CL-fit-4-offset</v>
      </c>
      <c r="B344">
        <v>750</v>
      </c>
      <c r="C344">
        <f t="shared" si="20"/>
        <v>6.6965312637759184E-25</v>
      </c>
      <c r="D344">
        <v>1700</v>
      </c>
      <c r="E344">
        <v>1024</v>
      </c>
      <c r="F344">
        <f t="shared" si="21"/>
        <v>1.66015625</v>
      </c>
      <c r="I344" s="2">
        <f>('L-Values'!E344*'D(Ti_Jollands) Times'!$F344*0.000001)^2/(4*'D(Ti_Jollands) Times'!$C344)/(365.35*24*3600)</f>
        <v>82310.695058866113</v>
      </c>
      <c r="J344" s="2">
        <f>('L-Values'!F344*'D(Ti_Jollands) Times'!$F344*0.000001)^2/(4*'D(Ti_Jollands) Times'!$C344)/(365.35*24*3600)</f>
        <v>29704.773586483781</v>
      </c>
      <c r="K344" s="2">
        <f>('L-Values'!G344*'D(Ti_Jollands) Times'!$F344*0.000001)^2/(4*'D(Ti_Jollands) Times'!$C344)/(365.35*24*3600)</f>
        <v>87092.618361310073</v>
      </c>
      <c r="L344" s="2">
        <f>('L-Values'!H344*'D(Ti_Jollands) Times'!$F344*0.000001)^2/(4*'D(Ti_Jollands) Times'!$C344)/(365.35*24*3600)</f>
        <v>29675.38746713589</v>
      </c>
      <c r="M344" s="2">
        <f>('L-Values'!I344*'D(Ti_Jollands) Times'!$F344*0.000001)^2/(4*'D(Ti_Jollands) Times'!$C344)/(365.35*24*3600)</f>
        <v>1045.3782371377631</v>
      </c>
      <c r="N344" s="2">
        <f>('L-Values'!J344*'D(Ti_Jollands) Times'!$F344*0.000001)^2/(4*'D(Ti_Jollands) Times'!$C344)/(365.35*24*3600)</f>
        <v>90420.964224468698</v>
      </c>
      <c r="O344" s="2">
        <f>('L-Values'!K344*'D(Ti_Jollands) Times'!$F344*0.000001)^2/(4*'D(Ti_Jollands) Times'!$C344)/(365.35*24*3600)</f>
        <v>146752.47602467812</v>
      </c>
      <c r="P344" s="2">
        <f>('L-Values'!L344*'D(Ti_Jollands) Times'!$F344*0.000001)^2/(4*'D(Ti_Jollands) Times'!$C344)/(365.35*24*3600)</f>
        <v>8.8414793572041697E-2</v>
      </c>
      <c r="Q344" s="2">
        <f>('L-Values'!M344*'D(Ti_Jollands) Times'!$F344*0.000001)^2/(4*'D(Ti_Jollands) Times'!$C344)/(365.35*24*3600)</f>
        <v>153981.81357988252</v>
      </c>
      <c r="R344" s="2">
        <f>('L-Values'!N344*'D(Ti_Jollands) Times'!$F344*0.000001)^2/(4*'D(Ti_Jollands) Times'!$C344)/(365.35*24*3600)</f>
        <v>0</v>
      </c>
      <c r="S344" s="2">
        <f>('L-Values'!O344*'D(Ti_Jollands) Times'!$F344*0.000001)^2/(4*'D(Ti_Jollands) Times'!$C344)/(365.35*24*3600)</f>
        <v>0</v>
      </c>
      <c r="T344" s="2"/>
      <c r="U344" s="2">
        <f>('L-Values'!Q344*'D(Ti_Jollands) Times'!$F344*0.000001)^2/(4*'D(Ti_Jollands) Times'!$C344)/(365.35*24*3600)</f>
        <v>106290.86068533508</v>
      </c>
      <c r="V344" s="2">
        <f>('L-Values'!R344*'D(Ti_Jollands) Times'!$F344*0.000001)^2/(4*'D(Ti_Jollands) Times'!$C344)/(365.35*24*3600)</f>
        <v>51148.72970506188</v>
      </c>
      <c r="W344" s="2">
        <f>('L-Values'!S344*'D(Ti_Jollands) Times'!$F344*0.000001)^2/(4*'D(Ti_Jollands) Times'!$C344)/(365.35*24*3600)</f>
        <v>82310.695058866113</v>
      </c>
      <c r="X344" s="2"/>
      <c r="Y344" s="2">
        <f>('L-Values'!U344*'D(Ti_Jollands) Times'!$F344*0.000001)^2/(4*'D(Ti_Jollands) Times'!$C344)/(365.35*24*3600)</f>
        <v>63694.682710034976</v>
      </c>
      <c r="Z344" s="2">
        <f>('L-Values'!V344*'D(Ti_Jollands) Times'!$F344*0.000001)^2/(4*'D(Ti_Jollands) Times'!$C344)/(365.35*24*3600)</f>
        <v>86754.04179922519</v>
      </c>
      <c r="AA344" s="2">
        <f>('L-Values'!W344*'D(Ti_Jollands) Times'!$F344*0.000001)^2/(4*'D(Ti_Jollands) Times'!$C344)/(365.35*24*3600)</f>
        <v>364.25868238730322</v>
      </c>
      <c r="AB344" s="2">
        <f>('L-Values'!X344*'D(Ti_Jollands) Times'!$F344*0.000001)^2/(4*'D(Ti_Jollands) Times'!$C344)/(365.35*24*3600)</f>
        <v>1204468.2851541671</v>
      </c>
      <c r="AC344" s="2">
        <f t="shared" si="22"/>
        <v>86389.783116837891</v>
      </c>
      <c r="AD344" s="2">
        <f t="shared" si="23"/>
        <v>1117714.243354942</v>
      </c>
    </row>
    <row r="345" spans="1:30" x14ac:dyDescent="0.2">
      <c r="A345" t="str">
        <f>'L-Values'!A345</f>
        <v>CGI015-qtz11-CL-fit-5-offset</v>
      </c>
      <c r="B345">
        <v>750</v>
      </c>
      <c r="C345">
        <f t="shared" si="20"/>
        <v>6.6965312637759184E-25</v>
      </c>
      <c r="D345">
        <v>1700</v>
      </c>
      <c r="E345">
        <v>1024</v>
      </c>
      <c r="F345">
        <f t="shared" si="21"/>
        <v>1.66015625</v>
      </c>
      <c r="I345" s="2">
        <f>('L-Values'!E345*'D(Ti_Jollands) Times'!$F345*0.000001)^2/(4*'D(Ti_Jollands) Times'!$C345)/(365.35*24*3600)</f>
        <v>1231.6038278779686</v>
      </c>
      <c r="J345" s="2">
        <f>('L-Values'!F345*'D(Ti_Jollands) Times'!$F345*0.000001)^2/(4*'D(Ti_Jollands) Times'!$C345)/(365.35*24*3600)</f>
        <v>45814.220624954578</v>
      </c>
      <c r="K345" s="2">
        <f>('L-Values'!G345*'D(Ti_Jollands) Times'!$F345*0.000001)^2/(4*'D(Ti_Jollands) Times'!$C345)/(365.35*24*3600)</f>
        <v>1180.3704011513607</v>
      </c>
      <c r="L345" s="2">
        <f>('L-Values'!H345*'D(Ti_Jollands) Times'!$F345*0.000001)^2/(4*'D(Ti_Jollands) Times'!$C345)/(365.35*24*3600)</f>
        <v>8540.8114351722979</v>
      </c>
      <c r="M345" s="2">
        <f>('L-Values'!I345*'D(Ti_Jollands) Times'!$F345*0.000001)^2/(4*'D(Ti_Jollands) Times'!$C345)/(365.35*24*3600)</f>
        <v>124077.68745389779</v>
      </c>
      <c r="N345" s="2">
        <f>('L-Values'!J345*'D(Ti_Jollands) Times'!$F345*0.000001)^2/(4*'D(Ti_Jollands) Times'!$C345)/(365.35*24*3600)</f>
        <v>15163.235738320122</v>
      </c>
      <c r="O345" s="2">
        <f>('L-Values'!K345*'D(Ti_Jollands) Times'!$F345*0.000001)^2/(4*'D(Ti_Jollands) Times'!$C345)/(365.35*24*3600)</f>
        <v>266057.51217231771</v>
      </c>
      <c r="P345" s="2">
        <f>('L-Values'!L345*'D(Ti_Jollands) Times'!$F345*0.000001)^2/(4*'D(Ti_Jollands) Times'!$C345)/(365.35*24*3600)</f>
        <v>136639.75705681741</v>
      </c>
      <c r="Q345" s="2">
        <f>('L-Values'!M345*'D(Ti_Jollands) Times'!$F345*0.000001)^2/(4*'D(Ti_Jollands) Times'!$C345)/(365.35*24*3600)</f>
        <v>119930.75243379423</v>
      </c>
      <c r="R345" s="2">
        <f>('L-Values'!N345*'D(Ti_Jollands) Times'!$F345*0.000001)^2/(4*'D(Ti_Jollands) Times'!$C345)/(365.35*24*3600)</f>
        <v>65888.797534860612</v>
      </c>
      <c r="S345" s="2">
        <f>('L-Values'!O345*'D(Ti_Jollands) Times'!$F345*0.000001)^2/(4*'D(Ti_Jollands) Times'!$C345)/(365.35*24*3600)</f>
        <v>25627.429110256991</v>
      </c>
      <c r="T345" s="2"/>
      <c r="U345" s="2">
        <f>('L-Values'!Q345*'D(Ti_Jollands) Times'!$F345*0.000001)^2/(4*'D(Ti_Jollands) Times'!$C345)/(365.35*24*3600)</f>
        <v>45393.799230071621</v>
      </c>
      <c r="V345" s="2">
        <f>('L-Values'!R345*'D(Ti_Jollands) Times'!$F345*0.000001)^2/(4*'D(Ti_Jollands) Times'!$C345)/(365.35*24*3600)</f>
        <v>51646.088532331181</v>
      </c>
      <c r="W345" s="2">
        <f>('L-Values'!S345*'D(Ti_Jollands) Times'!$F345*0.000001)^2/(4*'D(Ti_Jollands) Times'!$C345)/(365.35*24*3600)</f>
        <v>45814.220624954578</v>
      </c>
      <c r="X345" s="2"/>
      <c r="Y345" s="2">
        <f>('L-Values'!U345*'D(Ti_Jollands) Times'!$F345*0.000001)^2/(4*'D(Ti_Jollands) Times'!$C345)/(365.35*24*3600)</f>
        <v>39679.737695264535</v>
      </c>
      <c r="Z345" s="2">
        <f>('L-Values'!V345*'D(Ti_Jollands) Times'!$F345*0.000001)^2/(4*'D(Ti_Jollands) Times'!$C345)/(365.35*24*3600)</f>
        <v>67023.822087992885</v>
      </c>
      <c r="AA345" s="2">
        <f>('L-Values'!W345*'D(Ti_Jollands) Times'!$F345*0.000001)^2/(4*'D(Ti_Jollands) Times'!$C345)/(365.35*24*3600)</f>
        <v>974.30759783876238</v>
      </c>
      <c r="AB345" s="2">
        <f>('L-Values'!X345*'D(Ti_Jollands) Times'!$F345*0.000001)^2/(4*'D(Ti_Jollands) Times'!$C345)/(365.35*24*3600)</f>
        <v>235453.03150776075</v>
      </c>
      <c r="AC345" s="2">
        <f t="shared" si="22"/>
        <v>66049.514490154121</v>
      </c>
      <c r="AD345" s="2">
        <f t="shared" si="23"/>
        <v>168429.20941976787</v>
      </c>
    </row>
    <row r="346" spans="1:30" x14ac:dyDescent="0.2">
      <c r="A346" t="str">
        <f>'L-Values'!A346</f>
        <v>CGI015-qtz11-CL-fit-6-offset</v>
      </c>
      <c r="B346">
        <v>750</v>
      </c>
      <c r="C346">
        <f t="shared" si="20"/>
        <v>6.6965312637759184E-25</v>
      </c>
      <c r="D346">
        <v>1700</v>
      </c>
      <c r="E346">
        <v>1024</v>
      </c>
      <c r="F346">
        <f t="shared" si="21"/>
        <v>1.66015625</v>
      </c>
      <c r="I346" s="2">
        <f>('L-Values'!E346*'D(Ti_Jollands) Times'!$F346*0.000001)^2/(4*'D(Ti_Jollands) Times'!$C346)/(365.35*24*3600)</f>
        <v>685347.31364514038</v>
      </c>
      <c r="J346" s="2">
        <f>('L-Values'!F346*'D(Ti_Jollands) Times'!$F346*0.000001)^2/(4*'D(Ti_Jollands) Times'!$C346)/(365.35*24*3600)</f>
        <v>7485.665509221616</v>
      </c>
      <c r="K346" s="2">
        <f>('L-Values'!G346*'D(Ti_Jollands) Times'!$F346*0.000001)^2/(4*'D(Ti_Jollands) Times'!$C346)/(365.35*24*3600)</f>
        <v>223440.40104517495</v>
      </c>
      <c r="L346" s="2">
        <f>('L-Values'!H346*'D(Ti_Jollands) Times'!$F346*0.000001)^2/(4*'D(Ti_Jollands) Times'!$C346)/(365.35*24*3600)</f>
        <v>23964.027811830023</v>
      </c>
      <c r="M346" s="2">
        <f>('L-Values'!I346*'D(Ti_Jollands) Times'!$F346*0.000001)^2/(4*'D(Ti_Jollands) Times'!$C346)/(365.35*24*3600)</f>
        <v>7622.2128086932507</v>
      </c>
      <c r="N346" s="2">
        <f>('L-Values'!J346*'D(Ti_Jollands) Times'!$F346*0.000001)^2/(4*'D(Ti_Jollands) Times'!$C346)/(365.35*24*3600)</f>
        <v>7026.7201497517117</v>
      </c>
      <c r="O346" s="2">
        <f>('L-Values'!K346*'D(Ti_Jollands) Times'!$F346*0.000001)^2/(4*'D(Ti_Jollands) Times'!$C346)/(365.35*24*3600)</f>
        <v>134421.50198352133</v>
      </c>
      <c r="P346" s="2">
        <f>('L-Values'!L346*'D(Ti_Jollands) Times'!$F346*0.000001)^2/(4*'D(Ti_Jollands) Times'!$C346)/(365.35*24*3600)</f>
        <v>129656.96452746229</v>
      </c>
      <c r="Q346" s="2">
        <f>('L-Values'!M346*'D(Ti_Jollands) Times'!$F346*0.000001)^2/(4*'D(Ti_Jollands) Times'!$C346)/(365.35*24*3600)</f>
        <v>78094.824017804</v>
      </c>
      <c r="R346" s="2">
        <f>('L-Values'!N346*'D(Ti_Jollands) Times'!$F346*0.000001)^2/(4*'D(Ti_Jollands) Times'!$C346)/(365.35*24*3600)</f>
        <v>289523.51859789522</v>
      </c>
      <c r="S346" s="2">
        <f>('L-Values'!O346*'D(Ti_Jollands) Times'!$F346*0.000001)^2/(4*'D(Ti_Jollands) Times'!$C346)/(365.35*24*3600)</f>
        <v>237459.21870222964</v>
      </c>
      <c r="T346" s="2"/>
      <c r="U346" s="2">
        <f>('L-Values'!Q346*'D(Ti_Jollands) Times'!$F346*0.000001)^2/(4*'D(Ti_Jollands) Times'!$C346)/(365.35*24*3600)</f>
        <v>36161.868433629876</v>
      </c>
      <c r="V346" s="2">
        <f>('L-Values'!R346*'D(Ti_Jollands) Times'!$F346*0.000001)^2/(4*'D(Ti_Jollands) Times'!$C346)/(365.35*24*3600)</f>
        <v>115881.22175671556</v>
      </c>
      <c r="W346" s="2">
        <f>('L-Values'!S346*'D(Ti_Jollands) Times'!$F346*0.000001)^2/(4*'D(Ti_Jollands) Times'!$C346)/(365.35*24*3600)</f>
        <v>129656.96452746229</v>
      </c>
      <c r="X346" s="2"/>
      <c r="Y346" s="2">
        <f>('L-Values'!U346*'D(Ti_Jollands) Times'!$F346*0.000001)^2/(4*'D(Ti_Jollands) Times'!$C346)/(365.35*24*3600)</f>
        <v>115274.59848643233</v>
      </c>
      <c r="Z346" s="2">
        <f>('L-Values'!V346*'D(Ti_Jollands) Times'!$F346*0.000001)^2/(4*'D(Ti_Jollands) Times'!$C346)/(365.35*24*3600)</f>
        <v>163167.66434096813</v>
      </c>
      <c r="AA346" s="2">
        <f>('L-Values'!W346*'D(Ti_Jollands) Times'!$F346*0.000001)^2/(4*'D(Ti_Jollands) Times'!$C346)/(365.35*24*3600)</f>
        <v>193.01199876876859</v>
      </c>
      <c r="AB346" s="2">
        <f>('L-Values'!X346*'D(Ti_Jollands) Times'!$F346*0.000001)^2/(4*'D(Ti_Jollands) Times'!$C346)/(365.35*24*3600)</f>
        <v>1197096.7354141378</v>
      </c>
      <c r="AC346" s="2">
        <f t="shared" si="22"/>
        <v>162974.65234219935</v>
      </c>
      <c r="AD346" s="2">
        <f t="shared" si="23"/>
        <v>1033929.0710731697</v>
      </c>
    </row>
    <row r="347" spans="1:30" x14ac:dyDescent="0.2">
      <c r="A347" t="str">
        <f>'L-Values'!A347</f>
        <v>CGI015-qtz11-CL-fit-7-offset</v>
      </c>
      <c r="B347">
        <v>750</v>
      </c>
      <c r="C347">
        <f t="shared" si="20"/>
        <v>6.6965312637759184E-25</v>
      </c>
      <c r="D347">
        <v>1700</v>
      </c>
      <c r="E347">
        <v>1024</v>
      </c>
      <c r="F347">
        <f t="shared" si="21"/>
        <v>1.66015625</v>
      </c>
      <c r="I347" s="2">
        <f>('L-Values'!E347*'D(Ti_Jollands) Times'!$F347*0.000001)^2/(4*'D(Ti_Jollands) Times'!$C347)/(365.35*24*3600)</f>
        <v>34419.795558626807</v>
      </c>
      <c r="J347" s="2">
        <f>('L-Values'!F347*'D(Ti_Jollands) Times'!$F347*0.000001)^2/(4*'D(Ti_Jollands) Times'!$C347)/(365.35*24*3600)</f>
        <v>24013.367391193933</v>
      </c>
      <c r="K347" s="2">
        <f>('L-Values'!G347*'D(Ti_Jollands) Times'!$F347*0.000001)^2/(4*'D(Ti_Jollands) Times'!$C347)/(365.35*24*3600)</f>
        <v>40131.467278330878</v>
      </c>
      <c r="L347" s="2">
        <f>('L-Values'!H347*'D(Ti_Jollands) Times'!$F347*0.000001)^2/(4*'D(Ti_Jollands) Times'!$C347)/(365.35*24*3600)</f>
        <v>23852.705500067452</v>
      </c>
      <c r="M347" s="2">
        <f>('L-Values'!I347*'D(Ti_Jollands) Times'!$F347*0.000001)^2/(4*'D(Ti_Jollands) Times'!$C347)/(365.35*24*3600)</f>
        <v>13211.307635497869</v>
      </c>
      <c r="N347" s="2">
        <f>('L-Values'!J347*'D(Ti_Jollands) Times'!$F347*0.000001)^2/(4*'D(Ti_Jollands) Times'!$C347)/(365.35*24*3600)</f>
        <v>9578.2707543844099</v>
      </c>
      <c r="O347" s="2">
        <f>('L-Values'!K347*'D(Ti_Jollands) Times'!$F347*0.000001)^2/(4*'D(Ti_Jollands) Times'!$C347)/(365.35*24*3600)</f>
        <v>18630.406323586198</v>
      </c>
      <c r="P347" s="2">
        <f>('L-Values'!L347*'D(Ti_Jollands) Times'!$F347*0.000001)^2/(4*'D(Ti_Jollands) Times'!$C347)/(365.35*24*3600)</f>
        <v>37518.341582630652</v>
      </c>
      <c r="Q347" s="2">
        <f>('L-Values'!M347*'D(Ti_Jollands) Times'!$F347*0.000001)^2/(4*'D(Ti_Jollands) Times'!$C347)/(365.35*24*3600)</f>
        <v>6196.1151474054705</v>
      </c>
      <c r="R347" s="2">
        <f>('L-Values'!N347*'D(Ti_Jollands) Times'!$F347*0.000001)^2/(4*'D(Ti_Jollands) Times'!$C347)/(365.35*24*3600)</f>
        <v>22745.43622631369</v>
      </c>
      <c r="S347" s="2">
        <f>('L-Values'!O347*'D(Ti_Jollands) Times'!$F347*0.000001)^2/(4*'D(Ti_Jollands) Times'!$C347)/(365.35*24*3600)</f>
        <v>16256.738822212617</v>
      </c>
      <c r="T347" s="2"/>
      <c r="U347" s="2">
        <f>('L-Values'!Q347*'D(Ti_Jollands) Times'!$F347*0.000001)^2/(4*'D(Ti_Jollands) Times'!$C347)/(365.35*24*3600)</f>
        <v>22866.395460220938</v>
      </c>
      <c r="V347" s="2">
        <f>('L-Values'!R347*'D(Ti_Jollands) Times'!$F347*0.000001)^2/(4*'D(Ti_Jollands) Times'!$C347)/(365.35*24*3600)</f>
        <v>21032.69602688574</v>
      </c>
      <c r="W347" s="2">
        <f>('L-Values'!S347*'D(Ti_Jollands) Times'!$F347*0.000001)^2/(4*'D(Ti_Jollands) Times'!$C347)/(365.35*24*3600)</f>
        <v>22745.43622631369</v>
      </c>
      <c r="X347" s="2"/>
      <c r="Y347" s="2">
        <f>('L-Values'!U347*'D(Ti_Jollands) Times'!$F347*0.000001)^2/(4*'D(Ti_Jollands) Times'!$C347)/(365.35*24*3600)</f>
        <v>20607.770338674007</v>
      </c>
      <c r="Z347" s="2">
        <f>('L-Values'!V347*'D(Ti_Jollands) Times'!$F347*0.000001)^2/(4*'D(Ti_Jollands) Times'!$C347)/(365.35*24*3600)</f>
        <v>22953.76075592636</v>
      </c>
      <c r="AA347" s="2">
        <f>('L-Values'!W347*'D(Ti_Jollands) Times'!$F347*0.000001)^2/(4*'D(Ti_Jollands) Times'!$C347)/(365.35*24*3600)</f>
        <v>233.59515423256266</v>
      </c>
      <c r="AB347" s="2">
        <f>('L-Values'!X347*'D(Ti_Jollands) Times'!$F347*0.000001)^2/(4*'D(Ti_Jollands) Times'!$C347)/(365.35*24*3600)</f>
        <v>124121.61583502816</v>
      </c>
      <c r="AC347" s="2">
        <f t="shared" si="22"/>
        <v>22720.165601693796</v>
      </c>
      <c r="AD347" s="2">
        <f t="shared" si="23"/>
        <v>101167.85507910181</v>
      </c>
    </row>
    <row r="348" spans="1:30" x14ac:dyDescent="0.2">
      <c r="A348" t="str">
        <f>'L-Values'!A348</f>
        <v>CGI015-qtz12-CL-fit-1-offset</v>
      </c>
      <c r="B348">
        <v>750</v>
      </c>
      <c r="C348">
        <f t="shared" si="20"/>
        <v>6.6965312637759184E-25</v>
      </c>
      <c r="D348">
        <v>2300</v>
      </c>
      <c r="E348">
        <v>1024</v>
      </c>
      <c r="F348">
        <f t="shared" si="21"/>
        <v>2.24609375</v>
      </c>
      <c r="I348" s="2">
        <f>('L-Values'!E348*'D(Ti_Jollands) Times'!$F348*0.000001)^2/(4*'D(Ti_Jollands) Times'!$C348)/(365.35*24*3600)</f>
        <v>1672939.2640803726</v>
      </c>
      <c r="J348" s="2">
        <f>('L-Values'!F348*'D(Ti_Jollands) Times'!$F348*0.000001)^2/(4*'D(Ti_Jollands) Times'!$C348)/(365.35*24*3600)</f>
        <v>2647072.7493061698</v>
      </c>
      <c r="K348" s="2">
        <f>('L-Values'!G348*'D(Ti_Jollands) Times'!$F348*0.000001)^2/(4*'D(Ti_Jollands) Times'!$C348)/(365.35*24*3600)</f>
        <v>1463722.202119278</v>
      </c>
      <c r="L348" s="2">
        <f>('L-Values'!H348*'D(Ti_Jollands) Times'!$F348*0.000001)^2/(4*'D(Ti_Jollands) Times'!$C348)/(365.35*24*3600)</f>
        <v>2240095.7980816611</v>
      </c>
      <c r="M348" s="2">
        <f>('L-Values'!I348*'D(Ti_Jollands) Times'!$F348*0.000001)^2/(4*'D(Ti_Jollands) Times'!$C348)/(365.35*24*3600)</f>
        <v>2481304.8348459462</v>
      </c>
      <c r="N348" s="2">
        <f>('L-Values'!J348*'D(Ti_Jollands) Times'!$F348*0.000001)^2/(4*'D(Ti_Jollands) Times'!$C348)/(365.35*24*3600)</f>
        <v>1588204.8085601004</v>
      </c>
      <c r="O348" s="2">
        <f>('L-Values'!K348*'D(Ti_Jollands) Times'!$F348*0.000001)^2/(4*'D(Ti_Jollands) Times'!$C348)/(365.35*24*3600)</f>
        <v>2665210.2664590273</v>
      </c>
      <c r="P348" s="2">
        <f>('L-Values'!L348*'D(Ti_Jollands) Times'!$F348*0.000001)^2/(4*'D(Ti_Jollands) Times'!$C348)/(365.35*24*3600)</f>
        <v>1689658.3028744478</v>
      </c>
      <c r="Q348" s="2">
        <f>('L-Values'!M348*'D(Ti_Jollands) Times'!$F348*0.000001)^2/(4*'D(Ti_Jollands) Times'!$C348)/(365.35*24*3600)</f>
        <v>1714124.9045065807</v>
      </c>
      <c r="R348" s="2">
        <f>('L-Values'!N348*'D(Ti_Jollands) Times'!$F348*0.000001)^2/(4*'D(Ti_Jollands) Times'!$C348)/(365.35*24*3600)</f>
        <v>2358052.8390949951</v>
      </c>
      <c r="S348" s="2">
        <f>('L-Values'!O348*'D(Ti_Jollands) Times'!$F348*0.000001)^2/(4*'D(Ti_Jollands) Times'!$C348)/(365.35*24*3600)</f>
        <v>2402183.6099440763</v>
      </c>
      <c r="T348" s="2"/>
      <c r="U348" s="2">
        <f>('L-Values'!Q348*'D(Ti_Jollands) Times'!$F348*0.000001)^2/(4*'D(Ti_Jollands) Times'!$C348)/(365.35*24*3600)</f>
        <v>2038458.194309016</v>
      </c>
      <c r="V348" s="2">
        <f>('L-Values'!R348*'D(Ti_Jollands) Times'!$F348*0.000001)^2/(4*'D(Ti_Jollands) Times'!$C348)/(365.35*24*3600)</f>
        <v>2060413.285212036</v>
      </c>
      <c r="W348" s="2">
        <f>('L-Values'!S348*'D(Ti_Jollands) Times'!$F348*0.000001)^2/(4*'D(Ti_Jollands) Times'!$C348)/(365.35*24*3600)</f>
        <v>2240095.7980816611</v>
      </c>
      <c r="X348" s="2"/>
      <c r="Y348" s="2">
        <f>('L-Values'!U348*'D(Ti_Jollands) Times'!$F348*0.000001)^2/(4*'D(Ti_Jollands) Times'!$C348)/(365.35*24*3600)</f>
        <v>2044979.7297039062</v>
      </c>
      <c r="Z348" s="2">
        <f>('L-Values'!V348*'D(Ti_Jollands) Times'!$F348*0.000001)^2/(4*'D(Ti_Jollands) Times'!$C348)/(365.35*24*3600)</f>
        <v>2051112.469366105</v>
      </c>
      <c r="AA348" s="2">
        <f>('L-Values'!W348*'D(Ti_Jollands) Times'!$F348*0.000001)^2/(4*'D(Ti_Jollands) Times'!$C348)/(365.35*24*3600)</f>
        <v>1217675.228766697</v>
      </c>
      <c r="AB348" s="2">
        <f>('L-Values'!X348*'D(Ti_Jollands) Times'!$F348*0.000001)^2/(4*'D(Ti_Jollands) Times'!$C348)/(365.35*24*3600)</f>
        <v>3076857.9649574724</v>
      </c>
      <c r="AC348" s="2">
        <f t="shared" si="22"/>
        <v>833437.24059940805</v>
      </c>
      <c r="AD348" s="2">
        <f t="shared" si="23"/>
        <v>1025745.4955913674</v>
      </c>
    </row>
    <row r="349" spans="1:30" x14ac:dyDescent="0.2">
      <c r="A349" t="str">
        <f>'L-Values'!A349</f>
        <v>CGI015-qtz12-CL-fit-2-offset</v>
      </c>
      <c r="B349">
        <v>750</v>
      </c>
      <c r="C349">
        <f t="shared" si="20"/>
        <v>6.6965312637759184E-25</v>
      </c>
      <c r="D349">
        <v>2300</v>
      </c>
      <c r="E349">
        <v>1024</v>
      </c>
      <c r="F349">
        <f t="shared" si="21"/>
        <v>2.24609375</v>
      </c>
      <c r="I349" s="2">
        <f>('L-Values'!E349*'D(Ti_Jollands) Times'!$F349*0.000001)^2/(4*'D(Ti_Jollands) Times'!$C349)/(365.35*24*3600)</f>
        <v>986758.35530092102</v>
      </c>
      <c r="J349" s="2">
        <f>('L-Values'!F349*'D(Ti_Jollands) Times'!$F349*0.000001)^2/(4*'D(Ti_Jollands) Times'!$C349)/(365.35*24*3600)</f>
        <v>307116.2937422957</v>
      </c>
      <c r="K349" s="2">
        <f>('L-Values'!G349*'D(Ti_Jollands) Times'!$F349*0.000001)^2/(4*'D(Ti_Jollands) Times'!$C349)/(365.35*24*3600)</f>
        <v>1739.6017779268059</v>
      </c>
      <c r="L349" s="2">
        <f>('L-Values'!H349*'D(Ti_Jollands) Times'!$F349*0.000001)^2/(4*'D(Ti_Jollands) Times'!$C349)/(365.35*24*3600)</f>
        <v>3136.6483662774654</v>
      </c>
      <c r="M349" s="2">
        <f>('L-Values'!I349*'D(Ti_Jollands) Times'!$F349*0.000001)^2/(4*'D(Ti_Jollands) Times'!$C349)/(365.35*24*3600)</f>
        <v>26911.020127912157</v>
      </c>
      <c r="N349" s="2">
        <f>('L-Values'!J349*'D(Ti_Jollands) Times'!$F349*0.000001)^2/(4*'D(Ti_Jollands) Times'!$C349)/(365.35*24*3600)</f>
        <v>214523.2481505796</v>
      </c>
      <c r="O349" s="2">
        <f>('L-Values'!K349*'D(Ti_Jollands) Times'!$F349*0.000001)^2/(4*'D(Ti_Jollands) Times'!$C349)/(365.35*24*3600)</f>
        <v>1799295.2769486022</v>
      </c>
      <c r="P349" s="2">
        <f>('L-Values'!L349*'D(Ti_Jollands) Times'!$F349*0.000001)^2/(4*'D(Ti_Jollands) Times'!$C349)/(365.35*24*3600)</f>
        <v>14183.603542665245</v>
      </c>
      <c r="Q349" s="2">
        <f>('L-Values'!M349*'D(Ti_Jollands) Times'!$F349*0.000001)^2/(4*'D(Ti_Jollands) Times'!$C349)/(365.35*24*3600)</f>
        <v>1222007.6208821009</v>
      </c>
      <c r="R349" s="2">
        <f>('L-Values'!N349*'D(Ti_Jollands) Times'!$F349*0.000001)^2/(4*'D(Ti_Jollands) Times'!$C349)/(365.35*24*3600)</f>
        <v>11706.840320435611</v>
      </c>
      <c r="S349" s="2">
        <f>('L-Values'!O349*'D(Ti_Jollands) Times'!$F349*0.000001)^2/(4*'D(Ti_Jollands) Times'!$C349)/(365.35*24*3600)</f>
        <v>1460740.9772637989</v>
      </c>
      <c r="T349" s="2"/>
      <c r="U349" s="2">
        <f>('L-Values'!Q349*'D(Ti_Jollands) Times'!$F349*0.000001)^2/(4*'D(Ti_Jollands) Times'!$C349)/(365.35*24*3600)</f>
        <v>481954.97698719252</v>
      </c>
      <c r="V349" s="2">
        <f>('L-Values'!R349*'D(Ti_Jollands) Times'!$F349*0.000001)^2/(4*'D(Ti_Jollands) Times'!$C349)/(365.35*24*3600)</f>
        <v>313110.59174315771</v>
      </c>
      <c r="W349" s="2">
        <f>('L-Values'!S349*'D(Ti_Jollands) Times'!$F349*0.000001)^2/(4*'D(Ti_Jollands) Times'!$C349)/(365.35*24*3600)</f>
        <v>214523.2481505796</v>
      </c>
      <c r="X349" s="2"/>
      <c r="Y349" s="2">
        <f>('L-Values'!U349*'D(Ti_Jollands) Times'!$F349*0.000001)^2/(4*'D(Ti_Jollands) Times'!$C349)/(365.35*24*3600)</f>
        <v>348773.21697322972</v>
      </c>
      <c r="Z349" s="2">
        <f>('L-Values'!V349*'D(Ti_Jollands) Times'!$F349*0.000001)^2/(4*'D(Ti_Jollands) Times'!$C349)/(365.35*24*3600)</f>
        <v>447787.81280134461</v>
      </c>
      <c r="AA349" s="2">
        <f>('L-Values'!W349*'D(Ti_Jollands) Times'!$F349*0.000001)^2/(4*'D(Ti_Jollands) Times'!$C349)/(365.35*24*3600)</f>
        <v>252.76135913677606</v>
      </c>
      <c r="AB349" s="2">
        <f>('L-Values'!X349*'D(Ti_Jollands) Times'!$F349*0.000001)^2/(4*'D(Ti_Jollands) Times'!$C349)/(365.35*24*3600)</f>
        <v>2994404.6392900068</v>
      </c>
      <c r="AC349" s="2">
        <f t="shared" si="22"/>
        <v>447535.05144220783</v>
      </c>
      <c r="AD349" s="2">
        <f t="shared" si="23"/>
        <v>2546616.826488662</v>
      </c>
    </row>
    <row r="350" spans="1:30" x14ac:dyDescent="0.2">
      <c r="A350" t="str">
        <f>'L-Values'!A350</f>
        <v>CGI015-qtz12-CL-fit-3-offset</v>
      </c>
      <c r="B350">
        <v>750</v>
      </c>
      <c r="C350">
        <f t="shared" si="20"/>
        <v>6.6965312637759184E-25</v>
      </c>
      <c r="D350">
        <v>2300</v>
      </c>
      <c r="E350">
        <v>1024</v>
      </c>
      <c r="F350">
        <f t="shared" si="21"/>
        <v>2.24609375</v>
      </c>
      <c r="I350" s="2">
        <f>('L-Values'!E350*'D(Ti_Jollands) Times'!$F350*0.000001)^2/(4*'D(Ti_Jollands) Times'!$C350)/(365.35*24*3600)</f>
        <v>1216151.7402511956</v>
      </c>
      <c r="J350" s="2">
        <f>('L-Values'!F350*'D(Ti_Jollands) Times'!$F350*0.000001)^2/(4*'D(Ti_Jollands) Times'!$C350)/(365.35*24*3600)</f>
        <v>88973.905651146328</v>
      </c>
      <c r="K350" s="2">
        <f>('L-Values'!G350*'D(Ti_Jollands) Times'!$F350*0.000001)^2/(4*'D(Ti_Jollands) Times'!$C350)/(365.35*24*3600)</f>
        <v>240122.97927572922</v>
      </c>
      <c r="L350" s="2">
        <f>('L-Values'!H350*'D(Ti_Jollands) Times'!$F350*0.000001)^2/(4*'D(Ti_Jollands) Times'!$C350)/(365.35*24*3600)</f>
        <v>321946.06333015743</v>
      </c>
      <c r="M350" s="2">
        <f>('L-Values'!I350*'D(Ti_Jollands) Times'!$F350*0.000001)^2/(4*'D(Ti_Jollands) Times'!$C350)/(365.35*24*3600)</f>
        <v>615820.97374803922</v>
      </c>
      <c r="N350" s="2">
        <f>('L-Values'!J350*'D(Ti_Jollands) Times'!$F350*0.000001)^2/(4*'D(Ti_Jollands) Times'!$C350)/(365.35*24*3600)</f>
        <v>372654.51882922405</v>
      </c>
      <c r="O350" s="2">
        <f>('L-Values'!K350*'D(Ti_Jollands) Times'!$F350*0.000001)^2/(4*'D(Ti_Jollands) Times'!$C350)/(365.35*24*3600)</f>
        <v>887377.98382068775</v>
      </c>
      <c r="P350" s="2">
        <f>('L-Values'!L350*'D(Ti_Jollands) Times'!$F350*0.000001)^2/(4*'D(Ti_Jollands) Times'!$C350)/(365.35*24*3600)</f>
        <v>765984.15591634007</v>
      </c>
      <c r="Q350" s="2">
        <f>('L-Values'!M350*'D(Ti_Jollands) Times'!$F350*0.000001)^2/(4*'D(Ti_Jollands) Times'!$C350)/(365.35*24*3600)</f>
        <v>729118.93038124754</v>
      </c>
      <c r="R350" s="2">
        <f>('L-Values'!N350*'D(Ti_Jollands) Times'!$F350*0.000001)^2/(4*'D(Ti_Jollands) Times'!$C350)/(365.35*24*3600)</f>
        <v>358559.76264505228</v>
      </c>
      <c r="S350" s="2">
        <f>('L-Values'!O350*'D(Ti_Jollands) Times'!$F350*0.000001)^2/(4*'D(Ti_Jollands) Times'!$C350)/(365.35*24*3600)</f>
        <v>816182.13847771904</v>
      </c>
      <c r="T350" s="2"/>
      <c r="U350" s="2">
        <f>('L-Values'!Q350*'D(Ti_Jollands) Times'!$F350*0.000001)^2/(4*'D(Ti_Jollands) Times'!$C350)/(365.35*24*3600)</f>
        <v>553169.13239261915</v>
      </c>
      <c r="V350" s="2">
        <f>('L-Values'!R350*'D(Ti_Jollands) Times'!$F350*0.000001)^2/(4*'D(Ti_Jollands) Times'!$C350)/(365.35*24*3600)</f>
        <v>532505.18358841422</v>
      </c>
      <c r="W350" s="2">
        <f>('L-Values'!S350*'D(Ti_Jollands) Times'!$F350*0.000001)^2/(4*'D(Ti_Jollands) Times'!$C350)/(365.35*24*3600)</f>
        <v>615820.97374803922</v>
      </c>
      <c r="X350" s="2"/>
      <c r="Y350" s="2">
        <f>('L-Values'!U350*'D(Ti_Jollands) Times'!$F350*0.000001)^2/(4*'D(Ti_Jollands) Times'!$C350)/(365.35*24*3600)</f>
        <v>552932.54430560023</v>
      </c>
      <c r="Z350" s="2">
        <f>('L-Values'!V350*'D(Ti_Jollands) Times'!$F350*0.000001)^2/(4*'D(Ti_Jollands) Times'!$C350)/(365.35*24*3600)</f>
        <v>538063.74310469278</v>
      </c>
      <c r="AA350" s="2">
        <f>('L-Values'!W350*'D(Ti_Jollands) Times'!$F350*0.000001)^2/(4*'D(Ti_Jollands) Times'!$C350)/(365.35*24*3600)</f>
        <v>138545.05712495479</v>
      </c>
      <c r="AB350" s="2">
        <f>('L-Values'!X350*'D(Ti_Jollands) Times'!$F350*0.000001)^2/(4*'D(Ti_Jollands) Times'!$C350)/(365.35*24*3600)</f>
        <v>1227588.6285299174</v>
      </c>
      <c r="AC350" s="2">
        <f t="shared" si="22"/>
        <v>399518.68597973802</v>
      </c>
      <c r="AD350" s="2">
        <f t="shared" si="23"/>
        <v>689524.88542522467</v>
      </c>
    </row>
    <row r="351" spans="1:30" x14ac:dyDescent="0.2">
      <c r="A351" t="str">
        <f>'L-Values'!A351</f>
        <v>CGI015-qtz12-CL-fit-4-offset</v>
      </c>
      <c r="B351">
        <v>750</v>
      </c>
      <c r="C351">
        <f t="shared" si="20"/>
        <v>6.6965312637759184E-25</v>
      </c>
      <c r="D351">
        <v>2300</v>
      </c>
      <c r="E351">
        <v>1024</v>
      </c>
      <c r="F351">
        <f t="shared" si="21"/>
        <v>2.24609375</v>
      </c>
      <c r="I351" s="2">
        <f>('L-Values'!E351*'D(Ti_Jollands) Times'!$F351*0.000001)^2/(4*'D(Ti_Jollands) Times'!$C351)/(365.35*24*3600)</f>
        <v>85548.300616294844</v>
      </c>
      <c r="J351" s="2">
        <f>('L-Values'!F351*'D(Ti_Jollands) Times'!$F351*0.000001)^2/(4*'D(Ti_Jollands) Times'!$C351)/(365.35*24*3600)</f>
        <v>82110.023805033707</v>
      </c>
      <c r="K351" s="2">
        <f>('L-Values'!G351*'D(Ti_Jollands) Times'!$F351*0.000001)^2/(4*'D(Ti_Jollands) Times'!$C351)/(365.35*24*3600)</f>
        <v>76551.113089817853</v>
      </c>
      <c r="L351" s="2">
        <f>('L-Values'!H351*'D(Ti_Jollands) Times'!$F351*0.000001)^2/(4*'D(Ti_Jollands) Times'!$C351)/(365.35*24*3600)</f>
        <v>82278.389314410393</v>
      </c>
      <c r="M351" s="2">
        <f>('L-Values'!I351*'D(Ti_Jollands) Times'!$F351*0.000001)^2/(4*'D(Ti_Jollands) Times'!$C351)/(365.35*24*3600)</f>
        <v>66064.623314912766</v>
      </c>
      <c r="N351" s="2">
        <f>('L-Values'!J351*'D(Ti_Jollands) Times'!$F351*0.000001)^2/(4*'D(Ti_Jollands) Times'!$C351)/(365.35*24*3600)</f>
        <v>95754.497896841713</v>
      </c>
      <c r="O351" s="2">
        <f>('L-Values'!K351*'D(Ti_Jollands) Times'!$F351*0.000001)^2/(4*'D(Ti_Jollands) Times'!$C351)/(365.35*24*3600)</f>
        <v>66608.209813755137</v>
      </c>
      <c r="P351" s="2">
        <f>('L-Values'!L351*'D(Ti_Jollands) Times'!$F351*0.000001)^2/(4*'D(Ti_Jollands) Times'!$C351)/(365.35*24*3600)</f>
        <v>86697.071836816467</v>
      </c>
      <c r="Q351" s="2">
        <f>('L-Values'!M351*'D(Ti_Jollands) Times'!$F351*0.000001)^2/(4*'D(Ti_Jollands) Times'!$C351)/(365.35*24*3600)</f>
        <v>77158.386642315527</v>
      </c>
      <c r="R351" s="2">
        <f>('L-Values'!N351*'D(Ti_Jollands) Times'!$F351*0.000001)^2/(4*'D(Ti_Jollands) Times'!$C351)/(365.35*24*3600)</f>
        <v>108982.66564408274</v>
      </c>
      <c r="S351" s="2">
        <f>('L-Values'!O351*'D(Ti_Jollands) Times'!$F351*0.000001)^2/(4*'D(Ti_Jollands) Times'!$C351)/(365.35*24*3600)</f>
        <v>76313.503257904187</v>
      </c>
      <c r="T351" s="2"/>
      <c r="U351" s="2">
        <f>('L-Values'!Q351*'D(Ti_Jollands) Times'!$F351*0.000001)^2/(4*'D(Ti_Jollands) Times'!$C351)/(365.35*24*3600)</f>
        <v>87470.906256711241</v>
      </c>
      <c r="V351" s="2">
        <f>('L-Values'!R351*'D(Ti_Jollands) Times'!$F351*0.000001)^2/(4*'D(Ti_Jollands) Times'!$C351)/(365.35*24*3600)</f>
        <v>81780.705080867629</v>
      </c>
      <c r="W351" s="2">
        <f>('L-Values'!S351*'D(Ti_Jollands) Times'!$F351*0.000001)^2/(4*'D(Ti_Jollands) Times'!$C351)/(365.35*24*3600)</f>
        <v>82110.023805033707</v>
      </c>
      <c r="X351" s="2"/>
      <c r="Y351" s="2">
        <f>('L-Values'!U351*'D(Ti_Jollands) Times'!$F351*0.000001)^2/(4*'D(Ti_Jollands) Times'!$C351)/(365.35*24*3600)</f>
        <v>72899.03288057624</v>
      </c>
      <c r="Z351" s="2">
        <f>('L-Values'!V351*'D(Ti_Jollands) Times'!$F351*0.000001)^2/(4*'D(Ti_Jollands) Times'!$C351)/(365.35*24*3600)</f>
        <v>67976.066104003577</v>
      </c>
      <c r="AA351" s="2">
        <f>('L-Values'!W351*'D(Ti_Jollands) Times'!$F351*0.000001)^2/(4*'D(Ti_Jollands) Times'!$C351)/(365.35*24*3600)</f>
        <v>3320.1091998954098</v>
      </c>
      <c r="AB351" s="2">
        <f>('L-Values'!X351*'D(Ti_Jollands) Times'!$F351*0.000001)^2/(4*'D(Ti_Jollands) Times'!$C351)/(365.35*24*3600)</f>
        <v>175707.69312274319</v>
      </c>
      <c r="AC351" s="2">
        <f t="shared" si="22"/>
        <v>64655.95690410817</v>
      </c>
      <c r="AD351" s="2">
        <f t="shared" si="23"/>
        <v>107731.62701873961</v>
      </c>
    </row>
    <row r="352" spans="1:30" x14ac:dyDescent="0.2">
      <c r="A352" t="str">
        <f>'L-Values'!A352</f>
        <v>CGI015-qtz12-CL-fit-5-offset</v>
      </c>
      <c r="B352">
        <v>750</v>
      </c>
      <c r="C352">
        <f t="shared" si="20"/>
        <v>6.6965312637759184E-25</v>
      </c>
      <c r="D352">
        <v>2300</v>
      </c>
      <c r="E352">
        <v>1024</v>
      </c>
      <c r="F352">
        <f t="shared" si="21"/>
        <v>2.24609375</v>
      </c>
      <c r="I352" s="2">
        <f>('L-Values'!E352*'D(Ti_Jollands) Times'!$F352*0.000001)^2/(4*'D(Ti_Jollands) Times'!$C352)/(365.35*24*3600)</f>
        <v>152767.54991829928</v>
      </c>
      <c r="J352" s="2">
        <f>('L-Values'!F352*'D(Ti_Jollands) Times'!$F352*0.000001)^2/(4*'D(Ti_Jollands) Times'!$C352)/(365.35*24*3600)</f>
        <v>126386.20938947318</v>
      </c>
      <c r="K352" s="2">
        <f>('L-Values'!G352*'D(Ti_Jollands) Times'!$F352*0.000001)^2/(4*'D(Ti_Jollands) Times'!$C352)/(365.35*24*3600)</f>
        <v>122509.05859379054</v>
      </c>
      <c r="L352" s="2">
        <f>('L-Values'!H352*'D(Ti_Jollands) Times'!$F352*0.000001)^2/(4*'D(Ti_Jollands) Times'!$C352)/(365.35*24*3600)</f>
        <v>158166.71071507069</v>
      </c>
      <c r="M352" s="2">
        <f>('L-Values'!I352*'D(Ti_Jollands) Times'!$F352*0.000001)^2/(4*'D(Ti_Jollands) Times'!$C352)/(365.35*24*3600)</f>
        <v>225926.08234727936</v>
      </c>
      <c r="N352" s="2">
        <f>('L-Values'!J352*'D(Ti_Jollands) Times'!$F352*0.000001)^2/(4*'D(Ti_Jollands) Times'!$C352)/(365.35*24*3600)</f>
        <v>297861.43522266787</v>
      </c>
      <c r="O352" s="2">
        <f>('L-Values'!K352*'D(Ti_Jollands) Times'!$F352*0.000001)^2/(4*'D(Ti_Jollands) Times'!$C352)/(365.35*24*3600)</f>
        <v>170035.82077695409</v>
      </c>
      <c r="P352" s="2">
        <f>('L-Values'!L352*'D(Ti_Jollands) Times'!$F352*0.000001)^2/(4*'D(Ti_Jollands) Times'!$C352)/(365.35*24*3600)</f>
        <v>26000.800422580713</v>
      </c>
      <c r="Q352" s="2">
        <f>('L-Values'!M352*'D(Ti_Jollands) Times'!$F352*0.000001)^2/(4*'D(Ti_Jollands) Times'!$C352)/(365.35*24*3600)</f>
        <v>111270.32604465145</v>
      </c>
      <c r="R352" s="2">
        <f>('L-Values'!N352*'D(Ti_Jollands) Times'!$F352*0.000001)^2/(4*'D(Ti_Jollands) Times'!$C352)/(365.35*24*3600)</f>
        <v>198478.72649807783</v>
      </c>
      <c r="S352" s="2">
        <f>('L-Values'!O352*'D(Ti_Jollands) Times'!$F352*0.000001)^2/(4*'D(Ti_Jollands) Times'!$C352)/(365.35*24*3600)</f>
        <v>220369.86312075445</v>
      </c>
      <c r="T352" s="2"/>
      <c r="U352" s="2">
        <f>('L-Values'!Q352*'D(Ti_Jollands) Times'!$F352*0.000001)^2/(4*'D(Ti_Jollands) Times'!$C352)/(365.35*24*3600)</f>
        <v>182294.45679818685</v>
      </c>
      <c r="V352" s="2">
        <f>('L-Values'!R352*'D(Ti_Jollands) Times'!$F352*0.000001)^2/(4*'D(Ti_Jollands) Times'!$C352)/(365.35*24*3600)</f>
        <v>155471.09674412539</v>
      </c>
      <c r="W352" s="2">
        <f>('L-Values'!S352*'D(Ti_Jollands) Times'!$F352*0.000001)^2/(4*'D(Ti_Jollands) Times'!$C352)/(365.35*24*3600)</f>
        <v>158166.71071507069</v>
      </c>
      <c r="X352" s="2"/>
      <c r="Y352" s="2">
        <f>('L-Values'!U352*'D(Ti_Jollands) Times'!$F352*0.000001)^2/(4*'D(Ti_Jollands) Times'!$C352)/(365.35*24*3600)</f>
        <v>160086.08475589231</v>
      </c>
      <c r="Z352" s="2">
        <f>('L-Values'!V352*'D(Ti_Jollands) Times'!$F352*0.000001)^2/(4*'D(Ti_Jollands) Times'!$C352)/(365.35*24*3600)</f>
        <v>163307.30123439111</v>
      </c>
      <c r="AA352" s="2">
        <f>('L-Values'!W352*'D(Ti_Jollands) Times'!$F352*0.000001)^2/(4*'D(Ti_Jollands) Times'!$C352)/(365.35*24*3600)</f>
        <v>4219.9771879968994</v>
      </c>
      <c r="AB352" s="2">
        <f>('L-Values'!X352*'D(Ti_Jollands) Times'!$F352*0.000001)^2/(4*'D(Ti_Jollands) Times'!$C352)/(365.35*24*3600)</f>
        <v>470878.03999449225</v>
      </c>
      <c r="AC352" s="2">
        <f t="shared" si="22"/>
        <v>159087.32404639421</v>
      </c>
      <c r="AD352" s="2">
        <f t="shared" si="23"/>
        <v>307570.73876010114</v>
      </c>
    </row>
    <row r="353" spans="1:30" x14ac:dyDescent="0.2">
      <c r="A353" t="str">
        <f>'L-Values'!A353</f>
        <v>CGI018-qtz01-CL-fit-1-offset</v>
      </c>
      <c r="B353">
        <v>750</v>
      </c>
      <c r="C353">
        <f t="shared" si="20"/>
        <v>6.6965312637759184E-25</v>
      </c>
      <c r="D353">
        <v>1700</v>
      </c>
      <c r="E353">
        <v>1024</v>
      </c>
      <c r="F353">
        <f t="shared" si="21"/>
        <v>1.66015625</v>
      </c>
      <c r="I353" s="2">
        <f>('L-Values'!E353*'D(Ti_Jollands) Times'!$F353*0.000001)^2/(4*'D(Ti_Jollands) Times'!$C353)/(365.35*24*3600)</f>
        <v>3472425.3389301104</v>
      </c>
      <c r="J353" s="2">
        <f>('L-Values'!F353*'D(Ti_Jollands) Times'!$F353*0.000001)^2/(4*'D(Ti_Jollands) Times'!$C353)/(365.35*24*3600)</f>
        <v>4444883.7027403628</v>
      </c>
      <c r="K353" s="2">
        <f>('L-Values'!G353*'D(Ti_Jollands) Times'!$F353*0.000001)^2/(4*'D(Ti_Jollands) Times'!$C353)/(365.35*24*3600)</f>
        <v>3994130.812479245</v>
      </c>
      <c r="L353" s="2">
        <f>('L-Values'!H353*'D(Ti_Jollands) Times'!$F353*0.000001)^2/(4*'D(Ti_Jollands) Times'!$C353)/(365.35*24*3600)</f>
        <v>3021273.0871859477</v>
      </c>
      <c r="M353" s="2">
        <f>('L-Values'!I353*'D(Ti_Jollands) Times'!$F353*0.000001)^2/(4*'D(Ti_Jollands) Times'!$C353)/(365.35*24*3600)</f>
        <v>4225517.097126592</v>
      </c>
      <c r="N353" s="2">
        <f>('L-Values'!J353*'D(Ti_Jollands) Times'!$F353*0.000001)^2/(4*'D(Ti_Jollands) Times'!$C353)/(365.35*24*3600)</f>
        <v>2696936.8673316208</v>
      </c>
      <c r="O353" s="2">
        <f>('L-Values'!K353*'D(Ti_Jollands) Times'!$F353*0.000001)^2/(4*'D(Ti_Jollands) Times'!$C353)/(365.35*24*3600)</f>
        <v>4204933.4040395711</v>
      </c>
      <c r="P353" s="2">
        <f>('L-Values'!L353*'D(Ti_Jollands) Times'!$F353*0.000001)^2/(4*'D(Ti_Jollands) Times'!$C353)/(365.35*24*3600)</f>
        <v>2875110.2603721335</v>
      </c>
      <c r="Q353" s="2">
        <f>('L-Values'!M353*'D(Ti_Jollands) Times'!$F353*0.000001)^2/(4*'D(Ti_Jollands) Times'!$C353)/(365.35*24*3600)</f>
        <v>2825224.6529582599</v>
      </c>
      <c r="R353" s="2">
        <f>('L-Values'!N353*'D(Ti_Jollands) Times'!$F353*0.000001)^2/(4*'D(Ti_Jollands) Times'!$C353)/(365.35*24*3600)</f>
        <v>2496760.9420859995</v>
      </c>
      <c r="S353" s="2">
        <f>('L-Values'!O353*'D(Ti_Jollands) Times'!$F353*0.000001)^2/(4*'D(Ti_Jollands) Times'!$C353)/(365.35*24*3600)</f>
        <v>4016057.1865294939</v>
      </c>
      <c r="T353" s="2"/>
      <c r="U353" s="2">
        <f>('L-Values'!Q353*'D(Ti_Jollands) Times'!$F353*0.000001)^2/(4*'D(Ti_Jollands) Times'!$C353)/(365.35*24*3600)</f>
        <v>3435688.3218234139</v>
      </c>
      <c r="V353" s="2">
        <f>('L-Values'!R353*'D(Ti_Jollands) Times'!$F353*0.000001)^2/(4*'D(Ti_Jollands) Times'!$C353)/(365.35*24*3600)</f>
        <v>3445229.3353509414</v>
      </c>
      <c r="W353" s="2">
        <f>('L-Values'!S353*'D(Ti_Jollands) Times'!$F353*0.000001)^2/(4*'D(Ti_Jollands) Times'!$C353)/(365.35*24*3600)</f>
        <v>3472425.3389301104</v>
      </c>
      <c r="X353" s="2"/>
      <c r="Y353" s="2">
        <f>('L-Values'!U353*'D(Ti_Jollands) Times'!$F353*0.000001)^2/(4*'D(Ti_Jollands) Times'!$C353)/(365.35*24*3600)</f>
        <v>3357644.1893261774</v>
      </c>
      <c r="Z353" s="2">
        <f>('L-Values'!V353*'D(Ti_Jollands) Times'!$F353*0.000001)^2/(4*'D(Ti_Jollands) Times'!$C353)/(365.35*24*3600)</f>
        <v>3449562.995834426</v>
      </c>
      <c r="AA353" s="2">
        <f>('L-Values'!W353*'D(Ti_Jollands) Times'!$F353*0.000001)^2/(4*'D(Ti_Jollands) Times'!$C353)/(365.35*24*3600)</f>
        <v>2169047.3710070299</v>
      </c>
      <c r="AB353" s="2">
        <f>('L-Values'!X353*'D(Ti_Jollands) Times'!$F353*0.000001)^2/(4*'D(Ti_Jollands) Times'!$C353)/(365.35*24*3600)</f>
        <v>5305446.8579422263</v>
      </c>
      <c r="AC353" s="2">
        <f t="shared" si="22"/>
        <v>1280515.6248273961</v>
      </c>
      <c r="AD353" s="2">
        <f t="shared" si="23"/>
        <v>1855883.8621078003</v>
      </c>
    </row>
    <row r="354" spans="1:30" x14ac:dyDescent="0.2">
      <c r="A354" t="str">
        <f>'L-Values'!A354</f>
        <v>CGI018-qtz01-CL-fit-2-offset</v>
      </c>
      <c r="B354">
        <v>750</v>
      </c>
      <c r="C354">
        <f t="shared" si="20"/>
        <v>6.6965312637759184E-25</v>
      </c>
      <c r="D354">
        <v>1700</v>
      </c>
      <c r="E354">
        <v>1024</v>
      </c>
      <c r="F354">
        <f t="shared" si="21"/>
        <v>1.66015625</v>
      </c>
      <c r="I354" s="2">
        <f>('L-Values'!E354*'D(Ti_Jollands) Times'!$F354*0.000001)^2/(4*'D(Ti_Jollands) Times'!$C354)/(365.35*24*3600)</f>
        <v>930145.08195515396</v>
      </c>
      <c r="J354" s="2">
        <f>('L-Values'!F354*'D(Ti_Jollands) Times'!$F354*0.000001)^2/(4*'D(Ti_Jollands) Times'!$C354)/(365.35*24*3600)</f>
        <v>794796.05975707259</v>
      </c>
      <c r="K354" s="2">
        <f>('L-Values'!G354*'D(Ti_Jollands) Times'!$F354*0.000001)^2/(4*'D(Ti_Jollands) Times'!$C354)/(365.35*24*3600)</f>
        <v>1358079.5689192731</v>
      </c>
      <c r="L354" s="2">
        <f>('L-Values'!H354*'D(Ti_Jollands) Times'!$F354*0.000001)^2/(4*'D(Ti_Jollands) Times'!$C354)/(365.35*24*3600)</f>
        <v>931766.46033301181</v>
      </c>
      <c r="M354" s="2">
        <f>('L-Values'!I354*'D(Ti_Jollands) Times'!$F354*0.000001)^2/(4*'D(Ti_Jollands) Times'!$C354)/(365.35*24*3600)</f>
        <v>1123490.7175904808</v>
      </c>
      <c r="N354" s="2">
        <f>('L-Values'!J354*'D(Ti_Jollands) Times'!$F354*0.000001)^2/(4*'D(Ti_Jollands) Times'!$C354)/(365.35*24*3600)</f>
        <v>1842830.029768938</v>
      </c>
      <c r="O354" s="2">
        <f>('L-Values'!K354*'D(Ti_Jollands) Times'!$F354*0.000001)^2/(4*'D(Ti_Jollands) Times'!$C354)/(365.35*24*3600)</f>
        <v>1636357.1080764215</v>
      </c>
      <c r="P354" s="2">
        <f>('L-Values'!L354*'D(Ti_Jollands) Times'!$F354*0.000001)^2/(4*'D(Ti_Jollands) Times'!$C354)/(365.35*24*3600)</f>
        <v>996545.81406683673</v>
      </c>
      <c r="Q354" s="2">
        <f>('L-Values'!M354*'D(Ti_Jollands) Times'!$F354*0.000001)^2/(4*'D(Ti_Jollands) Times'!$C354)/(365.35*24*3600)</f>
        <v>718014.14401445794</v>
      </c>
      <c r="R354" s="2">
        <f>('L-Values'!N354*'D(Ti_Jollands) Times'!$F354*0.000001)^2/(4*'D(Ti_Jollands) Times'!$C354)/(365.35*24*3600)</f>
        <v>1496073.7243579491</v>
      </c>
      <c r="S354" s="2">
        <f>('L-Values'!O354*'D(Ti_Jollands) Times'!$F354*0.000001)^2/(4*'D(Ti_Jollands) Times'!$C354)/(365.35*24*3600)</f>
        <v>665384.9034404509</v>
      </c>
      <c r="T354" s="2"/>
      <c r="U354" s="2">
        <f>('L-Values'!Q354*'D(Ti_Jollands) Times'!$F354*0.000001)^2/(4*'D(Ti_Jollands) Times'!$C354)/(365.35*24*3600)</f>
        <v>1090741.405259561</v>
      </c>
      <c r="V354" s="2">
        <f>('L-Values'!R354*'D(Ti_Jollands) Times'!$F354*0.000001)^2/(4*'D(Ti_Jollands) Times'!$C354)/(365.35*24*3600)</f>
        <v>1105889.4430217042</v>
      </c>
      <c r="W354" s="2">
        <f>('L-Values'!S354*'D(Ti_Jollands) Times'!$F354*0.000001)^2/(4*'D(Ti_Jollands) Times'!$C354)/(365.35*24*3600)</f>
        <v>996545.81406683673</v>
      </c>
      <c r="X354" s="2"/>
      <c r="Y354" s="2">
        <f>('L-Values'!U354*'D(Ti_Jollands) Times'!$F354*0.000001)^2/(4*'D(Ti_Jollands) Times'!$C354)/(365.35*24*3600)</f>
        <v>1092745.1632754887</v>
      </c>
      <c r="Z354" s="2">
        <f>('L-Values'!V354*'D(Ti_Jollands) Times'!$F354*0.000001)^2/(4*'D(Ti_Jollands) Times'!$C354)/(365.35*24*3600)</f>
        <v>1088466.9435471282</v>
      </c>
      <c r="AA354" s="2">
        <f>('L-Values'!W354*'D(Ti_Jollands) Times'!$F354*0.000001)^2/(4*'D(Ti_Jollands) Times'!$C354)/(365.35*24*3600)</f>
        <v>604229.27898734447</v>
      </c>
      <c r="AB354" s="2">
        <f>('L-Values'!X354*'D(Ti_Jollands) Times'!$F354*0.000001)^2/(4*'D(Ti_Jollands) Times'!$C354)/(365.35*24*3600)</f>
        <v>1698541.6018464686</v>
      </c>
      <c r="AC354" s="2">
        <f t="shared" si="22"/>
        <v>484237.66455978376</v>
      </c>
      <c r="AD354" s="2">
        <f t="shared" si="23"/>
        <v>610074.6582993404</v>
      </c>
    </row>
    <row r="355" spans="1:30" x14ac:dyDescent="0.2">
      <c r="A355" t="str">
        <f>'L-Values'!A355</f>
        <v>CGI018-qtz01-CL-fit-3-offset</v>
      </c>
      <c r="B355">
        <v>750</v>
      </c>
      <c r="C355">
        <f t="shared" si="20"/>
        <v>6.6965312637759184E-25</v>
      </c>
      <c r="D355">
        <v>1700</v>
      </c>
      <c r="E355">
        <v>1024</v>
      </c>
      <c r="F355">
        <f t="shared" si="21"/>
        <v>1.66015625</v>
      </c>
      <c r="I355" s="2">
        <f>('L-Values'!E355*'D(Ti_Jollands) Times'!$F355*0.000001)^2/(4*'D(Ti_Jollands) Times'!$C355)/(365.35*24*3600)</f>
        <v>586034.15418507776</v>
      </c>
      <c r="J355" s="2">
        <f>('L-Values'!F355*'D(Ti_Jollands) Times'!$F355*0.000001)^2/(4*'D(Ti_Jollands) Times'!$C355)/(365.35*24*3600)</f>
        <v>597360.30747198826</v>
      </c>
      <c r="K355" s="2">
        <f>('L-Values'!G355*'D(Ti_Jollands) Times'!$F355*0.000001)^2/(4*'D(Ti_Jollands) Times'!$C355)/(365.35*24*3600)</f>
        <v>426018.99117029778</v>
      </c>
      <c r="L355" s="2">
        <f>('L-Values'!H355*'D(Ti_Jollands) Times'!$F355*0.000001)^2/(4*'D(Ti_Jollands) Times'!$C355)/(365.35*24*3600)</f>
        <v>714467.52880235924</v>
      </c>
      <c r="M355" s="2">
        <f>('L-Values'!I355*'D(Ti_Jollands) Times'!$F355*0.000001)^2/(4*'D(Ti_Jollands) Times'!$C355)/(365.35*24*3600)</f>
        <v>394053.25167341344</v>
      </c>
      <c r="N355" s="2">
        <f>('L-Values'!J355*'D(Ti_Jollands) Times'!$F355*0.000001)^2/(4*'D(Ti_Jollands) Times'!$C355)/(365.35*24*3600)</f>
        <v>564920.93037257646</v>
      </c>
      <c r="O355" s="2">
        <f>('L-Values'!K355*'D(Ti_Jollands) Times'!$F355*0.000001)^2/(4*'D(Ti_Jollands) Times'!$C355)/(365.35*24*3600)</f>
        <v>650157.35656575672</v>
      </c>
      <c r="P355" s="2">
        <f>('L-Values'!L355*'D(Ti_Jollands) Times'!$F355*0.000001)^2/(4*'D(Ti_Jollands) Times'!$C355)/(365.35*24*3600)</f>
        <v>912892.46317258663</v>
      </c>
      <c r="Q355" s="2">
        <f>('L-Values'!M355*'D(Ti_Jollands) Times'!$F355*0.000001)^2/(4*'D(Ti_Jollands) Times'!$C355)/(365.35*24*3600)</f>
        <v>628245.58737093071</v>
      </c>
      <c r="R355" s="2">
        <f>('L-Values'!N355*'D(Ti_Jollands) Times'!$F355*0.000001)^2/(4*'D(Ti_Jollands) Times'!$C355)/(365.35*24*3600)</f>
        <v>411827.1158787366</v>
      </c>
      <c r="S355" s="2">
        <f>('L-Values'!O355*'D(Ti_Jollands) Times'!$F355*0.000001)^2/(4*'D(Ti_Jollands) Times'!$C355)/(365.35*24*3600)</f>
        <v>536445.68546133407</v>
      </c>
      <c r="T355" s="2"/>
      <c r="U355" s="2">
        <f>('L-Values'!Q355*'D(Ti_Jollands) Times'!$F355*0.000001)^2/(4*'D(Ti_Jollands) Times'!$C355)/(365.35*24*3600)</f>
        <v>573954.44398869423</v>
      </c>
      <c r="V355" s="2">
        <f>('L-Values'!R355*'D(Ti_Jollands) Times'!$F355*0.000001)^2/(4*'D(Ti_Jollands) Times'!$C355)/(365.35*24*3600)</f>
        <v>575431.26736971061</v>
      </c>
      <c r="W355" s="2">
        <f>('L-Values'!S355*'D(Ti_Jollands) Times'!$F355*0.000001)^2/(4*'D(Ti_Jollands) Times'!$C355)/(365.35*24*3600)</f>
        <v>586034.15418507776</v>
      </c>
      <c r="X355" s="2"/>
      <c r="Y355" s="2">
        <f>('L-Values'!U355*'D(Ti_Jollands) Times'!$F355*0.000001)^2/(4*'D(Ti_Jollands) Times'!$C355)/(365.35*24*3600)</f>
        <v>575012.04260390229</v>
      </c>
      <c r="Z355" s="2">
        <f>('L-Values'!V355*'D(Ti_Jollands) Times'!$F355*0.000001)^2/(4*'D(Ti_Jollands) Times'!$C355)/(365.35*24*3600)</f>
        <v>569649.1079880828</v>
      </c>
      <c r="AA355" s="2">
        <f>('L-Values'!W355*'D(Ti_Jollands) Times'!$F355*0.000001)^2/(4*'D(Ti_Jollands) Times'!$C355)/(365.35*24*3600)</f>
        <v>296260.14693961729</v>
      </c>
      <c r="AB355" s="2">
        <f>('L-Values'!X355*'D(Ti_Jollands) Times'!$F355*0.000001)^2/(4*'D(Ti_Jollands) Times'!$C355)/(365.35*24*3600)</f>
        <v>871523.11472305376</v>
      </c>
      <c r="AC355" s="2">
        <f t="shared" si="22"/>
        <v>273388.96104846551</v>
      </c>
      <c r="AD355" s="2">
        <f t="shared" si="23"/>
        <v>301874.00673497096</v>
      </c>
    </row>
    <row r="356" spans="1:30" x14ac:dyDescent="0.2">
      <c r="A356" t="str">
        <f>'L-Values'!A356</f>
        <v>CGI018-qtz01-CL-fit-4-offset</v>
      </c>
      <c r="B356">
        <v>750</v>
      </c>
      <c r="C356">
        <f t="shared" si="20"/>
        <v>6.6965312637759184E-25</v>
      </c>
      <c r="D356">
        <v>1700</v>
      </c>
      <c r="E356">
        <v>1024</v>
      </c>
      <c r="F356">
        <f t="shared" si="21"/>
        <v>1.66015625</v>
      </c>
      <c r="I356" s="2">
        <f>('L-Values'!E356*'D(Ti_Jollands) Times'!$F356*0.000001)^2/(4*'D(Ti_Jollands) Times'!$C356)/(365.35*24*3600)</f>
        <v>260909.41840860285</v>
      </c>
      <c r="J356" s="2">
        <f>('L-Values'!F356*'D(Ti_Jollands) Times'!$F356*0.000001)^2/(4*'D(Ti_Jollands) Times'!$C356)/(365.35*24*3600)</f>
        <v>231225.10969621703</v>
      </c>
      <c r="K356" s="2">
        <f>('L-Values'!G356*'D(Ti_Jollands) Times'!$F356*0.000001)^2/(4*'D(Ti_Jollands) Times'!$C356)/(365.35*24*3600)</f>
        <v>290910.28920130699</v>
      </c>
      <c r="L356" s="2">
        <f>('L-Values'!H356*'D(Ti_Jollands) Times'!$F356*0.000001)^2/(4*'D(Ti_Jollands) Times'!$C356)/(365.35*24*3600)</f>
        <v>182983.47759442031</v>
      </c>
      <c r="M356" s="2">
        <f>('L-Values'!I356*'D(Ti_Jollands) Times'!$F356*0.000001)^2/(4*'D(Ti_Jollands) Times'!$C356)/(365.35*24*3600)</f>
        <v>299342.88332772598</v>
      </c>
      <c r="N356" s="2">
        <f>('L-Values'!J356*'D(Ti_Jollands) Times'!$F356*0.000001)^2/(4*'D(Ti_Jollands) Times'!$C356)/(365.35*24*3600)</f>
        <v>200168.18415262544</v>
      </c>
      <c r="O356" s="2">
        <f>('L-Values'!K356*'D(Ti_Jollands) Times'!$F356*0.000001)^2/(4*'D(Ti_Jollands) Times'!$C356)/(365.35*24*3600)</f>
        <v>188474.79817392436</v>
      </c>
      <c r="P356" s="2">
        <f>('L-Values'!L356*'D(Ti_Jollands) Times'!$F356*0.000001)^2/(4*'D(Ti_Jollands) Times'!$C356)/(365.35*24*3600)</f>
        <v>269849.2055574219</v>
      </c>
      <c r="Q356" s="2">
        <f>('L-Values'!M356*'D(Ti_Jollands) Times'!$F356*0.000001)^2/(4*'D(Ti_Jollands) Times'!$C356)/(365.35*24*3600)</f>
        <v>561584.96257820842</v>
      </c>
      <c r="R356" s="2">
        <f>('L-Values'!N356*'D(Ti_Jollands) Times'!$F356*0.000001)^2/(4*'D(Ti_Jollands) Times'!$C356)/(365.35*24*3600)</f>
        <v>415284.99630404601</v>
      </c>
      <c r="S356" s="2">
        <f>('L-Values'!O356*'D(Ti_Jollands) Times'!$F356*0.000001)^2/(4*'D(Ti_Jollands) Times'!$C356)/(365.35*24*3600)</f>
        <v>529265.16900727095</v>
      </c>
      <c r="T356" s="2"/>
      <c r="U356" s="2">
        <f>('L-Values'!Q356*'D(Ti_Jollands) Times'!$F356*0.000001)^2/(4*'D(Ti_Jollands) Times'!$C356)/(365.35*24*3600)</f>
        <v>308578.92691056989</v>
      </c>
      <c r="V356" s="2">
        <f>('L-Values'!R356*'D(Ti_Jollands) Times'!$F356*0.000001)^2/(4*'D(Ti_Jollands) Times'!$C356)/(365.35*24*3600)</f>
        <v>300327.03726230556</v>
      </c>
      <c r="W356" s="2">
        <f>('L-Values'!S356*'D(Ti_Jollands) Times'!$F356*0.000001)^2/(4*'D(Ti_Jollands) Times'!$C356)/(365.35*24*3600)</f>
        <v>269849.2055574219</v>
      </c>
      <c r="X356" s="2"/>
      <c r="Y356" s="2">
        <f>('L-Values'!U356*'D(Ti_Jollands) Times'!$F356*0.000001)^2/(4*'D(Ti_Jollands) Times'!$C356)/(365.35*24*3600)</f>
        <v>306422.72153965972</v>
      </c>
      <c r="Z356" s="2">
        <f>('L-Values'!V356*'D(Ti_Jollands) Times'!$F356*0.000001)^2/(4*'D(Ti_Jollands) Times'!$C356)/(365.35*24*3600)</f>
        <v>319210.49244939809</v>
      </c>
      <c r="AA356" s="2">
        <f>('L-Values'!W356*'D(Ti_Jollands) Times'!$F356*0.000001)^2/(4*'D(Ti_Jollands) Times'!$C356)/(365.35*24*3600)</f>
        <v>116683.3967093176</v>
      </c>
      <c r="AB356" s="2">
        <f>('L-Values'!X356*'D(Ti_Jollands) Times'!$F356*0.000001)^2/(4*'D(Ti_Jollands) Times'!$C356)/(365.35*24*3600)</f>
        <v>701550.64989951148</v>
      </c>
      <c r="AC356" s="2">
        <f t="shared" si="22"/>
        <v>202527.09574008049</v>
      </c>
      <c r="AD356" s="2">
        <f t="shared" si="23"/>
        <v>382340.15745011339</v>
      </c>
    </row>
    <row r="357" spans="1:30" x14ac:dyDescent="0.2">
      <c r="A357" t="str">
        <f>'L-Values'!A357</f>
        <v>CGI018-qtz01-CL-fit-5-offset</v>
      </c>
      <c r="B357">
        <v>750</v>
      </c>
      <c r="C357">
        <f t="shared" si="20"/>
        <v>6.6965312637759184E-25</v>
      </c>
      <c r="D357">
        <v>1700</v>
      </c>
      <c r="E357">
        <v>1024</v>
      </c>
      <c r="F357">
        <f t="shared" si="21"/>
        <v>1.66015625</v>
      </c>
      <c r="I357" s="2">
        <f>('L-Values'!E357*'D(Ti_Jollands) Times'!$F357*0.000001)^2/(4*'D(Ti_Jollands) Times'!$C357)/(365.35*24*3600)</f>
        <v>240047.39302149208</v>
      </c>
      <c r="J357" s="2">
        <f>('L-Values'!F357*'D(Ti_Jollands) Times'!$F357*0.000001)^2/(4*'D(Ti_Jollands) Times'!$C357)/(365.35*24*3600)</f>
        <v>124537.89592181392</v>
      </c>
      <c r="K357" s="2">
        <f>('L-Values'!G357*'D(Ti_Jollands) Times'!$F357*0.000001)^2/(4*'D(Ti_Jollands) Times'!$C357)/(365.35*24*3600)</f>
        <v>135354.3270612217</v>
      </c>
      <c r="L357" s="2">
        <f>('L-Values'!H357*'D(Ti_Jollands) Times'!$F357*0.000001)^2/(4*'D(Ti_Jollands) Times'!$C357)/(365.35*24*3600)</f>
        <v>123174.6904615149</v>
      </c>
      <c r="M357" s="2">
        <f>('L-Values'!I357*'D(Ti_Jollands) Times'!$F357*0.000001)^2/(4*'D(Ti_Jollands) Times'!$C357)/(365.35*24*3600)</f>
        <v>139108.24237510227</v>
      </c>
      <c r="N357" s="2">
        <f>('L-Values'!J357*'D(Ti_Jollands) Times'!$F357*0.000001)^2/(4*'D(Ti_Jollands) Times'!$C357)/(365.35*24*3600)</f>
        <v>198237.9285355584</v>
      </c>
      <c r="O357" s="2">
        <f>('L-Values'!K357*'D(Ti_Jollands) Times'!$F357*0.000001)^2/(4*'D(Ti_Jollands) Times'!$C357)/(365.35*24*3600)</f>
        <v>191635.37814732007</v>
      </c>
      <c r="P357" s="2">
        <f>('L-Values'!L357*'D(Ti_Jollands) Times'!$F357*0.000001)^2/(4*'D(Ti_Jollands) Times'!$C357)/(365.35*24*3600)</f>
        <v>99846.460120061965</v>
      </c>
      <c r="Q357" s="2">
        <f>('L-Values'!M357*'D(Ti_Jollands) Times'!$F357*0.000001)^2/(4*'D(Ti_Jollands) Times'!$C357)/(365.35*24*3600)</f>
        <v>192059.06736561266</v>
      </c>
      <c r="R357" s="2">
        <f>('L-Values'!N357*'D(Ti_Jollands) Times'!$F357*0.000001)^2/(4*'D(Ti_Jollands) Times'!$C357)/(365.35*24*3600)</f>
        <v>137160.93733257215</v>
      </c>
      <c r="S357" s="2">
        <f>('L-Values'!O357*'D(Ti_Jollands) Times'!$F357*0.000001)^2/(4*'D(Ti_Jollands) Times'!$C357)/(365.35*24*3600)</f>
        <v>290912.32009276864</v>
      </c>
      <c r="T357" s="2"/>
      <c r="U357" s="2">
        <f>('L-Values'!Q357*'D(Ti_Jollands) Times'!$F357*0.000001)^2/(4*'D(Ti_Jollands) Times'!$C357)/(365.35*24*3600)</f>
        <v>168295.04156248126</v>
      </c>
      <c r="V357" s="2">
        <f>('L-Values'!R357*'D(Ti_Jollands) Times'!$F357*0.000001)^2/(4*'D(Ti_Jollands) Times'!$C357)/(365.35*24*3600)</f>
        <v>165991.96380022907</v>
      </c>
      <c r="W357" s="2">
        <f>('L-Values'!S357*'D(Ti_Jollands) Times'!$F357*0.000001)^2/(4*'D(Ti_Jollands) Times'!$C357)/(365.35*24*3600)</f>
        <v>139108.24237510227</v>
      </c>
      <c r="X357" s="2"/>
      <c r="Y357" s="2">
        <f>('L-Values'!U357*'D(Ti_Jollands) Times'!$F357*0.000001)^2/(4*'D(Ti_Jollands) Times'!$C357)/(365.35*24*3600)</f>
        <v>156969.64949154947</v>
      </c>
      <c r="Z357" s="2">
        <f>('L-Values'!V357*'D(Ti_Jollands) Times'!$F357*0.000001)^2/(4*'D(Ti_Jollands) Times'!$C357)/(365.35*24*3600)</f>
        <v>155824.16305194111</v>
      </c>
      <c r="AA357" s="2">
        <f>('L-Values'!W357*'D(Ti_Jollands) Times'!$F357*0.000001)^2/(4*'D(Ti_Jollands) Times'!$C357)/(365.35*24*3600)</f>
        <v>69294.160978955479</v>
      </c>
      <c r="AB357" s="2">
        <f>('L-Values'!X357*'D(Ti_Jollands) Times'!$F357*0.000001)^2/(4*'D(Ti_Jollands) Times'!$C357)/(365.35*24*3600)</f>
        <v>307314.16362723947</v>
      </c>
      <c r="AC357" s="2">
        <f t="shared" si="22"/>
        <v>86530.002072985633</v>
      </c>
      <c r="AD357" s="2">
        <f t="shared" si="23"/>
        <v>151490.00057529836</v>
      </c>
    </row>
    <row r="358" spans="1:30" x14ac:dyDescent="0.2">
      <c r="A358" t="str">
        <f>'L-Values'!A358</f>
        <v>CGI018-qtz02-CL-fit-1-offset</v>
      </c>
      <c r="B358">
        <v>750</v>
      </c>
      <c r="C358">
        <f t="shared" si="20"/>
        <v>6.6965312637759184E-25</v>
      </c>
      <c r="D358">
        <v>1750</v>
      </c>
      <c r="E358">
        <v>1024</v>
      </c>
      <c r="F358">
        <f t="shared" si="21"/>
        <v>1.708984375</v>
      </c>
      <c r="I358" s="2">
        <f>('L-Values'!E358*'D(Ti_Jollands) Times'!$F358*0.000001)^2/(4*'D(Ti_Jollands) Times'!$C358)/(365.35*24*3600)</f>
        <v>1100068.7489027402</v>
      </c>
      <c r="J358" s="2">
        <f>('L-Values'!F358*'D(Ti_Jollands) Times'!$F358*0.000001)^2/(4*'D(Ti_Jollands) Times'!$C358)/(365.35*24*3600)</f>
        <v>1897149.8977841421</v>
      </c>
      <c r="K358" s="2">
        <f>('L-Values'!G358*'D(Ti_Jollands) Times'!$F358*0.000001)^2/(4*'D(Ti_Jollands) Times'!$C358)/(365.35*24*3600)</f>
        <v>1779869.8933032732</v>
      </c>
      <c r="L358" s="2">
        <f>('L-Values'!H358*'D(Ti_Jollands) Times'!$F358*0.000001)^2/(4*'D(Ti_Jollands) Times'!$C358)/(365.35*24*3600)</f>
        <v>1321558.1793733272</v>
      </c>
      <c r="M358" s="2">
        <f>('L-Values'!I358*'D(Ti_Jollands) Times'!$F358*0.000001)^2/(4*'D(Ti_Jollands) Times'!$C358)/(365.35*24*3600)</f>
        <v>1876090.183990346</v>
      </c>
      <c r="N358" s="2">
        <f>('L-Values'!J358*'D(Ti_Jollands) Times'!$F358*0.000001)^2/(4*'D(Ti_Jollands) Times'!$C358)/(365.35*24*3600)</f>
        <v>781423.97518682841</v>
      </c>
      <c r="O358" s="2">
        <f>('L-Values'!K358*'D(Ti_Jollands) Times'!$F358*0.000001)^2/(4*'D(Ti_Jollands) Times'!$C358)/(365.35*24*3600)</f>
        <v>1248117.7450581151</v>
      </c>
      <c r="P358" s="2">
        <f>('L-Values'!L358*'D(Ti_Jollands) Times'!$F358*0.000001)^2/(4*'D(Ti_Jollands) Times'!$C358)/(365.35*24*3600)</f>
        <v>1900048.5033766078</v>
      </c>
      <c r="Q358" s="2">
        <f>('L-Values'!M358*'D(Ti_Jollands) Times'!$F358*0.000001)^2/(4*'D(Ti_Jollands) Times'!$C358)/(365.35*24*3600)</f>
        <v>1166147.1035296246</v>
      </c>
      <c r="R358" s="2">
        <f>('L-Values'!N358*'D(Ti_Jollands) Times'!$F358*0.000001)^2/(4*'D(Ti_Jollands) Times'!$C358)/(365.35*24*3600)</f>
        <v>1294000.7551779919</v>
      </c>
      <c r="S358" s="2">
        <f>('L-Values'!O358*'D(Ti_Jollands) Times'!$F358*0.000001)^2/(4*'D(Ti_Jollands) Times'!$C358)/(365.35*24*3600)</f>
        <v>3853596.446921254</v>
      </c>
      <c r="T358" s="2"/>
      <c r="U358" s="2">
        <f>('L-Values'!Q358*'D(Ti_Jollands) Times'!$F358*0.000001)^2/(4*'D(Ti_Jollands) Times'!$C358)/(365.35*24*3600)</f>
        <v>1487421.2101777743</v>
      </c>
      <c r="V358" s="2">
        <f>('L-Values'!R358*'D(Ti_Jollands) Times'!$F358*0.000001)^2/(4*'D(Ti_Jollands) Times'!$C358)/(365.35*24*3600)</f>
        <v>1582953.6405529543</v>
      </c>
      <c r="W358" s="2">
        <f>('L-Values'!S358*'D(Ti_Jollands) Times'!$F358*0.000001)^2/(4*'D(Ti_Jollands) Times'!$C358)/(365.35*24*3600)</f>
        <v>1321558.1793733272</v>
      </c>
      <c r="X358" s="2"/>
      <c r="Y358" s="2">
        <f>('L-Values'!U358*'D(Ti_Jollands) Times'!$F358*0.000001)^2/(4*'D(Ti_Jollands) Times'!$C358)/(365.35*24*3600)</f>
        <v>1448962.9737525498</v>
      </c>
      <c r="Z358" s="2">
        <f>('L-Values'!V358*'D(Ti_Jollands) Times'!$F358*0.000001)^2/(4*'D(Ti_Jollands) Times'!$C358)/(365.35*24*3600)</f>
        <v>1486765.1424010796</v>
      </c>
      <c r="AA358" s="2">
        <f>('L-Values'!W358*'D(Ti_Jollands) Times'!$F358*0.000001)^2/(4*'D(Ti_Jollands) Times'!$C358)/(365.35*24*3600)</f>
        <v>534796.2572960105</v>
      </c>
      <c r="AB358" s="2">
        <f>('L-Values'!X358*'D(Ti_Jollands) Times'!$F358*0.000001)^2/(4*'D(Ti_Jollands) Times'!$C358)/(365.35*24*3600)</f>
        <v>3407012.5591124566</v>
      </c>
      <c r="AC358" s="2">
        <f t="shared" si="22"/>
        <v>951968.88510506914</v>
      </c>
      <c r="AD358" s="2">
        <f t="shared" si="23"/>
        <v>1920247.416711377</v>
      </c>
    </row>
    <row r="359" spans="1:30" x14ac:dyDescent="0.2">
      <c r="A359" t="str">
        <f>'L-Values'!A359</f>
        <v>CGI018-qtz02-CL-fit-2-offset</v>
      </c>
      <c r="B359">
        <v>750</v>
      </c>
      <c r="C359">
        <f t="shared" si="20"/>
        <v>6.6965312637759184E-25</v>
      </c>
      <c r="D359">
        <v>1750</v>
      </c>
      <c r="E359">
        <v>1024</v>
      </c>
      <c r="F359">
        <f t="shared" si="21"/>
        <v>1.708984375</v>
      </c>
      <c r="I359" s="2">
        <f>('L-Values'!E359*'D(Ti_Jollands) Times'!$F359*0.000001)^2/(4*'D(Ti_Jollands) Times'!$C359)/(365.35*24*3600)</f>
        <v>2091983.9537441961</v>
      </c>
      <c r="J359" s="2">
        <f>('L-Values'!F359*'D(Ti_Jollands) Times'!$F359*0.000001)^2/(4*'D(Ti_Jollands) Times'!$C359)/(365.35*24*3600)</f>
        <v>1674363.0616637415</v>
      </c>
      <c r="K359" s="2">
        <f>('L-Values'!G359*'D(Ti_Jollands) Times'!$F359*0.000001)^2/(4*'D(Ti_Jollands) Times'!$C359)/(365.35*24*3600)</f>
        <v>2251377.6326881722</v>
      </c>
      <c r="L359" s="2">
        <f>('L-Values'!H359*'D(Ti_Jollands) Times'!$F359*0.000001)^2/(4*'D(Ti_Jollands) Times'!$C359)/(365.35*24*3600)</f>
        <v>1448949.1745575008</v>
      </c>
      <c r="M359" s="2">
        <f>('L-Values'!I359*'D(Ti_Jollands) Times'!$F359*0.000001)^2/(4*'D(Ti_Jollands) Times'!$C359)/(365.35*24*3600)</f>
        <v>1603010.27874638</v>
      </c>
      <c r="N359" s="2">
        <f>('L-Values'!J359*'D(Ti_Jollands) Times'!$F359*0.000001)^2/(4*'D(Ti_Jollands) Times'!$C359)/(365.35*24*3600)</f>
        <v>1045740.0345969842</v>
      </c>
      <c r="O359" s="2">
        <f>('L-Values'!K359*'D(Ti_Jollands) Times'!$F359*0.000001)^2/(4*'D(Ti_Jollands) Times'!$C359)/(365.35*24*3600)</f>
        <v>854703.93443082517</v>
      </c>
      <c r="P359" s="2">
        <f>('L-Values'!L359*'D(Ti_Jollands) Times'!$F359*0.000001)^2/(4*'D(Ti_Jollands) Times'!$C359)/(365.35*24*3600)</f>
        <v>1029591.6498290724</v>
      </c>
      <c r="Q359" s="2">
        <f>('L-Values'!M359*'D(Ti_Jollands) Times'!$F359*0.000001)^2/(4*'D(Ti_Jollands) Times'!$C359)/(365.35*24*3600)</f>
        <v>942003.98843568226</v>
      </c>
      <c r="R359" s="2">
        <f>('L-Values'!N359*'D(Ti_Jollands) Times'!$F359*0.000001)^2/(4*'D(Ti_Jollands) Times'!$C359)/(365.35*24*3600)</f>
        <v>1238527.3434731837</v>
      </c>
      <c r="S359" s="2">
        <f>('L-Values'!O359*'D(Ti_Jollands) Times'!$F359*0.000001)^2/(4*'D(Ti_Jollands) Times'!$C359)/(365.35*24*3600)</f>
        <v>1408604.2263334219</v>
      </c>
      <c r="T359" s="2"/>
      <c r="U359" s="2">
        <f>('L-Values'!Q359*'D(Ti_Jollands) Times'!$F359*0.000001)^2/(4*'D(Ti_Jollands) Times'!$C359)/(365.35*24*3600)</f>
        <v>1277718.1764460776</v>
      </c>
      <c r="V359" s="2">
        <f>('L-Values'!R359*'D(Ti_Jollands) Times'!$F359*0.000001)^2/(4*'D(Ti_Jollands) Times'!$C359)/(365.35*24*3600)</f>
        <v>1384416.3527785076</v>
      </c>
      <c r="W359" s="2">
        <f>('L-Values'!S359*'D(Ti_Jollands) Times'!$F359*0.000001)^2/(4*'D(Ti_Jollands) Times'!$C359)/(365.35*24*3600)</f>
        <v>1408604.2263334219</v>
      </c>
      <c r="X359" s="2"/>
      <c r="Y359" s="2">
        <f>('L-Values'!U359*'D(Ti_Jollands) Times'!$F359*0.000001)^2/(4*'D(Ti_Jollands) Times'!$C359)/(365.35*24*3600)</f>
        <v>1265843.6159310134</v>
      </c>
      <c r="Z359" s="2">
        <f>('L-Values'!V359*'D(Ti_Jollands) Times'!$F359*0.000001)^2/(4*'D(Ti_Jollands) Times'!$C359)/(365.35*24*3600)</f>
        <v>1338720.8616145796</v>
      </c>
      <c r="AA359" s="2">
        <f>('L-Values'!W359*'D(Ti_Jollands) Times'!$F359*0.000001)^2/(4*'D(Ti_Jollands) Times'!$C359)/(365.35*24*3600)</f>
        <v>757740.9390222145</v>
      </c>
      <c r="AB359" s="2">
        <f>('L-Values'!X359*'D(Ti_Jollands) Times'!$F359*0.000001)^2/(4*'D(Ti_Jollands) Times'!$C359)/(365.35*24*3600)</f>
        <v>2601624.6955893319</v>
      </c>
      <c r="AC359" s="2">
        <f t="shared" si="22"/>
        <v>580979.92259236507</v>
      </c>
      <c r="AD359" s="2">
        <f t="shared" si="23"/>
        <v>1262903.8339747523</v>
      </c>
    </row>
    <row r="360" spans="1:30" x14ac:dyDescent="0.2">
      <c r="A360" t="str">
        <f>'L-Values'!A360</f>
        <v>CGI018-qtz02-CL-fit-3-offset</v>
      </c>
      <c r="B360">
        <v>750</v>
      </c>
      <c r="C360">
        <f t="shared" si="20"/>
        <v>6.6965312637759184E-25</v>
      </c>
      <c r="D360">
        <v>1750</v>
      </c>
      <c r="E360">
        <v>1024</v>
      </c>
      <c r="F360">
        <f t="shared" si="21"/>
        <v>1.708984375</v>
      </c>
      <c r="I360" s="2">
        <f>('L-Values'!E360*'D(Ti_Jollands) Times'!$F360*0.000001)^2/(4*'D(Ti_Jollands) Times'!$C360)/(365.35*24*3600)</f>
        <v>333005.36304941279</v>
      </c>
      <c r="J360" s="2">
        <f>('L-Values'!F360*'D(Ti_Jollands) Times'!$F360*0.000001)^2/(4*'D(Ti_Jollands) Times'!$C360)/(365.35*24*3600)</f>
        <v>604076.27830419398</v>
      </c>
      <c r="K360" s="2">
        <f>('L-Values'!G360*'D(Ti_Jollands) Times'!$F360*0.000001)^2/(4*'D(Ti_Jollands) Times'!$C360)/(365.35*24*3600)</f>
        <v>408911.77759357984</v>
      </c>
      <c r="L360" s="2">
        <f>('L-Values'!H360*'D(Ti_Jollands) Times'!$F360*0.000001)^2/(4*'D(Ti_Jollands) Times'!$C360)/(365.35*24*3600)</f>
        <v>594174.51239102473</v>
      </c>
      <c r="M360" s="2">
        <f>('L-Values'!I360*'D(Ti_Jollands) Times'!$F360*0.000001)^2/(4*'D(Ti_Jollands) Times'!$C360)/(365.35*24*3600)</f>
        <v>289085.72647906782</v>
      </c>
      <c r="N360" s="2">
        <f>('L-Values'!J360*'D(Ti_Jollands) Times'!$F360*0.000001)^2/(4*'D(Ti_Jollands) Times'!$C360)/(365.35*24*3600)</f>
        <v>601474.55992589286</v>
      </c>
      <c r="O360" s="2">
        <f>('L-Values'!K360*'D(Ti_Jollands) Times'!$F360*0.000001)^2/(4*'D(Ti_Jollands) Times'!$C360)/(365.35*24*3600)</f>
        <v>374480.83622205822</v>
      </c>
      <c r="P360" s="2">
        <f>('L-Values'!L360*'D(Ti_Jollands) Times'!$F360*0.000001)^2/(4*'D(Ti_Jollands) Times'!$C360)/(365.35*24*3600)</f>
        <v>538692.30918315868</v>
      </c>
      <c r="Q360" s="2">
        <f>('L-Values'!M360*'D(Ti_Jollands) Times'!$F360*0.000001)^2/(4*'D(Ti_Jollands) Times'!$C360)/(365.35*24*3600)</f>
        <v>531028.07799594174</v>
      </c>
      <c r="R360" s="2">
        <f>('L-Values'!N360*'D(Ti_Jollands) Times'!$F360*0.000001)^2/(4*'D(Ti_Jollands) Times'!$C360)/(365.35*24*3600)</f>
        <v>611576.95022991206</v>
      </c>
      <c r="S360" s="2">
        <f>('L-Values'!O360*'D(Ti_Jollands) Times'!$F360*0.000001)^2/(4*'D(Ti_Jollands) Times'!$C360)/(365.35*24*3600)</f>
        <v>438879.05866394303</v>
      </c>
      <c r="T360" s="2"/>
      <c r="U360" s="2">
        <f>('L-Values'!Q360*'D(Ti_Jollands) Times'!$F360*0.000001)^2/(4*'D(Ti_Jollands) Times'!$C360)/(365.35*24*3600)</f>
        <v>479854.33971836563</v>
      </c>
      <c r="V360" s="2">
        <f>('L-Values'!R360*'D(Ti_Jollands) Times'!$F360*0.000001)^2/(4*'D(Ti_Jollands) Times'!$C360)/(365.35*24*3600)</f>
        <v>476969.64405285229</v>
      </c>
      <c r="W360" s="2">
        <f>('L-Values'!S360*'D(Ti_Jollands) Times'!$F360*0.000001)^2/(4*'D(Ti_Jollands) Times'!$C360)/(365.35*24*3600)</f>
        <v>531028.07799594174</v>
      </c>
      <c r="X360" s="2"/>
      <c r="Y360" s="2">
        <f>('L-Values'!U360*'D(Ti_Jollands) Times'!$F360*0.000001)^2/(4*'D(Ti_Jollands) Times'!$C360)/(365.35*24*3600)</f>
        <v>478070.45554598997</v>
      </c>
      <c r="Z360" s="2">
        <f>('L-Values'!V360*'D(Ti_Jollands) Times'!$F360*0.000001)^2/(4*'D(Ti_Jollands) Times'!$C360)/(365.35*24*3600)</f>
        <v>466583.1029216242</v>
      </c>
      <c r="AA360" s="2">
        <f>('L-Values'!W360*'D(Ti_Jollands) Times'!$F360*0.000001)^2/(4*'D(Ti_Jollands) Times'!$C360)/(365.35*24*3600)</f>
        <v>236409.76217397166</v>
      </c>
      <c r="AB360" s="2">
        <f>('L-Values'!X360*'D(Ti_Jollands) Times'!$F360*0.000001)^2/(4*'D(Ti_Jollands) Times'!$C360)/(365.35*24*3600)</f>
        <v>773193.07067930384</v>
      </c>
      <c r="AC360" s="2">
        <f t="shared" si="22"/>
        <v>230173.34074765255</v>
      </c>
      <c r="AD360" s="2">
        <f t="shared" si="23"/>
        <v>306609.96775767964</v>
      </c>
    </row>
    <row r="361" spans="1:30" x14ac:dyDescent="0.2">
      <c r="A361" t="str">
        <f>'L-Values'!A361</f>
        <v>CGI018-qtz02-CL-fit-4-offset</v>
      </c>
      <c r="B361">
        <v>750</v>
      </c>
      <c r="C361">
        <f t="shared" si="20"/>
        <v>6.6965312637759184E-25</v>
      </c>
      <c r="D361">
        <v>1750</v>
      </c>
      <c r="E361">
        <v>1024</v>
      </c>
      <c r="F361">
        <f t="shared" si="21"/>
        <v>1.708984375</v>
      </c>
      <c r="I361" s="2">
        <f>('L-Values'!E361*'D(Ti_Jollands) Times'!$F361*0.000001)^2/(4*'D(Ti_Jollands) Times'!$C361)/(365.35*24*3600)</f>
        <v>162319.88614603016</v>
      </c>
      <c r="J361" s="2">
        <f>('L-Values'!F361*'D(Ti_Jollands) Times'!$F361*0.000001)^2/(4*'D(Ti_Jollands) Times'!$C361)/(365.35*24*3600)</f>
        <v>331656.24514686392</v>
      </c>
      <c r="K361" s="2">
        <f>('L-Values'!G361*'D(Ti_Jollands) Times'!$F361*0.000001)^2/(4*'D(Ti_Jollands) Times'!$C361)/(365.35*24*3600)</f>
        <v>200207.79002997646</v>
      </c>
      <c r="L361" s="2">
        <f>('L-Values'!H361*'D(Ti_Jollands) Times'!$F361*0.000001)^2/(4*'D(Ti_Jollands) Times'!$C361)/(365.35*24*3600)</f>
        <v>241400.23302919307</v>
      </c>
      <c r="M361" s="2">
        <f>('L-Values'!I361*'D(Ti_Jollands) Times'!$F361*0.000001)^2/(4*'D(Ti_Jollands) Times'!$C361)/(365.35*24*3600)</f>
        <v>185892.10463242183</v>
      </c>
      <c r="N361" s="2">
        <f>('L-Values'!J361*'D(Ti_Jollands) Times'!$F361*0.000001)^2/(4*'D(Ti_Jollands) Times'!$C361)/(365.35*24*3600)</f>
        <v>205366.73378401608</v>
      </c>
      <c r="O361" s="2">
        <f>('L-Values'!K361*'D(Ti_Jollands) Times'!$F361*0.000001)^2/(4*'D(Ti_Jollands) Times'!$C361)/(365.35*24*3600)</f>
        <v>302816.38581202581</v>
      </c>
      <c r="P361" s="2">
        <f>('L-Values'!L361*'D(Ti_Jollands) Times'!$F361*0.000001)^2/(4*'D(Ti_Jollands) Times'!$C361)/(365.35*24*3600)</f>
        <v>240408.82798867291</v>
      </c>
      <c r="Q361" s="2">
        <f>('L-Values'!M361*'D(Ti_Jollands) Times'!$F361*0.000001)^2/(4*'D(Ti_Jollands) Times'!$C361)/(365.35*24*3600)</f>
        <v>471627.7743394578</v>
      </c>
      <c r="R361" s="2">
        <f>('L-Values'!N361*'D(Ti_Jollands) Times'!$F361*0.000001)^2/(4*'D(Ti_Jollands) Times'!$C361)/(365.35*24*3600)</f>
        <v>228581.53125429634</v>
      </c>
      <c r="S361" s="2">
        <f>('L-Values'!O361*'D(Ti_Jollands) Times'!$F361*0.000001)^2/(4*'D(Ti_Jollands) Times'!$C361)/(365.35*24*3600)</f>
        <v>392875.36537124956</v>
      </c>
      <c r="T361" s="2"/>
      <c r="U361" s="2">
        <f>('L-Values'!Q361*'D(Ti_Jollands) Times'!$F361*0.000001)^2/(4*'D(Ti_Jollands) Times'!$C361)/(365.35*24*3600)</f>
        <v>263211.3371403449</v>
      </c>
      <c r="V361" s="2">
        <f>('L-Values'!R361*'D(Ti_Jollands) Times'!$F361*0.000001)^2/(4*'D(Ti_Jollands) Times'!$C361)/(365.35*24*3600)</f>
        <v>262342.91001642524</v>
      </c>
      <c r="W361" s="2">
        <f>('L-Values'!S361*'D(Ti_Jollands) Times'!$F361*0.000001)^2/(4*'D(Ti_Jollands) Times'!$C361)/(365.35*24*3600)</f>
        <v>240408.82798867291</v>
      </c>
      <c r="X361" s="2"/>
      <c r="Y361" s="2">
        <f>('L-Values'!U361*'D(Ti_Jollands) Times'!$F361*0.000001)^2/(4*'D(Ti_Jollands) Times'!$C361)/(365.35*24*3600)</f>
        <v>253712.74193690281</v>
      </c>
      <c r="Z361" s="2">
        <f>('L-Values'!V361*'D(Ti_Jollands) Times'!$F361*0.000001)^2/(4*'D(Ti_Jollands) Times'!$C361)/(365.35*24*3600)</f>
        <v>258318.149700393</v>
      </c>
      <c r="AA361" s="2">
        <f>('L-Values'!W361*'D(Ti_Jollands) Times'!$F361*0.000001)^2/(4*'D(Ti_Jollands) Times'!$C361)/(365.35*24*3600)</f>
        <v>99422.922042658902</v>
      </c>
      <c r="AB361" s="2">
        <f>('L-Values'!X361*'D(Ti_Jollands) Times'!$F361*0.000001)^2/(4*'D(Ti_Jollands) Times'!$C361)/(365.35*24*3600)</f>
        <v>484449.82230272895</v>
      </c>
      <c r="AC361" s="2">
        <f t="shared" si="22"/>
        <v>158895.2276577341</v>
      </c>
      <c r="AD361" s="2">
        <f t="shared" si="23"/>
        <v>226131.67260233595</v>
      </c>
    </row>
    <row r="362" spans="1:30" x14ac:dyDescent="0.2">
      <c r="A362" t="str">
        <f>'L-Values'!A362</f>
        <v>CGI018-qtz02-CL-fit-5-offset</v>
      </c>
      <c r="B362">
        <v>750</v>
      </c>
      <c r="C362">
        <f t="shared" si="20"/>
        <v>6.6965312637759184E-25</v>
      </c>
      <c r="D362">
        <v>1750</v>
      </c>
      <c r="E362">
        <v>1024</v>
      </c>
      <c r="F362">
        <f t="shared" si="21"/>
        <v>1.708984375</v>
      </c>
      <c r="I362" s="2">
        <f>('L-Values'!E362*'D(Ti_Jollands) Times'!$F362*0.000001)^2/(4*'D(Ti_Jollands) Times'!$C362)/(365.35*24*3600)</f>
        <v>47232.230184538646</v>
      </c>
      <c r="J362" s="2">
        <f>('L-Values'!F362*'D(Ti_Jollands) Times'!$F362*0.000001)^2/(4*'D(Ti_Jollands) Times'!$C362)/(365.35*24*3600)</f>
        <v>41744.73476907055</v>
      </c>
      <c r="K362" s="2">
        <f>('L-Values'!G362*'D(Ti_Jollands) Times'!$F362*0.000001)^2/(4*'D(Ti_Jollands) Times'!$C362)/(365.35*24*3600)</f>
        <v>50992.863796843056</v>
      </c>
      <c r="L362" s="2">
        <f>('L-Values'!H362*'D(Ti_Jollands) Times'!$F362*0.000001)^2/(4*'D(Ti_Jollands) Times'!$C362)/(365.35*24*3600)</f>
        <v>45423.921356737083</v>
      </c>
      <c r="M362" s="2">
        <f>('L-Values'!I362*'D(Ti_Jollands) Times'!$F362*0.000001)^2/(4*'D(Ti_Jollands) Times'!$C362)/(365.35*24*3600)</f>
        <v>61512.714252636622</v>
      </c>
      <c r="N362" s="2">
        <f>('L-Values'!J362*'D(Ti_Jollands) Times'!$F362*0.000001)^2/(4*'D(Ti_Jollands) Times'!$C362)/(365.35*24*3600)</f>
        <v>94709.876809057969</v>
      </c>
      <c r="O362" s="2">
        <f>('L-Values'!K362*'D(Ti_Jollands) Times'!$F362*0.000001)^2/(4*'D(Ti_Jollands) Times'!$C362)/(365.35*24*3600)</f>
        <v>73684.119129302664</v>
      </c>
      <c r="P362" s="2">
        <f>('L-Values'!L362*'D(Ti_Jollands) Times'!$F362*0.000001)^2/(4*'D(Ti_Jollands) Times'!$C362)/(365.35*24*3600)</f>
        <v>64192.320240872083</v>
      </c>
      <c r="Q362" s="2">
        <f>('L-Values'!M362*'D(Ti_Jollands) Times'!$F362*0.000001)^2/(4*'D(Ti_Jollands) Times'!$C362)/(365.35*24*3600)</f>
        <v>36352.986924611971</v>
      </c>
      <c r="R362" s="2">
        <f>('L-Values'!N362*'D(Ti_Jollands) Times'!$F362*0.000001)^2/(4*'D(Ti_Jollands) Times'!$C362)/(365.35*24*3600)</f>
        <v>54445.986830643364</v>
      </c>
      <c r="S362" s="2">
        <f>('L-Values'!O362*'D(Ti_Jollands) Times'!$F362*0.000001)^2/(4*'D(Ti_Jollands) Times'!$C362)/(365.35*24*3600)</f>
        <v>43518.677322297364</v>
      </c>
      <c r="T362" s="2"/>
      <c r="U362" s="2">
        <f>('L-Values'!Q362*'D(Ti_Jollands) Times'!$F362*0.000001)^2/(4*'D(Ti_Jollands) Times'!$C362)/(365.35*24*3600)</f>
        <v>63768.66096144398</v>
      </c>
      <c r="V362" s="2">
        <f>('L-Values'!R362*'D(Ti_Jollands) Times'!$F362*0.000001)^2/(4*'D(Ti_Jollands) Times'!$C362)/(365.35*24*3600)</f>
        <v>54746.638816278471</v>
      </c>
      <c r="W362" s="2">
        <f>('L-Values'!S362*'D(Ti_Jollands) Times'!$F362*0.000001)^2/(4*'D(Ti_Jollands) Times'!$C362)/(365.35*24*3600)</f>
        <v>50992.863796843056</v>
      </c>
      <c r="X362" s="2"/>
      <c r="Y362" s="2">
        <f>('L-Values'!U362*'D(Ti_Jollands) Times'!$F362*0.000001)^2/(4*'D(Ti_Jollands) Times'!$C362)/(365.35*24*3600)</f>
        <v>47656.621747887606</v>
      </c>
      <c r="Z362" s="2">
        <f>('L-Values'!V362*'D(Ti_Jollands) Times'!$F362*0.000001)^2/(4*'D(Ti_Jollands) Times'!$C362)/(365.35*24*3600)</f>
        <v>49733.888218431843</v>
      </c>
      <c r="AA362" s="2">
        <f>('L-Values'!W362*'D(Ti_Jollands) Times'!$F362*0.000001)^2/(4*'D(Ti_Jollands) Times'!$C362)/(365.35*24*3600)</f>
        <v>4921.0762292420532</v>
      </c>
      <c r="AB362" s="2">
        <f>('L-Values'!X362*'D(Ti_Jollands) Times'!$F362*0.000001)^2/(4*'D(Ti_Jollands) Times'!$C362)/(365.35*24*3600)</f>
        <v>154978.71853483756</v>
      </c>
      <c r="AC362" s="2">
        <f t="shared" si="22"/>
        <v>44812.811989189788</v>
      </c>
      <c r="AD362" s="2">
        <f t="shared" si="23"/>
        <v>105244.83031640571</v>
      </c>
    </row>
    <row r="363" spans="1:30" x14ac:dyDescent="0.2">
      <c r="A363" t="str">
        <f>'L-Values'!A363</f>
        <v>CGI018-qtz03-CL-fit-1-offset</v>
      </c>
      <c r="B363">
        <v>750</v>
      </c>
      <c r="C363">
        <f t="shared" si="20"/>
        <v>6.6965312637759184E-25</v>
      </c>
      <c r="D363">
        <v>2100</v>
      </c>
      <c r="E363">
        <v>1024</v>
      </c>
      <c r="F363">
        <f t="shared" si="21"/>
        <v>2.05078125</v>
      </c>
      <c r="I363" s="2">
        <f>('L-Values'!E363*'D(Ti_Jollands) Times'!$F363*0.000001)^2/(4*'D(Ti_Jollands) Times'!$C363)/(365.35*24*3600)</f>
        <v>380996.45978314808</v>
      </c>
      <c r="J363" s="2">
        <f>('L-Values'!F363*'D(Ti_Jollands) Times'!$F363*0.000001)^2/(4*'D(Ti_Jollands) Times'!$C363)/(365.35*24*3600)</f>
        <v>308304.25322307128</v>
      </c>
      <c r="K363" s="2">
        <f>('L-Values'!G363*'D(Ti_Jollands) Times'!$F363*0.000001)^2/(4*'D(Ti_Jollands) Times'!$C363)/(365.35*24*3600)</f>
        <v>318994.84395942325</v>
      </c>
      <c r="L363" s="2">
        <f>('L-Values'!H363*'D(Ti_Jollands) Times'!$F363*0.000001)^2/(4*'D(Ti_Jollands) Times'!$C363)/(365.35*24*3600)</f>
        <v>525561.48458681523</v>
      </c>
      <c r="M363" s="2">
        <f>('L-Values'!I363*'D(Ti_Jollands) Times'!$F363*0.000001)^2/(4*'D(Ti_Jollands) Times'!$C363)/(365.35*24*3600)</f>
        <v>733484.8955180773</v>
      </c>
      <c r="N363" s="2">
        <f>('L-Values'!J363*'D(Ti_Jollands) Times'!$F363*0.000001)^2/(4*'D(Ti_Jollands) Times'!$C363)/(365.35*24*3600)</f>
        <v>412152.92427961231</v>
      </c>
      <c r="O363" s="2">
        <f>('L-Values'!K363*'D(Ti_Jollands) Times'!$F363*0.000001)^2/(4*'D(Ti_Jollands) Times'!$C363)/(365.35*24*3600)</f>
        <v>399502.01972419326</v>
      </c>
      <c r="P363" s="2">
        <f>('L-Values'!L363*'D(Ti_Jollands) Times'!$F363*0.000001)^2/(4*'D(Ti_Jollands) Times'!$C363)/(365.35*24*3600)</f>
        <v>548155.07654373802</v>
      </c>
      <c r="Q363" s="2">
        <f>('L-Values'!M363*'D(Ti_Jollands) Times'!$F363*0.000001)^2/(4*'D(Ti_Jollands) Times'!$C363)/(365.35*24*3600)</f>
        <v>486736.08221338689</v>
      </c>
      <c r="R363" s="2">
        <f>('L-Values'!N363*'D(Ti_Jollands) Times'!$F363*0.000001)^2/(4*'D(Ti_Jollands) Times'!$C363)/(365.35*24*3600)</f>
        <v>452089.06161419844</v>
      </c>
      <c r="S363" s="2">
        <f>('L-Values'!O363*'D(Ti_Jollands) Times'!$F363*0.000001)^2/(4*'D(Ti_Jollands) Times'!$C363)/(365.35*24*3600)</f>
        <v>301933.78527670569</v>
      </c>
      <c r="T363" s="2"/>
      <c r="U363" s="2">
        <f>('L-Values'!Q363*'D(Ti_Jollands) Times'!$F363*0.000001)^2/(4*'D(Ti_Jollands) Times'!$C363)/(365.35*24*3600)</f>
        <v>439127.44398956816</v>
      </c>
      <c r="V363" s="2">
        <f>('L-Values'!R363*'D(Ti_Jollands) Times'!$F363*0.000001)^2/(4*'D(Ti_Jollands) Times'!$C363)/(365.35*24*3600)</f>
        <v>434717.71843418718</v>
      </c>
      <c r="W363" s="2">
        <f>('L-Values'!S363*'D(Ti_Jollands) Times'!$F363*0.000001)^2/(4*'D(Ti_Jollands) Times'!$C363)/(365.35*24*3600)</f>
        <v>412152.92427961231</v>
      </c>
      <c r="X363" s="2"/>
      <c r="Y363" s="2">
        <f>('L-Values'!U363*'D(Ti_Jollands) Times'!$F363*0.000001)^2/(4*'D(Ti_Jollands) Times'!$C363)/(365.35*24*3600)</f>
        <v>419433.79432582698</v>
      </c>
      <c r="Z363" s="2">
        <f>('L-Values'!V363*'D(Ti_Jollands) Times'!$F363*0.000001)^2/(4*'D(Ti_Jollands) Times'!$C363)/(365.35*24*3600)</f>
        <v>423637.11709285702</v>
      </c>
      <c r="AA363" s="2">
        <f>('L-Values'!W363*'D(Ti_Jollands) Times'!$F363*0.000001)^2/(4*'D(Ti_Jollands) Times'!$C363)/(365.35*24*3600)</f>
        <v>231016.35756809654</v>
      </c>
      <c r="AB363" s="2">
        <f>('L-Values'!X363*'D(Ti_Jollands) Times'!$F363*0.000001)^2/(4*'D(Ti_Jollands) Times'!$C363)/(365.35*24*3600)</f>
        <v>661173.80543974612</v>
      </c>
      <c r="AC363" s="2">
        <f t="shared" si="22"/>
        <v>192620.75952476048</v>
      </c>
      <c r="AD363" s="2">
        <f t="shared" si="23"/>
        <v>237536.6883468891</v>
      </c>
    </row>
    <row r="364" spans="1:30" x14ac:dyDescent="0.2">
      <c r="A364" t="str">
        <f>'L-Values'!A364</f>
        <v>CGI018-qtz03-CL-fit-2-offset</v>
      </c>
      <c r="B364">
        <v>750</v>
      </c>
      <c r="C364">
        <f t="shared" si="20"/>
        <v>6.6965312637759184E-25</v>
      </c>
      <c r="D364">
        <v>2100</v>
      </c>
      <c r="E364">
        <v>1024</v>
      </c>
      <c r="F364">
        <f t="shared" si="21"/>
        <v>2.05078125</v>
      </c>
      <c r="I364" s="2">
        <f>('L-Values'!E364*'D(Ti_Jollands) Times'!$F364*0.000001)^2/(4*'D(Ti_Jollands) Times'!$C364)/(365.35*24*3600)</f>
        <v>62.774726360523452</v>
      </c>
      <c r="J364" s="2">
        <f>('L-Values'!F364*'D(Ti_Jollands) Times'!$F364*0.000001)^2/(4*'D(Ti_Jollands) Times'!$C364)/(365.35*24*3600)</f>
        <v>414997.51597710798</v>
      </c>
      <c r="K364" s="2">
        <f>('L-Values'!G364*'D(Ti_Jollands) Times'!$F364*0.000001)^2/(4*'D(Ti_Jollands) Times'!$C364)/(365.35*24*3600)</f>
        <v>59916.710695999478</v>
      </c>
      <c r="L364" s="2">
        <f>('L-Values'!H364*'D(Ti_Jollands) Times'!$F364*0.000001)^2/(4*'D(Ti_Jollands) Times'!$C364)/(365.35*24*3600)</f>
        <v>1452989.5386468214</v>
      </c>
      <c r="M364" s="2">
        <f>('L-Values'!I364*'D(Ti_Jollands) Times'!$F364*0.000001)^2/(4*'D(Ti_Jollands) Times'!$C364)/(365.35*24*3600)</f>
        <v>1550700.0869724241</v>
      </c>
      <c r="N364" s="2">
        <f>('L-Values'!J364*'D(Ti_Jollands) Times'!$F364*0.000001)^2/(4*'D(Ti_Jollands) Times'!$C364)/(365.35*24*3600)</f>
        <v>1730668.1697640968</v>
      </c>
      <c r="O364" s="2">
        <f>('L-Values'!K364*'D(Ti_Jollands) Times'!$F364*0.000001)^2/(4*'D(Ti_Jollands) Times'!$C364)/(365.35*24*3600)</f>
        <v>3891754.2944087754</v>
      </c>
      <c r="P364" s="2">
        <f>('L-Values'!L364*'D(Ti_Jollands) Times'!$F364*0.000001)^2/(4*'D(Ti_Jollands) Times'!$C364)/(365.35*24*3600)</f>
        <v>7217499.8908662237</v>
      </c>
      <c r="Q364" s="2">
        <f>('L-Values'!M364*'D(Ti_Jollands) Times'!$F364*0.000001)^2/(4*'D(Ti_Jollands) Times'!$C364)/(365.35*24*3600)</f>
        <v>0</v>
      </c>
      <c r="R364" s="2">
        <f>('L-Values'!N364*'D(Ti_Jollands) Times'!$F364*0.000001)^2/(4*'D(Ti_Jollands) Times'!$C364)/(365.35*24*3600)</f>
        <v>0</v>
      </c>
      <c r="S364" s="2">
        <f>('L-Values'!O364*'D(Ti_Jollands) Times'!$F364*0.000001)^2/(4*'D(Ti_Jollands) Times'!$C364)/(365.35*24*3600)</f>
        <v>6361815.2132152859</v>
      </c>
      <c r="T364" s="2"/>
      <c r="U364" s="2">
        <f>('L-Values'!Q364*'D(Ti_Jollands) Times'!$F364*0.000001)^2/(4*'D(Ti_Jollands) Times'!$C364)/(365.35*24*3600)</f>
        <v>2461146.65306701</v>
      </c>
      <c r="V364" s="2">
        <f>('L-Values'!R364*'D(Ti_Jollands) Times'!$F364*0.000001)^2/(4*'D(Ti_Jollands) Times'!$C364)/(365.35*24*3600)</f>
        <v>1732055.5149644716</v>
      </c>
      <c r="W364" s="2">
        <f>('L-Values'!S364*'D(Ti_Jollands) Times'!$F364*0.000001)^2/(4*'D(Ti_Jollands) Times'!$C364)/(365.35*24*3600)</f>
        <v>1550700.0869724241</v>
      </c>
      <c r="X364" s="2"/>
      <c r="Y364" s="2">
        <f>('L-Values'!U364*'D(Ti_Jollands) Times'!$F364*0.000001)^2/(4*'D(Ti_Jollands) Times'!$C364)/(365.35*24*3600)</f>
        <v>2375073.7170063751</v>
      </c>
      <c r="Z364" s="2">
        <f>('L-Values'!V364*'D(Ti_Jollands) Times'!$F364*0.000001)^2/(4*'D(Ti_Jollands) Times'!$C364)/(365.35*24*3600)</f>
        <v>2411971.571815263</v>
      </c>
      <c r="AA364" s="2">
        <f>('L-Values'!W364*'D(Ti_Jollands) Times'!$F364*0.000001)^2/(4*'D(Ti_Jollands) Times'!$C364)/(365.35*24*3600)</f>
        <v>21947.718006354902</v>
      </c>
      <c r="AB364" s="2">
        <f>('L-Values'!X364*'D(Ti_Jollands) Times'!$F364*0.000001)^2/(4*'D(Ti_Jollands) Times'!$C364)/(365.35*24*3600)</f>
        <v>9438669.3645058051</v>
      </c>
      <c r="AC364" s="2">
        <f t="shared" si="22"/>
        <v>2390023.8538089083</v>
      </c>
      <c r="AD364" s="2">
        <f t="shared" si="23"/>
        <v>7026697.7926905416</v>
      </c>
    </row>
    <row r="365" spans="1:30" x14ac:dyDescent="0.2">
      <c r="A365" t="str">
        <f>'L-Values'!A365</f>
        <v>CGI018-qtz03-CL-fit-3-offset</v>
      </c>
      <c r="B365">
        <v>750</v>
      </c>
      <c r="C365">
        <f t="shared" si="20"/>
        <v>6.6965312637759184E-25</v>
      </c>
      <c r="D365">
        <v>2100</v>
      </c>
      <c r="E365">
        <v>1024</v>
      </c>
      <c r="F365">
        <f t="shared" si="21"/>
        <v>2.05078125</v>
      </c>
      <c r="I365" s="2">
        <f>('L-Values'!E365*'D(Ti_Jollands) Times'!$F365*0.000001)^2/(4*'D(Ti_Jollands) Times'!$C365)/(365.35*24*3600)</f>
        <v>547221.66108278558</v>
      </c>
      <c r="J365" s="2">
        <f>('L-Values'!F365*'D(Ti_Jollands) Times'!$F365*0.000001)^2/(4*'D(Ti_Jollands) Times'!$C365)/(365.35*24*3600)</f>
        <v>281281.76673204493</v>
      </c>
      <c r="K365" s="2">
        <f>('L-Values'!G365*'D(Ti_Jollands) Times'!$F365*0.000001)^2/(4*'D(Ti_Jollands) Times'!$C365)/(365.35*24*3600)</f>
        <v>606419.4649821592</v>
      </c>
      <c r="L365" s="2">
        <f>('L-Values'!H365*'D(Ti_Jollands) Times'!$F365*0.000001)^2/(4*'D(Ti_Jollands) Times'!$C365)/(365.35*24*3600)</f>
        <v>444947.04507998418</v>
      </c>
      <c r="M365" s="2">
        <f>('L-Values'!I365*'D(Ti_Jollands) Times'!$F365*0.000001)^2/(4*'D(Ti_Jollands) Times'!$C365)/(365.35*24*3600)</f>
        <v>365750.27499915921</v>
      </c>
      <c r="N365" s="2">
        <f>('L-Values'!J365*'D(Ti_Jollands) Times'!$F365*0.000001)^2/(4*'D(Ti_Jollands) Times'!$C365)/(365.35*24*3600)</f>
        <v>341691.65717568033</v>
      </c>
      <c r="O365" s="2">
        <f>('L-Values'!K365*'D(Ti_Jollands) Times'!$F365*0.000001)^2/(4*'D(Ti_Jollands) Times'!$C365)/(365.35*24*3600)</f>
        <v>278059.58959720744</v>
      </c>
      <c r="P365" s="2">
        <f>('L-Values'!L365*'D(Ti_Jollands) Times'!$F365*0.000001)^2/(4*'D(Ti_Jollands) Times'!$C365)/(365.35*24*3600)</f>
        <v>341608.06852484075</v>
      </c>
      <c r="Q365" s="2">
        <f>('L-Values'!M365*'D(Ti_Jollands) Times'!$F365*0.000001)^2/(4*'D(Ti_Jollands) Times'!$C365)/(365.35*24*3600)</f>
        <v>260993.22220850497</v>
      </c>
      <c r="R365" s="2">
        <f>('L-Values'!N365*'D(Ti_Jollands) Times'!$F365*0.000001)^2/(4*'D(Ti_Jollands) Times'!$C365)/(365.35*24*3600)</f>
        <v>449398.59020572418</v>
      </c>
      <c r="S365" s="2">
        <f>('L-Values'!O365*'D(Ti_Jollands) Times'!$F365*0.000001)^2/(4*'D(Ti_Jollands) Times'!$C365)/(365.35*24*3600)</f>
        <v>400411.14005934406</v>
      </c>
      <c r="T365" s="2"/>
      <c r="U365" s="2">
        <f>('L-Values'!Q365*'D(Ti_Jollands) Times'!$F365*0.000001)^2/(4*'D(Ti_Jollands) Times'!$C365)/(365.35*24*3600)</f>
        <v>388500.42897253606</v>
      </c>
      <c r="V365" s="2">
        <f>('L-Values'!R365*'D(Ti_Jollands) Times'!$F365*0.000001)^2/(4*'D(Ti_Jollands) Times'!$C365)/(365.35*24*3600)</f>
        <v>385641.85734501161</v>
      </c>
      <c r="W365" s="2">
        <f>('L-Values'!S365*'D(Ti_Jollands) Times'!$F365*0.000001)^2/(4*'D(Ti_Jollands) Times'!$C365)/(365.35*24*3600)</f>
        <v>365750.27499915921</v>
      </c>
      <c r="X365" s="2"/>
      <c r="Y365" s="2">
        <f>('L-Values'!U365*'D(Ti_Jollands) Times'!$F365*0.000001)^2/(4*'D(Ti_Jollands) Times'!$C365)/(365.35*24*3600)</f>
        <v>392366.14747775096</v>
      </c>
      <c r="Z365" s="2">
        <f>('L-Values'!V365*'D(Ti_Jollands) Times'!$F365*0.000001)^2/(4*'D(Ti_Jollands) Times'!$C365)/(365.35*24*3600)</f>
        <v>398226.19676863408</v>
      </c>
      <c r="AA365" s="2">
        <f>('L-Values'!W365*'D(Ti_Jollands) Times'!$F365*0.000001)^2/(4*'D(Ti_Jollands) Times'!$C365)/(365.35*24*3600)</f>
        <v>191302.62516707808</v>
      </c>
      <c r="AB365" s="2">
        <f>('L-Values'!X365*'D(Ti_Jollands) Times'!$F365*0.000001)^2/(4*'D(Ti_Jollands) Times'!$C365)/(365.35*24*3600)</f>
        <v>756931.51313308883</v>
      </c>
      <c r="AC365" s="2">
        <f t="shared" si="22"/>
        <v>206923.571601556</v>
      </c>
      <c r="AD365" s="2">
        <f t="shared" si="23"/>
        <v>358705.31636445475</v>
      </c>
    </row>
    <row r="366" spans="1:30" x14ac:dyDescent="0.2">
      <c r="A366" t="str">
        <f>'L-Values'!A366</f>
        <v>CGI018-qtz03-CL-fit-4-offset</v>
      </c>
      <c r="B366">
        <v>750</v>
      </c>
      <c r="C366">
        <f t="shared" si="20"/>
        <v>6.6965312637759184E-25</v>
      </c>
      <c r="D366">
        <v>2100</v>
      </c>
      <c r="E366">
        <v>1024</v>
      </c>
      <c r="F366">
        <f t="shared" si="21"/>
        <v>2.05078125</v>
      </c>
      <c r="I366" s="2">
        <f>('L-Values'!E366*'D(Ti_Jollands) Times'!$F366*0.000001)^2/(4*'D(Ti_Jollands) Times'!$C366)/(365.35*24*3600)</f>
        <v>88754.634831695774</v>
      </c>
      <c r="J366" s="2">
        <f>('L-Values'!F366*'D(Ti_Jollands) Times'!$F366*0.000001)^2/(4*'D(Ti_Jollands) Times'!$C366)/(365.35*24*3600)</f>
        <v>146239.36445796484</v>
      </c>
      <c r="K366" s="2">
        <f>('L-Values'!G366*'D(Ti_Jollands) Times'!$F366*0.000001)^2/(4*'D(Ti_Jollands) Times'!$C366)/(365.35*24*3600)</f>
        <v>76556.298425406669</v>
      </c>
      <c r="L366" s="2">
        <f>('L-Values'!H366*'D(Ti_Jollands) Times'!$F366*0.000001)^2/(4*'D(Ti_Jollands) Times'!$C366)/(365.35*24*3600)</f>
        <v>146302.08134989292</v>
      </c>
      <c r="M366" s="2">
        <f>('L-Values'!I366*'D(Ti_Jollands) Times'!$F366*0.000001)^2/(4*'D(Ti_Jollands) Times'!$C366)/(365.35*24*3600)</f>
        <v>230405.29365558265</v>
      </c>
      <c r="N366" s="2">
        <f>('L-Values'!J366*'D(Ti_Jollands) Times'!$F366*0.000001)^2/(4*'D(Ti_Jollands) Times'!$C366)/(365.35*24*3600)</f>
        <v>230048.09646974539</v>
      </c>
      <c r="O366" s="2">
        <f>('L-Values'!K366*'D(Ti_Jollands) Times'!$F366*0.000001)^2/(4*'D(Ti_Jollands) Times'!$C366)/(365.35*24*3600)</f>
        <v>367560.76514002547</v>
      </c>
      <c r="P366" s="2">
        <f>('L-Values'!L366*'D(Ti_Jollands) Times'!$F366*0.000001)^2/(4*'D(Ti_Jollands) Times'!$C366)/(365.35*24*3600)</f>
        <v>430139.21152704669</v>
      </c>
      <c r="Q366" s="2">
        <f>('L-Values'!M366*'D(Ti_Jollands) Times'!$F366*0.000001)^2/(4*'D(Ti_Jollands) Times'!$C366)/(365.35*24*3600)</f>
        <v>552486.94760580279</v>
      </c>
      <c r="R366" s="2">
        <f>('L-Values'!N366*'D(Ti_Jollands) Times'!$F366*0.000001)^2/(4*'D(Ti_Jollands) Times'!$C366)/(365.35*24*3600)</f>
        <v>268623.90784613014</v>
      </c>
      <c r="S366" s="2">
        <f>('L-Values'!O366*'D(Ti_Jollands) Times'!$F366*0.000001)^2/(4*'D(Ti_Jollands) Times'!$C366)/(365.35*24*3600)</f>
        <v>434327.83541507396</v>
      </c>
      <c r="T366" s="2"/>
      <c r="U366" s="2">
        <f>('L-Values'!Q366*'D(Ti_Jollands) Times'!$F366*0.000001)^2/(4*'D(Ti_Jollands) Times'!$C366)/(365.35*24*3600)</f>
        <v>268801.14089550532</v>
      </c>
      <c r="V366" s="2">
        <f>('L-Values'!R366*'D(Ti_Jollands) Times'!$F366*0.000001)^2/(4*'D(Ti_Jollands) Times'!$C366)/(365.35*24*3600)</f>
        <v>248356.22490300194</v>
      </c>
      <c r="W366" s="2">
        <f>('L-Values'!S366*'D(Ti_Jollands) Times'!$F366*0.000001)^2/(4*'D(Ti_Jollands) Times'!$C366)/(365.35*24*3600)</f>
        <v>230405.29365558265</v>
      </c>
      <c r="X366" s="2"/>
      <c r="Y366" s="2">
        <f>('L-Values'!U366*'D(Ti_Jollands) Times'!$F366*0.000001)^2/(4*'D(Ti_Jollands) Times'!$C366)/(365.35*24*3600)</f>
        <v>276791.863818229</v>
      </c>
      <c r="Z366" s="2">
        <f>('L-Values'!V366*'D(Ti_Jollands) Times'!$F366*0.000001)^2/(4*'D(Ti_Jollands) Times'!$C366)/(365.35*24*3600)</f>
        <v>333221.24521238118</v>
      </c>
      <c r="AA366" s="2">
        <f>('L-Values'!W366*'D(Ti_Jollands) Times'!$F366*0.000001)^2/(4*'D(Ti_Jollands) Times'!$C366)/(365.35*24*3600)</f>
        <v>59407.641034697423</v>
      </c>
      <c r="AB366" s="2">
        <f>('L-Values'!X366*'D(Ti_Jollands) Times'!$F366*0.000001)^2/(4*'D(Ti_Jollands) Times'!$C366)/(365.35*24*3600)</f>
        <v>1232622.6193470603</v>
      </c>
      <c r="AC366" s="2">
        <f t="shared" si="22"/>
        <v>273813.60417768377</v>
      </c>
      <c r="AD366" s="2">
        <f t="shared" si="23"/>
        <v>899401.37413467909</v>
      </c>
    </row>
    <row r="367" spans="1:30" x14ac:dyDescent="0.2">
      <c r="A367" t="str">
        <f>'L-Values'!A367</f>
        <v>CGI018-qtz04-CL-fit-1-offset</v>
      </c>
      <c r="B367">
        <v>750</v>
      </c>
      <c r="C367">
        <f t="shared" si="20"/>
        <v>6.6965312637759184E-25</v>
      </c>
      <c r="D367">
        <v>1900</v>
      </c>
      <c r="E367">
        <v>1024</v>
      </c>
      <c r="F367">
        <f t="shared" si="21"/>
        <v>1.85546875</v>
      </c>
      <c r="I367" s="2">
        <f>('L-Values'!E367*'D(Ti_Jollands) Times'!$F367*0.000001)^2/(4*'D(Ti_Jollands) Times'!$C367)/(365.35*24*3600)</f>
        <v>674406.36374367494</v>
      </c>
      <c r="J367" s="2">
        <f>('L-Values'!F367*'D(Ti_Jollands) Times'!$F367*0.000001)^2/(4*'D(Ti_Jollands) Times'!$C367)/(365.35*24*3600)</f>
        <v>587032.31052693073</v>
      </c>
      <c r="K367" s="2">
        <f>('L-Values'!G367*'D(Ti_Jollands) Times'!$F367*0.000001)^2/(4*'D(Ti_Jollands) Times'!$C367)/(365.35*24*3600)</f>
        <v>408433.69403621828</v>
      </c>
      <c r="L367" s="2">
        <f>('L-Values'!H367*'D(Ti_Jollands) Times'!$F367*0.000001)^2/(4*'D(Ti_Jollands) Times'!$C367)/(365.35*24*3600)</f>
        <v>238984.08205445984</v>
      </c>
      <c r="M367" s="2">
        <f>('L-Values'!I367*'D(Ti_Jollands) Times'!$F367*0.000001)^2/(4*'D(Ti_Jollands) Times'!$C367)/(365.35*24*3600)</f>
        <v>450086.95797019353</v>
      </c>
      <c r="N367" s="2">
        <f>('L-Values'!J367*'D(Ti_Jollands) Times'!$F367*0.000001)^2/(4*'D(Ti_Jollands) Times'!$C367)/(365.35*24*3600)</f>
        <v>308733.48042511329</v>
      </c>
      <c r="O367" s="2">
        <f>('L-Values'!K367*'D(Ti_Jollands) Times'!$F367*0.000001)^2/(4*'D(Ti_Jollands) Times'!$C367)/(365.35*24*3600)</f>
        <v>236480.8683334805</v>
      </c>
      <c r="P367" s="2">
        <f>('L-Values'!L367*'D(Ti_Jollands) Times'!$F367*0.000001)^2/(4*'D(Ti_Jollands) Times'!$C367)/(365.35*24*3600)</f>
        <v>905487.21549084794</v>
      </c>
      <c r="Q367" s="2">
        <f>('L-Values'!M367*'D(Ti_Jollands) Times'!$F367*0.000001)^2/(4*'D(Ti_Jollands) Times'!$C367)/(365.35*24*3600)</f>
        <v>536564.32056887809</v>
      </c>
      <c r="R367" s="2">
        <f>('L-Values'!N367*'D(Ti_Jollands) Times'!$F367*0.000001)^2/(4*'D(Ti_Jollands) Times'!$C367)/(365.35*24*3600)</f>
        <v>729872.34432632232</v>
      </c>
      <c r="S367" s="2">
        <f>('L-Values'!O367*'D(Ti_Jollands) Times'!$F367*0.000001)^2/(4*'D(Ti_Jollands) Times'!$C367)/(365.35*24*3600)</f>
        <v>308937.7608698993</v>
      </c>
      <c r="T367" s="2"/>
      <c r="U367" s="2">
        <f>('L-Values'!Q367*'D(Ti_Jollands) Times'!$F367*0.000001)^2/(4*'D(Ti_Jollands) Times'!$C367)/(365.35*24*3600)</f>
        <v>504104.21007435495</v>
      </c>
      <c r="V367" s="2">
        <f>('L-Values'!R367*'D(Ti_Jollands) Times'!$F367*0.000001)^2/(4*'D(Ti_Jollands) Times'!$C367)/(365.35*24*3600)</f>
        <v>467655.90342899144</v>
      </c>
      <c r="W367" s="2">
        <f>('L-Values'!S367*'D(Ti_Jollands) Times'!$F367*0.000001)^2/(4*'D(Ti_Jollands) Times'!$C367)/(365.35*24*3600)</f>
        <v>450086.95797019353</v>
      </c>
      <c r="X367" s="2"/>
      <c r="Y367" s="2">
        <f>('L-Values'!U367*'D(Ti_Jollands) Times'!$F367*0.000001)^2/(4*'D(Ti_Jollands) Times'!$C367)/(365.35*24*3600)</f>
        <v>485794.49894605979</v>
      </c>
      <c r="Z367" s="2">
        <f>('L-Values'!V367*'D(Ti_Jollands) Times'!$F367*0.000001)^2/(4*'D(Ti_Jollands) Times'!$C367)/(365.35*24*3600)</f>
        <v>484746.54173245351</v>
      </c>
      <c r="AA367" s="2">
        <f>('L-Values'!W367*'D(Ti_Jollands) Times'!$F367*0.000001)^2/(4*'D(Ti_Jollands) Times'!$C367)/(365.35*24*3600)</f>
        <v>76899.568958531003</v>
      </c>
      <c r="AB367" s="2">
        <f>('L-Values'!X367*'D(Ti_Jollands) Times'!$F367*0.000001)^2/(4*'D(Ti_Jollands) Times'!$C367)/(365.35*24*3600)</f>
        <v>1093998.0712381799</v>
      </c>
      <c r="AC367" s="2">
        <f t="shared" si="22"/>
        <v>407846.97277392249</v>
      </c>
      <c r="AD367" s="2">
        <f t="shared" si="23"/>
        <v>609251.52950572642</v>
      </c>
    </row>
    <row r="368" spans="1:30" x14ac:dyDescent="0.2">
      <c r="A368" t="str">
        <f>'L-Values'!A368</f>
        <v>CGI018-qtz04-CL-fit-2-offset</v>
      </c>
      <c r="B368">
        <v>750</v>
      </c>
      <c r="C368">
        <f t="shared" si="20"/>
        <v>6.6965312637759184E-25</v>
      </c>
      <c r="D368">
        <v>1900</v>
      </c>
      <c r="E368">
        <v>1024</v>
      </c>
      <c r="F368">
        <f t="shared" si="21"/>
        <v>1.85546875</v>
      </c>
      <c r="I368" s="2">
        <f>('L-Values'!E368*'D(Ti_Jollands) Times'!$F368*0.000001)^2/(4*'D(Ti_Jollands) Times'!$C368)/(365.35*24*3600)</f>
        <v>0</v>
      </c>
      <c r="J368" s="2">
        <f>('L-Values'!F368*'D(Ti_Jollands) Times'!$F368*0.000001)^2/(4*'D(Ti_Jollands) Times'!$C368)/(365.35*24*3600)</f>
        <v>392741.38669228903</v>
      </c>
      <c r="K368" s="2">
        <f>('L-Values'!G368*'D(Ti_Jollands) Times'!$F368*0.000001)^2/(4*'D(Ti_Jollands) Times'!$C368)/(365.35*24*3600)</f>
        <v>668077.88954982162</v>
      </c>
      <c r="L368" s="2">
        <f>('L-Values'!H368*'D(Ti_Jollands) Times'!$F368*0.000001)^2/(4*'D(Ti_Jollands) Times'!$C368)/(365.35*24*3600)</f>
        <v>723539.66402886959</v>
      </c>
      <c r="M368" s="2">
        <f>('L-Values'!I368*'D(Ti_Jollands) Times'!$F368*0.000001)^2/(4*'D(Ti_Jollands) Times'!$C368)/(365.35*24*3600)</f>
        <v>458617.13962375646</v>
      </c>
      <c r="N368" s="2">
        <f>('L-Values'!J368*'D(Ti_Jollands) Times'!$F368*0.000001)^2/(4*'D(Ti_Jollands) Times'!$C368)/(365.35*24*3600)</f>
        <v>828040.58259617642</v>
      </c>
      <c r="O368" s="2">
        <f>('L-Values'!K368*'D(Ti_Jollands) Times'!$F368*0.000001)^2/(4*'D(Ti_Jollands) Times'!$C368)/(365.35*24*3600)</f>
        <v>276378.64623997989</v>
      </c>
      <c r="P368" s="2">
        <f>('L-Values'!L368*'D(Ti_Jollands) Times'!$F368*0.000001)^2/(4*'D(Ti_Jollands) Times'!$C368)/(365.35*24*3600)</f>
        <v>651051.55057814659</v>
      </c>
      <c r="Q368" s="2">
        <f>('L-Values'!M368*'D(Ti_Jollands) Times'!$F368*0.000001)^2/(4*'D(Ti_Jollands) Times'!$C368)/(365.35*24*3600)</f>
        <v>515813.92824423593</v>
      </c>
      <c r="R368" s="2">
        <f>('L-Values'!N368*'D(Ti_Jollands) Times'!$F368*0.000001)^2/(4*'D(Ti_Jollands) Times'!$C368)/(365.35*24*3600)</f>
        <v>1086395.7556087216</v>
      </c>
      <c r="S368" s="2">
        <f>('L-Values'!O368*'D(Ti_Jollands) Times'!$F368*0.000001)^2/(4*'D(Ti_Jollands) Times'!$C368)/(365.35*24*3600)</f>
        <v>174466.02220574947</v>
      </c>
      <c r="T368" s="2"/>
      <c r="U368" s="2">
        <f>('L-Values'!Q368*'D(Ti_Jollands) Times'!$F368*0.000001)^2/(4*'D(Ti_Jollands) Times'!$C368)/(365.35*24*3600)</f>
        <v>540463.65270568209</v>
      </c>
      <c r="V368" s="2">
        <f>('L-Values'!R368*'D(Ti_Jollands) Times'!$F368*0.000001)^2/(4*'D(Ti_Jollands) Times'!$C368)/(365.35*24*3600)</f>
        <v>546510.34644083516</v>
      </c>
      <c r="W368" s="2">
        <f>('L-Values'!S368*'D(Ti_Jollands) Times'!$F368*0.000001)^2/(4*'D(Ti_Jollands) Times'!$C368)/(365.35*24*3600)</f>
        <v>581466.89075483161</v>
      </c>
      <c r="X368" s="2"/>
      <c r="Y368" s="2">
        <f>('L-Values'!U368*'D(Ti_Jollands) Times'!$F368*0.000001)^2/(4*'D(Ti_Jollands) Times'!$C368)/(365.35*24*3600)</f>
        <v>534931.94726843329</v>
      </c>
      <c r="Z368" s="2">
        <f>('L-Values'!V368*'D(Ti_Jollands) Times'!$F368*0.000001)^2/(4*'D(Ti_Jollands) Times'!$C368)/(365.35*24*3600)</f>
        <v>569653.98326577619</v>
      </c>
      <c r="AA368" s="2">
        <f>('L-Values'!W368*'D(Ti_Jollands) Times'!$F368*0.000001)^2/(4*'D(Ti_Jollands) Times'!$C368)/(365.35*24*3600)</f>
        <v>116554.51160585521</v>
      </c>
      <c r="AB368" s="2">
        <f>('L-Values'!X368*'D(Ti_Jollands) Times'!$F368*0.000001)^2/(4*'D(Ti_Jollands) Times'!$C368)/(365.35*24*3600)</f>
        <v>1931564.5912305794</v>
      </c>
      <c r="AC368" s="2">
        <f t="shared" si="22"/>
        <v>453099.47165992099</v>
      </c>
      <c r="AD368" s="2">
        <f t="shared" si="23"/>
        <v>1361910.6079648032</v>
      </c>
    </row>
    <row r="369" spans="1:30" x14ac:dyDescent="0.2">
      <c r="A369" t="str">
        <f>'L-Values'!A369</f>
        <v>CGI018-qtz04-CL-fit-3-offset</v>
      </c>
      <c r="B369">
        <v>750</v>
      </c>
      <c r="C369">
        <f t="shared" si="20"/>
        <v>6.6965312637759184E-25</v>
      </c>
      <c r="D369">
        <v>1900</v>
      </c>
      <c r="E369">
        <v>1024</v>
      </c>
      <c r="F369">
        <f t="shared" si="21"/>
        <v>1.85546875</v>
      </c>
      <c r="I369" s="2">
        <f>('L-Values'!E369*'D(Ti_Jollands) Times'!$F369*0.000001)^2/(4*'D(Ti_Jollands) Times'!$C369)/(365.35*24*3600)</f>
        <v>224722.87508692764</v>
      </c>
      <c r="J369" s="2">
        <f>('L-Values'!F369*'D(Ti_Jollands) Times'!$F369*0.000001)^2/(4*'D(Ti_Jollands) Times'!$C369)/(365.35*24*3600)</f>
        <v>63824.934079992549</v>
      </c>
      <c r="K369" s="2">
        <f>('L-Values'!G369*'D(Ti_Jollands) Times'!$F369*0.000001)^2/(4*'D(Ti_Jollands) Times'!$C369)/(365.35*24*3600)</f>
        <v>129228.41576581002</v>
      </c>
      <c r="L369" s="2">
        <f>('L-Values'!H369*'D(Ti_Jollands) Times'!$F369*0.000001)^2/(4*'D(Ti_Jollands) Times'!$C369)/(365.35*24*3600)</f>
        <v>164668.92417165305</v>
      </c>
      <c r="M369" s="2">
        <f>('L-Values'!I369*'D(Ti_Jollands) Times'!$F369*0.000001)^2/(4*'D(Ti_Jollands) Times'!$C369)/(365.35*24*3600)</f>
        <v>146413.53300930033</v>
      </c>
      <c r="N369" s="2">
        <f>('L-Values'!J369*'D(Ti_Jollands) Times'!$F369*0.000001)^2/(4*'D(Ti_Jollands) Times'!$C369)/(365.35*24*3600)</f>
        <v>98672.891356749213</v>
      </c>
      <c r="O369" s="2">
        <f>('L-Values'!K369*'D(Ti_Jollands) Times'!$F369*0.000001)^2/(4*'D(Ti_Jollands) Times'!$C369)/(365.35*24*3600)</f>
        <v>123406.39626560443</v>
      </c>
      <c r="P369" s="2">
        <f>('L-Values'!L369*'D(Ti_Jollands) Times'!$F369*0.000001)^2/(4*'D(Ti_Jollands) Times'!$C369)/(365.35*24*3600)</f>
        <v>123452.51197904834</v>
      </c>
      <c r="Q369" s="2">
        <f>('L-Values'!M369*'D(Ti_Jollands) Times'!$F369*0.000001)^2/(4*'D(Ti_Jollands) Times'!$C369)/(365.35*24*3600)</f>
        <v>119768.61234343931</v>
      </c>
      <c r="R369" s="2">
        <f>('L-Values'!N369*'D(Ti_Jollands) Times'!$F369*0.000001)^2/(4*'D(Ti_Jollands) Times'!$C369)/(365.35*24*3600)</f>
        <v>161237.1441911571</v>
      </c>
      <c r="S369" s="2">
        <f>('L-Values'!O369*'D(Ti_Jollands) Times'!$F369*0.000001)^2/(4*'D(Ti_Jollands) Times'!$C369)/(365.35*24*3600)</f>
        <v>239536.71811958111</v>
      </c>
      <c r="T369" s="2"/>
      <c r="U369" s="2">
        <f>('L-Values'!Q369*'D(Ti_Jollands) Times'!$F369*0.000001)^2/(4*'D(Ti_Jollands) Times'!$C369)/(365.35*24*3600)</f>
        <v>147962.28284328606</v>
      </c>
      <c r="V369" s="2">
        <f>('L-Values'!R369*'D(Ti_Jollands) Times'!$F369*0.000001)^2/(4*'D(Ti_Jollands) Times'!$C369)/(365.35*24*3600)</f>
        <v>140858.32580886976</v>
      </c>
      <c r="W369" s="2">
        <f>('L-Values'!S369*'D(Ti_Jollands) Times'!$F369*0.000001)^2/(4*'D(Ti_Jollands) Times'!$C369)/(365.35*24*3600)</f>
        <v>129228.41576581002</v>
      </c>
      <c r="X369" s="2"/>
      <c r="Y369" s="2">
        <f>('L-Values'!U369*'D(Ti_Jollands) Times'!$F369*0.000001)^2/(4*'D(Ti_Jollands) Times'!$C369)/(365.35*24*3600)</f>
        <v>143843.52401983432</v>
      </c>
      <c r="Z369" s="2">
        <f>('L-Values'!V369*'D(Ti_Jollands) Times'!$F369*0.000001)^2/(4*'D(Ti_Jollands) Times'!$C369)/(365.35*24*3600)</f>
        <v>138529.37684597768</v>
      </c>
      <c r="AA369" s="2">
        <f>('L-Values'!W369*'D(Ti_Jollands) Times'!$F369*0.000001)^2/(4*'D(Ti_Jollands) Times'!$C369)/(365.35*24*3600)</f>
        <v>30005.206988526661</v>
      </c>
      <c r="AB369" s="2">
        <f>('L-Values'!X369*'D(Ti_Jollands) Times'!$F369*0.000001)^2/(4*'D(Ti_Jollands) Times'!$C369)/(365.35*24*3600)</f>
        <v>283040.27616139624</v>
      </c>
      <c r="AC369" s="2">
        <f t="shared" si="22"/>
        <v>108524.16985745102</v>
      </c>
      <c r="AD369" s="2">
        <f t="shared" si="23"/>
        <v>144510.89931541856</v>
      </c>
    </row>
    <row r="370" spans="1:30" x14ac:dyDescent="0.2">
      <c r="A370" t="str">
        <f>'L-Values'!A370</f>
        <v>CGI018-qtz04-CL-fit-4-offset</v>
      </c>
      <c r="B370">
        <v>750</v>
      </c>
      <c r="C370">
        <f t="shared" si="20"/>
        <v>6.6965312637759184E-25</v>
      </c>
      <c r="D370">
        <v>1900</v>
      </c>
      <c r="E370">
        <v>1024</v>
      </c>
      <c r="F370">
        <f t="shared" si="21"/>
        <v>1.85546875</v>
      </c>
      <c r="I370" s="2">
        <f>('L-Values'!E370*'D(Ti_Jollands) Times'!$F370*0.000001)^2/(4*'D(Ti_Jollands) Times'!$C370)/(365.35*24*3600)</f>
        <v>247454.00888840403</v>
      </c>
      <c r="J370" s="2">
        <f>('L-Values'!F370*'D(Ti_Jollands) Times'!$F370*0.000001)^2/(4*'D(Ti_Jollands) Times'!$C370)/(365.35*24*3600)</f>
        <v>203378.86489087265</v>
      </c>
      <c r="K370" s="2">
        <f>('L-Values'!G370*'D(Ti_Jollands) Times'!$F370*0.000001)^2/(4*'D(Ti_Jollands) Times'!$C370)/(365.35*24*3600)</f>
        <v>175626.05865285874</v>
      </c>
      <c r="L370" s="2">
        <f>('L-Values'!H370*'D(Ti_Jollands) Times'!$F370*0.000001)^2/(4*'D(Ti_Jollands) Times'!$C370)/(365.35*24*3600)</f>
        <v>0</v>
      </c>
      <c r="M370" s="2">
        <f>('L-Values'!I370*'D(Ti_Jollands) Times'!$F370*0.000001)^2/(4*'D(Ti_Jollands) Times'!$C370)/(365.35*24*3600)</f>
        <v>254925.48874292069</v>
      </c>
      <c r="N370" s="2">
        <f>('L-Values'!J370*'D(Ti_Jollands) Times'!$F370*0.000001)^2/(4*'D(Ti_Jollands) Times'!$C370)/(365.35*24*3600)</f>
        <v>175994.23685246115</v>
      </c>
      <c r="O370" s="2">
        <f>('L-Values'!K370*'D(Ti_Jollands) Times'!$F370*0.000001)^2/(4*'D(Ti_Jollands) Times'!$C370)/(365.35*24*3600)</f>
        <v>230147.77962439728</v>
      </c>
      <c r="P370" s="2">
        <f>('L-Values'!L370*'D(Ti_Jollands) Times'!$F370*0.000001)^2/(4*'D(Ti_Jollands) Times'!$C370)/(365.35*24*3600)</f>
        <v>238741.29318854408</v>
      </c>
      <c r="Q370" s="2">
        <f>('L-Values'!M370*'D(Ti_Jollands) Times'!$F370*0.000001)^2/(4*'D(Ti_Jollands) Times'!$C370)/(365.35*24*3600)</f>
        <v>66804.063868004436</v>
      </c>
      <c r="R370" s="2">
        <f>('L-Values'!N370*'D(Ti_Jollands) Times'!$F370*0.000001)^2/(4*'D(Ti_Jollands) Times'!$C370)/(365.35*24*3600)</f>
        <v>220666.44329374787</v>
      </c>
      <c r="S370" s="2">
        <f>('L-Values'!O370*'D(Ti_Jollands) Times'!$F370*0.000001)^2/(4*'D(Ti_Jollands) Times'!$C370)/(365.35*24*3600)</f>
        <v>122434.5532522783</v>
      </c>
      <c r="T370" s="2"/>
      <c r="U370" s="2">
        <f>('L-Values'!Q370*'D(Ti_Jollands) Times'!$F370*0.000001)^2/(4*'D(Ti_Jollands) Times'!$C370)/(365.35*24*3600)</f>
        <v>198597.18928371131</v>
      </c>
      <c r="V370" s="2">
        <f>('L-Values'!R370*'D(Ti_Jollands) Times'!$F370*0.000001)^2/(4*'D(Ti_Jollands) Times'!$C370)/(365.35*24*3600)</f>
        <v>188216.30355461978</v>
      </c>
      <c r="W370" s="2">
        <f>('L-Values'!S370*'D(Ti_Jollands) Times'!$F370*0.000001)^2/(4*'D(Ti_Jollands) Times'!$C370)/(365.35*24*3600)</f>
        <v>211934.51945059095</v>
      </c>
      <c r="X370" s="2"/>
      <c r="Y370" s="2">
        <f>('L-Values'!U370*'D(Ti_Jollands) Times'!$F370*0.000001)^2/(4*'D(Ti_Jollands) Times'!$C370)/(365.35*24*3600)</f>
        <v>194948.64083954704</v>
      </c>
      <c r="Z370" s="2">
        <f>('L-Values'!V370*'D(Ti_Jollands) Times'!$F370*0.000001)^2/(4*'D(Ti_Jollands) Times'!$C370)/(365.35*24*3600)</f>
        <v>199770.24099966817</v>
      </c>
      <c r="AA370" s="2">
        <f>('L-Values'!W370*'D(Ti_Jollands) Times'!$F370*0.000001)^2/(4*'D(Ti_Jollands) Times'!$C370)/(365.35*24*3600)</f>
        <v>29781.847826328285</v>
      </c>
      <c r="AB370" s="2">
        <f>('L-Values'!X370*'D(Ti_Jollands) Times'!$F370*0.000001)^2/(4*'D(Ti_Jollands) Times'!$C370)/(365.35*24*3600)</f>
        <v>628658.64292963513</v>
      </c>
      <c r="AC370" s="2">
        <f t="shared" si="22"/>
        <v>169988.39317333989</v>
      </c>
      <c r="AD370" s="2">
        <f t="shared" si="23"/>
        <v>428888.40192996699</v>
      </c>
    </row>
    <row r="371" spans="1:30" x14ac:dyDescent="0.2">
      <c r="A371" t="str">
        <f>'L-Values'!A371</f>
        <v>CGI018-qtz05-CL-fit-1-offset</v>
      </c>
      <c r="B371">
        <v>750</v>
      </c>
      <c r="C371">
        <f t="shared" si="20"/>
        <v>6.6965312637759184E-25</v>
      </c>
      <c r="D371">
        <v>1600</v>
      </c>
      <c r="E371">
        <v>1024</v>
      </c>
      <c r="F371">
        <f t="shared" si="21"/>
        <v>1.5625</v>
      </c>
      <c r="I371" s="2">
        <f>('L-Values'!E371*'D(Ti_Jollands) Times'!$F371*0.000001)^2/(4*'D(Ti_Jollands) Times'!$C371)/(365.35*24*3600)</f>
        <v>1892.445663986817</v>
      </c>
      <c r="J371" s="2">
        <f>('L-Values'!F371*'D(Ti_Jollands) Times'!$F371*0.000001)^2/(4*'D(Ti_Jollands) Times'!$C371)/(365.35*24*3600)</f>
        <v>1612.8481918348998</v>
      </c>
      <c r="K371" s="2">
        <f>('L-Values'!G371*'D(Ti_Jollands) Times'!$F371*0.000001)^2/(4*'D(Ti_Jollands) Times'!$C371)/(365.35*24*3600)</f>
        <v>47.544818230486037</v>
      </c>
      <c r="L371" s="2">
        <f>('L-Values'!H371*'D(Ti_Jollands) Times'!$F371*0.000001)^2/(4*'D(Ti_Jollands) Times'!$C371)/(365.35*24*3600)</f>
        <v>1382.7373514568933</v>
      </c>
      <c r="M371" s="2">
        <f>('L-Values'!I371*'D(Ti_Jollands) Times'!$F371*0.000001)^2/(4*'D(Ti_Jollands) Times'!$C371)/(365.35*24*3600)</f>
        <v>70854.58014894728</v>
      </c>
      <c r="N371" s="2">
        <f>('L-Values'!J371*'D(Ti_Jollands) Times'!$F371*0.000001)^2/(4*'D(Ti_Jollands) Times'!$C371)/(365.35*24*3600)</f>
        <v>1510.0650492080701</v>
      </c>
      <c r="O371" s="2">
        <f>('L-Values'!K371*'D(Ti_Jollands) Times'!$F371*0.000001)^2/(4*'D(Ti_Jollands) Times'!$C371)/(365.35*24*3600)</f>
        <v>4415.5952129706047</v>
      </c>
      <c r="P371" s="2">
        <f>('L-Values'!L371*'D(Ti_Jollands) Times'!$F371*0.000001)^2/(4*'D(Ti_Jollands) Times'!$C371)/(365.35*24*3600)</f>
        <v>68272.664688327772</v>
      </c>
      <c r="Q371" s="2">
        <f>('L-Values'!M371*'D(Ti_Jollands) Times'!$F371*0.000001)^2/(4*'D(Ti_Jollands) Times'!$C371)/(365.35*24*3600)</f>
        <v>262932.06586067448</v>
      </c>
      <c r="R371" s="2">
        <f>('L-Values'!N371*'D(Ti_Jollands) Times'!$F371*0.000001)^2/(4*'D(Ti_Jollands) Times'!$C371)/(365.35*24*3600)</f>
        <v>4373.023716729278</v>
      </c>
      <c r="S371" s="2">
        <f>('L-Values'!O371*'D(Ti_Jollands) Times'!$F371*0.000001)^2/(4*'D(Ti_Jollands) Times'!$C371)/(365.35*24*3600)</f>
        <v>232270.2540847779</v>
      </c>
      <c r="T371" s="2"/>
      <c r="U371" s="2">
        <f>('L-Values'!Q371*'D(Ti_Jollands) Times'!$F371*0.000001)^2/(4*'D(Ti_Jollands) Times'!$C371)/(365.35*24*3600)</f>
        <v>142347.40650120474</v>
      </c>
      <c r="V371" s="2">
        <f>('L-Values'!R371*'D(Ti_Jollands) Times'!$F371*0.000001)^2/(4*'D(Ti_Jollands) Times'!$C371)/(365.35*24*3600)</f>
        <v>27416.441558886658</v>
      </c>
      <c r="W371" s="2">
        <f>('L-Values'!S371*'D(Ti_Jollands) Times'!$F371*0.000001)^2/(4*'D(Ti_Jollands) Times'!$C371)/(365.35*24*3600)</f>
        <v>4373.023716729278</v>
      </c>
      <c r="X371" s="2"/>
      <c r="Y371" s="2">
        <f>('L-Values'!U371*'D(Ti_Jollands) Times'!$F371*0.000001)^2/(4*'D(Ti_Jollands) Times'!$C371)/(365.35*24*3600)</f>
        <v>64329.079852014016</v>
      </c>
      <c r="Z371" s="2">
        <f>('L-Values'!V371*'D(Ti_Jollands) Times'!$F371*0.000001)^2/(4*'D(Ti_Jollands) Times'!$C371)/(365.35*24*3600)</f>
        <v>285674.5302029755</v>
      </c>
      <c r="AA371" s="2">
        <f>('L-Values'!W371*'D(Ti_Jollands) Times'!$F371*0.000001)^2/(4*'D(Ti_Jollands) Times'!$C371)/(365.35*24*3600)</f>
        <v>3.4568643374621767E-8</v>
      </c>
      <c r="AB371" s="2">
        <f>('L-Values'!X371*'D(Ti_Jollands) Times'!$F371*0.000001)^2/(4*'D(Ti_Jollands) Times'!$C371)/(365.35*24*3600)</f>
        <v>22818068.508995425</v>
      </c>
      <c r="AC371" s="2">
        <f t="shared" si="22"/>
        <v>285674.53020294092</v>
      </c>
      <c r="AD371" s="2">
        <f t="shared" si="23"/>
        <v>22532393.978792451</v>
      </c>
    </row>
    <row r="372" spans="1:30" x14ac:dyDescent="0.2">
      <c r="A372" t="str">
        <f>'L-Values'!A372</f>
        <v>CGI018-qtz05-CL-fit-2-offset</v>
      </c>
      <c r="B372">
        <v>750</v>
      </c>
      <c r="C372">
        <f t="shared" si="20"/>
        <v>6.6965312637759184E-25</v>
      </c>
      <c r="D372">
        <v>1600</v>
      </c>
      <c r="E372">
        <v>1024</v>
      </c>
      <c r="F372">
        <f t="shared" si="21"/>
        <v>1.5625</v>
      </c>
      <c r="I372" s="2">
        <f>('L-Values'!E372*'D(Ti_Jollands) Times'!$F372*0.000001)^2/(4*'D(Ti_Jollands) Times'!$C372)/(365.35*24*3600)</f>
        <v>576688.22557165474</v>
      </c>
      <c r="J372" s="2">
        <f>('L-Values'!F372*'D(Ti_Jollands) Times'!$F372*0.000001)^2/(4*'D(Ti_Jollands) Times'!$C372)/(365.35*24*3600)</f>
        <v>348791.01307902631</v>
      </c>
      <c r="K372" s="2">
        <f>('L-Values'!G372*'D(Ti_Jollands) Times'!$F372*0.000001)^2/(4*'D(Ti_Jollands) Times'!$C372)/(365.35*24*3600)</f>
        <v>382082.00834665436</v>
      </c>
      <c r="L372" s="2">
        <f>('L-Values'!H372*'D(Ti_Jollands) Times'!$F372*0.000001)^2/(4*'D(Ti_Jollands) Times'!$C372)/(365.35*24*3600)</f>
        <v>380699.69890858466</v>
      </c>
      <c r="M372" s="2">
        <f>('L-Values'!I372*'D(Ti_Jollands) Times'!$F372*0.000001)^2/(4*'D(Ti_Jollands) Times'!$C372)/(365.35*24*3600)</f>
        <v>242199.63823366698</v>
      </c>
      <c r="N372" s="2">
        <f>('L-Values'!J372*'D(Ti_Jollands) Times'!$F372*0.000001)^2/(4*'D(Ti_Jollands) Times'!$C372)/(365.35*24*3600)</f>
        <v>281349.57090371149</v>
      </c>
      <c r="O372" s="2">
        <f>('L-Values'!K372*'D(Ti_Jollands) Times'!$F372*0.000001)^2/(4*'D(Ti_Jollands) Times'!$C372)/(365.35*24*3600)</f>
        <v>206346.76943556094</v>
      </c>
      <c r="P372" s="2">
        <f>('L-Values'!L372*'D(Ti_Jollands) Times'!$F372*0.000001)^2/(4*'D(Ti_Jollands) Times'!$C372)/(365.35*24*3600)</f>
        <v>303874.84778902476</v>
      </c>
      <c r="Q372" s="2">
        <f>('L-Values'!M372*'D(Ti_Jollands) Times'!$F372*0.000001)^2/(4*'D(Ti_Jollands) Times'!$C372)/(365.35*24*3600)</f>
        <v>201359.19604620602</v>
      </c>
      <c r="R372" s="2">
        <f>('L-Values'!N372*'D(Ti_Jollands) Times'!$F372*0.000001)^2/(4*'D(Ti_Jollands) Times'!$C372)/(365.35*24*3600)</f>
        <v>554585.6155563792</v>
      </c>
      <c r="S372" s="2">
        <f>('L-Values'!O372*'D(Ti_Jollands) Times'!$F372*0.000001)^2/(4*'D(Ti_Jollands) Times'!$C372)/(365.35*24*3600)</f>
        <v>553151.24874129868</v>
      </c>
      <c r="T372" s="2"/>
      <c r="U372" s="2">
        <f>('L-Values'!Q372*'D(Ti_Jollands) Times'!$F372*0.000001)^2/(4*'D(Ti_Jollands) Times'!$C372)/(365.35*24*3600)</f>
        <v>352948.60859740723</v>
      </c>
      <c r="V372" s="2">
        <f>('L-Values'!R372*'D(Ti_Jollands) Times'!$F372*0.000001)^2/(4*'D(Ti_Jollands) Times'!$C372)/(365.35*24*3600)</f>
        <v>354605.42894374824</v>
      </c>
      <c r="W372" s="2">
        <f>('L-Values'!S372*'D(Ti_Jollands) Times'!$F372*0.000001)^2/(4*'D(Ti_Jollands) Times'!$C372)/(365.35*24*3600)</f>
        <v>348791.01307902631</v>
      </c>
      <c r="X372" s="2"/>
      <c r="Y372" s="2">
        <f>('L-Values'!U372*'D(Ti_Jollands) Times'!$F372*0.000001)^2/(4*'D(Ti_Jollands) Times'!$C372)/(365.35*24*3600)</f>
        <v>346376.18167556345</v>
      </c>
      <c r="Z372" s="2">
        <f>('L-Values'!V372*'D(Ti_Jollands) Times'!$F372*0.000001)^2/(4*'D(Ti_Jollands) Times'!$C372)/(365.35*24*3600)</f>
        <v>357193.1279275199</v>
      </c>
      <c r="AA372" s="2">
        <f>('L-Values'!W372*'D(Ti_Jollands) Times'!$F372*0.000001)^2/(4*'D(Ti_Jollands) Times'!$C372)/(365.35*24*3600)</f>
        <v>62647.871014831166</v>
      </c>
      <c r="AB372" s="2">
        <f>('L-Values'!X372*'D(Ti_Jollands) Times'!$F372*0.000001)^2/(4*'D(Ti_Jollands) Times'!$C372)/(365.35*24*3600)</f>
        <v>1020730.1139300551</v>
      </c>
      <c r="AC372" s="2">
        <f t="shared" si="22"/>
        <v>294545.25691268872</v>
      </c>
      <c r="AD372" s="2">
        <f t="shared" si="23"/>
        <v>663536.98600253509</v>
      </c>
    </row>
    <row r="373" spans="1:30" x14ac:dyDescent="0.2">
      <c r="A373" t="str">
        <f>'L-Values'!A373</f>
        <v>CGI018-qtz05-CL-fit-3-offset</v>
      </c>
      <c r="B373">
        <v>750</v>
      </c>
      <c r="C373">
        <f t="shared" si="20"/>
        <v>6.6965312637759184E-25</v>
      </c>
      <c r="D373">
        <v>1600</v>
      </c>
      <c r="E373">
        <v>1024</v>
      </c>
      <c r="F373">
        <f t="shared" si="21"/>
        <v>1.5625</v>
      </c>
      <c r="I373" s="2">
        <f>('L-Values'!E373*'D(Ti_Jollands) Times'!$F373*0.000001)^2/(4*'D(Ti_Jollands) Times'!$C373)/(365.35*24*3600)</f>
        <v>430497.03675337695</v>
      </c>
      <c r="J373" s="2">
        <f>('L-Values'!F373*'D(Ti_Jollands) Times'!$F373*0.000001)^2/(4*'D(Ti_Jollands) Times'!$C373)/(365.35*24*3600)</f>
        <v>277942.73079906672</v>
      </c>
      <c r="K373" s="2">
        <f>('L-Values'!G373*'D(Ti_Jollands) Times'!$F373*0.000001)^2/(4*'D(Ti_Jollands) Times'!$C373)/(365.35*24*3600)</f>
        <v>287933.56036183174</v>
      </c>
      <c r="L373" s="2">
        <f>('L-Values'!H373*'D(Ti_Jollands) Times'!$F373*0.000001)^2/(4*'D(Ti_Jollands) Times'!$C373)/(365.35*24*3600)</f>
        <v>92849.334682649584</v>
      </c>
      <c r="M373" s="2">
        <f>('L-Values'!I373*'D(Ti_Jollands) Times'!$F373*0.000001)^2/(4*'D(Ti_Jollands) Times'!$C373)/(365.35*24*3600)</f>
        <v>191397.07886375059</v>
      </c>
      <c r="N373" s="2">
        <f>('L-Values'!J373*'D(Ti_Jollands) Times'!$F373*0.000001)^2/(4*'D(Ti_Jollands) Times'!$C373)/(365.35*24*3600)</f>
        <v>163153.40979097327</v>
      </c>
      <c r="O373" s="2">
        <f>('L-Values'!K373*'D(Ti_Jollands) Times'!$F373*0.000001)^2/(4*'D(Ti_Jollands) Times'!$C373)/(365.35*24*3600)</f>
        <v>309674.76278924523</v>
      </c>
      <c r="P373" s="2">
        <f>('L-Values'!L373*'D(Ti_Jollands) Times'!$F373*0.000001)^2/(4*'D(Ti_Jollands) Times'!$C373)/(365.35*24*3600)</f>
        <v>279665.37778323842</v>
      </c>
      <c r="Q373" s="2">
        <f>('L-Values'!M373*'D(Ti_Jollands) Times'!$F373*0.000001)^2/(4*'D(Ti_Jollands) Times'!$C373)/(365.35*24*3600)</f>
        <v>263920.69186324376</v>
      </c>
      <c r="R373" s="2">
        <f>('L-Values'!N373*'D(Ti_Jollands) Times'!$F373*0.000001)^2/(4*'D(Ti_Jollands) Times'!$C373)/(365.35*24*3600)</f>
        <v>485922.32149086823</v>
      </c>
      <c r="S373" s="2">
        <f>('L-Values'!O373*'D(Ti_Jollands) Times'!$F373*0.000001)^2/(4*'D(Ti_Jollands) Times'!$C373)/(365.35*24*3600)</f>
        <v>275619.05752030987</v>
      </c>
      <c r="T373" s="2"/>
      <c r="U373" s="2">
        <f>('L-Values'!Q373*'D(Ti_Jollands) Times'!$F373*0.000001)^2/(4*'D(Ti_Jollands) Times'!$C373)/(365.35*24*3600)</f>
        <v>301308.65038640588</v>
      </c>
      <c r="V373" s="2">
        <f>('L-Values'!R373*'D(Ti_Jollands) Times'!$F373*0.000001)^2/(4*'D(Ti_Jollands) Times'!$C373)/(365.35*24*3600)</f>
        <v>267304.96457160951</v>
      </c>
      <c r="W373" s="2">
        <f>('L-Values'!S373*'D(Ti_Jollands) Times'!$F373*0.000001)^2/(4*'D(Ti_Jollands) Times'!$C373)/(365.35*24*3600)</f>
        <v>277942.73079906672</v>
      </c>
      <c r="X373" s="2"/>
      <c r="Y373" s="2">
        <f>('L-Values'!U373*'D(Ti_Jollands) Times'!$F373*0.000001)^2/(4*'D(Ti_Jollands) Times'!$C373)/(365.35*24*3600)</f>
        <v>295654.42689823528</v>
      </c>
      <c r="Z373" s="2">
        <f>('L-Values'!V373*'D(Ti_Jollands) Times'!$F373*0.000001)^2/(4*'D(Ti_Jollands) Times'!$C373)/(365.35*24*3600)</f>
        <v>293069.03525739774</v>
      </c>
      <c r="AA373" s="2">
        <f>('L-Values'!W373*'D(Ti_Jollands) Times'!$F373*0.000001)^2/(4*'D(Ti_Jollands) Times'!$C373)/(365.35*24*3600)</f>
        <v>19907.36326345451</v>
      </c>
      <c r="AB373" s="2">
        <f>('L-Values'!X373*'D(Ti_Jollands) Times'!$F373*0.000001)^2/(4*'D(Ti_Jollands) Times'!$C373)/(365.35*24*3600)</f>
        <v>758247.61610813078</v>
      </c>
      <c r="AC373" s="2">
        <f t="shared" si="22"/>
        <v>273161.67199394322</v>
      </c>
      <c r="AD373" s="2">
        <f t="shared" si="23"/>
        <v>465178.58085073304</v>
      </c>
    </row>
    <row r="374" spans="1:30" x14ac:dyDescent="0.2">
      <c r="A374" t="str">
        <f>'L-Values'!A374</f>
        <v>CGI018-qtz05-CL-fit-4-offset</v>
      </c>
      <c r="B374">
        <v>750</v>
      </c>
      <c r="C374">
        <f t="shared" si="20"/>
        <v>6.6965312637759184E-25</v>
      </c>
      <c r="D374">
        <v>1600</v>
      </c>
      <c r="E374">
        <v>1024</v>
      </c>
      <c r="F374">
        <f t="shared" si="21"/>
        <v>1.5625</v>
      </c>
      <c r="I374" s="2">
        <f>('L-Values'!E374*'D(Ti_Jollands) Times'!$F374*0.000001)^2/(4*'D(Ti_Jollands) Times'!$C374)/(365.35*24*3600)</f>
        <v>369718.16034799337</v>
      </c>
      <c r="J374" s="2">
        <f>('L-Values'!F374*'D(Ti_Jollands) Times'!$F374*0.000001)^2/(4*'D(Ti_Jollands) Times'!$C374)/(365.35*24*3600)</f>
        <v>371544.71513986122</v>
      </c>
      <c r="K374" s="2">
        <f>('L-Values'!G374*'D(Ti_Jollands) Times'!$F374*0.000001)^2/(4*'D(Ti_Jollands) Times'!$C374)/(365.35*24*3600)</f>
        <v>449915.76086413203</v>
      </c>
      <c r="L374" s="2">
        <f>('L-Values'!H374*'D(Ti_Jollands) Times'!$F374*0.000001)^2/(4*'D(Ti_Jollands) Times'!$C374)/(365.35*24*3600)</f>
        <v>490587.07773388026</v>
      </c>
      <c r="M374" s="2">
        <f>('L-Values'!I374*'D(Ti_Jollands) Times'!$F374*0.000001)^2/(4*'D(Ti_Jollands) Times'!$C374)/(365.35*24*3600)</f>
        <v>455333.90479051782</v>
      </c>
      <c r="N374" s="2">
        <f>('L-Values'!J374*'D(Ti_Jollands) Times'!$F374*0.000001)^2/(4*'D(Ti_Jollands) Times'!$C374)/(365.35*24*3600)</f>
        <v>366121.13219078182</v>
      </c>
      <c r="O374" s="2">
        <f>('L-Values'!K374*'D(Ti_Jollands) Times'!$F374*0.000001)^2/(4*'D(Ti_Jollands) Times'!$C374)/(365.35*24*3600)</f>
        <v>608487.01186393877</v>
      </c>
      <c r="P374" s="2">
        <f>('L-Values'!L374*'D(Ti_Jollands) Times'!$F374*0.000001)^2/(4*'D(Ti_Jollands) Times'!$C374)/(365.35*24*3600)</f>
        <v>524037.83984518686</v>
      </c>
      <c r="Q374" s="2">
        <f>('L-Values'!M374*'D(Ti_Jollands) Times'!$F374*0.000001)^2/(4*'D(Ti_Jollands) Times'!$C374)/(365.35*24*3600)</f>
        <v>269452.7535035903</v>
      </c>
      <c r="R374" s="2">
        <f>('L-Values'!N374*'D(Ti_Jollands) Times'!$F374*0.000001)^2/(4*'D(Ti_Jollands) Times'!$C374)/(365.35*24*3600)</f>
        <v>245621.56036201961</v>
      </c>
      <c r="S374" s="2">
        <f>('L-Values'!O374*'D(Ti_Jollands) Times'!$F374*0.000001)^2/(4*'D(Ti_Jollands) Times'!$C374)/(365.35*24*3600)</f>
        <v>335753.19835638878</v>
      </c>
      <c r="T374" s="2"/>
      <c r="U374" s="2">
        <f>('L-Values'!Q374*'D(Ti_Jollands) Times'!$F374*0.000001)^2/(4*'D(Ti_Jollands) Times'!$C374)/(365.35*24*3600)</f>
        <v>391188.30666609335</v>
      </c>
      <c r="V374" s="2">
        <f>('L-Values'!R374*'D(Ti_Jollands) Times'!$F374*0.000001)^2/(4*'D(Ti_Jollands) Times'!$C374)/(365.35*24*3600)</f>
        <v>401117.58901807066</v>
      </c>
      <c r="W374" s="2">
        <f>('L-Values'!S374*'D(Ti_Jollands) Times'!$F374*0.000001)^2/(4*'D(Ti_Jollands) Times'!$C374)/(365.35*24*3600)</f>
        <v>371544.71513986122</v>
      </c>
      <c r="X374" s="2"/>
      <c r="Y374" s="2">
        <f>('L-Values'!U374*'D(Ti_Jollands) Times'!$F374*0.000001)^2/(4*'D(Ti_Jollands) Times'!$C374)/(365.35*24*3600)</f>
        <v>376883.41052619042</v>
      </c>
      <c r="Z374" s="2">
        <f>('L-Values'!V374*'D(Ti_Jollands) Times'!$F374*0.000001)^2/(4*'D(Ti_Jollands) Times'!$C374)/(365.35*24*3600)</f>
        <v>376804.79080620332</v>
      </c>
      <c r="AA374" s="2">
        <f>('L-Values'!W374*'D(Ti_Jollands) Times'!$F374*0.000001)^2/(4*'D(Ti_Jollands) Times'!$C374)/(365.35*24*3600)</f>
        <v>200944.98453175195</v>
      </c>
      <c r="AB374" s="2">
        <f>('L-Values'!X374*'D(Ti_Jollands) Times'!$F374*0.000001)^2/(4*'D(Ti_Jollands) Times'!$C374)/(365.35*24*3600)</f>
        <v>613935.28710660944</v>
      </c>
      <c r="AC374" s="2">
        <f t="shared" si="22"/>
        <v>175859.80627445137</v>
      </c>
      <c r="AD374" s="2">
        <f t="shared" si="23"/>
        <v>237130.49630040611</v>
      </c>
    </row>
    <row r="375" spans="1:30" x14ac:dyDescent="0.2">
      <c r="A375" t="str">
        <f>'L-Values'!A375</f>
        <v>CGI018-qtz05-CL-fit-5-offset</v>
      </c>
      <c r="B375">
        <v>750</v>
      </c>
      <c r="C375">
        <f t="shared" si="20"/>
        <v>6.6965312637759184E-25</v>
      </c>
      <c r="D375">
        <v>1600</v>
      </c>
      <c r="E375">
        <v>1024</v>
      </c>
      <c r="F375">
        <f t="shared" si="21"/>
        <v>1.5625</v>
      </c>
      <c r="I375" s="2">
        <f>('L-Values'!E375*'D(Ti_Jollands) Times'!$F375*0.000001)^2/(4*'D(Ti_Jollands) Times'!$C375)/(365.35*24*3600)</f>
        <v>28317.564681099764</v>
      </c>
      <c r="J375" s="2">
        <f>('L-Values'!F375*'D(Ti_Jollands) Times'!$F375*0.000001)^2/(4*'D(Ti_Jollands) Times'!$C375)/(365.35*24*3600)</f>
        <v>178507.94478874834</v>
      </c>
      <c r="K375" s="2">
        <f>('L-Values'!G375*'D(Ti_Jollands) Times'!$F375*0.000001)^2/(4*'D(Ti_Jollands) Times'!$C375)/(365.35*24*3600)</f>
        <v>267092.98527759808</v>
      </c>
      <c r="L375" s="2">
        <f>('L-Values'!H375*'D(Ti_Jollands) Times'!$F375*0.000001)^2/(4*'D(Ti_Jollands) Times'!$C375)/(365.35*24*3600)</f>
        <v>317251.22561305895</v>
      </c>
      <c r="M375" s="2">
        <f>('L-Values'!I375*'D(Ti_Jollands) Times'!$F375*0.000001)^2/(4*'D(Ti_Jollands) Times'!$C375)/(365.35*24*3600)</f>
        <v>165817.92809633937</v>
      </c>
      <c r="N375" s="2">
        <f>('L-Values'!J375*'D(Ti_Jollands) Times'!$F375*0.000001)^2/(4*'D(Ti_Jollands) Times'!$C375)/(365.35*24*3600)</f>
        <v>46636.313956083664</v>
      </c>
      <c r="O375" s="2">
        <f>('L-Values'!K375*'D(Ti_Jollands) Times'!$F375*0.000001)^2/(4*'D(Ti_Jollands) Times'!$C375)/(365.35*24*3600)</f>
        <v>100621.04068632259</v>
      </c>
      <c r="P375" s="2">
        <f>('L-Values'!L375*'D(Ti_Jollands) Times'!$F375*0.000001)^2/(4*'D(Ti_Jollands) Times'!$C375)/(365.35*24*3600)</f>
        <v>141636.07891470648</v>
      </c>
      <c r="Q375" s="2">
        <f>('L-Values'!M375*'D(Ti_Jollands) Times'!$F375*0.000001)^2/(4*'D(Ti_Jollands) Times'!$C375)/(365.35*24*3600)</f>
        <v>136023.58551715512</v>
      </c>
      <c r="R375" s="2">
        <f>('L-Values'!N375*'D(Ti_Jollands) Times'!$F375*0.000001)^2/(4*'D(Ti_Jollands) Times'!$C375)/(365.35*24*3600)</f>
        <v>346371.90114978689</v>
      </c>
      <c r="S375" s="2">
        <f>('L-Values'!O375*'D(Ti_Jollands) Times'!$F375*0.000001)^2/(4*'D(Ti_Jollands) Times'!$C375)/(365.35*24*3600)</f>
        <v>402424.70231367357</v>
      </c>
      <c r="T375" s="2"/>
      <c r="U375" s="2">
        <f>('L-Values'!Q375*'D(Ti_Jollands) Times'!$F375*0.000001)^2/(4*'D(Ti_Jollands) Times'!$C375)/(365.35*24*3600)</f>
        <v>175946.50407192513</v>
      </c>
      <c r="V375" s="2">
        <f>('L-Values'!R375*'D(Ti_Jollands) Times'!$F375*0.000001)^2/(4*'D(Ti_Jollands) Times'!$C375)/(365.35*24*3600)</f>
        <v>173303.72119837417</v>
      </c>
      <c r="W375" s="2">
        <f>('L-Values'!S375*'D(Ti_Jollands) Times'!$F375*0.000001)^2/(4*'D(Ti_Jollands) Times'!$C375)/(365.35*24*3600)</f>
        <v>165817.92809633937</v>
      </c>
      <c r="X375" s="2"/>
      <c r="Y375" s="2">
        <f>('L-Values'!U375*'D(Ti_Jollands) Times'!$F375*0.000001)^2/(4*'D(Ti_Jollands) Times'!$C375)/(365.35*24*3600)</f>
        <v>172741.77951780864</v>
      </c>
      <c r="Z375" s="2">
        <f>('L-Values'!V375*'D(Ti_Jollands) Times'!$F375*0.000001)^2/(4*'D(Ti_Jollands) Times'!$C375)/(365.35*24*3600)</f>
        <v>228922.70464985282</v>
      </c>
      <c r="AA375" s="2">
        <f>('L-Values'!W375*'D(Ti_Jollands) Times'!$F375*0.000001)^2/(4*'D(Ti_Jollands) Times'!$C375)/(365.35*24*3600)</f>
        <v>25680.654973095738</v>
      </c>
      <c r="AB375" s="2">
        <f>('L-Values'!X375*'D(Ti_Jollands) Times'!$F375*0.000001)^2/(4*'D(Ti_Jollands) Times'!$C375)/(365.35*24*3600)</f>
        <v>1274254.9934830002</v>
      </c>
      <c r="AC375" s="2">
        <f t="shared" si="22"/>
        <v>203242.04967675707</v>
      </c>
      <c r="AD375" s="2">
        <f t="shared" si="23"/>
        <v>1045332.2888331474</v>
      </c>
    </row>
    <row r="376" spans="1:30" x14ac:dyDescent="0.2">
      <c r="A376" t="str">
        <f>'L-Values'!A376</f>
        <v>CGI018-qtz05-CL-fit-6-offset</v>
      </c>
      <c r="B376">
        <v>750</v>
      </c>
      <c r="C376">
        <f t="shared" si="20"/>
        <v>6.6965312637759184E-25</v>
      </c>
      <c r="D376">
        <v>1600</v>
      </c>
      <c r="E376">
        <v>1024</v>
      </c>
      <c r="F376">
        <f t="shared" si="21"/>
        <v>1.5625</v>
      </c>
      <c r="I376" s="2">
        <f>('L-Values'!E376*'D(Ti_Jollands) Times'!$F376*0.000001)^2/(4*'D(Ti_Jollands) Times'!$C376)/(365.35*24*3600)</f>
        <v>25178.006082230695</v>
      </c>
      <c r="J376" s="2">
        <f>('L-Values'!F376*'D(Ti_Jollands) Times'!$F376*0.000001)^2/(4*'D(Ti_Jollands) Times'!$C376)/(365.35*24*3600)</f>
        <v>78820.645799664169</v>
      </c>
      <c r="K376" s="2">
        <f>('L-Values'!G376*'D(Ti_Jollands) Times'!$F376*0.000001)^2/(4*'D(Ti_Jollands) Times'!$C376)/(365.35*24*3600)</f>
        <v>50492.997957943924</v>
      </c>
      <c r="L376" s="2">
        <f>('L-Values'!H376*'D(Ti_Jollands) Times'!$F376*0.000001)^2/(4*'D(Ti_Jollands) Times'!$C376)/(365.35*24*3600)</f>
        <v>124838.71346420728</v>
      </c>
      <c r="M376" s="2">
        <f>('L-Values'!I376*'D(Ti_Jollands) Times'!$F376*0.000001)^2/(4*'D(Ti_Jollands) Times'!$C376)/(365.35*24*3600)</f>
        <v>57753.631930657961</v>
      </c>
      <c r="N376" s="2">
        <f>('L-Values'!J376*'D(Ti_Jollands) Times'!$F376*0.000001)^2/(4*'D(Ti_Jollands) Times'!$C376)/(365.35*24*3600)</f>
        <v>104338.54707948344</v>
      </c>
      <c r="O376" s="2">
        <f>('L-Values'!K376*'D(Ti_Jollands) Times'!$F376*0.000001)^2/(4*'D(Ti_Jollands) Times'!$C376)/(365.35*24*3600)</f>
        <v>140053.85086954225</v>
      </c>
      <c r="P376" s="2">
        <f>('L-Values'!L376*'D(Ti_Jollands) Times'!$F376*0.000001)^2/(4*'D(Ti_Jollands) Times'!$C376)/(365.35*24*3600)</f>
        <v>57551.554991204823</v>
      </c>
      <c r="Q376" s="2">
        <f>('L-Values'!M376*'D(Ti_Jollands) Times'!$F376*0.000001)^2/(4*'D(Ti_Jollands) Times'!$C376)/(365.35*24*3600)</f>
        <v>68447.019375038391</v>
      </c>
      <c r="R376" s="2">
        <f>('L-Values'!N376*'D(Ti_Jollands) Times'!$F376*0.000001)^2/(4*'D(Ti_Jollands) Times'!$C376)/(365.35*24*3600)</f>
        <v>74755.660660115085</v>
      </c>
      <c r="S376" s="2">
        <f>('L-Values'!O376*'D(Ti_Jollands) Times'!$F376*0.000001)^2/(4*'D(Ti_Jollands) Times'!$C376)/(365.35*24*3600)</f>
        <v>44425.33665993427</v>
      </c>
      <c r="T376" s="2"/>
      <c r="U376" s="2">
        <f>('L-Values'!Q376*'D(Ti_Jollands) Times'!$F376*0.000001)^2/(4*'D(Ti_Jollands) Times'!$C376)/(365.35*24*3600)</f>
        <v>85685.439430246712</v>
      </c>
      <c r="V376" s="2">
        <f>('L-Values'!R376*'D(Ti_Jollands) Times'!$F376*0.000001)^2/(4*'D(Ti_Jollands) Times'!$C376)/(365.35*24*3600)</f>
        <v>71470.715592315129</v>
      </c>
      <c r="W376" s="2">
        <f>('L-Values'!S376*'D(Ti_Jollands) Times'!$F376*0.000001)^2/(4*'D(Ti_Jollands) Times'!$C376)/(365.35*24*3600)</f>
        <v>68447.019375038391</v>
      </c>
      <c r="X376" s="2"/>
      <c r="Y376" s="2">
        <f>('L-Values'!U376*'D(Ti_Jollands) Times'!$F376*0.000001)^2/(4*'D(Ti_Jollands) Times'!$C376)/(365.35*24*3600)</f>
        <v>52810.9958629377</v>
      </c>
      <c r="Z376" s="2">
        <f>('L-Values'!V376*'D(Ti_Jollands) Times'!$F376*0.000001)^2/(4*'D(Ti_Jollands) Times'!$C376)/(365.35*24*3600)</f>
        <v>49967.294689848539</v>
      </c>
      <c r="AA376" s="2">
        <f>('L-Values'!W376*'D(Ti_Jollands) Times'!$F376*0.000001)^2/(4*'D(Ti_Jollands) Times'!$C376)/(365.35*24*3600)</f>
        <v>1342.1323430101274</v>
      </c>
      <c r="AB376" s="2">
        <f>('L-Values'!X376*'D(Ti_Jollands) Times'!$F376*0.000001)^2/(4*'D(Ti_Jollands) Times'!$C376)/(365.35*24*3600)</f>
        <v>196597.87229549407</v>
      </c>
      <c r="AC376" s="2">
        <f t="shared" si="22"/>
        <v>48625.162346838413</v>
      </c>
      <c r="AD376" s="2">
        <f t="shared" si="23"/>
        <v>146630.57760564552</v>
      </c>
    </row>
    <row r="377" spans="1:30" x14ac:dyDescent="0.2">
      <c r="A377" t="str">
        <f>'L-Values'!A377</f>
        <v>CGI018-qtz05-CL-fit-7-offset</v>
      </c>
      <c r="B377">
        <v>750</v>
      </c>
      <c r="C377">
        <f t="shared" si="20"/>
        <v>6.6965312637759184E-25</v>
      </c>
      <c r="D377">
        <v>1600</v>
      </c>
      <c r="E377">
        <v>1024</v>
      </c>
      <c r="F377">
        <f t="shared" si="21"/>
        <v>1.5625</v>
      </c>
      <c r="I377" s="2">
        <f>('L-Values'!E377*'D(Ti_Jollands) Times'!$F377*0.000001)^2/(4*'D(Ti_Jollands) Times'!$C377)/(365.35*24*3600)</f>
        <v>3691.646600347347</v>
      </c>
      <c r="J377" s="2">
        <f>('L-Values'!F377*'D(Ti_Jollands) Times'!$F377*0.000001)^2/(4*'D(Ti_Jollands) Times'!$C377)/(365.35*24*3600)</f>
        <v>0.25265910479506093</v>
      </c>
      <c r="K377" s="2">
        <f>('L-Values'!G377*'D(Ti_Jollands) Times'!$F377*0.000001)^2/(4*'D(Ti_Jollands) Times'!$C377)/(365.35*24*3600)</f>
        <v>113.30473206742585</v>
      </c>
      <c r="L377" s="2">
        <f>('L-Values'!H377*'D(Ti_Jollands) Times'!$F377*0.000001)^2/(4*'D(Ti_Jollands) Times'!$C377)/(365.35*24*3600)</f>
        <v>25908.31668540978</v>
      </c>
      <c r="M377" s="2">
        <f>('L-Values'!I377*'D(Ti_Jollands) Times'!$F377*0.000001)^2/(4*'D(Ti_Jollands) Times'!$C377)/(365.35*24*3600)</f>
        <v>5.7815494941432704</v>
      </c>
      <c r="N377" s="2">
        <f>('L-Values'!J377*'D(Ti_Jollands) Times'!$F377*0.000001)^2/(4*'D(Ti_Jollands) Times'!$C377)/(365.35*24*3600)</f>
        <v>30086.305870416367</v>
      </c>
      <c r="O377" s="2">
        <f>('L-Values'!K377*'D(Ti_Jollands) Times'!$F377*0.000001)^2/(4*'D(Ti_Jollands) Times'!$C377)/(365.35*24*3600)</f>
        <v>76425.053733945984</v>
      </c>
      <c r="P377" s="2">
        <f>('L-Values'!L377*'D(Ti_Jollands) Times'!$F377*0.000001)^2/(4*'D(Ti_Jollands) Times'!$C377)/(365.35*24*3600)</f>
        <v>87189.808116674685</v>
      </c>
      <c r="Q377" s="2">
        <f>('L-Values'!M377*'D(Ti_Jollands) Times'!$F377*0.000001)^2/(4*'D(Ti_Jollands) Times'!$C377)/(365.35*24*3600)</f>
        <v>21082.820778793379</v>
      </c>
      <c r="R377" s="2">
        <f>('L-Values'!N377*'D(Ti_Jollands) Times'!$F377*0.000001)^2/(4*'D(Ti_Jollands) Times'!$C377)/(365.35*24*3600)</f>
        <v>5424.2275349579922</v>
      </c>
      <c r="S377" s="2">
        <f>('L-Values'!O377*'D(Ti_Jollands) Times'!$F377*0.000001)^2/(4*'D(Ti_Jollands) Times'!$C377)/(365.35*24*3600)</f>
        <v>14285.201490538579</v>
      </c>
      <c r="T377" s="2"/>
      <c r="U377" s="2">
        <f>('L-Values'!Q377*'D(Ti_Jollands) Times'!$F377*0.000001)^2/(4*'D(Ti_Jollands) Times'!$C377)/(365.35*24*3600)</f>
        <v>14866.356431997781</v>
      </c>
      <c r="V377" s="2">
        <f>('L-Values'!R377*'D(Ti_Jollands) Times'!$F377*0.000001)^2/(4*'D(Ti_Jollands) Times'!$C377)/(365.35*24*3600)</f>
        <v>14374.364500921967</v>
      </c>
      <c r="W377" s="2">
        <f>('L-Values'!S377*'D(Ti_Jollands) Times'!$F377*0.000001)^2/(4*'D(Ti_Jollands) Times'!$C377)/(365.35*24*3600)</f>
        <v>14285.201490538579</v>
      </c>
      <c r="X377" s="2"/>
      <c r="Y377" s="2">
        <f>('L-Values'!U377*'D(Ti_Jollands) Times'!$F377*0.000001)^2/(4*'D(Ti_Jollands) Times'!$C377)/(365.35*24*3600)</f>
        <v>5251.3229923238168</v>
      </c>
      <c r="Z377" s="2">
        <f>('L-Values'!V377*'D(Ti_Jollands) Times'!$F377*0.000001)^2/(4*'D(Ti_Jollands) Times'!$C377)/(365.35*24*3600)</f>
        <v>15651.445234308994</v>
      </c>
      <c r="AA377" s="2">
        <f>('L-Values'!W377*'D(Ti_Jollands) Times'!$F377*0.000001)^2/(4*'D(Ti_Jollands) Times'!$C377)/(365.35*24*3600)</f>
        <v>1.4594697354600625</v>
      </c>
      <c r="AB377" s="2">
        <f>('L-Values'!X377*'D(Ti_Jollands) Times'!$F377*0.000001)^2/(4*'D(Ti_Jollands) Times'!$C377)/(365.35*24*3600)</f>
        <v>119409.34187473926</v>
      </c>
      <c r="AC377" s="2">
        <f t="shared" si="22"/>
        <v>15649.985764573534</v>
      </c>
      <c r="AD377" s="2">
        <f t="shared" si="23"/>
        <v>103757.89664043026</v>
      </c>
    </row>
    <row r="378" spans="1:30" x14ac:dyDescent="0.2">
      <c r="A378" t="str">
        <f>'L-Values'!A378</f>
        <v>CGI018-qtz06-CL-fit-2-offset</v>
      </c>
      <c r="B378">
        <v>750</v>
      </c>
      <c r="C378">
        <f t="shared" si="20"/>
        <v>6.6965312637759184E-25</v>
      </c>
      <c r="D378">
        <v>1750</v>
      </c>
      <c r="E378">
        <v>1024</v>
      </c>
      <c r="F378">
        <f t="shared" si="21"/>
        <v>1.708984375</v>
      </c>
      <c r="I378" s="2">
        <f>('L-Values'!E378*'D(Ti_Jollands) Times'!$F378*0.000001)^2/(4*'D(Ti_Jollands) Times'!$C378)/(365.35*24*3600)</f>
        <v>162666.22433654458</v>
      </c>
      <c r="J378" s="2">
        <f>('L-Values'!F378*'D(Ti_Jollands) Times'!$F378*0.000001)^2/(4*'D(Ti_Jollands) Times'!$C378)/(365.35*24*3600)</f>
        <v>555335.30982848175</v>
      </c>
      <c r="K378" s="2">
        <f>('L-Values'!G378*'D(Ti_Jollands) Times'!$F378*0.000001)^2/(4*'D(Ti_Jollands) Times'!$C378)/(365.35*24*3600)</f>
        <v>965949.30702639045</v>
      </c>
      <c r="L378" s="2">
        <f>('L-Values'!H378*'D(Ti_Jollands) Times'!$F378*0.000001)^2/(4*'D(Ti_Jollands) Times'!$C378)/(365.35*24*3600)</f>
        <v>306608.44033729983</v>
      </c>
      <c r="M378" s="2">
        <f>('L-Values'!I378*'D(Ti_Jollands) Times'!$F378*0.000001)^2/(4*'D(Ti_Jollands) Times'!$C378)/(365.35*24*3600)</f>
        <v>209110.08238955389</v>
      </c>
      <c r="N378" s="2">
        <f>('L-Values'!J378*'D(Ti_Jollands) Times'!$F378*0.000001)^2/(4*'D(Ti_Jollands) Times'!$C378)/(365.35*24*3600)</f>
        <v>160291.28112827649</v>
      </c>
      <c r="O378" s="2">
        <f>('L-Values'!K378*'D(Ti_Jollands) Times'!$F378*0.000001)^2/(4*'D(Ti_Jollands) Times'!$C378)/(365.35*24*3600)</f>
        <v>127116.18180291787</v>
      </c>
      <c r="P378" s="2">
        <f>('L-Values'!L378*'D(Ti_Jollands) Times'!$F378*0.000001)^2/(4*'D(Ti_Jollands) Times'!$C378)/(365.35*24*3600)</f>
        <v>349497.6303485313</v>
      </c>
      <c r="Q378" s="2">
        <f>('L-Values'!M378*'D(Ti_Jollands) Times'!$F378*0.000001)^2/(4*'D(Ti_Jollands) Times'!$C378)/(365.35*24*3600)</f>
        <v>601678.53578988754</v>
      </c>
      <c r="R378" s="2">
        <f>('L-Values'!N378*'D(Ti_Jollands) Times'!$F378*0.000001)^2/(4*'D(Ti_Jollands) Times'!$C378)/(365.35*24*3600)</f>
        <v>358182.04737337888</v>
      </c>
      <c r="S378" s="2">
        <f>('L-Values'!O378*'D(Ti_Jollands) Times'!$F378*0.000001)^2/(4*'D(Ti_Jollands) Times'!$C378)/(365.35*24*3600)</f>
        <v>277641.57981495222</v>
      </c>
      <c r="T378" s="2"/>
      <c r="U378" s="2">
        <f>('L-Values'!Q378*'D(Ti_Jollands) Times'!$F378*0.000001)^2/(4*'D(Ti_Jollands) Times'!$C378)/(365.35*24*3600)</f>
        <v>292128.41047226166</v>
      </c>
      <c r="V378" s="2">
        <f>('L-Values'!R378*'D(Ti_Jollands) Times'!$F378*0.000001)^2/(4*'D(Ti_Jollands) Times'!$C378)/(365.35*24*3600)</f>
        <v>337616.21570798347</v>
      </c>
      <c r="W378" s="2">
        <f>('L-Values'!S378*'D(Ti_Jollands) Times'!$F378*0.000001)^2/(4*'D(Ti_Jollands) Times'!$C378)/(365.35*24*3600)</f>
        <v>306608.44033729983</v>
      </c>
      <c r="X378" s="2"/>
      <c r="Y378" s="2">
        <f>('L-Values'!U378*'D(Ti_Jollands) Times'!$F378*0.000001)^2/(4*'D(Ti_Jollands) Times'!$C378)/(365.35*24*3600)</f>
        <v>289899.98972344893</v>
      </c>
      <c r="Z378" s="2">
        <f>('L-Values'!V378*'D(Ti_Jollands) Times'!$F378*0.000001)^2/(4*'D(Ti_Jollands) Times'!$C378)/(365.35*24*3600)</f>
        <v>313729.50823451823</v>
      </c>
      <c r="AA378" s="2">
        <f>('L-Values'!W378*'D(Ti_Jollands) Times'!$F378*0.000001)^2/(4*'D(Ti_Jollands) Times'!$C378)/(365.35*24*3600)</f>
        <v>76567.754414108334</v>
      </c>
      <c r="AB378" s="2">
        <f>('L-Values'!X378*'D(Ti_Jollands) Times'!$F378*0.000001)^2/(4*'D(Ti_Jollands) Times'!$C378)/(365.35*24*3600)</f>
        <v>1136957.5640300065</v>
      </c>
      <c r="AC378" s="2">
        <f t="shared" si="22"/>
        <v>237161.75382040988</v>
      </c>
      <c r="AD378" s="2">
        <f t="shared" si="23"/>
        <v>823228.0557954883</v>
      </c>
    </row>
    <row r="379" spans="1:30" x14ac:dyDescent="0.2">
      <c r="A379" t="str">
        <f>'L-Values'!A379</f>
        <v>CGI018-qtz06-CL-fit-3-offset</v>
      </c>
      <c r="B379">
        <v>750</v>
      </c>
      <c r="C379">
        <f t="shared" si="20"/>
        <v>6.6965312637759184E-25</v>
      </c>
      <c r="D379">
        <v>1750</v>
      </c>
      <c r="E379">
        <v>1024</v>
      </c>
      <c r="F379">
        <f t="shared" si="21"/>
        <v>1.708984375</v>
      </c>
      <c r="I379" s="2">
        <f>('L-Values'!E379*'D(Ti_Jollands) Times'!$F379*0.000001)^2/(4*'D(Ti_Jollands) Times'!$C379)/(365.35*24*3600)</f>
        <v>24632.40744254395</v>
      </c>
      <c r="J379" s="2">
        <f>('L-Values'!F379*'D(Ti_Jollands) Times'!$F379*0.000001)^2/(4*'D(Ti_Jollands) Times'!$C379)/(365.35*24*3600)</f>
        <v>98351.286770636041</v>
      </c>
      <c r="K379" s="2">
        <f>('L-Values'!G379*'D(Ti_Jollands) Times'!$F379*0.000001)^2/(4*'D(Ti_Jollands) Times'!$C379)/(365.35*24*3600)</f>
        <v>112269.45049264314</v>
      </c>
      <c r="L379" s="2">
        <f>('L-Values'!H379*'D(Ti_Jollands) Times'!$F379*0.000001)^2/(4*'D(Ti_Jollands) Times'!$C379)/(365.35*24*3600)</f>
        <v>126661.29562972613</v>
      </c>
      <c r="M379" s="2">
        <f>('L-Values'!I379*'D(Ti_Jollands) Times'!$F379*0.000001)^2/(4*'D(Ti_Jollands) Times'!$C379)/(365.35*24*3600)</f>
        <v>275224.02475083823</v>
      </c>
      <c r="N379" s="2">
        <f>('L-Values'!J379*'D(Ti_Jollands) Times'!$F379*0.000001)^2/(4*'D(Ti_Jollands) Times'!$C379)/(365.35*24*3600)</f>
        <v>54852.326813731161</v>
      </c>
      <c r="O379" s="2">
        <f>('L-Values'!K379*'D(Ti_Jollands) Times'!$F379*0.000001)^2/(4*'D(Ti_Jollands) Times'!$C379)/(365.35*24*3600)</f>
        <v>123803.08717494983</v>
      </c>
      <c r="P379" s="2">
        <f>('L-Values'!L379*'D(Ti_Jollands) Times'!$F379*0.000001)^2/(4*'D(Ti_Jollands) Times'!$C379)/(365.35*24*3600)</f>
        <v>167330.61231223788</v>
      </c>
      <c r="Q379" s="2">
        <f>('L-Values'!M379*'D(Ti_Jollands) Times'!$F379*0.000001)^2/(4*'D(Ti_Jollands) Times'!$C379)/(365.35*24*3600)</f>
        <v>141243.65459695496</v>
      </c>
      <c r="R379" s="2">
        <f>('L-Values'!N379*'D(Ti_Jollands) Times'!$F379*0.000001)^2/(4*'D(Ti_Jollands) Times'!$C379)/(365.35*24*3600)</f>
        <v>285194.25104263757</v>
      </c>
      <c r="S379" s="2">
        <f>('L-Values'!O379*'D(Ti_Jollands) Times'!$F379*0.000001)^2/(4*'D(Ti_Jollands) Times'!$C379)/(365.35*24*3600)</f>
        <v>61478.049493802195</v>
      </c>
      <c r="T379" s="2"/>
      <c r="U379" s="2">
        <f>('L-Values'!Q379*'D(Ti_Jollands) Times'!$F379*0.000001)^2/(4*'D(Ti_Jollands) Times'!$C379)/(365.35*24*3600)</f>
        <v>117654.71108692956</v>
      </c>
      <c r="V379" s="2">
        <f>('L-Values'!R379*'D(Ti_Jollands) Times'!$F379*0.000001)^2/(4*'D(Ti_Jollands) Times'!$C379)/(365.35*24*3600)</f>
        <v>121805.25679519449</v>
      </c>
      <c r="W379" s="2">
        <f>('L-Values'!S379*'D(Ti_Jollands) Times'!$F379*0.000001)^2/(4*'D(Ti_Jollands) Times'!$C379)/(365.35*24*3600)</f>
        <v>123803.08717494983</v>
      </c>
      <c r="X379" s="2"/>
      <c r="Y379" s="2">
        <f>('L-Values'!U379*'D(Ti_Jollands) Times'!$F379*0.000001)^2/(4*'D(Ti_Jollands) Times'!$C379)/(365.35*24*3600)</f>
        <v>122106.74802600355</v>
      </c>
      <c r="Z379" s="2">
        <f>('L-Values'!V379*'D(Ti_Jollands) Times'!$F379*0.000001)^2/(4*'D(Ti_Jollands) Times'!$C379)/(365.35*24*3600)</f>
        <v>123405.06327177431</v>
      </c>
      <c r="AA379" s="2">
        <f>('L-Values'!W379*'D(Ti_Jollands) Times'!$F379*0.000001)^2/(4*'D(Ti_Jollands) Times'!$C379)/(365.35*24*3600)</f>
        <v>20535.728592250518</v>
      </c>
      <c r="AB379" s="2">
        <f>('L-Values'!X379*'D(Ti_Jollands) Times'!$F379*0.000001)^2/(4*'D(Ti_Jollands) Times'!$C379)/(365.35*24*3600)</f>
        <v>297162.3635359818</v>
      </c>
      <c r="AC379" s="2">
        <f t="shared" si="22"/>
        <v>102869.3346795238</v>
      </c>
      <c r="AD379" s="2">
        <f t="shared" si="23"/>
        <v>173757.30026420747</v>
      </c>
    </row>
    <row r="380" spans="1:30" x14ac:dyDescent="0.2">
      <c r="A380" t="str">
        <f>'L-Values'!A380</f>
        <v>CGI018-qtz06-CL-fit-4-offset</v>
      </c>
      <c r="B380">
        <v>750</v>
      </c>
      <c r="C380">
        <f t="shared" si="20"/>
        <v>6.6965312637759184E-25</v>
      </c>
      <c r="D380">
        <v>1750</v>
      </c>
      <c r="E380">
        <v>1024</v>
      </c>
      <c r="F380">
        <f t="shared" si="21"/>
        <v>1.708984375</v>
      </c>
      <c r="I380" s="2">
        <f>('L-Values'!E380*'D(Ti_Jollands) Times'!$F380*0.000001)^2/(4*'D(Ti_Jollands) Times'!$C380)/(365.35*24*3600)</f>
        <v>45653.646056557765</v>
      </c>
      <c r="J380" s="2">
        <f>('L-Values'!F380*'D(Ti_Jollands) Times'!$F380*0.000001)^2/(4*'D(Ti_Jollands) Times'!$C380)/(365.35*24*3600)</f>
        <v>20890.221475866187</v>
      </c>
      <c r="K380" s="2">
        <f>('L-Values'!G380*'D(Ti_Jollands) Times'!$F380*0.000001)^2/(4*'D(Ti_Jollands) Times'!$C380)/(365.35*24*3600)</f>
        <v>59374.775077930382</v>
      </c>
      <c r="L380" s="2">
        <f>('L-Values'!H380*'D(Ti_Jollands) Times'!$F380*0.000001)^2/(4*'D(Ti_Jollands) Times'!$C380)/(365.35*24*3600)</f>
        <v>1795.631459995182</v>
      </c>
      <c r="M380" s="2">
        <f>('L-Values'!I380*'D(Ti_Jollands) Times'!$F380*0.000001)^2/(4*'D(Ti_Jollands) Times'!$C380)/(365.35*24*3600)</f>
        <v>1368.5394541414337</v>
      </c>
      <c r="N380" s="2">
        <f>('L-Values'!J380*'D(Ti_Jollands) Times'!$F380*0.000001)^2/(4*'D(Ti_Jollands) Times'!$C380)/(365.35*24*3600)</f>
        <v>10455.731258684807</v>
      </c>
      <c r="O380" s="2">
        <f>('L-Values'!K380*'D(Ti_Jollands) Times'!$F380*0.000001)^2/(4*'D(Ti_Jollands) Times'!$C380)/(365.35*24*3600)</f>
        <v>75203.752457359034</v>
      </c>
      <c r="P380" s="2">
        <f>('L-Values'!L380*'D(Ti_Jollands) Times'!$F380*0.000001)^2/(4*'D(Ti_Jollands) Times'!$C380)/(365.35*24*3600)</f>
        <v>70781.378209040035</v>
      </c>
      <c r="Q380" s="2">
        <f>('L-Values'!M380*'D(Ti_Jollands) Times'!$F380*0.000001)^2/(4*'D(Ti_Jollands) Times'!$C380)/(365.35*24*3600)</f>
        <v>119079.09917010696</v>
      </c>
      <c r="R380" s="2">
        <f>('L-Values'!N380*'D(Ti_Jollands) Times'!$F380*0.000001)^2/(4*'D(Ti_Jollands) Times'!$C380)/(365.35*24*3600)</f>
        <v>284.47329429275021</v>
      </c>
      <c r="S380" s="2">
        <f>('L-Values'!O380*'D(Ti_Jollands) Times'!$F380*0.000001)^2/(4*'D(Ti_Jollands) Times'!$C380)/(365.35*24*3600)</f>
        <v>214403.29667820147</v>
      </c>
      <c r="T380" s="2"/>
      <c r="U380" s="2">
        <f>('L-Values'!Q380*'D(Ti_Jollands) Times'!$F380*0.000001)^2/(4*'D(Ti_Jollands) Times'!$C380)/(365.35*24*3600)</f>
        <v>32448.704078383984</v>
      </c>
      <c r="V380" s="2">
        <f>('L-Values'!R380*'D(Ti_Jollands) Times'!$F380*0.000001)^2/(4*'D(Ti_Jollands) Times'!$C380)/(365.35*24*3600)</f>
        <v>38158.264878372014</v>
      </c>
      <c r="W380" s="2">
        <f>('L-Values'!S380*'D(Ti_Jollands) Times'!$F380*0.000001)^2/(4*'D(Ti_Jollands) Times'!$C380)/(365.35*24*3600)</f>
        <v>45653.646056557765</v>
      </c>
      <c r="X380" s="2"/>
      <c r="Y380" s="2">
        <f>('L-Values'!U380*'D(Ti_Jollands) Times'!$F380*0.000001)^2/(4*'D(Ti_Jollands) Times'!$C380)/(365.35*24*3600)</f>
        <v>28775.301767721179</v>
      </c>
      <c r="Z380" s="2">
        <f>('L-Values'!V380*'D(Ti_Jollands) Times'!$F380*0.000001)^2/(4*'D(Ti_Jollands) Times'!$C380)/(365.35*24*3600)</f>
        <v>31305.602031138369</v>
      </c>
      <c r="AA380" s="2">
        <f>('L-Values'!W380*'D(Ti_Jollands) Times'!$F380*0.000001)^2/(4*'D(Ti_Jollands) Times'!$C380)/(365.35*24*3600)</f>
        <v>1118.4278071884239</v>
      </c>
      <c r="AB380" s="2">
        <f>('L-Values'!X380*'D(Ti_Jollands) Times'!$F380*0.000001)^2/(4*'D(Ti_Jollands) Times'!$C380)/(365.35*24*3600)</f>
        <v>268229.78914730396</v>
      </c>
      <c r="AC380" s="2">
        <f t="shared" si="22"/>
        <v>30187.174223949944</v>
      </c>
      <c r="AD380" s="2">
        <f t="shared" si="23"/>
        <v>236924.18711616559</v>
      </c>
    </row>
    <row r="381" spans="1:30" x14ac:dyDescent="0.2">
      <c r="A381" t="str">
        <f>'L-Values'!A381</f>
        <v>CGI018-qtz07-CL-fit-1-offset</v>
      </c>
      <c r="B381">
        <v>750</v>
      </c>
      <c r="C381">
        <f t="shared" si="20"/>
        <v>6.6965312637759184E-25</v>
      </c>
      <c r="D381">
        <v>1700</v>
      </c>
      <c r="E381">
        <v>1024</v>
      </c>
      <c r="F381">
        <f t="shared" si="21"/>
        <v>1.66015625</v>
      </c>
      <c r="I381" s="2">
        <f>('L-Values'!E381*'D(Ti_Jollands) Times'!$F381*0.000001)^2/(4*'D(Ti_Jollands) Times'!$C381)/(365.35*24*3600)</f>
        <v>334624.78893821494</v>
      </c>
      <c r="J381" s="2">
        <f>('L-Values'!F381*'D(Ti_Jollands) Times'!$F381*0.000001)^2/(4*'D(Ti_Jollands) Times'!$C381)/(365.35*24*3600)</f>
        <v>223174.01777884993</v>
      </c>
      <c r="K381" s="2">
        <f>('L-Values'!G381*'D(Ti_Jollands) Times'!$F381*0.000001)^2/(4*'D(Ti_Jollands) Times'!$C381)/(365.35*24*3600)</f>
        <v>610904.54132494086</v>
      </c>
      <c r="L381" s="2">
        <f>('L-Values'!H381*'D(Ti_Jollands) Times'!$F381*0.000001)^2/(4*'D(Ti_Jollands) Times'!$C381)/(365.35*24*3600)</f>
        <v>565190.60798189265</v>
      </c>
      <c r="M381" s="2">
        <f>('L-Values'!I381*'D(Ti_Jollands) Times'!$F381*0.000001)^2/(4*'D(Ti_Jollands) Times'!$C381)/(365.35*24*3600)</f>
        <v>187950.86719720002</v>
      </c>
      <c r="N381" s="2">
        <f>('L-Values'!J381*'D(Ti_Jollands) Times'!$F381*0.000001)^2/(4*'D(Ti_Jollands) Times'!$C381)/(365.35*24*3600)</f>
        <v>74346.478097695872</v>
      </c>
      <c r="O381" s="2">
        <f>('L-Values'!K381*'D(Ti_Jollands) Times'!$F381*0.000001)^2/(4*'D(Ti_Jollands) Times'!$C381)/(365.35*24*3600)</f>
        <v>757017.91073146544</v>
      </c>
      <c r="P381" s="2">
        <f>('L-Values'!L381*'D(Ti_Jollands) Times'!$F381*0.000001)^2/(4*'D(Ti_Jollands) Times'!$C381)/(365.35*24*3600)</f>
        <v>115822.67912523408</v>
      </c>
      <c r="Q381" s="2">
        <f>('L-Values'!M381*'D(Ti_Jollands) Times'!$F381*0.000001)^2/(4*'D(Ti_Jollands) Times'!$C381)/(365.35*24*3600)</f>
        <v>56070.749622735835</v>
      </c>
      <c r="R381" s="2">
        <f>('L-Values'!N381*'D(Ti_Jollands) Times'!$F381*0.000001)^2/(4*'D(Ti_Jollands) Times'!$C381)/(365.35*24*3600)</f>
        <v>580569.84746859607</v>
      </c>
      <c r="S381" s="2">
        <f>('L-Values'!O381*'D(Ti_Jollands) Times'!$F381*0.000001)^2/(4*'D(Ti_Jollands) Times'!$C381)/(365.35*24*3600)</f>
        <v>113396.43129275109</v>
      </c>
      <c r="T381" s="2"/>
      <c r="U381" s="2">
        <f>('L-Values'!Q381*'D(Ti_Jollands) Times'!$F381*0.000001)^2/(4*'D(Ti_Jollands) Times'!$C381)/(365.35*24*3600)</f>
        <v>334165.70452413091</v>
      </c>
      <c r="V381" s="2">
        <f>('L-Values'!R381*'D(Ti_Jollands) Times'!$F381*0.000001)^2/(4*'D(Ti_Jollands) Times'!$C381)/(365.35*24*3600)</f>
        <v>281512.96042896714</v>
      </c>
      <c r="W381" s="2">
        <f>('L-Values'!S381*'D(Ti_Jollands) Times'!$F381*0.000001)^2/(4*'D(Ti_Jollands) Times'!$C381)/(365.35*24*3600)</f>
        <v>223174.01777884993</v>
      </c>
      <c r="X381" s="2"/>
      <c r="Y381" s="2">
        <f>('L-Values'!U381*'D(Ti_Jollands) Times'!$F381*0.000001)^2/(4*'D(Ti_Jollands) Times'!$C381)/(365.35*24*3600)</f>
        <v>260904.46328230645</v>
      </c>
      <c r="Z381" s="2">
        <f>('L-Values'!V381*'D(Ti_Jollands) Times'!$F381*0.000001)^2/(4*'D(Ti_Jollands) Times'!$C381)/(365.35*24*3600)</f>
        <v>342996.82474453142</v>
      </c>
      <c r="AA381" s="2">
        <f>('L-Values'!W381*'D(Ti_Jollands) Times'!$F381*0.000001)^2/(4*'D(Ti_Jollands) Times'!$C381)/(365.35*24*3600)</f>
        <v>150.68604539273269</v>
      </c>
      <c r="AB381" s="2">
        <f>('L-Values'!X381*'D(Ti_Jollands) Times'!$F381*0.000001)^2/(4*'D(Ti_Jollands) Times'!$C381)/(365.35*24*3600)</f>
        <v>2225052.799459605</v>
      </c>
      <c r="AC381" s="2">
        <f t="shared" si="22"/>
        <v>342846.13869913871</v>
      </c>
      <c r="AD381" s="2">
        <f t="shared" si="23"/>
        <v>1882055.9747150736</v>
      </c>
    </row>
    <row r="382" spans="1:30" x14ac:dyDescent="0.2">
      <c r="A382" t="str">
        <f>'L-Values'!A382</f>
        <v>CGI018-qtz07-CL-fit-2-offset</v>
      </c>
      <c r="B382">
        <v>750</v>
      </c>
      <c r="C382">
        <f t="shared" si="20"/>
        <v>6.6965312637759184E-25</v>
      </c>
      <c r="D382">
        <v>1700</v>
      </c>
      <c r="E382">
        <v>1024</v>
      </c>
      <c r="F382">
        <f t="shared" si="21"/>
        <v>1.66015625</v>
      </c>
      <c r="I382" s="2">
        <f>('L-Values'!E382*'D(Ti_Jollands) Times'!$F382*0.000001)^2/(4*'D(Ti_Jollands) Times'!$C382)/(365.35*24*3600)</f>
        <v>325584.51053214975</v>
      </c>
      <c r="J382" s="2">
        <f>('L-Values'!F382*'D(Ti_Jollands) Times'!$F382*0.000001)^2/(4*'D(Ti_Jollands) Times'!$C382)/(365.35*24*3600)</f>
        <v>365214.53722455673</v>
      </c>
      <c r="K382" s="2">
        <f>('L-Values'!G382*'D(Ti_Jollands) Times'!$F382*0.000001)^2/(4*'D(Ti_Jollands) Times'!$C382)/(365.35*24*3600)</f>
        <v>164362.09087183687</v>
      </c>
      <c r="L382" s="2">
        <f>('L-Values'!H382*'D(Ti_Jollands) Times'!$F382*0.000001)^2/(4*'D(Ti_Jollands) Times'!$C382)/(365.35*24*3600)</f>
        <v>171071.33257153089</v>
      </c>
      <c r="M382" s="2">
        <f>('L-Values'!I382*'D(Ti_Jollands) Times'!$F382*0.000001)^2/(4*'D(Ti_Jollands) Times'!$C382)/(365.35*24*3600)</f>
        <v>1458099.3065573589</v>
      </c>
      <c r="N382" s="2">
        <f>('L-Values'!J382*'D(Ti_Jollands) Times'!$F382*0.000001)^2/(4*'D(Ti_Jollands) Times'!$C382)/(365.35*24*3600)</f>
        <v>1291.3835623928048</v>
      </c>
      <c r="O382" s="2">
        <f>('L-Values'!K382*'D(Ti_Jollands) Times'!$F382*0.000001)^2/(4*'D(Ti_Jollands) Times'!$C382)/(365.35*24*3600)</f>
        <v>264097.72286324715</v>
      </c>
      <c r="P382" s="2">
        <f>('L-Values'!L382*'D(Ti_Jollands) Times'!$F382*0.000001)^2/(4*'D(Ti_Jollands) Times'!$C382)/(365.35*24*3600)</f>
        <v>673591.61843192007</v>
      </c>
      <c r="Q382" s="2">
        <f>('L-Values'!M382*'D(Ti_Jollands) Times'!$F382*0.000001)^2/(4*'D(Ti_Jollands) Times'!$C382)/(365.35*24*3600)</f>
        <v>386105.95433582843</v>
      </c>
      <c r="R382" s="2">
        <f>('L-Values'!N382*'D(Ti_Jollands) Times'!$F382*0.000001)^2/(4*'D(Ti_Jollands) Times'!$C382)/(365.35*24*3600)</f>
        <v>176976.21412643837</v>
      </c>
      <c r="S382" s="2">
        <f>('L-Values'!O382*'D(Ti_Jollands) Times'!$F382*0.000001)^2/(4*'D(Ti_Jollands) Times'!$C382)/(365.35*24*3600)</f>
        <v>263134.84752964543</v>
      </c>
      <c r="T382" s="2"/>
      <c r="U382" s="2">
        <f>('L-Values'!Q382*'D(Ti_Jollands) Times'!$F382*0.000001)^2/(4*'D(Ti_Jollands) Times'!$C382)/(365.35*24*3600)</f>
        <v>391498.30583831022</v>
      </c>
      <c r="V382" s="2">
        <f>('L-Values'!R382*'D(Ti_Jollands) Times'!$F382*0.000001)^2/(4*'D(Ti_Jollands) Times'!$C382)/(365.35*24*3600)</f>
        <v>310255.51156035927</v>
      </c>
      <c r="W382" s="2">
        <f>('L-Values'!S382*'D(Ti_Jollands) Times'!$F382*0.000001)^2/(4*'D(Ti_Jollands) Times'!$C382)/(365.35*24*3600)</f>
        <v>264097.72286324715</v>
      </c>
      <c r="X382" s="2"/>
      <c r="Y382" s="2">
        <f>('L-Values'!U382*'D(Ti_Jollands) Times'!$F382*0.000001)^2/(4*'D(Ti_Jollands) Times'!$C382)/(365.35*24*3600)</f>
        <v>361871.08608496917</v>
      </c>
      <c r="Z382" s="2">
        <f>('L-Values'!V382*'D(Ti_Jollands) Times'!$F382*0.000001)^2/(4*'D(Ti_Jollands) Times'!$C382)/(365.35*24*3600)</f>
        <v>384811.28363590629</v>
      </c>
      <c r="AA382" s="2">
        <f>('L-Values'!W382*'D(Ti_Jollands) Times'!$F382*0.000001)^2/(4*'D(Ti_Jollands) Times'!$C382)/(365.35*24*3600)</f>
        <v>43447.797670122309</v>
      </c>
      <c r="AB382" s="2">
        <f>('L-Values'!X382*'D(Ti_Jollands) Times'!$F382*0.000001)^2/(4*'D(Ti_Jollands) Times'!$C382)/(365.35*24*3600)</f>
        <v>1150154.7221824811</v>
      </c>
      <c r="AC382" s="2">
        <f t="shared" si="22"/>
        <v>341363.485965784</v>
      </c>
      <c r="AD382" s="2">
        <f t="shared" si="23"/>
        <v>765343.43854657479</v>
      </c>
    </row>
    <row r="383" spans="1:30" x14ac:dyDescent="0.2">
      <c r="A383" t="str">
        <f>'L-Values'!A383</f>
        <v>CGI018-qtz07-CL-fit-3-offset</v>
      </c>
      <c r="B383">
        <v>750</v>
      </c>
      <c r="C383">
        <f t="shared" si="20"/>
        <v>6.6965312637759184E-25</v>
      </c>
      <c r="D383">
        <v>1700</v>
      </c>
      <c r="E383">
        <v>1024</v>
      </c>
      <c r="F383">
        <f t="shared" si="21"/>
        <v>1.66015625</v>
      </c>
      <c r="I383" s="2">
        <f>('L-Values'!E383*'D(Ti_Jollands) Times'!$F383*0.000001)^2/(4*'D(Ti_Jollands) Times'!$C383)/(365.35*24*3600)</f>
        <v>58675.210225907955</v>
      </c>
      <c r="J383" s="2">
        <f>('L-Values'!F383*'D(Ti_Jollands) Times'!$F383*0.000001)^2/(4*'D(Ti_Jollands) Times'!$C383)/(365.35*24*3600)</f>
        <v>21852.280652418038</v>
      </c>
      <c r="K383" s="2">
        <f>('L-Values'!G383*'D(Ti_Jollands) Times'!$F383*0.000001)^2/(4*'D(Ti_Jollands) Times'!$C383)/(365.35*24*3600)</f>
        <v>38946.155867773523</v>
      </c>
      <c r="L383" s="2">
        <f>('L-Values'!H383*'D(Ti_Jollands) Times'!$F383*0.000001)^2/(4*'D(Ti_Jollands) Times'!$C383)/(365.35*24*3600)</f>
        <v>26160.116329102122</v>
      </c>
      <c r="M383" s="2">
        <f>('L-Values'!I383*'D(Ti_Jollands) Times'!$F383*0.000001)^2/(4*'D(Ti_Jollands) Times'!$C383)/(365.35*24*3600)</f>
        <v>27.197792002767969</v>
      </c>
      <c r="N383" s="2">
        <f>('L-Values'!J383*'D(Ti_Jollands) Times'!$F383*0.000001)^2/(4*'D(Ti_Jollands) Times'!$C383)/(365.35*24*3600)</f>
        <v>77196.246344644445</v>
      </c>
      <c r="O383" s="2">
        <f>('L-Values'!K383*'D(Ti_Jollands) Times'!$F383*0.000001)^2/(4*'D(Ti_Jollands) Times'!$C383)/(365.35*24*3600)</f>
        <v>439052.85481718037</v>
      </c>
      <c r="P383" s="2">
        <f>('L-Values'!L383*'D(Ti_Jollands) Times'!$F383*0.000001)^2/(4*'D(Ti_Jollands) Times'!$C383)/(365.35*24*3600)</f>
        <v>59442.760533439643</v>
      </c>
      <c r="Q383" s="2">
        <f>('L-Values'!M383*'D(Ti_Jollands) Times'!$F383*0.000001)^2/(4*'D(Ti_Jollands) Times'!$C383)/(365.35*24*3600)</f>
        <v>68075.210097322721</v>
      </c>
      <c r="R383" s="2">
        <f>('L-Values'!N383*'D(Ti_Jollands) Times'!$F383*0.000001)^2/(4*'D(Ti_Jollands) Times'!$C383)/(365.35*24*3600)</f>
        <v>27609.154670142765</v>
      </c>
      <c r="S383" s="2">
        <f>('L-Values'!O383*'D(Ti_Jollands) Times'!$F383*0.000001)^2/(4*'D(Ti_Jollands) Times'!$C383)/(365.35*24*3600)</f>
        <v>45171.236787084257</v>
      </c>
      <c r="T383" s="2"/>
      <c r="U383" s="2">
        <f>('L-Values'!Q383*'D(Ti_Jollands) Times'!$F383*0.000001)^2/(4*'D(Ti_Jollands) Times'!$C383)/(365.35*24*3600)</f>
        <v>42198.836654409708</v>
      </c>
      <c r="V383" s="2">
        <f>('L-Values'!R383*'D(Ti_Jollands) Times'!$F383*0.000001)^2/(4*'D(Ti_Jollands) Times'!$C383)/(365.35*24*3600)</f>
        <v>54936.023716537304</v>
      </c>
      <c r="W383" s="2">
        <f>('L-Values'!S383*'D(Ti_Jollands) Times'!$F383*0.000001)^2/(4*'D(Ti_Jollands) Times'!$C383)/(365.35*24*3600)</f>
        <v>45171.236787084257</v>
      </c>
      <c r="X383" s="2"/>
      <c r="Y383" s="2">
        <f>('L-Values'!U383*'D(Ti_Jollands) Times'!$F383*0.000001)^2/(4*'D(Ti_Jollands) Times'!$C383)/(365.35*24*3600)</f>
        <v>36592.799927607375</v>
      </c>
      <c r="Z383" s="2">
        <f>('L-Values'!V383*'D(Ti_Jollands) Times'!$F383*0.000001)^2/(4*'D(Ti_Jollands) Times'!$C383)/(365.35*24*3600)</f>
        <v>37367.338475114324</v>
      </c>
      <c r="AA383" s="2">
        <f>('L-Values'!W383*'D(Ti_Jollands) Times'!$F383*0.000001)^2/(4*'D(Ti_Jollands) Times'!$C383)/(365.35*24*3600)</f>
        <v>1173.7626121052722</v>
      </c>
      <c r="AB383" s="2">
        <f>('L-Values'!X383*'D(Ti_Jollands) Times'!$F383*0.000001)^2/(4*'D(Ti_Jollands) Times'!$C383)/(365.35*24*3600)</f>
        <v>114921.61800017041</v>
      </c>
      <c r="AC383" s="2">
        <f t="shared" si="22"/>
        <v>36193.575863009049</v>
      </c>
      <c r="AD383" s="2">
        <f t="shared" si="23"/>
        <v>77554.279525056074</v>
      </c>
    </row>
    <row r="384" spans="1:30" x14ac:dyDescent="0.2">
      <c r="A384" t="str">
        <f>'L-Values'!A384</f>
        <v>CGI018-qtz08-CL-fit-1-offset</v>
      </c>
      <c r="B384">
        <v>750</v>
      </c>
      <c r="C384">
        <f t="shared" si="20"/>
        <v>6.6965312637759184E-25</v>
      </c>
      <c r="D384">
        <v>2300</v>
      </c>
      <c r="E384">
        <v>1024</v>
      </c>
      <c r="F384">
        <f t="shared" si="21"/>
        <v>2.24609375</v>
      </c>
      <c r="I384" s="2">
        <f>('L-Values'!E384*'D(Ti_Jollands) Times'!$F384*0.000001)^2/(4*'D(Ti_Jollands) Times'!$C384)/(365.35*24*3600)</f>
        <v>5996884.9836253412</v>
      </c>
      <c r="J384" s="2">
        <f>('L-Values'!F384*'D(Ti_Jollands) Times'!$F384*0.000001)^2/(4*'D(Ti_Jollands) Times'!$C384)/(365.35*24*3600)</f>
        <v>5665910.3461820148</v>
      </c>
      <c r="K384" s="2">
        <f>('L-Values'!G384*'D(Ti_Jollands) Times'!$F384*0.000001)^2/(4*'D(Ti_Jollands) Times'!$C384)/(365.35*24*3600)</f>
        <v>5590996.4572896678</v>
      </c>
      <c r="L384" s="2">
        <f>('L-Values'!H384*'D(Ti_Jollands) Times'!$F384*0.000001)^2/(4*'D(Ti_Jollands) Times'!$C384)/(365.35*24*3600)</f>
        <v>6197921.5186463427</v>
      </c>
      <c r="M384" s="2">
        <f>('L-Values'!I384*'D(Ti_Jollands) Times'!$F384*0.000001)^2/(4*'D(Ti_Jollands) Times'!$C384)/(365.35*24*3600)</f>
        <v>5934896.1809108742</v>
      </c>
      <c r="N384" s="2">
        <f>('L-Values'!J384*'D(Ti_Jollands) Times'!$F384*0.000001)^2/(4*'D(Ti_Jollands) Times'!$C384)/(365.35*24*3600)</f>
        <v>6419320.4701152323</v>
      </c>
      <c r="O384" s="2">
        <f>('L-Values'!K384*'D(Ti_Jollands) Times'!$F384*0.000001)^2/(4*'D(Ti_Jollands) Times'!$C384)/(365.35*24*3600)</f>
        <v>5038886.5019953214</v>
      </c>
      <c r="P384" s="2">
        <f>('L-Values'!L384*'D(Ti_Jollands) Times'!$F384*0.000001)^2/(4*'D(Ti_Jollands) Times'!$C384)/(365.35*24*3600)</f>
        <v>5425824.550576373</v>
      </c>
      <c r="Q384" s="2">
        <f>('L-Values'!M384*'D(Ti_Jollands) Times'!$F384*0.000001)^2/(4*'D(Ti_Jollands) Times'!$C384)/(365.35*24*3600)</f>
        <v>5736030.0765216546</v>
      </c>
      <c r="R384" s="2">
        <f>('L-Values'!N384*'D(Ti_Jollands) Times'!$F384*0.000001)^2/(4*'D(Ti_Jollands) Times'!$C384)/(365.35*24*3600)</f>
        <v>7446583.0705086654</v>
      </c>
      <c r="S384" s="2">
        <f>('L-Values'!O384*'D(Ti_Jollands) Times'!$F384*0.000001)^2/(4*'D(Ti_Jollands) Times'!$C384)/(365.35*24*3600)</f>
        <v>7503168.1341184434</v>
      </c>
      <c r="T384" s="2"/>
      <c r="U384" s="2">
        <f>('L-Values'!Q384*'D(Ti_Jollands) Times'!$F384*0.000001)^2/(4*'D(Ti_Jollands) Times'!$C384)/(365.35*24*3600)</f>
        <v>6050633.6144150235</v>
      </c>
      <c r="V384" s="2">
        <f>('L-Values'!R384*'D(Ti_Jollands) Times'!$F384*0.000001)^2/(4*'D(Ti_Jollands) Times'!$C384)/(365.35*24*3600)</f>
        <v>6065108.8203330701</v>
      </c>
      <c r="W384" s="2">
        <f>('L-Values'!S384*'D(Ti_Jollands) Times'!$F384*0.000001)^2/(4*'D(Ti_Jollands) Times'!$C384)/(365.35*24*3600)</f>
        <v>5934896.1809108742</v>
      </c>
      <c r="X384" s="2"/>
      <c r="Y384" s="2">
        <f>('L-Values'!U384*'D(Ti_Jollands) Times'!$F384*0.000001)^2/(4*'D(Ti_Jollands) Times'!$C384)/(365.35*24*3600)</f>
        <v>6070494.9493847443</v>
      </c>
      <c r="Z384" s="2">
        <f>('L-Values'!V384*'D(Ti_Jollands) Times'!$F384*0.000001)^2/(4*'D(Ti_Jollands) Times'!$C384)/(365.35*24*3600)</f>
        <v>5990077.9372490142</v>
      </c>
      <c r="AA384" s="2">
        <f>('L-Values'!W384*'D(Ti_Jollands) Times'!$F384*0.000001)^2/(4*'D(Ti_Jollands) Times'!$C384)/(365.35*24*3600)</f>
        <v>4326495.0306511102</v>
      </c>
      <c r="AB384" s="2">
        <f>('L-Values'!X384*'D(Ti_Jollands) Times'!$F384*0.000001)^2/(4*'D(Ti_Jollands) Times'!$C384)/(365.35*24*3600)</f>
        <v>8082260.3290000856</v>
      </c>
      <c r="AC384" s="2">
        <f t="shared" si="22"/>
        <v>1663582.9065979039</v>
      </c>
      <c r="AD384" s="2">
        <f t="shared" si="23"/>
        <v>2092182.3917510714</v>
      </c>
    </row>
    <row r="385" spans="1:30" x14ac:dyDescent="0.2">
      <c r="A385" t="str">
        <f>'L-Values'!A385</f>
        <v>CGI018-qtz08-CL-fit-2-offset</v>
      </c>
      <c r="B385">
        <v>750</v>
      </c>
      <c r="C385">
        <f t="shared" si="20"/>
        <v>6.6965312637759184E-25</v>
      </c>
      <c r="D385">
        <v>2300</v>
      </c>
      <c r="E385">
        <v>1024</v>
      </c>
      <c r="F385">
        <f t="shared" si="21"/>
        <v>2.24609375</v>
      </c>
      <c r="I385" s="2">
        <f>('L-Values'!E385*'D(Ti_Jollands) Times'!$F385*0.000001)^2/(4*'D(Ti_Jollands) Times'!$C385)/(365.35*24*3600)</f>
        <v>775333.55553579133</v>
      </c>
      <c r="J385" s="2">
        <f>('L-Values'!F385*'D(Ti_Jollands) Times'!$F385*0.000001)^2/(4*'D(Ti_Jollands) Times'!$C385)/(365.35*24*3600)</f>
        <v>1179117.4961445956</v>
      </c>
      <c r="K385" s="2">
        <f>('L-Values'!G385*'D(Ti_Jollands) Times'!$F385*0.000001)^2/(4*'D(Ti_Jollands) Times'!$C385)/(365.35*24*3600)</f>
        <v>1548473.0723998221</v>
      </c>
      <c r="L385" s="2">
        <f>('L-Values'!H385*'D(Ti_Jollands) Times'!$F385*0.000001)^2/(4*'D(Ti_Jollands) Times'!$C385)/(365.35*24*3600)</f>
        <v>685434.04753198614</v>
      </c>
      <c r="M385" s="2">
        <f>('L-Values'!I385*'D(Ti_Jollands) Times'!$F385*0.000001)^2/(4*'D(Ti_Jollands) Times'!$C385)/(365.35*24*3600)</f>
        <v>970882.54771507229</v>
      </c>
      <c r="N385" s="2">
        <f>('L-Values'!J385*'D(Ti_Jollands) Times'!$F385*0.000001)^2/(4*'D(Ti_Jollands) Times'!$C385)/(365.35*24*3600)</f>
        <v>1473874.3092432511</v>
      </c>
      <c r="O385" s="2">
        <f>('L-Values'!K385*'D(Ti_Jollands) Times'!$F385*0.000001)^2/(4*'D(Ti_Jollands) Times'!$C385)/(365.35*24*3600)</f>
        <v>934220.04031549243</v>
      </c>
      <c r="P385" s="2">
        <f>('L-Values'!L385*'D(Ti_Jollands) Times'!$F385*0.000001)^2/(4*'D(Ti_Jollands) Times'!$C385)/(365.35*24*3600)</f>
        <v>897404.29597860971</v>
      </c>
      <c r="Q385" s="2">
        <f>('L-Values'!M385*'D(Ti_Jollands) Times'!$F385*0.000001)^2/(4*'D(Ti_Jollands) Times'!$C385)/(365.35*24*3600)</f>
        <v>203248.38239066926</v>
      </c>
      <c r="R385" s="2">
        <f>('L-Values'!N385*'D(Ti_Jollands) Times'!$F385*0.000001)^2/(4*'D(Ti_Jollands) Times'!$C385)/(365.35*24*3600)</f>
        <v>742256.29754311696</v>
      </c>
      <c r="S385" s="2">
        <f>('L-Values'!O385*'D(Ti_Jollands) Times'!$F385*0.000001)^2/(4*'D(Ti_Jollands) Times'!$C385)/(365.35*24*3600)</f>
        <v>1208623.3150559568</v>
      </c>
      <c r="T385" s="2"/>
      <c r="U385" s="2">
        <f>('L-Values'!Q385*'D(Ti_Jollands) Times'!$F385*0.000001)^2/(4*'D(Ti_Jollands) Times'!$C385)/(365.35*24*3600)</f>
        <v>954645.11853790388</v>
      </c>
      <c r="V385" s="2">
        <f>('L-Values'!R385*'D(Ti_Jollands) Times'!$F385*0.000001)^2/(4*'D(Ti_Jollands) Times'!$C385)/(365.35*24*3600)</f>
        <v>922240.11344948329</v>
      </c>
      <c r="W385" s="2">
        <f>('L-Values'!S385*'D(Ti_Jollands) Times'!$F385*0.000001)^2/(4*'D(Ti_Jollands) Times'!$C385)/(365.35*24*3600)</f>
        <v>934220.04031549243</v>
      </c>
      <c r="X385" s="2"/>
      <c r="Y385" s="2">
        <f>('L-Values'!U385*'D(Ti_Jollands) Times'!$F385*0.000001)^2/(4*'D(Ti_Jollands) Times'!$C385)/(365.35*24*3600)</f>
        <v>990577.34693234204</v>
      </c>
      <c r="Z385" s="2">
        <f>('L-Values'!V385*'D(Ti_Jollands) Times'!$F385*0.000001)^2/(4*'D(Ti_Jollands) Times'!$C385)/(365.35*24*3600)</f>
        <v>1028718.5532199809</v>
      </c>
      <c r="AA385" s="2">
        <f>('L-Values'!W385*'D(Ti_Jollands) Times'!$F385*0.000001)^2/(4*'D(Ti_Jollands) Times'!$C385)/(365.35*24*3600)</f>
        <v>253446.95073858931</v>
      </c>
      <c r="AB385" s="2">
        <f>('L-Values'!X385*'D(Ti_Jollands) Times'!$F385*0.000001)^2/(4*'D(Ti_Jollands) Times'!$C385)/(365.35*24*3600)</f>
        <v>2215239.4105942082</v>
      </c>
      <c r="AC385" s="2">
        <f t="shared" si="22"/>
        <v>775271.60248139163</v>
      </c>
      <c r="AD385" s="2">
        <f t="shared" si="23"/>
        <v>1186520.8573742271</v>
      </c>
    </row>
    <row r="386" spans="1:30" x14ac:dyDescent="0.2">
      <c r="A386" t="str">
        <f>'L-Values'!A386</f>
        <v>CGI018-qtz08-CL-fit-3-offset</v>
      </c>
      <c r="B386">
        <v>750</v>
      </c>
      <c r="C386">
        <f t="shared" ref="C386:C412" si="24">10^(-8.3-(311/(2.303*0.00831451*(B386+273.15))))</f>
        <v>6.6965312637759184E-25</v>
      </c>
      <c r="D386">
        <v>2300</v>
      </c>
      <c r="E386">
        <v>1024</v>
      </c>
      <c r="F386">
        <f t="shared" ref="F386:F412" si="25">D386/E386</f>
        <v>2.24609375</v>
      </c>
      <c r="I386" s="2">
        <f>('L-Values'!E386*'D(Ti_Jollands) Times'!$F386*0.000001)^2/(4*'D(Ti_Jollands) Times'!$C386)/(365.35*24*3600)</f>
        <v>2359307.1218655207</v>
      </c>
      <c r="J386" s="2">
        <f>('L-Values'!F386*'D(Ti_Jollands) Times'!$F386*0.000001)^2/(4*'D(Ti_Jollands) Times'!$C386)/(365.35*24*3600)</f>
        <v>1809585.1529060204</v>
      </c>
      <c r="K386" s="2">
        <f>('L-Values'!G386*'D(Ti_Jollands) Times'!$F386*0.000001)^2/(4*'D(Ti_Jollands) Times'!$C386)/(365.35*24*3600)</f>
        <v>1758333.2422589241</v>
      </c>
      <c r="L386" s="2">
        <f>('L-Values'!H386*'D(Ti_Jollands) Times'!$F386*0.000001)^2/(4*'D(Ti_Jollands) Times'!$C386)/(365.35*24*3600)</f>
        <v>761480.4855644299</v>
      </c>
      <c r="M386" s="2">
        <f>('L-Values'!I386*'D(Ti_Jollands) Times'!$F386*0.000001)^2/(4*'D(Ti_Jollands) Times'!$C386)/(365.35*24*3600)</f>
        <v>1200443.7529863587</v>
      </c>
      <c r="N386" s="2">
        <f>('L-Values'!J386*'D(Ti_Jollands) Times'!$F386*0.000001)^2/(4*'D(Ti_Jollands) Times'!$C386)/(365.35*24*3600)</f>
        <v>970206.09725240211</v>
      </c>
      <c r="O386" s="2">
        <f>('L-Values'!K386*'D(Ti_Jollands) Times'!$F386*0.000001)^2/(4*'D(Ti_Jollands) Times'!$C386)/(365.35*24*3600)</f>
        <v>2052769.3235420305</v>
      </c>
      <c r="P386" s="2">
        <f>('L-Values'!L386*'D(Ti_Jollands) Times'!$F386*0.000001)^2/(4*'D(Ti_Jollands) Times'!$C386)/(365.35*24*3600)</f>
        <v>1526667.7149330089</v>
      </c>
      <c r="Q386" s="2">
        <f>('L-Values'!M386*'D(Ti_Jollands) Times'!$F386*0.000001)^2/(4*'D(Ti_Jollands) Times'!$C386)/(365.35*24*3600)</f>
        <v>786222.061872283</v>
      </c>
      <c r="R386" s="2">
        <f>('L-Values'!N386*'D(Ti_Jollands) Times'!$F386*0.000001)^2/(4*'D(Ti_Jollands) Times'!$C386)/(365.35*24*3600)</f>
        <v>549285.41113468935</v>
      </c>
      <c r="S386" s="2">
        <f>('L-Values'!O386*'D(Ti_Jollands) Times'!$F386*0.000001)^2/(4*'D(Ti_Jollands) Times'!$C386)/(365.35*24*3600)</f>
        <v>854927.64227859839</v>
      </c>
      <c r="T386" s="2"/>
      <c r="U386" s="2">
        <f>('L-Values'!Q386*'D(Ti_Jollands) Times'!$F386*0.000001)^2/(4*'D(Ti_Jollands) Times'!$C386)/(365.35*24*3600)</f>
        <v>1166477.8806722923</v>
      </c>
      <c r="V386" s="2">
        <f>('L-Values'!R386*'D(Ti_Jollands) Times'!$F386*0.000001)^2/(4*'D(Ti_Jollands) Times'!$C386)/(365.35*24*3600)</f>
        <v>1266910.9594102723</v>
      </c>
      <c r="W386" s="2">
        <f>('L-Values'!S386*'D(Ti_Jollands) Times'!$F386*0.000001)^2/(4*'D(Ti_Jollands) Times'!$C386)/(365.35*24*3600)</f>
        <v>1200443.7529863587</v>
      </c>
      <c r="X386" s="2"/>
      <c r="Y386" s="2">
        <f>('L-Values'!U386*'D(Ti_Jollands) Times'!$F386*0.000001)^2/(4*'D(Ti_Jollands) Times'!$C386)/(365.35*24*3600)</f>
        <v>1185343.7539864553</v>
      </c>
      <c r="Z386" s="2">
        <f>('L-Values'!V386*'D(Ti_Jollands) Times'!$F386*0.000001)^2/(4*'D(Ti_Jollands) Times'!$C386)/(365.35*24*3600)</f>
        <v>1175857.2961719788</v>
      </c>
      <c r="AA386" s="2">
        <f>('L-Values'!W386*'D(Ti_Jollands) Times'!$F386*0.000001)^2/(4*'D(Ti_Jollands) Times'!$C386)/(365.35*24*3600)</f>
        <v>434445.82103488635</v>
      </c>
      <c r="AB386" s="2">
        <f>('L-Values'!X386*'D(Ti_Jollands) Times'!$F386*0.000001)^2/(4*'D(Ti_Jollands) Times'!$C386)/(365.35*24*3600)</f>
        <v>2227970.0872681937</v>
      </c>
      <c r="AC386" s="2">
        <f t="shared" ref="AC386:AC412" si="26">Z386-AA386</f>
        <v>741411.47513709241</v>
      </c>
      <c r="AD386" s="2">
        <f t="shared" ref="AD386:AD412" si="27">AB386-Z386</f>
        <v>1052112.7910962149</v>
      </c>
    </row>
    <row r="387" spans="1:30" x14ac:dyDescent="0.2">
      <c r="A387" t="str">
        <f>'L-Values'!A387</f>
        <v>CGI018-qtz08-CL-fit-4-offset</v>
      </c>
      <c r="B387">
        <v>750</v>
      </c>
      <c r="C387">
        <f t="shared" si="24"/>
        <v>6.6965312637759184E-25</v>
      </c>
      <c r="D387">
        <v>2300</v>
      </c>
      <c r="E387">
        <v>1024</v>
      </c>
      <c r="F387">
        <f t="shared" si="25"/>
        <v>2.24609375</v>
      </c>
      <c r="I387" s="2">
        <f>('L-Values'!E387*'D(Ti_Jollands) Times'!$F387*0.000001)^2/(4*'D(Ti_Jollands) Times'!$C387)/(365.35*24*3600)</f>
        <v>797707.50660274166</v>
      </c>
      <c r="J387" s="2">
        <f>('L-Values'!F387*'D(Ti_Jollands) Times'!$F387*0.000001)^2/(4*'D(Ti_Jollands) Times'!$C387)/(365.35*24*3600)</f>
        <v>438367.41224329663</v>
      </c>
      <c r="K387" s="2">
        <f>('L-Values'!G387*'D(Ti_Jollands) Times'!$F387*0.000001)^2/(4*'D(Ti_Jollands) Times'!$C387)/(365.35*24*3600)</f>
        <v>221138.71170135066</v>
      </c>
      <c r="L387" s="2">
        <f>('L-Values'!H387*'D(Ti_Jollands) Times'!$F387*0.000001)^2/(4*'D(Ti_Jollands) Times'!$C387)/(365.35*24*3600)</f>
        <v>629656.80188313383</v>
      </c>
      <c r="M387" s="2">
        <f>('L-Values'!I387*'D(Ti_Jollands) Times'!$F387*0.000001)^2/(4*'D(Ti_Jollands) Times'!$C387)/(365.35*24*3600)</f>
        <v>1270410.6657733978</v>
      </c>
      <c r="N387" s="2">
        <f>('L-Values'!J387*'D(Ti_Jollands) Times'!$F387*0.000001)^2/(4*'D(Ti_Jollands) Times'!$C387)/(365.35*24*3600)</f>
        <v>39881.79178600153</v>
      </c>
      <c r="O387" s="2">
        <f>('L-Values'!K387*'D(Ti_Jollands) Times'!$F387*0.000001)^2/(4*'D(Ti_Jollands) Times'!$C387)/(365.35*24*3600)</f>
        <v>1425538.4553153731</v>
      </c>
      <c r="P387" s="2">
        <f>('L-Values'!L387*'D(Ti_Jollands) Times'!$F387*0.000001)^2/(4*'D(Ti_Jollands) Times'!$C387)/(365.35*24*3600)</f>
        <v>946296.8034935504</v>
      </c>
      <c r="Q387" s="2">
        <f>('L-Values'!M387*'D(Ti_Jollands) Times'!$F387*0.000001)^2/(4*'D(Ti_Jollands) Times'!$C387)/(365.35*24*3600)</f>
        <v>406035.30302334786</v>
      </c>
      <c r="R387" s="2">
        <f>('L-Values'!N387*'D(Ti_Jollands) Times'!$F387*0.000001)^2/(4*'D(Ti_Jollands) Times'!$C387)/(365.35*24*3600)</f>
        <v>2101171.2192912288</v>
      </c>
      <c r="S387" s="2">
        <f>('L-Values'!O387*'D(Ti_Jollands) Times'!$F387*0.000001)^2/(4*'D(Ti_Jollands) Times'!$C387)/(365.35*24*3600)</f>
        <v>1124821.6876433338</v>
      </c>
      <c r="T387" s="2"/>
      <c r="U387" s="2">
        <f>('L-Values'!Q387*'D(Ti_Jollands) Times'!$F387*0.000001)^2/(4*'D(Ti_Jollands) Times'!$C387)/(365.35*24*3600)</f>
        <v>815843.78062608</v>
      </c>
      <c r="V387" s="2">
        <f>('L-Values'!R387*'D(Ti_Jollands) Times'!$F387*0.000001)^2/(4*'D(Ti_Jollands) Times'!$C387)/(365.35*24*3600)</f>
        <v>739583.43562371249</v>
      </c>
      <c r="W387" s="2">
        <f>('L-Values'!S387*'D(Ti_Jollands) Times'!$F387*0.000001)^2/(4*'D(Ti_Jollands) Times'!$C387)/(365.35*24*3600)</f>
        <v>797707.50660274166</v>
      </c>
      <c r="X387" s="2"/>
      <c r="Y387" s="2">
        <f>('L-Values'!U387*'D(Ti_Jollands) Times'!$F387*0.000001)^2/(4*'D(Ti_Jollands) Times'!$C387)/(365.35*24*3600)</f>
        <v>787699.22548968275</v>
      </c>
      <c r="Z387" s="2">
        <f>('L-Values'!V387*'D(Ti_Jollands) Times'!$F387*0.000001)^2/(4*'D(Ti_Jollands) Times'!$C387)/(365.35*24*3600)</f>
        <v>797596.60904256359</v>
      </c>
      <c r="AA387" s="2">
        <f>('L-Values'!W387*'D(Ti_Jollands) Times'!$F387*0.000001)^2/(4*'D(Ti_Jollands) Times'!$C387)/(365.35*24*3600)</f>
        <v>145491.64125772612</v>
      </c>
      <c r="AB387" s="2">
        <f>('L-Values'!X387*'D(Ti_Jollands) Times'!$F387*0.000001)^2/(4*'D(Ti_Jollands) Times'!$C387)/(365.35*24*3600)</f>
        <v>2307362.1929325447</v>
      </c>
      <c r="AC387" s="2">
        <f t="shared" si="26"/>
        <v>652104.96778483747</v>
      </c>
      <c r="AD387" s="2">
        <f t="shared" si="27"/>
        <v>1509765.5838899813</v>
      </c>
    </row>
    <row r="388" spans="1:30" x14ac:dyDescent="0.2">
      <c r="A388" t="str">
        <f>'L-Values'!A388</f>
        <v>CGI018-qtz08-CL-fit-5-offset</v>
      </c>
      <c r="B388">
        <v>750</v>
      </c>
      <c r="C388">
        <f t="shared" si="24"/>
        <v>6.6965312637759184E-25</v>
      </c>
      <c r="D388">
        <v>2300</v>
      </c>
      <c r="E388">
        <v>1024</v>
      </c>
      <c r="F388">
        <f t="shared" si="25"/>
        <v>2.24609375</v>
      </c>
      <c r="I388" s="2">
        <f>('L-Values'!E388*'D(Ti_Jollands) Times'!$F388*0.000001)^2/(4*'D(Ti_Jollands) Times'!$C388)/(365.35*24*3600)</f>
        <v>1065300.5368440815</v>
      </c>
      <c r="J388" s="2">
        <f>('L-Values'!F388*'D(Ti_Jollands) Times'!$F388*0.000001)^2/(4*'D(Ti_Jollands) Times'!$C388)/(365.35*24*3600)</f>
        <v>1064530.1690002701</v>
      </c>
      <c r="K388" s="2">
        <f>('L-Values'!G388*'D(Ti_Jollands) Times'!$F388*0.000001)^2/(4*'D(Ti_Jollands) Times'!$C388)/(365.35*24*3600)</f>
        <v>1326027.4336578322</v>
      </c>
      <c r="L388" s="2">
        <f>('L-Values'!H388*'D(Ti_Jollands) Times'!$F388*0.000001)^2/(4*'D(Ti_Jollands) Times'!$C388)/(365.35*24*3600)</f>
        <v>1772929.0706228518</v>
      </c>
      <c r="M388" s="2">
        <f>('L-Values'!I388*'D(Ti_Jollands) Times'!$F388*0.000001)^2/(4*'D(Ti_Jollands) Times'!$C388)/(365.35*24*3600)</f>
        <v>1328638.8501957112</v>
      </c>
      <c r="N388" s="2">
        <f>('L-Values'!J388*'D(Ti_Jollands) Times'!$F388*0.000001)^2/(4*'D(Ti_Jollands) Times'!$C388)/(365.35*24*3600)</f>
        <v>1340291.4088173839</v>
      </c>
      <c r="O388" s="2">
        <f>('L-Values'!K388*'D(Ti_Jollands) Times'!$F388*0.000001)^2/(4*'D(Ti_Jollands) Times'!$C388)/(365.35*24*3600)</f>
        <v>1879591.9424571693</v>
      </c>
      <c r="P388" s="2">
        <f>('L-Values'!L388*'D(Ti_Jollands) Times'!$F388*0.000001)^2/(4*'D(Ti_Jollands) Times'!$C388)/(365.35*24*3600)</f>
        <v>1494236.9104174899</v>
      </c>
      <c r="Q388" s="2">
        <f>('L-Values'!M388*'D(Ti_Jollands) Times'!$F388*0.000001)^2/(4*'D(Ti_Jollands) Times'!$C388)/(365.35*24*3600)</f>
        <v>1698812.1810025342</v>
      </c>
      <c r="R388" s="2">
        <f>('L-Values'!N388*'D(Ti_Jollands) Times'!$F388*0.000001)^2/(4*'D(Ti_Jollands) Times'!$C388)/(365.35*24*3600)</f>
        <v>1688253.3339295341</v>
      </c>
      <c r="S388" s="2">
        <f>('L-Values'!O388*'D(Ti_Jollands) Times'!$F388*0.000001)^2/(4*'D(Ti_Jollands) Times'!$C388)/(365.35*24*3600)</f>
        <v>1610166.3487911187</v>
      </c>
      <c r="T388" s="2"/>
      <c r="U388" s="2">
        <f>('L-Values'!Q388*'D(Ti_Jollands) Times'!$F388*0.000001)^2/(4*'D(Ti_Jollands) Times'!$C388)/(365.35*24*3600)</f>
        <v>1459210.6699645647</v>
      </c>
      <c r="V388" s="2">
        <f>('L-Values'!R388*'D(Ti_Jollands) Times'!$F388*0.000001)^2/(4*'D(Ti_Jollands) Times'!$C388)/(365.35*24*3600)</f>
        <v>1466812.7242116285</v>
      </c>
      <c r="W388" s="2">
        <f>('L-Values'!S388*'D(Ti_Jollands) Times'!$F388*0.000001)^2/(4*'D(Ti_Jollands) Times'!$C388)/(365.35*24*3600)</f>
        <v>1494236.9104174899</v>
      </c>
      <c r="X388" s="2"/>
      <c r="Y388" s="2">
        <f>('L-Values'!U388*'D(Ti_Jollands) Times'!$F388*0.000001)^2/(4*'D(Ti_Jollands) Times'!$C388)/(365.35*24*3600)</f>
        <v>1456395.0862736017</v>
      </c>
      <c r="Z388" s="2">
        <f>('L-Values'!V388*'D(Ti_Jollands) Times'!$F388*0.000001)^2/(4*'D(Ti_Jollands) Times'!$C388)/(365.35*24*3600)</f>
        <v>1466060.1330826606</v>
      </c>
      <c r="AA388" s="2">
        <f>('L-Values'!W388*'D(Ti_Jollands) Times'!$F388*0.000001)^2/(4*'D(Ti_Jollands) Times'!$C388)/(365.35*24*3600)</f>
        <v>1079818.1761147061</v>
      </c>
      <c r="AB388" s="2">
        <f>('L-Values'!X388*'D(Ti_Jollands) Times'!$F388*0.000001)^2/(4*'D(Ti_Jollands) Times'!$C388)/(365.35*24*3600)</f>
        <v>2033866.3607955198</v>
      </c>
      <c r="AC388" s="2">
        <f t="shared" si="26"/>
        <v>386241.95696795452</v>
      </c>
      <c r="AD388" s="2">
        <f t="shared" si="27"/>
        <v>567806.22771285917</v>
      </c>
    </row>
    <row r="389" spans="1:30" x14ac:dyDescent="0.2">
      <c r="A389" t="str">
        <f>'L-Values'!A389</f>
        <v>CGI018-qtz08-CL-fit-6-offset</v>
      </c>
      <c r="B389">
        <v>750</v>
      </c>
      <c r="C389">
        <f t="shared" si="24"/>
        <v>6.6965312637759184E-25</v>
      </c>
      <c r="D389">
        <v>2300</v>
      </c>
      <c r="E389">
        <v>1024</v>
      </c>
      <c r="F389">
        <f t="shared" si="25"/>
        <v>2.24609375</v>
      </c>
      <c r="I389" s="2">
        <f>('L-Values'!E389*'D(Ti_Jollands) Times'!$F389*0.000001)^2/(4*'D(Ti_Jollands) Times'!$C389)/(365.35*24*3600)</f>
        <v>190701.92608701953</v>
      </c>
      <c r="J389" s="2">
        <f>('L-Values'!F389*'D(Ti_Jollands) Times'!$F389*0.000001)^2/(4*'D(Ti_Jollands) Times'!$C389)/(365.35*24*3600)</f>
        <v>342104.1436325718</v>
      </c>
      <c r="K389" s="2">
        <f>('L-Values'!G389*'D(Ti_Jollands) Times'!$F389*0.000001)^2/(4*'D(Ti_Jollands) Times'!$C389)/(365.35*24*3600)</f>
        <v>337952.21467166749</v>
      </c>
      <c r="L389" s="2">
        <f>('L-Values'!H389*'D(Ti_Jollands) Times'!$F389*0.000001)^2/(4*'D(Ti_Jollands) Times'!$C389)/(365.35*24*3600)</f>
        <v>386059.54540656804</v>
      </c>
      <c r="M389" s="2">
        <f>('L-Values'!I389*'D(Ti_Jollands) Times'!$F389*0.000001)^2/(4*'D(Ti_Jollands) Times'!$C389)/(365.35*24*3600)</f>
        <v>220353.27312777744</v>
      </c>
      <c r="N389" s="2">
        <f>('L-Values'!J389*'D(Ti_Jollands) Times'!$F389*0.000001)^2/(4*'D(Ti_Jollands) Times'!$C389)/(365.35*24*3600)</f>
        <v>276689.81577207032</v>
      </c>
      <c r="O389" s="2">
        <f>('L-Values'!K389*'D(Ti_Jollands) Times'!$F389*0.000001)^2/(4*'D(Ti_Jollands) Times'!$C389)/(365.35*24*3600)</f>
        <v>244779.44677846727</v>
      </c>
      <c r="P389" s="2">
        <f>('L-Values'!L389*'D(Ti_Jollands) Times'!$F389*0.000001)^2/(4*'D(Ti_Jollands) Times'!$C389)/(365.35*24*3600)</f>
        <v>227765.2286112649</v>
      </c>
      <c r="Q389" s="2">
        <f>('L-Values'!M389*'D(Ti_Jollands) Times'!$F389*0.000001)^2/(4*'D(Ti_Jollands) Times'!$C389)/(365.35*24*3600)</f>
        <v>326347.76930290629</v>
      </c>
      <c r="R389" s="2">
        <f>('L-Values'!N389*'D(Ti_Jollands) Times'!$F389*0.000001)^2/(4*'D(Ti_Jollands) Times'!$C389)/(365.35*24*3600)</f>
        <v>221239.52286750614</v>
      </c>
      <c r="S389" s="2">
        <f>('L-Values'!O389*'D(Ti_Jollands) Times'!$F389*0.000001)^2/(4*'D(Ti_Jollands) Times'!$C389)/(365.35*24*3600)</f>
        <v>237156.45341285161</v>
      </c>
      <c r="T389" s="2"/>
      <c r="U389" s="2">
        <f>('L-Values'!Q389*'D(Ti_Jollands) Times'!$F389*0.000001)^2/(4*'D(Ti_Jollands) Times'!$C389)/(365.35*24*3600)</f>
        <v>270325.65278756787</v>
      </c>
      <c r="V389" s="2">
        <f>('L-Values'!R389*'D(Ti_Jollands) Times'!$F389*0.000001)^2/(4*'D(Ti_Jollands) Times'!$C389)/(365.35*24*3600)</f>
        <v>270429.48309417511</v>
      </c>
      <c r="W389" s="2">
        <f>('L-Values'!S389*'D(Ti_Jollands) Times'!$F389*0.000001)^2/(4*'D(Ti_Jollands) Times'!$C389)/(365.35*24*3600)</f>
        <v>244779.44677846727</v>
      </c>
      <c r="X389" s="2"/>
      <c r="Y389" s="2">
        <f>('L-Values'!U389*'D(Ti_Jollands) Times'!$F389*0.000001)^2/(4*'D(Ti_Jollands) Times'!$C389)/(365.35*24*3600)</f>
        <v>263900.532803301</v>
      </c>
      <c r="Z389" s="2">
        <f>('L-Values'!V389*'D(Ti_Jollands) Times'!$F389*0.000001)^2/(4*'D(Ti_Jollands) Times'!$C389)/(365.35*24*3600)</f>
        <v>264230.06302061758</v>
      </c>
      <c r="AA389" s="2">
        <f>('L-Values'!W389*'D(Ti_Jollands) Times'!$F389*0.000001)^2/(4*'D(Ti_Jollands) Times'!$C389)/(365.35*24*3600)</f>
        <v>145469.46998725209</v>
      </c>
      <c r="AB389" s="2">
        <f>('L-Values'!X389*'D(Ti_Jollands) Times'!$F389*0.000001)^2/(4*'D(Ti_Jollands) Times'!$C389)/(365.35*24*3600)</f>
        <v>430752.36464546307</v>
      </c>
      <c r="AC389" s="2">
        <f t="shared" si="26"/>
        <v>118760.5930333655</v>
      </c>
      <c r="AD389" s="2">
        <f t="shared" si="27"/>
        <v>166522.30162484548</v>
      </c>
    </row>
    <row r="390" spans="1:30" x14ac:dyDescent="0.2">
      <c r="A390" t="str">
        <f>'L-Values'!A390</f>
        <v>CGI018-qtz08-CL-fit-7-offset</v>
      </c>
      <c r="B390">
        <v>750</v>
      </c>
      <c r="C390">
        <f t="shared" si="24"/>
        <v>6.6965312637759184E-25</v>
      </c>
      <c r="D390">
        <v>2300</v>
      </c>
      <c r="E390">
        <v>1024</v>
      </c>
      <c r="F390">
        <f t="shared" si="25"/>
        <v>2.24609375</v>
      </c>
      <c r="I390" s="2">
        <f>('L-Values'!E390*'D(Ti_Jollands) Times'!$F390*0.000001)^2/(4*'D(Ti_Jollands) Times'!$C390)/(365.35*24*3600)</f>
        <v>32846.640378175878</v>
      </c>
      <c r="J390" s="2">
        <f>('L-Values'!F390*'D(Ti_Jollands) Times'!$F390*0.000001)^2/(4*'D(Ti_Jollands) Times'!$C390)/(365.35*24*3600)</f>
        <v>143069.78976545829</v>
      </c>
      <c r="K390" s="2">
        <f>('L-Values'!G390*'D(Ti_Jollands) Times'!$F390*0.000001)^2/(4*'D(Ti_Jollands) Times'!$C390)/(365.35*24*3600)</f>
        <v>61081.462309359405</v>
      </c>
      <c r="L390" s="2">
        <f>('L-Values'!H390*'D(Ti_Jollands) Times'!$F390*0.000001)^2/(4*'D(Ti_Jollands) Times'!$C390)/(365.35*24*3600)</f>
        <v>64672.036067641217</v>
      </c>
      <c r="M390" s="2">
        <f>('L-Values'!I390*'D(Ti_Jollands) Times'!$F390*0.000001)^2/(4*'D(Ti_Jollands) Times'!$C390)/(365.35*24*3600)</f>
        <v>165330.05720004404</v>
      </c>
      <c r="N390" s="2">
        <f>('L-Values'!J390*'D(Ti_Jollands) Times'!$F390*0.000001)^2/(4*'D(Ti_Jollands) Times'!$C390)/(365.35*24*3600)</f>
        <v>143036.91778056312</v>
      </c>
      <c r="O390" s="2">
        <f>('L-Values'!K390*'D(Ti_Jollands) Times'!$F390*0.000001)^2/(4*'D(Ti_Jollands) Times'!$C390)/(365.35*24*3600)</f>
        <v>22021.76032226695</v>
      </c>
      <c r="P390" s="2">
        <f>('L-Values'!L390*'D(Ti_Jollands) Times'!$F390*0.000001)^2/(4*'D(Ti_Jollands) Times'!$C390)/(365.35*24*3600)</f>
        <v>1005.811585725292</v>
      </c>
      <c r="Q390" s="2">
        <f>('L-Values'!M390*'D(Ti_Jollands) Times'!$F390*0.000001)^2/(4*'D(Ti_Jollands) Times'!$C390)/(365.35*24*3600)</f>
        <v>33846.003805193068</v>
      </c>
      <c r="R390" s="2">
        <f>('L-Values'!N390*'D(Ti_Jollands) Times'!$F390*0.000001)^2/(4*'D(Ti_Jollands) Times'!$C390)/(365.35*24*3600)</f>
        <v>4289.4683225659537</v>
      </c>
      <c r="S390" s="2">
        <f>('L-Values'!O390*'D(Ti_Jollands) Times'!$F390*0.000001)^2/(4*'D(Ti_Jollands) Times'!$C390)/(365.35*24*3600)</f>
        <v>143622.87745936812</v>
      </c>
      <c r="T390" s="2"/>
      <c r="U390" s="2">
        <f>('L-Values'!Q390*'D(Ti_Jollands) Times'!$F390*0.000001)^2/(4*'D(Ti_Jollands) Times'!$C390)/(365.35*24*3600)</f>
        <v>64740.774375343935</v>
      </c>
      <c r="V390" s="2">
        <f>('L-Values'!R390*'D(Ti_Jollands) Times'!$F390*0.000001)^2/(4*'D(Ti_Jollands) Times'!$C390)/(365.35*24*3600)</f>
        <v>58225.721262050087</v>
      </c>
      <c r="W390" s="2">
        <f>('L-Values'!S390*'D(Ti_Jollands) Times'!$F390*0.000001)^2/(4*'D(Ti_Jollands) Times'!$C390)/(365.35*24*3600)</f>
        <v>61081.462309359405</v>
      </c>
      <c r="X390" s="2"/>
      <c r="Y390" s="2">
        <f>('L-Values'!U390*'D(Ti_Jollands) Times'!$F390*0.000001)^2/(4*'D(Ti_Jollands) Times'!$C390)/(365.35*24*3600)</f>
        <v>50802.221059326104</v>
      </c>
      <c r="Z390" s="2">
        <f>('L-Values'!V390*'D(Ti_Jollands) Times'!$F390*0.000001)^2/(4*'D(Ti_Jollands) Times'!$C390)/(365.35*24*3600)</f>
        <v>50278.821612416985</v>
      </c>
      <c r="AA390" s="2">
        <f>('L-Values'!W390*'D(Ti_Jollands) Times'!$F390*0.000001)^2/(4*'D(Ti_Jollands) Times'!$C390)/(365.35*24*3600)</f>
        <v>1282.6282748303106</v>
      </c>
      <c r="AB390" s="2">
        <f>('L-Values'!X390*'D(Ti_Jollands) Times'!$F390*0.000001)^2/(4*'D(Ti_Jollands) Times'!$C390)/(365.35*24*3600)</f>
        <v>218377.7625735169</v>
      </c>
      <c r="AC390" s="2">
        <f t="shared" si="26"/>
        <v>48996.193337586672</v>
      </c>
      <c r="AD390" s="2">
        <f t="shared" si="27"/>
        <v>168098.94096109993</v>
      </c>
    </row>
    <row r="391" spans="1:30" x14ac:dyDescent="0.2">
      <c r="A391" t="str">
        <f>'L-Values'!A391</f>
        <v>CGI018-qtz09-CL-fit-2-offset</v>
      </c>
      <c r="B391">
        <v>750</v>
      </c>
      <c r="C391">
        <f t="shared" si="24"/>
        <v>6.6965312637759184E-25</v>
      </c>
      <c r="D391">
        <v>2250</v>
      </c>
      <c r="E391">
        <v>1024</v>
      </c>
      <c r="F391">
        <f t="shared" si="25"/>
        <v>2.197265625</v>
      </c>
      <c r="I391" s="2">
        <f>('L-Values'!E391*'D(Ti_Jollands) Times'!$F391*0.000001)^2/(4*'D(Ti_Jollands) Times'!$C391)/(365.35*24*3600)</f>
        <v>1.2028797574375436</v>
      </c>
      <c r="J391" s="2">
        <f>('L-Values'!F391*'D(Ti_Jollands) Times'!$F391*0.000001)^2/(4*'D(Ti_Jollands) Times'!$C391)/(365.35*24*3600)</f>
        <v>2001.5471045173522</v>
      </c>
      <c r="K391" s="2">
        <f>('L-Values'!G391*'D(Ti_Jollands) Times'!$F391*0.000001)^2/(4*'D(Ti_Jollands) Times'!$C391)/(365.35*24*3600)</f>
        <v>569692.82095782727</v>
      </c>
      <c r="L391" s="2">
        <f>('L-Values'!H391*'D(Ti_Jollands) Times'!$F391*0.000001)^2/(4*'D(Ti_Jollands) Times'!$C391)/(365.35*24*3600)</f>
        <v>872125.28099820903</v>
      </c>
      <c r="M391" s="2">
        <f>('L-Values'!I391*'D(Ti_Jollands) Times'!$F391*0.000001)^2/(4*'D(Ti_Jollands) Times'!$C391)/(365.35*24*3600)</f>
        <v>1419904.2080977103</v>
      </c>
      <c r="N391" s="2">
        <f>('L-Values'!J391*'D(Ti_Jollands) Times'!$F391*0.000001)^2/(4*'D(Ti_Jollands) Times'!$C391)/(365.35*24*3600)</f>
        <v>102565.70564660984</v>
      </c>
      <c r="O391" s="2">
        <f>('L-Values'!K391*'D(Ti_Jollands) Times'!$F391*0.000001)^2/(4*'D(Ti_Jollands) Times'!$C391)/(365.35*24*3600)</f>
        <v>125408.38389336107</v>
      </c>
      <c r="P391" s="2">
        <f>('L-Values'!L391*'D(Ti_Jollands) Times'!$F391*0.000001)^2/(4*'D(Ti_Jollands) Times'!$C391)/(365.35*24*3600)</f>
        <v>1505.8023011751795</v>
      </c>
      <c r="Q391" s="2">
        <f>('L-Values'!M391*'D(Ti_Jollands) Times'!$F391*0.000001)^2/(4*'D(Ti_Jollands) Times'!$C391)/(365.35*24*3600)</f>
        <v>47333.762887648118</v>
      </c>
      <c r="R391" s="2">
        <f>('L-Values'!N391*'D(Ti_Jollands) Times'!$F391*0.000001)^2/(4*'D(Ti_Jollands) Times'!$C391)/(365.35*24*3600)</f>
        <v>1484733.8317489454</v>
      </c>
      <c r="S391" s="2">
        <f>('L-Values'!O391*'D(Ti_Jollands) Times'!$F391*0.000001)^2/(4*'D(Ti_Jollands) Times'!$C391)/(365.35*24*3600)</f>
        <v>3204226.8931958196</v>
      </c>
      <c r="T391" s="2"/>
      <c r="U391" s="2">
        <f>('L-Values'!Q391*'D(Ti_Jollands) Times'!$F391*0.000001)^2/(4*'D(Ti_Jollands) Times'!$C391)/(365.35*24*3600)</f>
        <v>1311336.5967863905</v>
      </c>
      <c r="V391" s="2">
        <f>('L-Values'!R391*'D(Ti_Jollands) Times'!$F391*0.000001)^2/(4*'D(Ti_Jollands) Times'!$C391)/(365.35*24*3600)</f>
        <v>389532.39906787378</v>
      </c>
      <c r="W391" s="2">
        <f>('L-Values'!S391*'D(Ti_Jollands) Times'!$F391*0.000001)^2/(4*'D(Ti_Jollands) Times'!$C391)/(365.35*24*3600)</f>
        <v>125408.38389336107</v>
      </c>
      <c r="X391" s="2"/>
      <c r="Y391" s="2">
        <f>('L-Values'!U391*'D(Ti_Jollands) Times'!$F391*0.000001)^2/(4*'D(Ti_Jollands) Times'!$C391)/(365.35*24*3600)</f>
        <v>1254071.7403074936</v>
      </c>
      <c r="Z391" s="2">
        <f>('L-Values'!V391*'D(Ti_Jollands) Times'!$F391*0.000001)^2/(4*'D(Ti_Jollands) Times'!$C391)/(365.35*24*3600)</f>
        <v>1784364.6819459915</v>
      </c>
      <c r="AA391" s="2">
        <f>('L-Values'!W391*'D(Ti_Jollands) Times'!$F391*0.000001)^2/(4*'D(Ti_Jollands) Times'!$C391)/(365.35*24*3600)</f>
        <v>47.728224954811886</v>
      </c>
      <c r="AB391" s="2">
        <f>('L-Values'!X391*'D(Ti_Jollands) Times'!$F391*0.000001)^2/(4*'D(Ti_Jollands) Times'!$C391)/(365.35*24*3600)</f>
        <v>13605468.64983118</v>
      </c>
      <c r="AC391" s="2">
        <f t="shared" si="26"/>
        <v>1784316.9537210367</v>
      </c>
      <c r="AD391" s="2">
        <f t="shared" si="27"/>
        <v>11821103.967885189</v>
      </c>
    </row>
    <row r="392" spans="1:30" x14ac:dyDescent="0.2">
      <c r="A392" t="str">
        <f>'L-Values'!A392</f>
        <v>CGI018-qtz09-CL-fit-3-offset</v>
      </c>
      <c r="B392">
        <v>750</v>
      </c>
      <c r="C392">
        <f t="shared" si="24"/>
        <v>6.6965312637759184E-25</v>
      </c>
      <c r="D392">
        <v>2250</v>
      </c>
      <c r="E392">
        <v>1024</v>
      </c>
      <c r="F392">
        <f t="shared" si="25"/>
        <v>2.197265625</v>
      </c>
      <c r="I392" s="2">
        <f>('L-Values'!E392*'D(Ti_Jollands) Times'!$F392*0.000001)^2/(4*'D(Ti_Jollands) Times'!$C392)/(365.35*24*3600)</f>
        <v>399266.01789419854</v>
      </c>
      <c r="J392" s="2">
        <f>('L-Values'!F392*'D(Ti_Jollands) Times'!$F392*0.000001)^2/(4*'D(Ti_Jollands) Times'!$C392)/(365.35*24*3600)</f>
        <v>347670.84173969692</v>
      </c>
      <c r="K392" s="2">
        <f>('L-Values'!G392*'D(Ti_Jollands) Times'!$F392*0.000001)^2/(4*'D(Ti_Jollands) Times'!$C392)/(365.35*24*3600)</f>
        <v>161700.31360288349</v>
      </c>
      <c r="L392" s="2">
        <f>('L-Values'!H392*'D(Ti_Jollands) Times'!$F392*0.000001)^2/(4*'D(Ti_Jollands) Times'!$C392)/(365.35*24*3600)</f>
        <v>30.669842137780488</v>
      </c>
      <c r="M392" s="2">
        <f>('L-Values'!I392*'D(Ti_Jollands) Times'!$F392*0.000001)^2/(4*'D(Ti_Jollands) Times'!$C392)/(365.35*24*3600)</f>
        <v>99.076352920362183</v>
      </c>
      <c r="N392" s="2">
        <f>('L-Values'!J392*'D(Ti_Jollands) Times'!$F392*0.000001)^2/(4*'D(Ti_Jollands) Times'!$C392)/(365.35*24*3600)</f>
        <v>158.75821227617416</v>
      </c>
      <c r="O392" s="2">
        <f>('L-Values'!K392*'D(Ti_Jollands) Times'!$F392*0.000001)^2/(4*'D(Ti_Jollands) Times'!$C392)/(365.35*24*3600)</f>
        <v>0</v>
      </c>
      <c r="P392" s="2">
        <f>('L-Values'!L392*'D(Ti_Jollands) Times'!$F392*0.000001)^2/(4*'D(Ti_Jollands) Times'!$C392)/(365.35*24*3600)</f>
        <v>80570.214369480513</v>
      </c>
      <c r="Q392" s="2">
        <f>('L-Values'!M392*'D(Ti_Jollands) Times'!$F392*0.000001)^2/(4*'D(Ti_Jollands) Times'!$C392)/(365.35*24*3600)</f>
        <v>188325.04818329046</v>
      </c>
      <c r="R392" s="2">
        <f>('L-Values'!N392*'D(Ti_Jollands) Times'!$F392*0.000001)^2/(4*'D(Ti_Jollands) Times'!$C392)/(365.35*24*3600)</f>
        <v>162098.79617097307</v>
      </c>
      <c r="S392" s="2">
        <f>('L-Values'!O392*'D(Ti_Jollands) Times'!$F392*0.000001)^2/(4*'D(Ti_Jollands) Times'!$C392)/(365.35*24*3600)</f>
        <v>1847403.6936577715</v>
      </c>
      <c r="T392" s="2"/>
      <c r="U392" s="2">
        <f>('L-Values'!Q392*'D(Ti_Jollands) Times'!$F392*0.000001)^2/(4*'D(Ti_Jollands) Times'!$C392)/(365.35*24*3600)</f>
        <v>177552.15437240995</v>
      </c>
      <c r="V392" s="2">
        <f>('L-Values'!R392*'D(Ti_Jollands) Times'!$F392*0.000001)^2/(4*'D(Ti_Jollands) Times'!$C392)/(365.35*24*3600)</f>
        <v>170679.96287479682</v>
      </c>
      <c r="W392" s="2">
        <f>('L-Values'!S392*'D(Ti_Jollands) Times'!$F392*0.000001)^2/(4*'D(Ti_Jollands) Times'!$C392)/(365.35*24*3600)</f>
        <v>161899.49358795752</v>
      </c>
      <c r="X392" s="2"/>
      <c r="Y392" s="2">
        <f>('L-Values'!U392*'D(Ti_Jollands) Times'!$F392*0.000001)^2/(4*'D(Ti_Jollands) Times'!$C392)/(365.35*24*3600)</f>
        <v>187615.4078779241</v>
      </c>
      <c r="Z392" s="2">
        <f>('L-Values'!V392*'D(Ti_Jollands) Times'!$F392*0.000001)^2/(4*'D(Ti_Jollands) Times'!$C392)/(365.35*24*3600)</f>
        <v>978635.13202622114</v>
      </c>
      <c r="AA392" s="2">
        <f>('L-Values'!W392*'D(Ti_Jollands) Times'!$F392*0.000001)^2/(4*'D(Ti_Jollands) Times'!$C392)/(365.35*24*3600)</f>
        <v>9.2524586757968876</v>
      </c>
      <c r="AB392" s="2">
        <f>('L-Values'!X392*'D(Ti_Jollands) Times'!$F392*0.000001)^2/(4*'D(Ti_Jollands) Times'!$C392)/(365.35*24*3600)</f>
        <v>87158403.516587675</v>
      </c>
      <c r="AC392" s="2">
        <f t="shared" si="26"/>
        <v>978625.87956754537</v>
      </c>
      <c r="AD392" s="2">
        <f t="shared" si="27"/>
        <v>86179768.384561449</v>
      </c>
    </row>
    <row r="393" spans="1:30" x14ac:dyDescent="0.2">
      <c r="A393" t="str">
        <f>'L-Values'!A393</f>
        <v>CGI018-qtz09-CL-fit-4-offset</v>
      </c>
      <c r="B393">
        <v>750</v>
      </c>
      <c r="C393">
        <f t="shared" si="24"/>
        <v>6.6965312637759184E-25</v>
      </c>
      <c r="D393">
        <v>2250</v>
      </c>
      <c r="E393">
        <v>1024</v>
      </c>
      <c r="F393">
        <f t="shared" si="25"/>
        <v>2.197265625</v>
      </c>
      <c r="I393" s="2">
        <f>('L-Values'!E393*'D(Ti_Jollands) Times'!$F393*0.000001)^2/(4*'D(Ti_Jollands) Times'!$C393)/(365.35*24*3600)</f>
        <v>377.90313489769244</v>
      </c>
      <c r="J393" s="2">
        <f>('L-Values'!F393*'D(Ti_Jollands) Times'!$F393*0.000001)^2/(4*'D(Ti_Jollands) Times'!$C393)/(365.35*24*3600)</f>
        <v>5.3274169159149618E-11</v>
      </c>
      <c r="K393" s="2">
        <f>('L-Values'!G393*'D(Ti_Jollands) Times'!$F393*0.000001)^2/(4*'D(Ti_Jollands) Times'!$C393)/(365.35*24*3600)</f>
        <v>1736.242655920048</v>
      </c>
      <c r="L393" s="2">
        <f>('L-Values'!H393*'D(Ti_Jollands) Times'!$F393*0.000001)^2/(4*'D(Ti_Jollands) Times'!$C393)/(365.35*24*3600)</f>
        <v>190.01320483138556</v>
      </c>
      <c r="M393" s="2">
        <f>('L-Values'!I393*'D(Ti_Jollands) Times'!$F393*0.000001)^2/(4*'D(Ti_Jollands) Times'!$C393)/(365.35*24*3600)</f>
        <v>60728.993433399039</v>
      </c>
      <c r="N393" s="2">
        <f>('L-Values'!J393*'D(Ti_Jollands) Times'!$F393*0.000001)^2/(4*'D(Ti_Jollands) Times'!$C393)/(365.35*24*3600)</f>
        <v>20819.685406693214</v>
      </c>
      <c r="O393" s="2">
        <f>('L-Values'!K393*'D(Ti_Jollands) Times'!$F393*0.000001)^2/(4*'D(Ti_Jollands) Times'!$C393)/(365.35*24*3600)</f>
        <v>416.19594782244849</v>
      </c>
      <c r="P393" s="2">
        <f>('L-Values'!L393*'D(Ti_Jollands) Times'!$F393*0.000001)^2/(4*'D(Ti_Jollands) Times'!$C393)/(365.35*24*3600)</f>
        <v>68744.504463148493</v>
      </c>
      <c r="Q393" s="2">
        <f>('L-Values'!M393*'D(Ti_Jollands) Times'!$F393*0.000001)^2/(4*'D(Ti_Jollands) Times'!$C393)/(365.35*24*3600)</f>
        <v>218718.00966135738</v>
      </c>
      <c r="R393" s="2">
        <f>('L-Values'!N393*'D(Ti_Jollands) Times'!$F393*0.000001)^2/(4*'D(Ti_Jollands) Times'!$C393)/(365.35*24*3600)</f>
        <v>696977.50347403623</v>
      </c>
      <c r="S393" s="2">
        <f>('L-Values'!O393*'D(Ti_Jollands) Times'!$F393*0.000001)^2/(4*'D(Ti_Jollands) Times'!$C393)/(365.35*24*3600)</f>
        <v>72913.507335362359</v>
      </c>
      <c r="T393" s="2"/>
      <c r="U393" s="2">
        <f>('L-Values'!Q393*'D(Ti_Jollands) Times'!$F393*0.000001)^2/(4*'D(Ti_Jollands) Times'!$C393)/(365.35*24*3600)</f>
        <v>46794.47984890778</v>
      </c>
      <c r="V393" s="2">
        <f>('L-Values'!R393*'D(Ti_Jollands) Times'!$F393*0.000001)^2/(4*'D(Ti_Jollands) Times'!$C393)/(365.35*24*3600)</f>
        <v>44511.705362445246</v>
      </c>
      <c r="W393" s="2">
        <f>('L-Values'!S393*'D(Ti_Jollands) Times'!$F393*0.000001)^2/(4*'D(Ti_Jollands) Times'!$C393)/(365.35*24*3600)</f>
        <v>20819.685406693214</v>
      </c>
      <c r="X393" s="2"/>
      <c r="Y393" s="2">
        <f>('L-Values'!U393*'D(Ti_Jollands) Times'!$F393*0.000001)^2/(4*'D(Ti_Jollands) Times'!$C393)/(365.35*24*3600)</f>
        <v>24017.659039374801</v>
      </c>
      <c r="Z393" s="2">
        <f>('L-Values'!V393*'D(Ti_Jollands) Times'!$F393*0.000001)^2/(4*'D(Ti_Jollands) Times'!$C393)/(365.35*24*3600)</f>
        <v>83972.675843756399</v>
      </c>
      <c r="AA393" s="2">
        <f>('L-Values'!W393*'D(Ti_Jollands) Times'!$F393*0.000001)^2/(4*'D(Ti_Jollands) Times'!$C393)/(365.35*24*3600)</f>
        <v>9.1042966928878591E-12</v>
      </c>
      <c r="AB393" s="2">
        <f>('L-Values'!X393*'D(Ti_Jollands) Times'!$F393*0.000001)^2/(4*'D(Ti_Jollands) Times'!$C393)/(365.35*24*3600)</f>
        <v>1110400.9954923599</v>
      </c>
      <c r="AC393" s="2">
        <f t="shared" si="26"/>
        <v>83972.675843756384</v>
      </c>
      <c r="AD393" s="2">
        <f t="shared" si="27"/>
        <v>1026428.3196486034</v>
      </c>
    </row>
    <row r="394" spans="1:30" x14ac:dyDescent="0.2">
      <c r="A394" t="str">
        <f>'L-Values'!A394</f>
        <v>CGI018-qtz10-CL-fit-1-offset</v>
      </c>
      <c r="B394">
        <v>750</v>
      </c>
      <c r="C394">
        <f t="shared" si="24"/>
        <v>6.6965312637759184E-25</v>
      </c>
      <c r="D394">
        <v>2600</v>
      </c>
      <c r="E394">
        <v>1024</v>
      </c>
      <c r="F394">
        <f t="shared" si="25"/>
        <v>2.5390625</v>
      </c>
      <c r="I394" s="2">
        <f>('L-Values'!E394*'D(Ti_Jollands) Times'!$F394*0.000001)^2/(4*'D(Ti_Jollands) Times'!$C394)/(365.35*24*3600)</f>
        <v>1430450.3653023373</v>
      </c>
      <c r="J394" s="2">
        <f>('L-Values'!F394*'D(Ti_Jollands) Times'!$F394*0.000001)^2/(4*'D(Ti_Jollands) Times'!$C394)/(365.35*24*3600)</f>
        <v>847806.12913394626</v>
      </c>
      <c r="K394" s="2">
        <f>('L-Values'!G394*'D(Ti_Jollands) Times'!$F394*0.000001)^2/(4*'D(Ti_Jollands) Times'!$C394)/(365.35*24*3600)</f>
        <v>732267.07952281844</v>
      </c>
      <c r="L394" s="2">
        <f>('L-Values'!H394*'D(Ti_Jollands) Times'!$F394*0.000001)^2/(4*'D(Ti_Jollands) Times'!$C394)/(365.35*24*3600)</f>
        <v>379146.44065537991</v>
      </c>
      <c r="M394" s="2">
        <f>('L-Values'!I394*'D(Ti_Jollands) Times'!$F394*0.000001)^2/(4*'D(Ti_Jollands) Times'!$C394)/(365.35*24*3600)</f>
        <v>1176378.1405354093</v>
      </c>
      <c r="N394" s="2">
        <f>('L-Values'!J394*'D(Ti_Jollands) Times'!$F394*0.000001)^2/(4*'D(Ti_Jollands) Times'!$C394)/(365.35*24*3600)</f>
        <v>1721787.9342917691</v>
      </c>
      <c r="O394" s="2">
        <f>('L-Values'!K394*'D(Ti_Jollands) Times'!$F394*0.000001)^2/(4*'D(Ti_Jollands) Times'!$C394)/(365.35*24*3600)</f>
        <v>562287.57533521298</v>
      </c>
      <c r="P394" s="2">
        <f>('L-Values'!L394*'D(Ti_Jollands) Times'!$F394*0.000001)^2/(4*'D(Ti_Jollands) Times'!$C394)/(365.35*24*3600)</f>
        <v>359244.9167390439</v>
      </c>
      <c r="Q394" s="2">
        <f>('L-Values'!M394*'D(Ti_Jollands) Times'!$F394*0.000001)^2/(4*'D(Ti_Jollands) Times'!$C394)/(365.35*24*3600)</f>
        <v>467164.63152615033</v>
      </c>
      <c r="R394" s="2">
        <f>('L-Values'!N394*'D(Ti_Jollands) Times'!$F394*0.000001)^2/(4*'D(Ti_Jollands) Times'!$C394)/(365.35*24*3600)</f>
        <v>423413.77105471242</v>
      </c>
      <c r="S394" s="2">
        <f>('L-Values'!O394*'D(Ti_Jollands) Times'!$F394*0.000001)^2/(4*'D(Ti_Jollands) Times'!$C394)/(365.35*24*3600)</f>
        <v>587252.47306602716</v>
      </c>
      <c r="T394" s="2"/>
      <c r="U394" s="2">
        <f>('L-Values'!Q394*'D(Ti_Jollands) Times'!$F394*0.000001)^2/(4*'D(Ti_Jollands) Times'!$C394)/(365.35*24*3600)</f>
        <v>698483.74510060844</v>
      </c>
      <c r="V394" s="2">
        <f>('L-Values'!R394*'D(Ti_Jollands) Times'!$F394*0.000001)^2/(4*'D(Ti_Jollands) Times'!$C394)/(365.35*24*3600)</f>
        <v>735662.01246952417</v>
      </c>
      <c r="W394" s="2">
        <f>('L-Values'!S394*'D(Ti_Jollands) Times'!$F394*0.000001)^2/(4*'D(Ti_Jollands) Times'!$C394)/(365.35*24*3600)</f>
        <v>587252.47306602716</v>
      </c>
      <c r="X394" s="2"/>
      <c r="Y394" s="2">
        <f>('L-Values'!U394*'D(Ti_Jollands) Times'!$F394*0.000001)^2/(4*'D(Ti_Jollands) Times'!$C394)/(365.35*24*3600)</f>
        <v>751376.6759635827</v>
      </c>
      <c r="Z394" s="2">
        <f>('L-Values'!V394*'D(Ti_Jollands) Times'!$F394*0.000001)^2/(4*'D(Ti_Jollands) Times'!$C394)/(365.35*24*3600)</f>
        <v>763436.97018639767</v>
      </c>
      <c r="AA394" s="2">
        <f>('L-Values'!W394*'D(Ti_Jollands) Times'!$F394*0.000001)^2/(4*'D(Ti_Jollands) Times'!$C394)/(365.35*24*3600)</f>
        <v>295587.93689883786</v>
      </c>
      <c r="AB394" s="2">
        <f>('L-Values'!X394*'D(Ti_Jollands) Times'!$F394*0.000001)^2/(4*'D(Ti_Jollands) Times'!$C394)/(365.35*24*3600)</f>
        <v>1700554.8914876888</v>
      </c>
      <c r="AC394" s="2">
        <f t="shared" si="26"/>
        <v>467849.03328755981</v>
      </c>
      <c r="AD394" s="2">
        <f t="shared" si="27"/>
        <v>937117.92130129109</v>
      </c>
    </row>
    <row r="395" spans="1:30" x14ac:dyDescent="0.2">
      <c r="A395" t="str">
        <f>'L-Values'!A395</f>
        <v>CGI018-qtz10-CL-fit-2-offset</v>
      </c>
      <c r="B395">
        <v>750</v>
      </c>
      <c r="C395">
        <f t="shared" si="24"/>
        <v>6.6965312637759184E-25</v>
      </c>
      <c r="D395">
        <v>2600</v>
      </c>
      <c r="E395">
        <v>1024</v>
      </c>
      <c r="F395">
        <f t="shared" si="25"/>
        <v>2.5390625</v>
      </c>
      <c r="I395" s="2">
        <f>('L-Values'!E395*'D(Ti_Jollands) Times'!$F395*0.000001)^2/(4*'D(Ti_Jollands) Times'!$C395)/(365.35*24*3600)</f>
        <v>480531.68877772416</v>
      </c>
      <c r="J395" s="2">
        <f>('L-Values'!F395*'D(Ti_Jollands) Times'!$F395*0.000001)^2/(4*'D(Ti_Jollands) Times'!$C395)/(365.35*24*3600)</f>
        <v>339858.57274549565</v>
      </c>
      <c r="K395" s="2">
        <f>('L-Values'!G395*'D(Ti_Jollands) Times'!$F395*0.000001)^2/(4*'D(Ti_Jollands) Times'!$C395)/(365.35*24*3600)</f>
        <v>281003.29082700977</v>
      </c>
      <c r="L395" s="2">
        <f>('L-Values'!H395*'D(Ti_Jollands) Times'!$F395*0.000001)^2/(4*'D(Ti_Jollands) Times'!$C395)/(365.35*24*3600)</f>
        <v>462622.60679133161</v>
      </c>
      <c r="M395" s="2">
        <f>('L-Values'!I395*'D(Ti_Jollands) Times'!$F395*0.000001)^2/(4*'D(Ti_Jollands) Times'!$C395)/(365.35*24*3600)</f>
        <v>454026.38571041869</v>
      </c>
      <c r="N395" s="2">
        <f>('L-Values'!J395*'D(Ti_Jollands) Times'!$F395*0.000001)^2/(4*'D(Ti_Jollands) Times'!$C395)/(365.35*24*3600)</f>
        <v>173400.0689488436</v>
      </c>
      <c r="O395" s="2">
        <f>('L-Values'!K395*'D(Ti_Jollands) Times'!$F395*0.000001)^2/(4*'D(Ti_Jollands) Times'!$C395)/(365.35*24*3600)</f>
        <v>570538.00102024269</v>
      </c>
      <c r="P395" s="2">
        <f>('L-Values'!L395*'D(Ti_Jollands) Times'!$F395*0.000001)^2/(4*'D(Ti_Jollands) Times'!$C395)/(365.35*24*3600)</f>
        <v>220454.09086792087</v>
      </c>
      <c r="Q395" s="2">
        <f>('L-Values'!M395*'D(Ti_Jollands) Times'!$F395*0.000001)^2/(4*'D(Ti_Jollands) Times'!$C395)/(365.35*24*3600)</f>
        <v>253446.88975871413</v>
      </c>
      <c r="R395" s="2">
        <f>('L-Values'!N395*'D(Ti_Jollands) Times'!$F395*0.000001)^2/(4*'D(Ti_Jollands) Times'!$C395)/(365.35*24*3600)</f>
        <v>667526.56529689766</v>
      </c>
      <c r="S395" s="2">
        <f>('L-Values'!O395*'D(Ti_Jollands) Times'!$F395*0.000001)^2/(4*'D(Ti_Jollands) Times'!$C395)/(365.35*24*3600)</f>
        <v>235500.64988984627</v>
      </c>
      <c r="T395" s="2"/>
      <c r="U395" s="2">
        <f>('L-Values'!Q395*'D(Ti_Jollands) Times'!$F395*0.000001)^2/(4*'D(Ti_Jollands) Times'!$C395)/(365.35*24*3600)</f>
        <v>380355.64038598764</v>
      </c>
      <c r="V395" s="2">
        <f>('L-Values'!R395*'D(Ti_Jollands) Times'!$F395*0.000001)^2/(4*'D(Ti_Jollands) Times'!$C395)/(365.35*24*3600)</f>
        <v>360793.99628951785</v>
      </c>
      <c r="W395" s="2">
        <f>('L-Values'!S395*'D(Ti_Jollands) Times'!$F395*0.000001)^2/(4*'D(Ti_Jollands) Times'!$C395)/(365.35*24*3600)</f>
        <v>339858.57274549565</v>
      </c>
      <c r="X395" s="2"/>
      <c r="Y395" s="2">
        <f>('L-Values'!U395*'D(Ti_Jollands) Times'!$F395*0.000001)^2/(4*'D(Ti_Jollands) Times'!$C395)/(365.35*24*3600)</f>
        <v>343479.3623777536</v>
      </c>
      <c r="Z395" s="2">
        <f>('L-Values'!V395*'D(Ti_Jollands) Times'!$F395*0.000001)^2/(4*'D(Ti_Jollands) Times'!$C395)/(365.35*24*3600)</f>
        <v>345447.91841546114</v>
      </c>
      <c r="AA395" s="2">
        <f>('L-Values'!W395*'D(Ti_Jollands) Times'!$F395*0.000001)^2/(4*'D(Ti_Jollands) Times'!$C395)/(365.35*24*3600)</f>
        <v>75439.67023967726</v>
      </c>
      <c r="AB395" s="2">
        <f>('L-Values'!X395*'D(Ti_Jollands) Times'!$F395*0.000001)^2/(4*'D(Ti_Jollands) Times'!$C395)/(365.35*24*3600)</f>
        <v>770146.52885716897</v>
      </c>
      <c r="AC395" s="2">
        <f t="shared" si="26"/>
        <v>270008.2481757839</v>
      </c>
      <c r="AD395" s="2">
        <f t="shared" si="27"/>
        <v>424698.61044170783</v>
      </c>
    </row>
    <row r="396" spans="1:30" x14ac:dyDescent="0.2">
      <c r="A396" t="str">
        <f>'L-Values'!A396</f>
        <v>CGI018-qtz10-CL-fit-3-offset</v>
      </c>
      <c r="B396">
        <v>750</v>
      </c>
      <c r="C396">
        <f t="shared" si="24"/>
        <v>6.6965312637759184E-25</v>
      </c>
      <c r="D396">
        <v>2600</v>
      </c>
      <c r="E396">
        <v>1024</v>
      </c>
      <c r="F396">
        <f t="shared" si="25"/>
        <v>2.5390625</v>
      </c>
      <c r="I396" s="2">
        <f>('L-Values'!E396*'D(Ti_Jollands) Times'!$F396*0.000001)^2/(4*'D(Ti_Jollands) Times'!$C396)/(365.35*24*3600)</f>
        <v>274362.24988319713</v>
      </c>
      <c r="J396" s="2">
        <f>('L-Values'!F396*'D(Ti_Jollands) Times'!$F396*0.000001)^2/(4*'D(Ti_Jollands) Times'!$C396)/(365.35*24*3600)</f>
        <v>176119.37849984012</v>
      </c>
      <c r="K396" s="2">
        <f>('L-Values'!G396*'D(Ti_Jollands) Times'!$F396*0.000001)^2/(4*'D(Ti_Jollands) Times'!$C396)/(365.35*24*3600)</f>
        <v>110855.40373427878</v>
      </c>
      <c r="L396" s="2">
        <f>('L-Values'!H396*'D(Ti_Jollands) Times'!$F396*0.000001)^2/(4*'D(Ti_Jollands) Times'!$C396)/(365.35*24*3600)</f>
        <v>107356.45157469984</v>
      </c>
      <c r="M396" s="2">
        <f>('L-Values'!I396*'D(Ti_Jollands) Times'!$F396*0.000001)^2/(4*'D(Ti_Jollands) Times'!$C396)/(365.35*24*3600)</f>
        <v>420211.0705899829</v>
      </c>
      <c r="N396" s="2">
        <f>('L-Values'!J396*'D(Ti_Jollands) Times'!$F396*0.000001)^2/(4*'D(Ti_Jollands) Times'!$C396)/(365.35*24*3600)</f>
        <v>174537.67721999338</v>
      </c>
      <c r="O396" s="2">
        <f>('L-Values'!K396*'D(Ti_Jollands) Times'!$F396*0.000001)^2/(4*'D(Ti_Jollands) Times'!$C396)/(365.35*24*3600)</f>
        <v>261052.55614727139</v>
      </c>
      <c r="P396" s="2">
        <f>('L-Values'!L396*'D(Ti_Jollands) Times'!$F396*0.000001)^2/(4*'D(Ti_Jollands) Times'!$C396)/(365.35*24*3600)</f>
        <v>516816.07559897838</v>
      </c>
      <c r="Q396" s="2">
        <f>('L-Values'!M396*'D(Ti_Jollands) Times'!$F396*0.000001)^2/(4*'D(Ti_Jollands) Times'!$C396)/(365.35*24*3600)</f>
        <v>98749.402894030703</v>
      </c>
      <c r="R396" s="2">
        <f>('L-Values'!N396*'D(Ti_Jollands) Times'!$F396*0.000001)^2/(4*'D(Ti_Jollands) Times'!$C396)/(365.35*24*3600)</f>
        <v>190538.42701500907</v>
      </c>
      <c r="S396" s="2">
        <f>('L-Values'!O396*'D(Ti_Jollands) Times'!$F396*0.000001)^2/(4*'D(Ti_Jollands) Times'!$C396)/(365.35*24*3600)</f>
        <v>217126.7622329072</v>
      </c>
      <c r="T396" s="2"/>
      <c r="U396" s="2">
        <f>('L-Values'!Q396*'D(Ti_Jollands) Times'!$F396*0.000001)^2/(4*'D(Ti_Jollands) Times'!$C396)/(365.35*24*3600)</f>
        <v>203495.47700104408</v>
      </c>
      <c r="V396" s="2">
        <f>('L-Values'!R396*'D(Ti_Jollands) Times'!$F396*0.000001)^2/(4*'D(Ti_Jollands) Times'!$C396)/(365.35*24*3600)</f>
        <v>216362.8620285916</v>
      </c>
      <c r="W396" s="2">
        <f>('L-Values'!S396*'D(Ti_Jollands) Times'!$F396*0.000001)^2/(4*'D(Ti_Jollands) Times'!$C396)/(365.35*24*3600)</f>
        <v>190538.42701500907</v>
      </c>
      <c r="X396" s="2"/>
      <c r="Y396" s="2">
        <f>('L-Values'!U396*'D(Ti_Jollands) Times'!$F396*0.000001)^2/(4*'D(Ti_Jollands) Times'!$C396)/(365.35*24*3600)</f>
        <v>194938.48250531923</v>
      </c>
      <c r="Z396" s="2">
        <f>('L-Values'!V396*'D(Ti_Jollands) Times'!$F396*0.000001)^2/(4*'D(Ti_Jollands) Times'!$C396)/(365.35*24*3600)</f>
        <v>197808.63317965929</v>
      </c>
      <c r="AA396" s="2">
        <f>('L-Values'!W396*'D(Ti_Jollands) Times'!$F396*0.000001)^2/(4*'D(Ti_Jollands) Times'!$C396)/(365.35*24*3600)</f>
        <v>5738.4263796185814</v>
      </c>
      <c r="AB396" s="2">
        <f>('L-Values'!X396*'D(Ti_Jollands) Times'!$F396*0.000001)^2/(4*'D(Ti_Jollands) Times'!$C396)/(365.35*24*3600)</f>
        <v>557041.4369961276</v>
      </c>
      <c r="AC396" s="2">
        <f t="shared" si="26"/>
        <v>192070.2068000407</v>
      </c>
      <c r="AD396" s="2">
        <f t="shared" si="27"/>
        <v>359232.80381646834</v>
      </c>
    </row>
    <row r="397" spans="1:30" x14ac:dyDescent="0.2">
      <c r="A397" t="str">
        <f>'L-Values'!A397</f>
        <v>CGI018-qtz10-CL-fit-4-offset</v>
      </c>
      <c r="B397">
        <v>750</v>
      </c>
      <c r="C397">
        <f t="shared" si="24"/>
        <v>6.6965312637759184E-25</v>
      </c>
      <c r="D397">
        <v>2600</v>
      </c>
      <c r="E397">
        <v>1024</v>
      </c>
      <c r="F397">
        <f t="shared" si="25"/>
        <v>2.5390625</v>
      </c>
      <c r="I397" s="2">
        <f>('L-Values'!E397*'D(Ti_Jollands) Times'!$F397*0.000001)^2/(4*'D(Ti_Jollands) Times'!$C397)/(365.35*24*3600)</f>
        <v>133669.57233990496</v>
      </c>
      <c r="J397" s="2">
        <f>('L-Values'!F397*'D(Ti_Jollands) Times'!$F397*0.000001)^2/(4*'D(Ti_Jollands) Times'!$C397)/(365.35*24*3600)</f>
        <v>155444.29364587466</v>
      </c>
      <c r="K397" s="2">
        <f>('L-Values'!G397*'D(Ti_Jollands) Times'!$F397*0.000001)^2/(4*'D(Ti_Jollands) Times'!$C397)/(365.35*24*3600)</f>
        <v>68465.073275336705</v>
      </c>
      <c r="L397" s="2">
        <f>('L-Values'!H397*'D(Ti_Jollands) Times'!$F397*0.000001)^2/(4*'D(Ti_Jollands) Times'!$C397)/(365.35*24*3600)</f>
        <v>87013.249982774869</v>
      </c>
      <c r="M397" s="2">
        <f>('L-Values'!I397*'D(Ti_Jollands) Times'!$F397*0.000001)^2/(4*'D(Ti_Jollands) Times'!$C397)/(365.35*24*3600)</f>
        <v>244205.4959195308</v>
      </c>
      <c r="N397" s="2">
        <f>('L-Values'!J397*'D(Ti_Jollands) Times'!$F397*0.000001)^2/(4*'D(Ti_Jollands) Times'!$C397)/(365.35*24*3600)</f>
        <v>314782.79079880053</v>
      </c>
      <c r="O397" s="2">
        <f>('L-Values'!K397*'D(Ti_Jollands) Times'!$F397*0.000001)^2/(4*'D(Ti_Jollands) Times'!$C397)/(365.35*24*3600)</f>
        <v>212379.83378323339</v>
      </c>
      <c r="P397" s="2">
        <f>('L-Values'!L397*'D(Ti_Jollands) Times'!$F397*0.000001)^2/(4*'D(Ti_Jollands) Times'!$C397)/(365.35*24*3600)</f>
        <v>180742.09660367027</v>
      </c>
      <c r="Q397" s="2">
        <f>('L-Values'!M397*'D(Ti_Jollands) Times'!$F397*0.000001)^2/(4*'D(Ti_Jollands) Times'!$C397)/(365.35*24*3600)</f>
        <v>172154.87910191348</v>
      </c>
      <c r="R397" s="2">
        <f>('L-Values'!N397*'D(Ti_Jollands) Times'!$F397*0.000001)^2/(4*'D(Ti_Jollands) Times'!$C397)/(365.35*24*3600)</f>
        <v>133302.82266914714</v>
      </c>
      <c r="S397" s="2">
        <f>('L-Values'!O397*'D(Ti_Jollands) Times'!$F397*0.000001)^2/(4*'D(Ti_Jollands) Times'!$C397)/(365.35*24*3600)</f>
        <v>360.33596837925217</v>
      </c>
      <c r="T397" s="2"/>
      <c r="U397" s="2">
        <f>('L-Values'!Q397*'D(Ti_Jollands) Times'!$F397*0.000001)^2/(4*'D(Ti_Jollands) Times'!$C397)/(365.35*24*3600)</f>
        <v>163013.50781221915</v>
      </c>
      <c r="V397" s="2">
        <f>('L-Values'!R397*'D(Ti_Jollands) Times'!$F397*0.000001)^2/(4*'D(Ti_Jollands) Times'!$C397)/(365.35*24*3600)</f>
        <v>136008.54187538871</v>
      </c>
      <c r="W397" s="2">
        <f>('L-Values'!S397*'D(Ti_Jollands) Times'!$F397*0.000001)^2/(4*'D(Ti_Jollands) Times'!$C397)/(365.35*24*3600)</f>
        <v>155444.29364587466</v>
      </c>
      <c r="X397" s="2"/>
      <c r="Y397" s="2">
        <f>('L-Values'!U397*'D(Ti_Jollands) Times'!$F397*0.000001)^2/(4*'D(Ti_Jollands) Times'!$C397)/(365.35*24*3600)</f>
        <v>140670.52412730429</v>
      </c>
      <c r="Z397" s="2">
        <f>('L-Values'!V397*'D(Ti_Jollands) Times'!$F397*0.000001)^2/(4*'D(Ti_Jollands) Times'!$C397)/(365.35*24*3600)</f>
        <v>150818.85011299769</v>
      </c>
      <c r="AA397" s="2">
        <f>('L-Values'!W397*'D(Ti_Jollands) Times'!$F397*0.000001)^2/(4*'D(Ti_Jollands) Times'!$C397)/(365.35*24*3600)</f>
        <v>7222.6264296106001</v>
      </c>
      <c r="AB397" s="2">
        <f>('L-Values'!X397*'D(Ti_Jollands) Times'!$F397*0.000001)^2/(4*'D(Ti_Jollands) Times'!$C397)/(365.35*24*3600)</f>
        <v>536479.16789412068</v>
      </c>
      <c r="AC397" s="2">
        <f t="shared" si="26"/>
        <v>143596.2236833871</v>
      </c>
      <c r="AD397" s="2">
        <f t="shared" si="27"/>
        <v>385660.31778112298</v>
      </c>
    </row>
    <row r="398" spans="1:30" x14ac:dyDescent="0.2">
      <c r="A398" t="str">
        <f>'L-Values'!A398</f>
        <v>CGI018-qtz10-CL-fit-5-offset</v>
      </c>
      <c r="B398">
        <v>750</v>
      </c>
      <c r="C398">
        <f t="shared" si="24"/>
        <v>6.6965312637759184E-25</v>
      </c>
      <c r="D398">
        <v>2600</v>
      </c>
      <c r="E398">
        <v>1024</v>
      </c>
      <c r="F398">
        <f t="shared" si="25"/>
        <v>2.5390625</v>
      </c>
      <c r="I398" s="2">
        <f>('L-Values'!E398*'D(Ti_Jollands) Times'!$F398*0.000001)^2/(4*'D(Ti_Jollands) Times'!$C398)/(365.35*24*3600)</f>
        <v>105480.14855866504</v>
      </c>
      <c r="J398" s="2">
        <f>('L-Values'!F398*'D(Ti_Jollands) Times'!$F398*0.000001)^2/(4*'D(Ti_Jollands) Times'!$C398)/(365.35*24*3600)</f>
        <v>12.455225845633551</v>
      </c>
      <c r="K398" s="2">
        <f>('L-Values'!G398*'D(Ti_Jollands) Times'!$F398*0.000001)^2/(4*'D(Ti_Jollands) Times'!$C398)/(365.35*24*3600)</f>
        <v>58878.61211785693</v>
      </c>
      <c r="L398" s="2">
        <f>('L-Values'!H398*'D(Ti_Jollands) Times'!$F398*0.000001)^2/(4*'D(Ti_Jollands) Times'!$C398)/(365.35*24*3600)</f>
        <v>92326.479312821844</v>
      </c>
      <c r="M398" s="2">
        <f>('L-Values'!I398*'D(Ti_Jollands) Times'!$F398*0.000001)^2/(4*'D(Ti_Jollands) Times'!$C398)/(365.35*24*3600)</f>
        <v>76910.827235938283</v>
      </c>
      <c r="N398" s="2">
        <f>('L-Values'!J398*'D(Ti_Jollands) Times'!$F398*0.000001)^2/(4*'D(Ti_Jollands) Times'!$C398)/(365.35*24*3600)</f>
        <v>139440.90382755906</v>
      </c>
      <c r="O398" s="2">
        <f>('L-Values'!K398*'D(Ti_Jollands) Times'!$F398*0.000001)^2/(4*'D(Ti_Jollands) Times'!$C398)/(365.35*24*3600)</f>
        <v>57603.791682486575</v>
      </c>
      <c r="P398" s="2">
        <f>('L-Values'!L398*'D(Ti_Jollands) Times'!$F398*0.000001)^2/(4*'D(Ti_Jollands) Times'!$C398)/(365.35*24*3600)</f>
        <v>138359.11193733124</v>
      </c>
      <c r="Q398" s="2">
        <f>('L-Values'!M398*'D(Ti_Jollands) Times'!$F398*0.000001)^2/(4*'D(Ti_Jollands) Times'!$C398)/(365.35*24*3600)</f>
        <v>29691.340884081947</v>
      </c>
      <c r="R398" s="2">
        <f>('L-Values'!N398*'D(Ti_Jollands) Times'!$F398*0.000001)^2/(4*'D(Ti_Jollands) Times'!$C398)/(365.35*24*3600)</f>
        <v>131559.27332255183</v>
      </c>
      <c r="S398" s="2">
        <f>('L-Values'!O398*'D(Ti_Jollands) Times'!$F398*0.000001)^2/(4*'D(Ti_Jollands) Times'!$C398)/(365.35*24*3600)</f>
        <v>81600.773781353739</v>
      </c>
      <c r="T398" s="2"/>
      <c r="U398" s="2">
        <f>('L-Values'!Q398*'D(Ti_Jollands) Times'!$F398*0.000001)^2/(4*'D(Ti_Jollands) Times'!$C398)/(365.35*24*3600)</f>
        <v>93413.410983855501</v>
      </c>
      <c r="V398" s="2">
        <f>('L-Values'!R398*'D(Ti_Jollands) Times'!$F398*0.000001)^2/(4*'D(Ti_Jollands) Times'!$C398)/(365.35*24*3600)</f>
        <v>72322.353831608314</v>
      </c>
      <c r="W398" s="2">
        <f>('L-Values'!S398*'D(Ti_Jollands) Times'!$F398*0.000001)^2/(4*'D(Ti_Jollands) Times'!$C398)/(365.35*24*3600)</f>
        <v>81600.773781353739</v>
      </c>
      <c r="X398" s="2"/>
      <c r="Y398" s="2">
        <f>('L-Values'!U398*'D(Ti_Jollands) Times'!$F398*0.000001)^2/(4*'D(Ti_Jollands) Times'!$C398)/(365.35*24*3600)</f>
        <v>70549.364328330194</v>
      </c>
      <c r="Z398" s="2">
        <f>('L-Values'!V398*'D(Ti_Jollands) Times'!$F398*0.000001)^2/(4*'D(Ti_Jollands) Times'!$C398)/(365.35*24*3600)</f>
        <v>59699.17645676517</v>
      </c>
      <c r="AA398" s="2">
        <f>('L-Values'!W398*'D(Ti_Jollands) Times'!$F398*0.000001)^2/(4*'D(Ti_Jollands) Times'!$C398)/(365.35*24*3600)</f>
        <v>312.8003890850585</v>
      </c>
      <c r="AB398" s="2">
        <f>('L-Values'!X398*'D(Ti_Jollands) Times'!$F398*0.000001)^2/(4*'D(Ti_Jollands) Times'!$C398)/(365.35*24*3600)</f>
        <v>183785.09567050278</v>
      </c>
      <c r="AC398" s="2">
        <f t="shared" si="26"/>
        <v>59386.37606768011</v>
      </c>
      <c r="AD398" s="2">
        <f t="shared" si="27"/>
        <v>124085.91921373761</v>
      </c>
    </row>
    <row r="399" spans="1:30" x14ac:dyDescent="0.2">
      <c r="A399" t="str">
        <f>'L-Values'!A399</f>
        <v>CGI018-qtz10-CL-fit-6-offset</v>
      </c>
      <c r="B399">
        <v>750</v>
      </c>
      <c r="C399">
        <f t="shared" si="24"/>
        <v>6.6965312637759184E-25</v>
      </c>
      <c r="D399">
        <v>2600</v>
      </c>
      <c r="E399">
        <v>1024</v>
      </c>
      <c r="F399">
        <f t="shared" si="25"/>
        <v>2.5390625</v>
      </c>
      <c r="I399" s="2">
        <f>('L-Values'!E399*'D(Ti_Jollands) Times'!$F399*0.000001)^2/(4*'D(Ti_Jollands) Times'!$C399)/(365.35*24*3600)</f>
        <v>179006.47012270402</v>
      </c>
      <c r="J399" s="2">
        <f>('L-Values'!F399*'D(Ti_Jollands) Times'!$F399*0.000001)^2/(4*'D(Ti_Jollands) Times'!$C399)/(365.35*24*3600)</f>
        <v>121924.82937168467</v>
      </c>
      <c r="K399" s="2">
        <f>('L-Values'!G399*'D(Ti_Jollands) Times'!$F399*0.000001)^2/(4*'D(Ti_Jollands) Times'!$C399)/(365.35*24*3600)</f>
        <v>115980.88705413541</v>
      </c>
      <c r="L399" s="2">
        <f>('L-Values'!H399*'D(Ti_Jollands) Times'!$F399*0.000001)^2/(4*'D(Ti_Jollands) Times'!$C399)/(365.35*24*3600)</f>
        <v>192222.32193706674</v>
      </c>
      <c r="M399" s="2">
        <f>('L-Values'!I399*'D(Ti_Jollands) Times'!$F399*0.000001)^2/(4*'D(Ti_Jollands) Times'!$C399)/(365.35*24*3600)</f>
        <v>198591.01599167922</v>
      </c>
      <c r="N399" s="2">
        <f>('L-Values'!J399*'D(Ti_Jollands) Times'!$F399*0.000001)^2/(4*'D(Ti_Jollands) Times'!$C399)/(365.35*24*3600)</f>
        <v>71308.706118148752</v>
      </c>
      <c r="O399" s="2">
        <f>('L-Values'!K399*'D(Ti_Jollands) Times'!$F399*0.000001)^2/(4*'D(Ti_Jollands) Times'!$C399)/(365.35*24*3600)</f>
        <v>104222.02261030654</v>
      </c>
      <c r="P399" s="2">
        <f>('L-Values'!L399*'D(Ti_Jollands) Times'!$F399*0.000001)^2/(4*'D(Ti_Jollands) Times'!$C399)/(365.35*24*3600)</f>
        <v>132449.66251808501</v>
      </c>
      <c r="Q399" s="2">
        <f>('L-Values'!M399*'D(Ti_Jollands) Times'!$F399*0.000001)^2/(4*'D(Ti_Jollands) Times'!$C399)/(365.35*24*3600)</f>
        <v>286591.14854386059</v>
      </c>
      <c r="R399" s="2">
        <f>('L-Values'!N399*'D(Ti_Jollands) Times'!$F399*0.000001)^2/(4*'D(Ti_Jollands) Times'!$C399)/(365.35*24*3600)</f>
        <v>132581.87142283097</v>
      </c>
      <c r="S399" s="2">
        <f>('L-Values'!O399*'D(Ti_Jollands) Times'!$F399*0.000001)^2/(4*'D(Ti_Jollands) Times'!$C399)/(365.35*24*3600)</f>
        <v>210733.60898260796</v>
      </c>
      <c r="T399" s="2"/>
      <c r="U399" s="2">
        <f>('L-Values'!Q399*'D(Ti_Jollands) Times'!$F399*0.000001)^2/(4*'D(Ti_Jollands) Times'!$C399)/(365.35*24*3600)</f>
        <v>146827.93138946904</v>
      </c>
      <c r="V399" s="2">
        <f>('L-Values'!R399*'D(Ti_Jollands) Times'!$F399*0.000001)^2/(4*'D(Ti_Jollands) Times'!$C399)/(365.35*24*3600)</f>
        <v>153465.97555276673</v>
      </c>
      <c r="W399" s="2">
        <f>('L-Values'!S399*'D(Ti_Jollands) Times'!$F399*0.000001)^2/(4*'D(Ti_Jollands) Times'!$C399)/(365.35*24*3600)</f>
        <v>132581.87142283097</v>
      </c>
      <c r="X399" s="2"/>
      <c r="Y399" s="2">
        <f>('L-Values'!U399*'D(Ti_Jollands) Times'!$F399*0.000001)^2/(4*'D(Ti_Jollands) Times'!$C399)/(365.35*24*3600)</f>
        <v>139821.76450366437</v>
      </c>
      <c r="Z399" s="2">
        <f>('L-Values'!V399*'D(Ti_Jollands) Times'!$F399*0.000001)^2/(4*'D(Ti_Jollands) Times'!$C399)/(365.35*24*3600)</f>
        <v>126473.14558147544</v>
      </c>
      <c r="AA399" s="2">
        <f>('L-Values'!W399*'D(Ti_Jollands) Times'!$F399*0.000001)^2/(4*'D(Ti_Jollands) Times'!$C399)/(365.35*24*3600)</f>
        <v>5611.7844977235491</v>
      </c>
      <c r="AB399" s="2">
        <f>('L-Values'!X399*'D(Ti_Jollands) Times'!$F399*0.000001)^2/(4*'D(Ti_Jollands) Times'!$C399)/(365.35*24*3600)</f>
        <v>349195.6149321415</v>
      </c>
      <c r="AC399" s="2">
        <f t="shared" si="26"/>
        <v>120861.36108375189</v>
      </c>
      <c r="AD399" s="2">
        <f t="shared" si="27"/>
        <v>222722.46935066604</v>
      </c>
    </row>
    <row r="400" spans="1:30" x14ac:dyDescent="0.2">
      <c r="A400" t="str">
        <f>'L-Values'!A400</f>
        <v>CGI018-qtz11-CL-fit-1-offset</v>
      </c>
      <c r="B400">
        <v>750</v>
      </c>
      <c r="C400">
        <f t="shared" si="24"/>
        <v>6.6965312637759184E-25</v>
      </c>
      <c r="D400">
        <v>1250</v>
      </c>
      <c r="E400">
        <v>1024</v>
      </c>
      <c r="F400">
        <f t="shared" si="25"/>
        <v>1.220703125</v>
      </c>
      <c r="I400" s="2">
        <f>('L-Values'!E400*'D(Ti_Jollands) Times'!$F400*0.000001)^2/(4*'D(Ti_Jollands) Times'!$C400)/(365.35*24*3600)</f>
        <v>405056.3386308506</v>
      </c>
      <c r="J400" s="2">
        <f>('L-Values'!F400*'D(Ti_Jollands) Times'!$F400*0.000001)^2/(4*'D(Ti_Jollands) Times'!$C400)/(365.35*24*3600)</f>
        <v>238976.96183756163</v>
      </c>
      <c r="K400" s="2">
        <f>('L-Values'!G400*'D(Ti_Jollands) Times'!$F400*0.000001)^2/(4*'D(Ti_Jollands) Times'!$C400)/(365.35*24*3600)</f>
        <v>403792.0927274492</v>
      </c>
      <c r="L400" s="2">
        <f>('L-Values'!H400*'D(Ti_Jollands) Times'!$F400*0.000001)^2/(4*'D(Ti_Jollands) Times'!$C400)/(365.35*24*3600)</f>
        <v>483507.41138949909</v>
      </c>
      <c r="M400" s="2">
        <f>('L-Values'!I400*'D(Ti_Jollands) Times'!$F400*0.000001)^2/(4*'D(Ti_Jollands) Times'!$C400)/(365.35*24*3600)</f>
        <v>303471.34531702747</v>
      </c>
      <c r="N400" s="2">
        <f>('L-Values'!J400*'D(Ti_Jollands) Times'!$F400*0.000001)^2/(4*'D(Ti_Jollands) Times'!$C400)/(365.35*24*3600)</f>
        <v>285214.34777496097</v>
      </c>
      <c r="O400" s="2">
        <f>('L-Values'!K400*'D(Ti_Jollands) Times'!$F400*0.000001)^2/(4*'D(Ti_Jollands) Times'!$C400)/(365.35*24*3600)</f>
        <v>310965.24323820823</v>
      </c>
      <c r="P400" s="2">
        <f>('L-Values'!L400*'D(Ti_Jollands) Times'!$F400*0.000001)^2/(4*'D(Ti_Jollands) Times'!$C400)/(365.35*24*3600)</f>
        <v>356562.16621339309</v>
      </c>
      <c r="Q400" s="2">
        <f>('L-Values'!M400*'D(Ti_Jollands) Times'!$F400*0.000001)^2/(4*'D(Ti_Jollands) Times'!$C400)/(365.35*24*3600)</f>
        <v>354279.77188698977</v>
      </c>
      <c r="R400" s="2">
        <f>('L-Values'!N400*'D(Ti_Jollands) Times'!$F400*0.000001)^2/(4*'D(Ti_Jollands) Times'!$C400)/(365.35*24*3600)</f>
        <v>475231.83576883614</v>
      </c>
      <c r="S400" s="2">
        <f>('L-Values'!O400*'D(Ti_Jollands) Times'!$F400*0.000001)^2/(4*'D(Ti_Jollands) Times'!$C400)/(365.35*24*3600)</f>
        <v>309244.29265665327</v>
      </c>
      <c r="T400" s="2"/>
      <c r="U400" s="2">
        <f>('L-Values'!Q400*'D(Ti_Jollands) Times'!$F400*0.000001)^2/(4*'D(Ti_Jollands) Times'!$C400)/(365.35*24*3600)</f>
        <v>353371.00988208631</v>
      </c>
      <c r="V400" s="2">
        <f>('L-Values'!R400*'D(Ti_Jollands) Times'!$F400*0.000001)^2/(4*'D(Ti_Jollands) Times'!$C400)/(365.35*24*3600)</f>
        <v>353103.48639764654</v>
      </c>
      <c r="W400" s="2">
        <f>('L-Values'!S400*'D(Ti_Jollands) Times'!$F400*0.000001)^2/(4*'D(Ti_Jollands) Times'!$C400)/(365.35*24*3600)</f>
        <v>354279.77188698977</v>
      </c>
      <c r="X400" s="2"/>
      <c r="Y400" s="2">
        <f>('L-Values'!U400*'D(Ti_Jollands) Times'!$F400*0.000001)^2/(4*'D(Ti_Jollands) Times'!$C400)/(365.35*24*3600)</f>
        <v>352362.88657090487</v>
      </c>
      <c r="Z400" s="2">
        <f>('L-Values'!V400*'D(Ti_Jollands) Times'!$F400*0.000001)^2/(4*'D(Ti_Jollands) Times'!$C400)/(365.35*24*3600)</f>
        <v>345773.73211371223</v>
      </c>
      <c r="AA400" s="2">
        <f>('L-Values'!W400*'D(Ti_Jollands) Times'!$F400*0.000001)^2/(4*'D(Ti_Jollands) Times'!$C400)/(365.35*24*3600)</f>
        <v>203445.84992112004</v>
      </c>
      <c r="AB400" s="2">
        <f>('L-Values'!X400*'D(Ti_Jollands) Times'!$F400*0.000001)^2/(4*'D(Ti_Jollands) Times'!$C400)/(365.35*24*3600)</f>
        <v>494499.74135011493</v>
      </c>
      <c r="AC400" s="2">
        <f t="shared" si="26"/>
        <v>142327.88219259219</v>
      </c>
      <c r="AD400" s="2">
        <f t="shared" si="27"/>
        <v>148726.00923640269</v>
      </c>
    </row>
    <row r="401" spans="1:30" x14ac:dyDescent="0.2">
      <c r="A401" t="str">
        <f>'L-Values'!A401</f>
        <v>CGI018-qtz11-CL-fit-2-offset</v>
      </c>
      <c r="B401">
        <v>750</v>
      </c>
      <c r="C401">
        <f t="shared" si="24"/>
        <v>6.6965312637759184E-25</v>
      </c>
      <c r="D401">
        <v>1250</v>
      </c>
      <c r="E401">
        <v>1024</v>
      </c>
      <c r="F401">
        <f t="shared" si="25"/>
        <v>1.220703125</v>
      </c>
      <c r="I401" s="2">
        <f>('L-Values'!E401*'D(Ti_Jollands) Times'!$F401*0.000001)^2/(4*'D(Ti_Jollands) Times'!$C401)/(365.35*24*3600)</f>
        <v>66.026785720520223</v>
      </c>
      <c r="J401" s="2">
        <f>('L-Values'!F401*'D(Ti_Jollands) Times'!$F401*0.000001)^2/(4*'D(Ti_Jollands) Times'!$C401)/(365.35*24*3600)</f>
        <v>106870.01731723106</v>
      </c>
      <c r="K401" s="2">
        <f>('L-Values'!G401*'D(Ti_Jollands) Times'!$F401*0.000001)^2/(4*'D(Ti_Jollands) Times'!$C401)/(365.35*24*3600)</f>
        <v>748000.93154813536</v>
      </c>
      <c r="L401" s="2">
        <f>('L-Values'!H401*'D(Ti_Jollands) Times'!$F401*0.000001)^2/(4*'D(Ti_Jollands) Times'!$C401)/(365.35*24*3600)</f>
        <v>183466.15600082863</v>
      </c>
      <c r="M401" s="2">
        <f>('L-Values'!I401*'D(Ti_Jollands) Times'!$F401*0.000001)^2/(4*'D(Ti_Jollands) Times'!$C401)/(365.35*24*3600)</f>
        <v>37067.55077276838</v>
      </c>
      <c r="N401" s="2">
        <f>('L-Values'!J401*'D(Ti_Jollands) Times'!$F401*0.000001)^2/(4*'D(Ti_Jollands) Times'!$C401)/(365.35*24*3600)</f>
        <v>186443.78755547968</v>
      </c>
      <c r="O401" s="2">
        <f>('L-Values'!K401*'D(Ti_Jollands) Times'!$F401*0.000001)^2/(4*'D(Ti_Jollands) Times'!$C401)/(365.35*24*3600)</f>
        <v>675418.28939039353</v>
      </c>
      <c r="P401" s="2">
        <f>('L-Values'!L401*'D(Ti_Jollands) Times'!$F401*0.000001)^2/(4*'D(Ti_Jollands) Times'!$C401)/(365.35*24*3600)</f>
        <v>528425.39391101827</v>
      </c>
      <c r="Q401" s="2">
        <f>('L-Values'!M401*'D(Ti_Jollands) Times'!$F401*0.000001)^2/(4*'D(Ti_Jollands) Times'!$C401)/(365.35*24*3600)</f>
        <v>217677.58384169644</v>
      </c>
      <c r="R401" s="2">
        <f>('L-Values'!N401*'D(Ti_Jollands) Times'!$F401*0.000001)^2/(4*'D(Ti_Jollands) Times'!$C401)/(365.35*24*3600)</f>
        <v>125707.97448977463</v>
      </c>
      <c r="S401" s="2">
        <f>('L-Values'!O401*'D(Ti_Jollands) Times'!$F401*0.000001)^2/(4*'D(Ti_Jollands) Times'!$C401)/(365.35*24*3600)</f>
        <v>189774.10968632827</v>
      </c>
      <c r="T401" s="2"/>
      <c r="U401" s="2">
        <f>('L-Values'!Q401*'D(Ti_Jollands) Times'!$F401*0.000001)^2/(4*'D(Ti_Jollands) Times'!$C401)/(365.35*24*3600)</f>
        <v>236672.23613864885</v>
      </c>
      <c r="V401" s="2">
        <f>('L-Values'!R401*'D(Ti_Jollands) Times'!$F401*0.000001)^2/(4*'D(Ti_Jollands) Times'!$C401)/(365.35*24*3600)</f>
        <v>211438.31869076268</v>
      </c>
      <c r="W401" s="2">
        <f>('L-Values'!S401*'D(Ti_Jollands) Times'!$F401*0.000001)^2/(4*'D(Ti_Jollands) Times'!$C401)/(365.35*24*3600)</f>
        <v>186443.78755547968</v>
      </c>
      <c r="X401" s="2"/>
      <c r="Y401" s="2">
        <f>('L-Values'!U401*'D(Ti_Jollands) Times'!$F401*0.000001)^2/(4*'D(Ti_Jollands) Times'!$C401)/(365.35*24*3600)</f>
        <v>209194.4069319572</v>
      </c>
      <c r="Z401" s="2">
        <f>('L-Values'!V401*'D(Ti_Jollands) Times'!$F401*0.000001)^2/(4*'D(Ti_Jollands) Times'!$C401)/(365.35*24*3600)</f>
        <v>223528.21287248138</v>
      </c>
      <c r="AA401" s="2">
        <f>('L-Values'!W401*'D(Ti_Jollands) Times'!$F401*0.000001)^2/(4*'D(Ti_Jollands) Times'!$C401)/(365.35*24*3600)</f>
        <v>1183.5824815532105</v>
      </c>
      <c r="AB401" s="2">
        <f>('L-Values'!X401*'D(Ti_Jollands) Times'!$F401*0.000001)^2/(4*'D(Ti_Jollands) Times'!$C401)/(365.35*24*3600)</f>
        <v>1214053.055317149</v>
      </c>
      <c r="AC401" s="2">
        <f t="shared" si="26"/>
        <v>222344.63039092819</v>
      </c>
      <c r="AD401" s="2">
        <f t="shared" si="27"/>
        <v>990524.84244466759</v>
      </c>
    </row>
    <row r="402" spans="1:30" x14ac:dyDescent="0.2">
      <c r="A402" t="str">
        <f>'L-Values'!A402</f>
        <v>CGI018-qtz11-CL-fit-3-offset</v>
      </c>
      <c r="B402">
        <v>750</v>
      </c>
      <c r="C402">
        <f t="shared" si="24"/>
        <v>6.6965312637759184E-25</v>
      </c>
      <c r="D402">
        <v>1250</v>
      </c>
      <c r="E402">
        <v>1024</v>
      </c>
      <c r="F402">
        <f t="shared" si="25"/>
        <v>1.220703125</v>
      </c>
      <c r="I402" s="2">
        <f>('L-Values'!E402*'D(Ti_Jollands) Times'!$F402*0.000001)^2/(4*'D(Ti_Jollands) Times'!$C402)/(365.35*24*3600)</f>
        <v>76883.069369286532</v>
      </c>
      <c r="J402" s="2">
        <f>('L-Values'!F402*'D(Ti_Jollands) Times'!$F402*0.000001)^2/(4*'D(Ti_Jollands) Times'!$C402)/(365.35*24*3600)</f>
        <v>365605.85035212815</v>
      </c>
      <c r="K402" s="2">
        <f>('L-Values'!G402*'D(Ti_Jollands) Times'!$F402*0.000001)^2/(4*'D(Ti_Jollands) Times'!$C402)/(365.35*24*3600)</f>
        <v>75325.130587280204</v>
      </c>
      <c r="L402" s="2">
        <f>('L-Values'!H402*'D(Ti_Jollands) Times'!$F402*0.000001)^2/(4*'D(Ti_Jollands) Times'!$C402)/(365.35*24*3600)</f>
        <v>207619.24299147405</v>
      </c>
      <c r="M402" s="2">
        <f>('L-Values'!I402*'D(Ti_Jollands) Times'!$F402*0.000001)^2/(4*'D(Ti_Jollands) Times'!$C402)/(365.35*24*3600)</f>
        <v>1558.3060390821133</v>
      </c>
      <c r="N402" s="2">
        <f>('L-Values'!J402*'D(Ti_Jollands) Times'!$F402*0.000001)^2/(4*'D(Ti_Jollands) Times'!$C402)/(365.35*24*3600)</f>
        <v>1166.3679258924349</v>
      </c>
      <c r="O402" s="2">
        <f>('L-Values'!K402*'D(Ti_Jollands) Times'!$F402*0.000001)^2/(4*'D(Ti_Jollands) Times'!$C402)/(365.35*24*3600)</f>
        <v>74746.710728575868</v>
      </c>
      <c r="P402" s="2">
        <f>('L-Values'!L402*'D(Ti_Jollands) Times'!$F402*0.000001)^2/(4*'D(Ti_Jollands) Times'!$C402)/(365.35*24*3600)</f>
        <v>416292.22064657963</v>
      </c>
      <c r="Q402" s="2">
        <f>('L-Values'!M402*'D(Ti_Jollands) Times'!$F402*0.000001)^2/(4*'D(Ti_Jollands) Times'!$C402)/(365.35*24*3600)</f>
        <v>12361.839413564274</v>
      </c>
      <c r="R402" s="2">
        <f>('L-Values'!N402*'D(Ti_Jollands) Times'!$F402*0.000001)^2/(4*'D(Ti_Jollands) Times'!$C402)/(365.35*24*3600)</f>
        <v>47932.421692531971</v>
      </c>
      <c r="S402" s="2">
        <f>('L-Values'!O402*'D(Ti_Jollands) Times'!$F402*0.000001)^2/(4*'D(Ti_Jollands) Times'!$C402)/(365.35*24*3600)</f>
        <v>216908.76267825477</v>
      </c>
      <c r="T402" s="2"/>
      <c r="U402" s="2">
        <f>('L-Values'!Q402*'D(Ti_Jollands) Times'!$F402*0.000001)^2/(4*'D(Ti_Jollands) Times'!$C402)/(365.35*24*3600)</f>
        <v>115909.18999008471</v>
      </c>
      <c r="V402" s="2">
        <f>('L-Values'!R402*'D(Ti_Jollands) Times'!$F402*0.000001)^2/(4*'D(Ti_Jollands) Times'!$C402)/(365.35*24*3600)</f>
        <v>95544.188260256706</v>
      </c>
      <c r="W402" s="2">
        <f>('L-Values'!S402*'D(Ti_Jollands) Times'!$F402*0.000001)^2/(4*'D(Ti_Jollands) Times'!$C402)/(365.35*24*3600)</f>
        <v>75325.130587280204</v>
      </c>
      <c r="X402" s="2"/>
      <c r="Y402" s="2">
        <f>('L-Values'!U402*'D(Ti_Jollands) Times'!$F402*0.000001)^2/(4*'D(Ti_Jollands) Times'!$C402)/(365.35*24*3600)</f>
        <v>85977.812986303135</v>
      </c>
      <c r="Z402" s="2">
        <f>('L-Values'!V402*'D(Ti_Jollands) Times'!$F402*0.000001)^2/(4*'D(Ti_Jollands) Times'!$C402)/(365.35*24*3600)</f>
        <v>97907.986941362629</v>
      </c>
      <c r="AA402" s="2">
        <f>('L-Values'!W402*'D(Ti_Jollands) Times'!$F402*0.000001)^2/(4*'D(Ti_Jollands) Times'!$C402)/(365.35*24*3600)</f>
        <v>8.7304678637211215E-10</v>
      </c>
      <c r="AB402" s="2">
        <f>('L-Values'!X402*'D(Ti_Jollands) Times'!$F402*0.000001)^2/(4*'D(Ti_Jollands) Times'!$C402)/(365.35*24*3600)</f>
        <v>1070337.184340406</v>
      </c>
      <c r="AC402" s="2">
        <f t="shared" si="26"/>
        <v>97907.986941361756</v>
      </c>
      <c r="AD402" s="2">
        <f t="shared" si="27"/>
        <v>972429.19739904336</v>
      </c>
    </row>
    <row r="403" spans="1:30" x14ac:dyDescent="0.2">
      <c r="A403" t="str">
        <f>'L-Values'!A403</f>
        <v>CGI018-qtz11-CL-fit-4-offset</v>
      </c>
      <c r="B403">
        <v>750</v>
      </c>
      <c r="C403">
        <f t="shared" si="24"/>
        <v>6.6965312637759184E-25</v>
      </c>
      <c r="D403">
        <v>1250</v>
      </c>
      <c r="E403">
        <v>1024</v>
      </c>
      <c r="F403">
        <f t="shared" si="25"/>
        <v>1.220703125</v>
      </c>
      <c r="I403" s="2">
        <f>('L-Values'!E403*'D(Ti_Jollands) Times'!$F403*0.000001)^2/(4*'D(Ti_Jollands) Times'!$C403)/(365.35*24*3600)</f>
        <v>209076.61798193029</v>
      </c>
      <c r="J403" s="2">
        <f>('L-Values'!F403*'D(Ti_Jollands) Times'!$F403*0.000001)^2/(4*'D(Ti_Jollands) Times'!$C403)/(365.35*24*3600)</f>
        <v>211480.14111206264</v>
      </c>
      <c r="K403" s="2">
        <f>('L-Values'!G403*'D(Ti_Jollands) Times'!$F403*0.000001)^2/(4*'D(Ti_Jollands) Times'!$C403)/(365.35*24*3600)</f>
        <v>553017.72149424732</v>
      </c>
      <c r="L403" s="2">
        <f>('L-Values'!H403*'D(Ti_Jollands) Times'!$F403*0.000001)^2/(4*'D(Ti_Jollands) Times'!$C403)/(365.35*24*3600)</f>
        <v>292152.19927448389</v>
      </c>
      <c r="M403" s="2">
        <f>('L-Values'!I403*'D(Ti_Jollands) Times'!$F403*0.000001)^2/(4*'D(Ti_Jollands) Times'!$C403)/(365.35*24*3600)</f>
        <v>374281.71200974635</v>
      </c>
      <c r="N403" s="2">
        <f>('L-Values'!J403*'D(Ti_Jollands) Times'!$F403*0.000001)^2/(4*'D(Ti_Jollands) Times'!$C403)/(365.35*24*3600)</f>
        <v>26678.659749377741</v>
      </c>
      <c r="O403" s="2">
        <f>('L-Values'!K403*'D(Ti_Jollands) Times'!$F403*0.000001)^2/(4*'D(Ti_Jollands) Times'!$C403)/(365.35*24*3600)</f>
        <v>162731.74811068934</v>
      </c>
      <c r="P403" s="2">
        <f>('L-Values'!L403*'D(Ti_Jollands) Times'!$F403*0.000001)^2/(4*'D(Ti_Jollands) Times'!$C403)/(365.35*24*3600)</f>
        <v>525594.70804315002</v>
      </c>
      <c r="Q403" s="2">
        <f>('L-Values'!M403*'D(Ti_Jollands) Times'!$F403*0.000001)^2/(4*'D(Ti_Jollands) Times'!$C403)/(365.35*24*3600)</f>
        <v>251943.70425010499</v>
      </c>
      <c r="R403" s="2">
        <f>('L-Values'!N403*'D(Ti_Jollands) Times'!$F403*0.000001)^2/(4*'D(Ti_Jollands) Times'!$C403)/(365.35*24*3600)</f>
        <v>168504.74451274853</v>
      </c>
      <c r="S403" s="2">
        <f>('L-Values'!O403*'D(Ti_Jollands) Times'!$F403*0.000001)^2/(4*'D(Ti_Jollands) Times'!$C403)/(365.35*24*3600)</f>
        <v>461988.62592730549</v>
      </c>
      <c r="T403" s="2"/>
      <c r="U403" s="2">
        <f>('L-Values'!Q403*'D(Ti_Jollands) Times'!$F403*0.000001)^2/(4*'D(Ti_Jollands) Times'!$C403)/(365.35*24*3600)</f>
        <v>267921.7800122365</v>
      </c>
      <c r="V403" s="2">
        <f>('L-Values'!R403*'D(Ti_Jollands) Times'!$F403*0.000001)^2/(4*'D(Ti_Jollands) Times'!$C403)/(365.35*24*3600)</f>
        <v>268221.64079772326</v>
      </c>
      <c r="W403" s="2">
        <f>('L-Values'!S403*'D(Ti_Jollands) Times'!$F403*0.000001)^2/(4*'D(Ti_Jollands) Times'!$C403)/(365.35*24*3600)</f>
        <v>251943.70425010499</v>
      </c>
      <c r="X403" s="2"/>
      <c r="Y403" s="2">
        <f>('L-Values'!U403*'D(Ti_Jollands) Times'!$F403*0.000001)^2/(4*'D(Ti_Jollands) Times'!$C403)/(365.35*24*3600)</f>
        <v>251444.87743697336</v>
      </c>
      <c r="Z403" s="2">
        <f>('L-Values'!V403*'D(Ti_Jollands) Times'!$F403*0.000001)^2/(4*'D(Ti_Jollands) Times'!$C403)/(365.35*24*3600)</f>
        <v>289248.22190032265</v>
      </c>
      <c r="AA403" s="2">
        <f>('L-Values'!W403*'D(Ti_Jollands) Times'!$F403*0.000001)^2/(4*'D(Ti_Jollands) Times'!$C403)/(365.35*24*3600)</f>
        <v>88451.431613882465</v>
      </c>
      <c r="AB403" s="2">
        <f>('L-Values'!X403*'D(Ti_Jollands) Times'!$F403*0.000001)^2/(4*'D(Ti_Jollands) Times'!$C403)/(365.35*24*3600)</f>
        <v>1110056.677508607</v>
      </c>
      <c r="AC403" s="2">
        <f t="shared" si="26"/>
        <v>200796.79028644017</v>
      </c>
      <c r="AD403" s="2">
        <f t="shared" si="27"/>
        <v>820808.45560828433</v>
      </c>
    </row>
    <row r="404" spans="1:30" x14ac:dyDescent="0.2">
      <c r="A404" t="str">
        <f>'L-Values'!A404</f>
        <v>CGI018-qtz11-CL-fit-5-offset</v>
      </c>
      <c r="B404">
        <v>750</v>
      </c>
      <c r="C404">
        <f t="shared" si="24"/>
        <v>6.6965312637759184E-25</v>
      </c>
      <c r="D404">
        <v>1250</v>
      </c>
      <c r="E404">
        <v>1024</v>
      </c>
      <c r="F404">
        <f t="shared" si="25"/>
        <v>1.220703125</v>
      </c>
      <c r="I404" s="2">
        <f>('L-Values'!E404*'D(Ti_Jollands) Times'!$F404*0.000001)^2/(4*'D(Ti_Jollands) Times'!$C404)/(365.35*24*3600)</f>
        <v>0.39029166203555432</v>
      </c>
      <c r="J404" s="2">
        <f>('L-Values'!F404*'D(Ti_Jollands) Times'!$F404*0.000001)^2/(4*'D(Ti_Jollands) Times'!$C404)/(365.35*24*3600)</f>
        <v>171938.27454397408</v>
      </c>
      <c r="K404" s="2">
        <f>('L-Values'!G404*'D(Ti_Jollands) Times'!$F404*0.000001)^2/(4*'D(Ti_Jollands) Times'!$C404)/(365.35*24*3600)</f>
        <v>240474.8608554418</v>
      </c>
      <c r="L404" s="2">
        <f>('L-Values'!H404*'D(Ti_Jollands) Times'!$F404*0.000001)^2/(4*'D(Ti_Jollands) Times'!$C404)/(365.35*24*3600)</f>
        <v>169746.65937240436</v>
      </c>
      <c r="M404" s="2">
        <f>('L-Values'!I404*'D(Ti_Jollands) Times'!$F404*0.000001)^2/(4*'D(Ti_Jollands) Times'!$C404)/(365.35*24*3600)</f>
        <v>6257.0769562791147</v>
      </c>
      <c r="N404" s="2">
        <f>('L-Values'!J404*'D(Ti_Jollands) Times'!$F404*0.000001)^2/(4*'D(Ti_Jollands) Times'!$C404)/(365.35*24*3600)</f>
        <v>86022.072827458571</v>
      </c>
      <c r="O404" s="2">
        <f>('L-Values'!K404*'D(Ti_Jollands) Times'!$F404*0.000001)^2/(4*'D(Ti_Jollands) Times'!$C404)/(365.35*24*3600)</f>
        <v>130786.55707408063</v>
      </c>
      <c r="P404" s="2">
        <f>('L-Values'!L404*'D(Ti_Jollands) Times'!$F404*0.000001)^2/(4*'D(Ti_Jollands) Times'!$C404)/(365.35*24*3600)</f>
        <v>219509.20421231393</v>
      </c>
      <c r="Q404" s="2">
        <f>('L-Values'!M404*'D(Ti_Jollands) Times'!$F404*0.000001)^2/(4*'D(Ti_Jollands) Times'!$C404)/(365.35*24*3600)</f>
        <v>37887.269340273531</v>
      </c>
      <c r="R404" s="2">
        <f>('L-Values'!N404*'D(Ti_Jollands) Times'!$F404*0.000001)^2/(4*'D(Ti_Jollands) Times'!$C404)/(365.35*24*3600)</f>
        <v>212237.76579672657</v>
      </c>
      <c r="S404" s="2">
        <f>('L-Values'!O404*'D(Ti_Jollands) Times'!$F404*0.000001)^2/(4*'D(Ti_Jollands) Times'!$C404)/(365.35*24*3600)</f>
        <v>289018.34889022791</v>
      </c>
      <c r="T404" s="2"/>
      <c r="U404" s="2">
        <f>('L-Values'!Q404*'D(Ti_Jollands) Times'!$F404*0.000001)^2/(4*'D(Ti_Jollands) Times'!$C404)/(365.35*24*3600)</f>
        <v>130172.62514855312</v>
      </c>
      <c r="V404" s="2">
        <f>('L-Values'!R404*'D(Ti_Jollands) Times'!$F404*0.000001)^2/(4*'D(Ti_Jollands) Times'!$C404)/(365.35*24*3600)</f>
        <v>113947.21023464632</v>
      </c>
      <c r="W404" s="2">
        <f>('L-Values'!S404*'D(Ti_Jollands) Times'!$F404*0.000001)^2/(4*'D(Ti_Jollands) Times'!$C404)/(365.35*24*3600)</f>
        <v>169746.65937240436</v>
      </c>
      <c r="X404" s="2"/>
      <c r="Y404" s="2">
        <f>('L-Values'!U404*'D(Ti_Jollands) Times'!$F404*0.000001)^2/(4*'D(Ti_Jollands) Times'!$C404)/(365.35*24*3600)</f>
        <v>130999.66491411341</v>
      </c>
      <c r="Z404" s="2">
        <f>('L-Values'!V404*'D(Ti_Jollands) Times'!$F404*0.000001)^2/(4*'D(Ti_Jollands) Times'!$C404)/(365.35*24*3600)</f>
        <v>124696.23102687657</v>
      </c>
      <c r="AA404" s="2">
        <f>('L-Values'!W404*'D(Ti_Jollands) Times'!$F404*0.000001)^2/(4*'D(Ti_Jollands) Times'!$C404)/(365.35*24*3600)</f>
        <v>1208.6012576220546</v>
      </c>
      <c r="AB404" s="2">
        <f>('L-Values'!X404*'D(Ti_Jollands) Times'!$F404*0.000001)^2/(4*'D(Ti_Jollands) Times'!$C404)/(365.35*24*3600)</f>
        <v>475635.54814174806</v>
      </c>
      <c r="AC404" s="2">
        <f t="shared" si="26"/>
        <v>123487.62976925452</v>
      </c>
      <c r="AD404" s="2">
        <f t="shared" si="27"/>
        <v>350939.31711487146</v>
      </c>
    </row>
    <row r="405" spans="1:30" x14ac:dyDescent="0.2">
      <c r="A405" t="str">
        <f>'L-Values'!A405</f>
        <v>CGI018-qtz11-CL-fit-6-offset</v>
      </c>
      <c r="B405">
        <v>750</v>
      </c>
      <c r="C405">
        <f t="shared" si="24"/>
        <v>6.6965312637759184E-25</v>
      </c>
      <c r="D405">
        <v>1250</v>
      </c>
      <c r="E405">
        <v>1024</v>
      </c>
      <c r="F405">
        <f t="shared" si="25"/>
        <v>1.220703125</v>
      </c>
      <c r="I405" s="2">
        <f>('L-Values'!E405*'D(Ti_Jollands) Times'!$F405*0.000001)^2/(4*'D(Ti_Jollands) Times'!$C405)/(365.35*24*3600)</f>
        <v>1073.3572901004941</v>
      </c>
      <c r="J405" s="2">
        <f>('L-Values'!F405*'D(Ti_Jollands) Times'!$F405*0.000001)^2/(4*'D(Ti_Jollands) Times'!$C405)/(365.35*24*3600)</f>
        <v>191964.31570059969</v>
      </c>
      <c r="K405" s="2">
        <f>('L-Values'!G405*'D(Ti_Jollands) Times'!$F405*0.000001)^2/(4*'D(Ti_Jollands) Times'!$C405)/(365.35*24*3600)</f>
        <v>56767.126141442823</v>
      </c>
      <c r="L405" s="2">
        <f>('L-Values'!H405*'D(Ti_Jollands) Times'!$F405*0.000001)^2/(4*'D(Ti_Jollands) Times'!$C405)/(365.35*24*3600)</f>
        <v>336344.69588897238</v>
      </c>
      <c r="M405" s="2">
        <f>('L-Values'!I405*'D(Ti_Jollands) Times'!$F405*0.000001)^2/(4*'D(Ti_Jollands) Times'!$C405)/(365.35*24*3600)</f>
        <v>32365.487001982008</v>
      </c>
      <c r="N405" s="2">
        <f>('L-Values'!J405*'D(Ti_Jollands) Times'!$F405*0.000001)^2/(4*'D(Ti_Jollands) Times'!$C405)/(365.35*24*3600)</f>
        <v>678.47045618631989</v>
      </c>
      <c r="O405" s="2">
        <f>('L-Values'!K405*'D(Ti_Jollands) Times'!$F405*0.000001)^2/(4*'D(Ti_Jollands) Times'!$C405)/(365.35*24*3600)</f>
        <v>505.82554574604285</v>
      </c>
      <c r="P405" s="2">
        <f>('L-Values'!L405*'D(Ti_Jollands) Times'!$F405*0.000001)^2/(4*'D(Ti_Jollands) Times'!$C405)/(365.35*24*3600)</f>
        <v>68499.316391440996</v>
      </c>
      <c r="Q405" s="2">
        <f>('L-Values'!M405*'D(Ti_Jollands) Times'!$F405*0.000001)^2/(4*'D(Ti_Jollands) Times'!$C405)/(365.35*24*3600)</f>
        <v>51260.925386828298</v>
      </c>
      <c r="R405" s="2">
        <f>('L-Values'!N405*'D(Ti_Jollands) Times'!$F405*0.000001)^2/(4*'D(Ti_Jollands) Times'!$C405)/(365.35*24*3600)</f>
        <v>37079.490219357518</v>
      </c>
      <c r="S405" s="2">
        <f>('L-Values'!O405*'D(Ti_Jollands) Times'!$F405*0.000001)^2/(4*'D(Ti_Jollands) Times'!$C405)/(365.35*24*3600)</f>
        <v>107965.00080388584</v>
      </c>
      <c r="T405" s="2"/>
      <c r="U405" s="2">
        <f>('L-Values'!Q405*'D(Ti_Jollands) Times'!$F405*0.000001)^2/(4*'D(Ti_Jollands) Times'!$C405)/(365.35*24*3600)</f>
        <v>49148.605650968893</v>
      </c>
      <c r="V405" s="2">
        <f>('L-Values'!R405*'D(Ti_Jollands) Times'!$F405*0.000001)^2/(4*'D(Ti_Jollands) Times'!$C405)/(365.35*24*3600)</f>
        <v>52767.334664779977</v>
      </c>
      <c r="W405" s="2">
        <f>('L-Values'!S405*'D(Ti_Jollands) Times'!$F405*0.000001)^2/(4*'D(Ti_Jollands) Times'!$C405)/(365.35*24*3600)</f>
        <v>51260.925386828298</v>
      </c>
      <c r="X405" s="2"/>
      <c r="Y405" s="2">
        <f>('L-Values'!U405*'D(Ti_Jollands) Times'!$F405*0.000001)^2/(4*'D(Ti_Jollands) Times'!$C405)/(365.35*24*3600)</f>
        <v>33017.331960374358</v>
      </c>
      <c r="Z405" s="2">
        <f>('L-Values'!V405*'D(Ti_Jollands) Times'!$F405*0.000001)^2/(4*'D(Ti_Jollands) Times'!$C405)/(365.35*24*3600)</f>
        <v>95248.277268399936</v>
      </c>
      <c r="AA405" s="2">
        <f>('L-Values'!W405*'D(Ti_Jollands) Times'!$F405*0.000001)^2/(4*'D(Ti_Jollands) Times'!$C405)/(365.35*24*3600)</f>
        <v>67.226136982736747</v>
      </c>
      <c r="AB405" s="2">
        <f>('L-Values'!X405*'D(Ti_Jollands) Times'!$F405*0.000001)^2/(4*'D(Ti_Jollands) Times'!$C405)/(365.35*24*3600)</f>
        <v>837685.35789880739</v>
      </c>
      <c r="AC405" s="2">
        <f t="shared" si="26"/>
        <v>95181.051131417204</v>
      </c>
      <c r="AD405" s="2">
        <f t="shared" si="27"/>
        <v>742437.08063040744</v>
      </c>
    </row>
    <row r="406" spans="1:30" x14ac:dyDescent="0.2">
      <c r="A406" t="str">
        <f>'L-Values'!A406</f>
        <v>CGI018-qtz12-CL-fit-1-offset</v>
      </c>
      <c r="B406">
        <v>750</v>
      </c>
      <c r="C406">
        <f t="shared" si="24"/>
        <v>6.6965312637759184E-25</v>
      </c>
      <c r="D406">
        <v>1800</v>
      </c>
      <c r="E406">
        <v>1024</v>
      </c>
      <c r="F406">
        <f t="shared" si="25"/>
        <v>1.7578125</v>
      </c>
      <c r="I406" s="2">
        <f>('L-Values'!E406*'D(Ti_Jollands) Times'!$F406*0.000001)^2/(4*'D(Ti_Jollands) Times'!$C406)/(365.35*24*3600)</f>
        <v>1020255.8008882435</v>
      </c>
      <c r="J406" s="2">
        <f>('L-Values'!F406*'D(Ti_Jollands) Times'!$F406*0.000001)^2/(4*'D(Ti_Jollands) Times'!$C406)/(365.35*24*3600)</f>
        <v>1322070.9815905762</v>
      </c>
      <c r="K406" s="2">
        <f>('L-Values'!G406*'D(Ti_Jollands) Times'!$F406*0.000001)^2/(4*'D(Ti_Jollands) Times'!$C406)/(365.35*24*3600)</f>
        <v>1077194.9765286723</v>
      </c>
      <c r="L406" s="2">
        <f>('L-Values'!H406*'D(Ti_Jollands) Times'!$F406*0.000001)^2/(4*'D(Ti_Jollands) Times'!$C406)/(365.35*24*3600)</f>
        <v>580837.80247857689</v>
      </c>
      <c r="M406" s="2">
        <f>('L-Values'!I406*'D(Ti_Jollands) Times'!$F406*0.000001)^2/(4*'D(Ti_Jollands) Times'!$C406)/(365.35*24*3600)</f>
        <v>858174.94502353133</v>
      </c>
      <c r="N406" s="2">
        <f>('L-Values'!J406*'D(Ti_Jollands) Times'!$F406*0.000001)^2/(4*'D(Ti_Jollands) Times'!$C406)/(365.35*24*3600)</f>
        <v>1261471.1010060569</v>
      </c>
      <c r="O406" s="2">
        <f>('L-Values'!K406*'D(Ti_Jollands) Times'!$F406*0.000001)^2/(4*'D(Ti_Jollands) Times'!$C406)/(365.35*24*3600)</f>
        <v>1401033.6553109749</v>
      </c>
      <c r="P406" s="2">
        <f>('L-Values'!L406*'D(Ti_Jollands) Times'!$F406*0.000001)^2/(4*'D(Ti_Jollands) Times'!$C406)/(365.35*24*3600)</f>
        <v>1389101.7783006055</v>
      </c>
      <c r="Q406" s="2">
        <f>('L-Values'!M406*'D(Ti_Jollands) Times'!$F406*0.000001)^2/(4*'D(Ti_Jollands) Times'!$C406)/(365.35*24*3600)</f>
        <v>1507802.1843359978</v>
      </c>
      <c r="R406" s="2">
        <f>('L-Values'!N406*'D(Ti_Jollands) Times'!$F406*0.000001)^2/(4*'D(Ti_Jollands) Times'!$C406)/(365.35*24*3600)</f>
        <v>1504184.9403669869</v>
      </c>
      <c r="S406" s="2">
        <f>('L-Values'!O406*'D(Ti_Jollands) Times'!$F406*0.000001)^2/(4*'D(Ti_Jollands) Times'!$C406)/(365.35*24*3600)</f>
        <v>1149140.0683694773</v>
      </c>
      <c r="T406" s="2"/>
      <c r="U406" s="2">
        <f>('L-Values'!Q406*'D(Ti_Jollands) Times'!$F406*0.000001)^2/(4*'D(Ti_Jollands) Times'!$C406)/(365.35*24*3600)</f>
        <v>1182742.7834673543</v>
      </c>
      <c r="V406" s="2">
        <f>('L-Values'!R406*'D(Ti_Jollands) Times'!$F406*0.000001)^2/(4*'D(Ti_Jollands) Times'!$C406)/(365.35*24*3600)</f>
        <v>1169944.9627261765</v>
      </c>
      <c r="W406" s="2">
        <f>('L-Values'!S406*'D(Ti_Jollands) Times'!$F406*0.000001)^2/(4*'D(Ti_Jollands) Times'!$C406)/(365.35*24*3600)</f>
        <v>1261471.1010060569</v>
      </c>
      <c r="X406" s="2"/>
      <c r="Y406" s="2">
        <f>('L-Values'!U406*'D(Ti_Jollands) Times'!$F406*0.000001)^2/(4*'D(Ti_Jollands) Times'!$C406)/(365.35*24*3600)</f>
        <v>1178463.2334974452</v>
      </c>
      <c r="Z406" s="2">
        <f>('L-Values'!V406*'D(Ti_Jollands) Times'!$F406*0.000001)^2/(4*'D(Ti_Jollands) Times'!$C406)/(365.35*24*3600)</f>
        <v>1197374.9608801252</v>
      </c>
      <c r="AA406" s="2">
        <f>('L-Values'!W406*'D(Ti_Jollands) Times'!$F406*0.000001)^2/(4*'D(Ti_Jollands) Times'!$C406)/(365.35*24*3600)</f>
        <v>794825.58477558626</v>
      </c>
      <c r="AB406" s="2">
        <f>('L-Values'!X406*'D(Ti_Jollands) Times'!$F406*0.000001)^2/(4*'D(Ti_Jollands) Times'!$C406)/(365.35*24*3600)</f>
        <v>1942733.4206311333</v>
      </c>
      <c r="AC406" s="2">
        <f t="shared" si="26"/>
        <v>402549.37610453891</v>
      </c>
      <c r="AD406" s="2">
        <f t="shared" si="27"/>
        <v>745358.45975100808</v>
      </c>
    </row>
    <row r="407" spans="1:30" x14ac:dyDescent="0.2">
      <c r="A407" t="str">
        <f>'L-Values'!A407</f>
        <v>CGI018-qtz12-CL-fit-2-offset</v>
      </c>
      <c r="B407">
        <v>750</v>
      </c>
      <c r="C407">
        <f t="shared" si="24"/>
        <v>6.6965312637759184E-25</v>
      </c>
      <c r="D407">
        <v>1800</v>
      </c>
      <c r="E407">
        <v>1024</v>
      </c>
      <c r="F407">
        <f t="shared" si="25"/>
        <v>1.7578125</v>
      </c>
      <c r="I407" s="2">
        <f>('L-Values'!E407*'D(Ti_Jollands) Times'!$F407*0.000001)^2/(4*'D(Ti_Jollands) Times'!$C407)/(365.35*24*3600)</f>
        <v>843299.65485665656</v>
      </c>
      <c r="J407" s="2">
        <f>('L-Values'!F407*'D(Ti_Jollands) Times'!$F407*0.000001)^2/(4*'D(Ti_Jollands) Times'!$C407)/(365.35*24*3600)</f>
        <v>150450.80047953373</v>
      </c>
      <c r="K407" s="2">
        <f>('L-Values'!G407*'D(Ti_Jollands) Times'!$F407*0.000001)^2/(4*'D(Ti_Jollands) Times'!$C407)/(365.35*24*3600)</f>
        <v>420368.86111344566</v>
      </c>
      <c r="L407" s="2">
        <f>('L-Values'!H407*'D(Ti_Jollands) Times'!$F407*0.000001)^2/(4*'D(Ti_Jollands) Times'!$C407)/(365.35*24*3600)</f>
        <v>509582.40583607956</v>
      </c>
      <c r="M407" s="2">
        <f>('L-Values'!I407*'D(Ti_Jollands) Times'!$F407*0.000001)^2/(4*'D(Ti_Jollands) Times'!$C407)/(365.35*24*3600)</f>
        <v>565528.18341919244</v>
      </c>
      <c r="N407" s="2">
        <f>('L-Values'!J407*'D(Ti_Jollands) Times'!$F407*0.000001)^2/(4*'D(Ti_Jollands) Times'!$C407)/(365.35*24*3600)</f>
        <v>984761.408283422</v>
      </c>
      <c r="O407" s="2">
        <f>('L-Values'!K407*'D(Ti_Jollands) Times'!$F407*0.000001)^2/(4*'D(Ti_Jollands) Times'!$C407)/(365.35*24*3600)</f>
        <v>937629.38636159815</v>
      </c>
      <c r="P407" s="2">
        <f>('L-Values'!L407*'D(Ti_Jollands) Times'!$F407*0.000001)^2/(4*'D(Ti_Jollands) Times'!$C407)/(365.35*24*3600)</f>
        <v>1219744.6422129252</v>
      </c>
      <c r="Q407" s="2">
        <f>('L-Values'!M407*'D(Ti_Jollands) Times'!$F407*0.000001)^2/(4*'D(Ti_Jollands) Times'!$C407)/(365.35*24*3600)</f>
        <v>758256.02133737097</v>
      </c>
      <c r="R407" s="2">
        <f>('L-Values'!N407*'D(Ti_Jollands) Times'!$F407*0.000001)^2/(4*'D(Ti_Jollands) Times'!$C407)/(365.35*24*3600)</f>
        <v>543156.85979872022</v>
      </c>
      <c r="S407" s="2">
        <f>('L-Values'!O407*'D(Ti_Jollands) Times'!$F407*0.000001)^2/(4*'D(Ti_Jollands) Times'!$C407)/(365.35*24*3600)</f>
        <v>1024496.4769039397</v>
      </c>
      <c r="T407" s="2"/>
      <c r="U407" s="2">
        <f>('L-Values'!Q407*'D(Ti_Jollands) Times'!$F407*0.000001)^2/(4*'D(Ti_Jollands) Times'!$C407)/(365.35*24*3600)</f>
        <v>714948.38052037638</v>
      </c>
      <c r="V407" s="2">
        <f>('L-Values'!R407*'D(Ti_Jollands) Times'!$F407*0.000001)^2/(4*'D(Ti_Jollands) Times'!$C407)/(365.35*24*3600)</f>
        <v>685199.84912754106</v>
      </c>
      <c r="W407" s="2">
        <f>('L-Values'!S407*'D(Ti_Jollands) Times'!$F407*0.000001)^2/(4*'D(Ti_Jollands) Times'!$C407)/(365.35*24*3600)</f>
        <v>758256.02133737097</v>
      </c>
      <c r="X407" s="2"/>
      <c r="Y407" s="2">
        <f>('L-Values'!U407*'D(Ti_Jollands) Times'!$F407*0.000001)^2/(4*'D(Ti_Jollands) Times'!$C407)/(365.35*24*3600)</f>
        <v>717615.72128717636</v>
      </c>
      <c r="Z407" s="2">
        <f>('L-Values'!V407*'D(Ti_Jollands) Times'!$F407*0.000001)^2/(4*'D(Ti_Jollands) Times'!$C407)/(365.35*24*3600)</f>
        <v>711201.64345619187</v>
      </c>
      <c r="AA407" s="2">
        <f>('L-Values'!W407*'D(Ti_Jollands) Times'!$F407*0.000001)^2/(4*'D(Ti_Jollands) Times'!$C407)/(365.35*24*3600)</f>
        <v>214494.46134228361</v>
      </c>
      <c r="AB407" s="2">
        <f>('L-Values'!X407*'D(Ti_Jollands) Times'!$F407*0.000001)^2/(4*'D(Ti_Jollands) Times'!$C407)/(365.35*24*3600)</f>
        <v>1636763.7344698308</v>
      </c>
      <c r="AC407" s="2">
        <f t="shared" si="26"/>
        <v>496707.18211390823</v>
      </c>
      <c r="AD407" s="2">
        <f t="shared" si="27"/>
        <v>925562.09101363888</v>
      </c>
    </row>
    <row r="408" spans="1:30" x14ac:dyDescent="0.2">
      <c r="A408" t="str">
        <f>'L-Values'!A408</f>
        <v>CGI018-qtz12-CL-fit-3-offset</v>
      </c>
      <c r="B408">
        <v>750</v>
      </c>
      <c r="C408">
        <f t="shared" si="24"/>
        <v>6.6965312637759184E-25</v>
      </c>
      <c r="D408">
        <v>1800</v>
      </c>
      <c r="E408">
        <v>1024</v>
      </c>
      <c r="F408">
        <f t="shared" si="25"/>
        <v>1.7578125</v>
      </c>
      <c r="I408" s="2">
        <f>('L-Values'!E408*'D(Ti_Jollands) Times'!$F408*0.000001)^2/(4*'D(Ti_Jollands) Times'!$C408)/(365.35*24*3600)</f>
        <v>346337.48419247533</v>
      </c>
      <c r="J408" s="2">
        <f>('L-Values'!F408*'D(Ti_Jollands) Times'!$F408*0.000001)^2/(4*'D(Ti_Jollands) Times'!$C408)/(365.35*24*3600)</f>
        <v>495454.85318275698</v>
      </c>
      <c r="K408" s="2">
        <f>('L-Values'!G408*'D(Ti_Jollands) Times'!$F408*0.000001)^2/(4*'D(Ti_Jollands) Times'!$C408)/(365.35*24*3600)</f>
        <v>82329.584844670448</v>
      </c>
      <c r="L408" s="2">
        <f>('L-Values'!H408*'D(Ti_Jollands) Times'!$F408*0.000001)^2/(4*'D(Ti_Jollands) Times'!$C408)/(365.35*24*3600)</f>
        <v>78870.709278937793</v>
      </c>
      <c r="M408" s="2">
        <f>('L-Values'!I408*'D(Ti_Jollands) Times'!$F408*0.000001)^2/(4*'D(Ti_Jollands) Times'!$C408)/(365.35*24*3600)</f>
        <v>558229.3764055334</v>
      </c>
      <c r="N408" s="2">
        <f>('L-Values'!J408*'D(Ti_Jollands) Times'!$F408*0.000001)^2/(4*'D(Ti_Jollands) Times'!$C408)/(365.35*24*3600)</f>
        <v>53051.549192859136</v>
      </c>
      <c r="O408" s="2">
        <f>('L-Values'!K408*'D(Ti_Jollands) Times'!$F408*0.000001)^2/(4*'D(Ti_Jollands) Times'!$C408)/(365.35*24*3600)</f>
        <v>44947.445855541286</v>
      </c>
      <c r="P408" s="2">
        <f>('L-Values'!L408*'D(Ti_Jollands) Times'!$F408*0.000001)^2/(4*'D(Ti_Jollands) Times'!$C408)/(365.35*24*3600)</f>
        <v>113842.14821323808</v>
      </c>
      <c r="Q408" s="2">
        <f>('L-Values'!M408*'D(Ti_Jollands) Times'!$F408*0.000001)^2/(4*'D(Ti_Jollands) Times'!$C408)/(365.35*24*3600)</f>
        <v>36062.019222006107</v>
      </c>
      <c r="R408" s="2">
        <f>('L-Values'!N408*'D(Ti_Jollands) Times'!$F408*0.000001)^2/(4*'D(Ti_Jollands) Times'!$C408)/(365.35*24*3600)</f>
        <v>111355.01351945942</v>
      </c>
      <c r="S408" s="2">
        <f>('L-Values'!O408*'D(Ti_Jollands) Times'!$F408*0.000001)^2/(4*'D(Ti_Jollands) Times'!$C408)/(365.35*24*3600)</f>
        <v>416103.7675203149</v>
      </c>
      <c r="T408" s="2"/>
      <c r="U408" s="2">
        <f>('L-Values'!Q408*'D(Ti_Jollands) Times'!$F408*0.000001)^2/(4*'D(Ti_Jollands) Times'!$C408)/(365.35*24*3600)</f>
        <v>201172.47770374364</v>
      </c>
      <c r="V408" s="2">
        <f>('L-Values'!R408*'D(Ti_Jollands) Times'!$F408*0.000001)^2/(4*'D(Ti_Jollands) Times'!$C408)/(365.35*24*3600)</f>
        <v>171524.78070481433</v>
      </c>
      <c r="W408" s="2">
        <f>('L-Values'!S408*'D(Ti_Jollands) Times'!$F408*0.000001)^2/(4*'D(Ti_Jollands) Times'!$C408)/(365.35*24*3600)</f>
        <v>111355.01351945942</v>
      </c>
      <c r="X408" s="2"/>
      <c r="Y408" s="2">
        <f>('L-Values'!U408*'D(Ti_Jollands) Times'!$F408*0.000001)^2/(4*'D(Ti_Jollands) Times'!$C408)/(365.35*24*3600)</f>
        <v>166009.40039496979</v>
      </c>
      <c r="Z408" s="2">
        <f>('L-Values'!V408*'D(Ti_Jollands) Times'!$F408*0.000001)^2/(4*'D(Ti_Jollands) Times'!$C408)/(365.35*24*3600)</f>
        <v>190883.40930525062</v>
      </c>
      <c r="AA408" s="2">
        <f>('L-Values'!W408*'D(Ti_Jollands) Times'!$F408*0.000001)^2/(4*'D(Ti_Jollands) Times'!$C408)/(365.35*24*3600)</f>
        <v>1867.492820023487</v>
      </c>
      <c r="AB408" s="2">
        <f>('L-Values'!X408*'D(Ti_Jollands) Times'!$F408*0.000001)^2/(4*'D(Ti_Jollands) Times'!$C408)/(365.35*24*3600)</f>
        <v>1151869.9442104895</v>
      </c>
      <c r="AC408" s="2">
        <f t="shared" si="26"/>
        <v>189015.91648522712</v>
      </c>
      <c r="AD408" s="2">
        <f t="shared" si="27"/>
        <v>960986.53490523889</v>
      </c>
    </row>
    <row r="409" spans="1:30" x14ac:dyDescent="0.2">
      <c r="A409" t="str">
        <f>'L-Values'!A409</f>
        <v>CGI018-qtz12-CL-fit-4-offset</v>
      </c>
      <c r="B409">
        <v>750</v>
      </c>
      <c r="C409">
        <f t="shared" si="24"/>
        <v>6.6965312637759184E-25</v>
      </c>
      <c r="D409">
        <v>1800</v>
      </c>
      <c r="E409">
        <v>1024</v>
      </c>
      <c r="F409">
        <f t="shared" si="25"/>
        <v>1.7578125</v>
      </c>
      <c r="I409" s="2">
        <f>('L-Values'!E409*'D(Ti_Jollands) Times'!$F409*0.000001)^2/(4*'D(Ti_Jollands) Times'!$C409)/(365.35*24*3600)</f>
        <v>270292.2607504552</v>
      </c>
      <c r="J409" s="2">
        <f>('L-Values'!F409*'D(Ti_Jollands) Times'!$F409*0.000001)^2/(4*'D(Ti_Jollands) Times'!$C409)/(365.35*24*3600)</f>
        <v>221788.0674768686</v>
      </c>
      <c r="K409" s="2">
        <f>('L-Values'!G409*'D(Ti_Jollands) Times'!$F409*0.000001)^2/(4*'D(Ti_Jollands) Times'!$C409)/(365.35*24*3600)</f>
        <v>212571.39181917891</v>
      </c>
      <c r="L409" s="2">
        <f>('L-Values'!H409*'D(Ti_Jollands) Times'!$F409*0.000001)^2/(4*'D(Ti_Jollands) Times'!$C409)/(365.35*24*3600)</f>
        <v>354383.59450644231</v>
      </c>
      <c r="M409" s="2">
        <f>('L-Values'!I409*'D(Ti_Jollands) Times'!$F409*0.000001)^2/(4*'D(Ti_Jollands) Times'!$C409)/(365.35*24*3600)</f>
        <v>280411.50654694188</v>
      </c>
      <c r="N409" s="2">
        <f>('L-Values'!J409*'D(Ti_Jollands) Times'!$F409*0.000001)^2/(4*'D(Ti_Jollands) Times'!$C409)/(365.35*24*3600)</f>
        <v>320697.75466278335</v>
      </c>
      <c r="O409" s="2">
        <f>('L-Values'!K409*'D(Ti_Jollands) Times'!$F409*0.000001)^2/(4*'D(Ti_Jollands) Times'!$C409)/(365.35*24*3600)</f>
        <v>292325.93465422647</v>
      </c>
      <c r="P409" s="2">
        <f>('L-Values'!L409*'D(Ti_Jollands) Times'!$F409*0.000001)^2/(4*'D(Ti_Jollands) Times'!$C409)/(365.35*24*3600)</f>
        <v>152814.66054452269</v>
      </c>
      <c r="Q409" s="2">
        <f>('L-Values'!M409*'D(Ti_Jollands) Times'!$F409*0.000001)^2/(4*'D(Ti_Jollands) Times'!$C409)/(365.35*24*3600)</f>
        <v>125392.45562758121</v>
      </c>
      <c r="R409" s="2">
        <f>('L-Values'!N409*'D(Ti_Jollands) Times'!$F409*0.000001)^2/(4*'D(Ti_Jollands) Times'!$C409)/(365.35*24*3600)</f>
        <v>154002.06673560283</v>
      </c>
      <c r="S409" s="2">
        <f>('L-Values'!O409*'D(Ti_Jollands) Times'!$F409*0.000001)^2/(4*'D(Ti_Jollands) Times'!$C409)/(365.35*24*3600)</f>
        <v>200466.55012007122</v>
      </c>
      <c r="T409" s="2"/>
      <c r="U409" s="2">
        <f>('L-Values'!Q409*'D(Ti_Jollands) Times'!$F409*0.000001)^2/(4*'D(Ti_Jollands) Times'!$C409)/(365.35*24*3600)</f>
        <v>237183.63821824151</v>
      </c>
      <c r="V409" s="2">
        <f>('L-Values'!R409*'D(Ti_Jollands) Times'!$F409*0.000001)^2/(4*'D(Ti_Jollands) Times'!$C409)/(365.35*24*3600)</f>
        <v>229432.08621437644</v>
      </c>
      <c r="W409" s="2">
        <f>('L-Values'!S409*'D(Ti_Jollands) Times'!$F409*0.000001)^2/(4*'D(Ti_Jollands) Times'!$C409)/(365.35*24*3600)</f>
        <v>221788.0674768686</v>
      </c>
      <c r="X409" s="2"/>
      <c r="Y409" s="2">
        <f>('L-Values'!U409*'D(Ti_Jollands) Times'!$F409*0.000001)^2/(4*'D(Ti_Jollands) Times'!$C409)/(365.35*24*3600)</f>
        <v>225772.89862519209</v>
      </c>
      <c r="Z409" s="2">
        <f>('L-Values'!V409*'D(Ti_Jollands) Times'!$F409*0.000001)^2/(4*'D(Ti_Jollands) Times'!$C409)/(365.35*24*3600)</f>
        <v>229266.12394553889</v>
      </c>
      <c r="AA409" s="2">
        <f>('L-Values'!W409*'D(Ti_Jollands) Times'!$F409*0.000001)^2/(4*'D(Ti_Jollands) Times'!$C409)/(365.35*24*3600)</f>
        <v>96458.625317370796</v>
      </c>
      <c r="AB409" s="2">
        <f>('L-Values'!X409*'D(Ti_Jollands) Times'!$F409*0.000001)^2/(4*'D(Ti_Jollands) Times'!$C409)/(365.35*24*3600)</f>
        <v>481621.59043307614</v>
      </c>
      <c r="AC409" s="2">
        <f t="shared" si="26"/>
        <v>132807.49862816808</v>
      </c>
      <c r="AD409" s="2">
        <f t="shared" si="27"/>
        <v>252355.46648753725</v>
      </c>
    </row>
    <row r="410" spans="1:30" x14ac:dyDescent="0.2">
      <c r="A410" t="str">
        <f>'L-Values'!A410</f>
        <v>CGI018-qtz12-CL-fit-5-offset</v>
      </c>
      <c r="B410">
        <v>750</v>
      </c>
      <c r="C410">
        <f t="shared" si="24"/>
        <v>6.6965312637759184E-25</v>
      </c>
      <c r="D410">
        <v>1800</v>
      </c>
      <c r="E410">
        <v>1024</v>
      </c>
      <c r="F410">
        <f t="shared" si="25"/>
        <v>1.7578125</v>
      </c>
      <c r="I410" s="2">
        <f>('L-Values'!E410*'D(Ti_Jollands) Times'!$F410*0.000001)^2/(4*'D(Ti_Jollands) Times'!$C410)/(365.35*24*3600)</f>
        <v>468759.66251600516</v>
      </c>
      <c r="J410" s="2">
        <f>('L-Values'!F410*'D(Ti_Jollands) Times'!$F410*0.000001)^2/(4*'D(Ti_Jollands) Times'!$C410)/(365.35*24*3600)</f>
        <v>520584.20211526338</v>
      </c>
      <c r="K410" s="2">
        <f>('L-Values'!G410*'D(Ti_Jollands) Times'!$F410*0.000001)^2/(4*'D(Ti_Jollands) Times'!$C410)/(365.35*24*3600)</f>
        <v>841364.73608638148</v>
      </c>
      <c r="L410" s="2">
        <f>('L-Values'!H410*'D(Ti_Jollands) Times'!$F410*0.000001)^2/(4*'D(Ti_Jollands) Times'!$C410)/(365.35*24*3600)</f>
        <v>328626.69469646079</v>
      </c>
      <c r="M410" s="2">
        <f>('L-Values'!I410*'D(Ti_Jollands) Times'!$F410*0.000001)^2/(4*'D(Ti_Jollands) Times'!$C410)/(365.35*24*3600)</f>
        <v>464201.54601902002</v>
      </c>
      <c r="N410" s="2">
        <f>('L-Values'!J410*'D(Ti_Jollands) Times'!$F410*0.000001)^2/(4*'D(Ti_Jollands) Times'!$C410)/(365.35*24*3600)</f>
        <v>398929.66755936574</v>
      </c>
      <c r="O410" s="2">
        <f>('L-Values'!K410*'D(Ti_Jollands) Times'!$F410*0.000001)^2/(4*'D(Ti_Jollands) Times'!$C410)/(365.35*24*3600)</f>
        <v>663002.25399518537</v>
      </c>
      <c r="P410" s="2">
        <f>('L-Values'!L410*'D(Ti_Jollands) Times'!$F410*0.000001)^2/(4*'D(Ti_Jollands) Times'!$C410)/(365.35*24*3600)</f>
        <v>507108.33857549005</v>
      </c>
      <c r="Q410" s="2">
        <f>('L-Values'!M410*'D(Ti_Jollands) Times'!$F410*0.000001)^2/(4*'D(Ti_Jollands) Times'!$C410)/(365.35*24*3600)</f>
        <v>203464.95617255272</v>
      </c>
      <c r="R410" s="2">
        <f>('L-Values'!N410*'D(Ti_Jollands) Times'!$F410*0.000001)^2/(4*'D(Ti_Jollands) Times'!$C410)/(365.35*24*3600)</f>
        <v>268132.21524927253</v>
      </c>
      <c r="S410" s="2">
        <f>('L-Values'!O410*'D(Ti_Jollands) Times'!$F410*0.000001)^2/(4*'D(Ti_Jollands) Times'!$C410)/(365.35*24*3600)</f>
        <v>345909.07368035667</v>
      </c>
      <c r="T410" s="2"/>
      <c r="U410" s="2">
        <f>('L-Values'!Q410*'D(Ti_Jollands) Times'!$F410*0.000001)^2/(4*'D(Ti_Jollands) Times'!$C410)/(365.35*24*3600)</f>
        <v>443094.56730904971</v>
      </c>
      <c r="V410" s="2">
        <f>('L-Values'!R410*'D(Ti_Jollands) Times'!$F410*0.000001)^2/(4*'D(Ti_Jollands) Times'!$C410)/(365.35*24*3600)</f>
        <v>439571.13449083065</v>
      </c>
      <c r="W410" s="2">
        <f>('L-Values'!S410*'D(Ti_Jollands) Times'!$F410*0.000001)^2/(4*'D(Ti_Jollands) Times'!$C410)/(365.35*24*3600)</f>
        <v>464201.54601902002</v>
      </c>
      <c r="X410" s="2"/>
      <c r="Y410" s="2">
        <f>('L-Values'!U410*'D(Ti_Jollands) Times'!$F410*0.000001)^2/(4*'D(Ti_Jollands) Times'!$C410)/(365.35*24*3600)</f>
        <v>435858.7372229498</v>
      </c>
      <c r="Z410" s="2">
        <f>('L-Values'!V410*'D(Ti_Jollands) Times'!$F410*0.000001)^2/(4*'D(Ti_Jollands) Times'!$C410)/(365.35*24*3600)</f>
        <v>447783.37704113679</v>
      </c>
      <c r="AA410" s="2">
        <f>('L-Values'!W410*'D(Ti_Jollands) Times'!$F410*0.000001)^2/(4*'D(Ti_Jollands) Times'!$C410)/(365.35*24*3600)</f>
        <v>224790.29587323568</v>
      </c>
      <c r="AB410" s="2">
        <f>('L-Values'!X410*'D(Ti_Jollands) Times'!$F410*0.000001)^2/(4*'D(Ti_Jollands) Times'!$C410)/(365.35*24*3600)</f>
        <v>754373.99025283963</v>
      </c>
      <c r="AC410" s="2">
        <f t="shared" si="26"/>
        <v>222993.08116790111</v>
      </c>
      <c r="AD410" s="2">
        <f t="shared" si="27"/>
        <v>306590.61321170285</v>
      </c>
    </row>
    <row r="411" spans="1:30" x14ac:dyDescent="0.2">
      <c r="A411" t="str">
        <f>'L-Values'!A411</f>
        <v>CGI018-qtz12-CL-fit-6-offset</v>
      </c>
      <c r="B411">
        <v>750</v>
      </c>
      <c r="C411">
        <f t="shared" si="24"/>
        <v>6.6965312637759184E-25</v>
      </c>
      <c r="D411">
        <v>1800</v>
      </c>
      <c r="E411">
        <v>1024</v>
      </c>
      <c r="F411">
        <f t="shared" si="25"/>
        <v>1.7578125</v>
      </c>
      <c r="I411" s="2">
        <f>('L-Values'!E411*'D(Ti_Jollands) Times'!$F411*0.000001)^2/(4*'D(Ti_Jollands) Times'!$C411)/(365.35*24*3600)</f>
        <v>116130.87043401372</v>
      </c>
      <c r="J411" s="2">
        <f>('L-Values'!F411*'D(Ti_Jollands) Times'!$F411*0.000001)^2/(4*'D(Ti_Jollands) Times'!$C411)/(365.35*24*3600)</f>
        <v>87523.39355513631</v>
      </c>
      <c r="K411" s="2">
        <f>('L-Values'!G411*'D(Ti_Jollands) Times'!$F411*0.000001)^2/(4*'D(Ti_Jollands) Times'!$C411)/(365.35*24*3600)</f>
        <v>51998.162443622838</v>
      </c>
      <c r="L411" s="2">
        <f>('L-Values'!H411*'D(Ti_Jollands) Times'!$F411*0.000001)^2/(4*'D(Ti_Jollands) Times'!$C411)/(365.35*24*3600)</f>
        <v>60730.626737948289</v>
      </c>
      <c r="M411" s="2">
        <f>('L-Values'!I411*'D(Ti_Jollands) Times'!$F411*0.000001)^2/(4*'D(Ti_Jollands) Times'!$C411)/(365.35*24*3600)</f>
        <v>135514.48021228926</v>
      </c>
      <c r="N411" s="2">
        <f>('L-Values'!J411*'D(Ti_Jollands) Times'!$F411*0.000001)^2/(4*'D(Ti_Jollands) Times'!$C411)/(365.35*24*3600)</f>
        <v>70412.418090191757</v>
      </c>
      <c r="O411" s="2">
        <f>('L-Values'!K411*'D(Ti_Jollands) Times'!$F411*0.000001)^2/(4*'D(Ti_Jollands) Times'!$C411)/(365.35*24*3600)</f>
        <v>219341.22264218063</v>
      </c>
      <c r="P411" s="2">
        <f>('L-Values'!L411*'D(Ti_Jollands) Times'!$F411*0.000001)^2/(4*'D(Ti_Jollands) Times'!$C411)/(365.35*24*3600)</f>
        <v>172429.36182349714</v>
      </c>
      <c r="Q411" s="2">
        <f>('L-Values'!M411*'D(Ti_Jollands) Times'!$F411*0.000001)^2/(4*'D(Ti_Jollands) Times'!$C411)/(365.35*24*3600)</f>
        <v>109138.6602101507</v>
      </c>
      <c r="R411" s="2">
        <f>('L-Values'!N411*'D(Ti_Jollands) Times'!$F411*0.000001)^2/(4*'D(Ti_Jollands) Times'!$C411)/(365.35*24*3600)</f>
        <v>51639.10767583939</v>
      </c>
      <c r="S411" s="2">
        <f>('L-Values'!O411*'D(Ti_Jollands) Times'!$F411*0.000001)^2/(4*'D(Ti_Jollands) Times'!$C411)/(365.35*24*3600)</f>
        <v>73562.606369204572</v>
      </c>
      <c r="T411" s="2"/>
      <c r="U411" s="2">
        <f>('L-Values'!Q411*'D(Ti_Jollands) Times'!$F411*0.000001)^2/(4*'D(Ti_Jollands) Times'!$C411)/(365.35*24*3600)</f>
        <v>95300.452480747146</v>
      </c>
      <c r="V411" s="2">
        <f>('L-Values'!R411*'D(Ti_Jollands) Times'!$F411*0.000001)^2/(4*'D(Ti_Jollands) Times'!$C411)/(365.35*24*3600)</f>
        <v>98766.178247075368</v>
      </c>
      <c r="W411" s="2">
        <f>('L-Values'!S411*'D(Ti_Jollands) Times'!$F411*0.000001)^2/(4*'D(Ti_Jollands) Times'!$C411)/(365.35*24*3600)</f>
        <v>87523.39355513631</v>
      </c>
      <c r="X411" s="2"/>
      <c r="Y411" s="2">
        <f>('L-Values'!U411*'D(Ti_Jollands) Times'!$F411*0.000001)^2/(4*'D(Ti_Jollands) Times'!$C411)/(365.35*24*3600)</f>
        <v>83003.056555161078</v>
      </c>
      <c r="Z411" s="2">
        <f>('L-Values'!V411*'D(Ti_Jollands) Times'!$F411*0.000001)^2/(4*'D(Ti_Jollands) Times'!$C411)/(365.35*24*3600)</f>
        <v>88646.575938814989</v>
      </c>
      <c r="AA411" s="2">
        <f>('L-Values'!W411*'D(Ti_Jollands) Times'!$F411*0.000001)^2/(4*'D(Ti_Jollands) Times'!$C411)/(365.35*24*3600)</f>
        <v>4398.5378197737964</v>
      </c>
      <c r="AB411" s="2">
        <f>('L-Values'!X411*'D(Ti_Jollands) Times'!$F411*0.000001)^2/(4*'D(Ti_Jollands) Times'!$C411)/(365.35*24*3600)</f>
        <v>230441.55594355619</v>
      </c>
      <c r="AC411" s="2">
        <f t="shared" si="26"/>
        <v>84248.038119041186</v>
      </c>
      <c r="AD411" s="2">
        <f t="shared" si="27"/>
        <v>141794.9800047412</v>
      </c>
    </row>
    <row r="412" spans="1:30" x14ac:dyDescent="0.2">
      <c r="A412" t="str">
        <f>'L-Values'!A412</f>
        <v>CGI018-qtz12-CL-fit-7-offset</v>
      </c>
      <c r="B412">
        <v>750</v>
      </c>
      <c r="C412">
        <f t="shared" si="24"/>
        <v>6.6965312637759184E-25</v>
      </c>
      <c r="D412">
        <v>1800</v>
      </c>
      <c r="E412">
        <v>1024</v>
      </c>
      <c r="F412">
        <f t="shared" si="25"/>
        <v>1.7578125</v>
      </c>
      <c r="I412" s="2">
        <f>('L-Values'!E412*'D(Ti_Jollands) Times'!$F412*0.000001)^2/(4*'D(Ti_Jollands) Times'!$C412)/(365.35*24*3600)</f>
        <v>577.28551924643921</v>
      </c>
      <c r="J412" s="2">
        <f>('L-Values'!F412*'D(Ti_Jollands) Times'!$F412*0.000001)^2/(4*'D(Ti_Jollands) Times'!$C412)/(365.35*24*3600)</f>
        <v>103.56620054034096</v>
      </c>
      <c r="K412" s="2">
        <f>('L-Values'!G412*'D(Ti_Jollands) Times'!$F412*0.000001)^2/(4*'D(Ti_Jollands) Times'!$C412)/(365.35*24*3600)</f>
        <v>2.7631846779746039</v>
      </c>
      <c r="L412" s="2">
        <f>('L-Values'!H412*'D(Ti_Jollands) Times'!$F412*0.000001)^2/(4*'D(Ti_Jollands) Times'!$C412)/(365.35*24*3600)</f>
        <v>978.59159200715294</v>
      </c>
      <c r="M412" s="2">
        <f>('L-Values'!I412*'D(Ti_Jollands) Times'!$F412*0.000001)^2/(4*'D(Ti_Jollands) Times'!$C412)/(365.35*24*3600)</f>
        <v>24.346276884432065</v>
      </c>
      <c r="N412" s="2">
        <f>('L-Values'!J412*'D(Ti_Jollands) Times'!$F412*0.000001)^2/(4*'D(Ti_Jollands) Times'!$C412)/(365.35*24*3600)</f>
        <v>666.12676250587481</v>
      </c>
      <c r="O412" s="2">
        <f>('L-Values'!K412*'D(Ti_Jollands) Times'!$F412*0.000001)^2/(4*'D(Ti_Jollands) Times'!$C412)/(365.35*24*3600)</f>
        <v>0.49480556990307106</v>
      </c>
      <c r="P412" s="2">
        <f>('L-Values'!L412*'D(Ti_Jollands) Times'!$F412*0.000001)^2/(4*'D(Ti_Jollands) Times'!$C412)/(365.35*24*3600)</f>
        <v>35.97745155535101</v>
      </c>
      <c r="Q412" s="2">
        <f>('L-Values'!M412*'D(Ti_Jollands) Times'!$F412*0.000001)^2/(4*'D(Ti_Jollands) Times'!$C412)/(365.35*24*3600)</f>
        <v>867.4748838285592</v>
      </c>
      <c r="R412" s="2">
        <f>('L-Values'!N412*'D(Ti_Jollands) Times'!$F412*0.000001)^2/(4*'D(Ti_Jollands) Times'!$C412)/(365.35*24*3600)</f>
        <v>116793.02834439022</v>
      </c>
      <c r="S412" s="2">
        <f>('L-Values'!O412*'D(Ti_Jollands) Times'!$F412*0.000001)^2/(4*'D(Ti_Jollands) Times'!$C412)/(365.35*24*3600)</f>
        <v>91.359215021719848</v>
      </c>
      <c r="T412" s="2"/>
      <c r="U412" s="2">
        <f>('L-Values'!Q412*'D(Ti_Jollands) Times'!$F412*0.000001)^2/(4*'D(Ti_Jollands) Times'!$C412)/(365.35*24*3600)</f>
        <v>380.06754550035805</v>
      </c>
      <c r="V412" s="2">
        <f>('L-Values'!R412*'D(Ti_Jollands) Times'!$F412*0.000001)^2/(4*'D(Ti_Jollands) Times'!$C412)/(365.35*24*3600)</f>
        <v>1946.8511270072306</v>
      </c>
      <c r="W412" s="2">
        <f>('L-Values'!S412*'D(Ti_Jollands) Times'!$F412*0.000001)^2/(4*'D(Ti_Jollands) Times'!$C412)/(365.35*24*3600)</f>
        <v>103.56620054034096</v>
      </c>
      <c r="X412" s="2"/>
      <c r="Y412" s="2">
        <f>('L-Values'!U412*'D(Ti_Jollands) Times'!$F412*0.000001)^2/(4*'D(Ti_Jollands) Times'!$C412)/(365.35*24*3600)</f>
        <v>379.57464186109416</v>
      </c>
      <c r="Z412" s="2">
        <f>('L-Values'!V412*'D(Ti_Jollands) Times'!$F412*0.000001)^2/(4*'D(Ti_Jollands) Times'!$C412)/(365.35*24*3600)</f>
        <v>450.29358047819375</v>
      </c>
      <c r="AA412" s="2">
        <f>('L-Values'!W412*'D(Ti_Jollands) Times'!$F412*0.000001)^2/(4*'D(Ti_Jollands) Times'!$C412)/(365.35*24*3600)</f>
        <v>366.77744716361315</v>
      </c>
      <c r="AB412" s="2">
        <f>('L-Values'!X412*'D(Ti_Jollands) Times'!$F412*0.000001)^2/(4*'D(Ti_Jollands) Times'!$C412)/(365.35*24*3600)</f>
        <v>395.7806027942579</v>
      </c>
      <c r="AC412" s="2">
        <f t="shared" si="26"/>
        <v>83.5161333145806</v>
      </c>
      <c r="AD412" s="2">
        <f t="shared" si="27"/>
        <v>-54.512977683935844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A0BDC-139A-304B-A44B-C632A870B678}">
  <sheetPr codeName="Sheet_L"/>
  <dimension ref="A1:AK413"/>
  <sheetViews>
    <sheetView zoomScaleNormal="100" workbookViewId="0">
      <pane ySplit="1" topLeftCell="A2" activePane="bottomLeft" state="frozen"/>
      <selection pane="bottomLeft"/>
    </sheetView>
  </sheetViews>
  <sheetFormatPr baseColWidth="10" defaultColWidth="9.1640625" defaultRowHeight="15" x14ac:dyDescent="0.2"/>
  <cols>
    <col min="1" max="2" width="26.1640625" bestFit="1" customWidth="1"/>
    <col min="3" max="3" width="13.6640625" customWidth="1"/>
    <col min="4" max="4" width="16.33203125" customWidth="1"/>
    <col min="5" max="5" width="16.1640625" customWidth="1"/>
    <col min="6" max="6" width="15.5" customWidth="1"/>
    <col min="7" max="10" width="13.1640625" customWidth="1"/>
    <col min="11" max="11" width="19.6640625" customWidth="1"/>
    <col min="12" max="12" width="21.6640625" customWidth="1"/>
    <col min="13" max="13" width="19.33203125" customWidth="1"/>
    <col min="14" max="14" width="9.5" style="1" customWidth="1"/>
    <col min="15" max="15" width="20" style="1" customWidth="1"/>
    <col min="16" max="17" width="9.5" style="1" customWidth="1"/>
    <col min="18" max="18" width="22" style="1" customWidth="1"/>
    <col min="19" max="20" width="9.5" style="1" customWidth="1"/>
    <col min="21" max="21" width="19.6640625" style="1" customWidth="1"/>
    <col min="22" max="27" width="9.5" style="1" customWidth="1"/>
    <col min="28" max="28" width="9.1640625" style="1"/>
    <col min="29" max="29" width="12.1640625" style="1" bestFit="1" customWidth="1"/>
    <col min="30" max="31" width="9.5" style="1" customWidth="1"/>
    <col min="32" max="32" width="9.1640625" style="1"/>
    <col min="33" max="33" width="17.6640625" style="1" bestFit="1" customWidth="1"/>
    <col min="34" max="34" width="9.1640625" style="1"/>
    <col min="35" max="35" width="14.1640625" style="1" bestFit="1" customWidth="1"/>
    <col min="36" max="36" width="16.5" style="1" bestFit="1" customWidth="1"/>
    <col min="37" max="37" width="17" style="1" bestFit="1" customWidth="1"/>
  </cols>
  <sheetData>
    <row r="1" spans="1:37" s="5" customFormat="1" x14ac:dyDescent="0.2">
      <c r="A1" s="5" t="s">
        <v>439</v>
      </c>
      <c r="B1" s="5" t="s">
        <v>439</v>
      </c>
      <c r="C1" s="5" t="s">
        <v>864</v>
      </c>
      <c r="D1" s="5" t="s">
        <v>872</v>
      </c>
      <c r="E1" s="5" t="s">
        <v>866</v>
      </c>
      <c r="F1" s="5" t="s">
        <v>867</v>
      </c>
      <c r="G1" s="5" t="s">
        <v>865</v>
      </c>
      <c r="I1" s="5" t="s">
        <v>432</v>
      </c>
      <c r="K1" s="5" t="s">
        <v>868</v>
      </c>
      <c r="L1" s="5" t="s">
        <v>870</v>
      </c>
      <c r="M1" s="5" t="s">
        <v>869</v>
      </c>
      <c r="N1" s="6"/>
      <c r="O1" s="6" t="s">
        <v>448</v>
      </c>
      <c r="P1" s="6" t="s">
        <v>449</v>
      </c>
      <c r="Q1" s="6"/>
      <c r="R1" s="6" t="s">
        <v>871</v>
      </c>
      <c r="S1" s="6" t="s">
        <v>449</v>
      </c>
      <c r="T1" s="6"/>
      <c r="U1" s="6" t="s">
        <v>450</v>
      </c>
      <c r="V1" s="6" t="s">
        <v>449</v>
      </c>
      <c r="W1" s="6"/>
      <c r="X1" s="6"/>
      <c r="Y1" s="6"/>
      <c r="Z1" s="6"/>
      <c r="AA1" s="6"/>
      <c r="AB1" s="6"/>
      <c r="AC1" s="6"/>
      <c r="AD1" s="6"/>
      <c r="AE1" s="6"/>
      <c r="AF1" s="6"/>
      <c r="AG1" s="6"/>
      <c r="AH1" s="6"/>
      <c r="AI1" s="6"/>
      <c r="AJ1" s="6"/>
      <c r="AK1" s="6"/>
    </row>
    <row r="2" spans="1:37" x14ac:dyDescent="0.2">
      <c r="A2" t="s">
        <v>451</v>
      </c>
      <c r="B2" s="1" t="str">
        <f>VLOOKUP(REPLACE(A2,FIND("dist",A2),4,"fit")&amp;"*",'[413]t (Cherniak)'!$A:$A,1,0)</f>
        <v>CGI001-qtz01-CL-fit-1-offset</v>
      </c>
      <c r="C2">
        <v>2100</v>
      </c>
      <c r="D2" s="4">
        <v>1024</v>
      </c>
      <c r="E2" s="1">
        <f t="shared" ref="E2:E65" si="0">C2/D2</f>
        <v>2.05078125</v>
      </c>
      <c r="F2" s="1">
        <f>'[414]CGI001-qtz01-CL-dist-1'!$B$4</f>
        <v>522.93200000000002</v>
      </c>
      <c r="G2" s="1">
        <f>F2*E2</f>
        <v>1072.419140625</v>
      </c>
      <c r="H2" s="1"/>
      <c r="I2" s="1" t="str">
        <f>VLOOKUP($B2, '[413]t (Cherniak) Category'!$1:$1048576, MATCH(I$1, '[413]t (Cherniak) Category'!$1:$1, 0), 0)</f>
        <v>Core</v>
      </c>
      <c r="J2" s="1"/>
      <c r="K2" s="4">
        <f>VLOOKUP($B2, '[413]t (Cherniak)'!$1:$1048576, MATCH(LEFT(K$1,FIND(" (",K$1)-1), '[413]t (Cherniak)'!$1:$1, 0), 0)</f>
        <v>1332.054413461698</v>
      </c>
      <c r="L2" s="4">
        <f>'D(Ti_Audétat23) Times'!Z2</f>
        <v>93643.206827787028</v>
      </c>
      <c r="M2" s="4">
        <f>VLOOKUP($B2, '[413]t (J)'!$1:$1048576, MATCH(LEFT(M$1,FIND(" (",M$1)-1),'[413]t (J)'!$1:$1, 0), 0)</f>
        <v>1602036.1925354754</v>
      </c>
      <c r="O2" s="1">
        <f>$G2/$K2</f>
        <v>0.80508658639404473</v>
      </c>
      <c r="P2" s="3">
        <f t="shared" ref="P2:P65" si="1">O2/(365.25*60*60*24)*(10^-6)</f>
        <v>2.5511654447551294E-14</v>
      </c>
      <c r="Q2" s="3"/>
      <c r="R2" s="11">
        <f>G2/L2</f>
        <v>1.1452182992806028E-2</v>
      </c>
      <c r="S2" s="3">
        <f>R2/(365.25*60*60*24)*(10^-6)</f>
        <v>3.6289778033836625E-16</v>
      </c>
      <c r="T2" s="3"/>
      <c r="U2" s="9">
        <f t="shared" ref="U2:U65" si="2">G2/M2</f>
        <v>6.6941005803853107E-4</v>
      </c>
      <c r="V2" s="3">
        <f t="shared" ref="V2:V65" si="3">U2/(365.25*60*60*24)*(10^-6)</f>
        <v>2.1212324702719189E-17</v>
      </c>
      <c r="Y2" s="3"/>
      <c r="Z2" s="4"/>
      <c r="AA2" s="4"/>
      <c r="AB2" s="4"/>
      <c r="AC2" s="4"/>
      <c r="AF2" s="3"/>
      <c r="AG2" s="4"/>
      <c r="AH2" s="4"/>
      <c r="AI2" s="4"/>
      <c r="AJ2" s="4"/>
      <c r="AK2"/>
    </row>
    <row r="3" spans="1:37" x14ac:dyDescent="0.2">
      <c r="A3" t="s">
        <v>452</v>
      </c>
      <c r="B3" s="1" t="str">
        <f>VLOOKUP(REPLACE(A3,FIND("dist",A3),4,"fit")&amp;"*",'[413]t (Cherniak)'!$A:$A,1,0)</f>
        <v>CGI001-qtz01-CL-fit-2</v>
      </c>
      <c r="C3">
        <v>2100</v>
      </c>
      <c r="D3" s="4">
        <v>1024</v>
      </c>
      <c r="E3" s="1">
        <f t="shared" si="0"/>
        <v>2.05078125</v>
      </c>
      <c r="F3" s="1">
        <f>'[415]CGI001-qtz01-CL-dist-2'!$B$4</f>
        <v>422.995</v>
      </c>
      <c r="G3" s="1">
        <f t="shared" ref="G3:G66" si="4">F3*E3</f>
        <v>867.47021484375</v>
      </c>
      <c r="H3" s="1"/>
      <c r="I3" s="1" t="str">
        <f>VLOOKUP($B3, '[413]t (Cherniak) Category'!$1:$1048576, MATCH(I$1, '[413]t (Cherniak) Category'!$1:$1, 0), 0)</f>
        <v>Interior</v>
      </c>
      <c r="J3" s="1"/>
      <c r="K3" s="4">
        <f>VLOOKUP($B3, '[413]t (Cherniak)'!$1:$1048576, MATCH(LEFT(K$1,FIND(" (",K$1)-1), '[413]t (Cherniak)'!$1:$1, 0), 0)</f>
        <v>5117.758369658889</v>
      </c>
      <c r="L3" s="4">
        <f>'D(Ti_Audétat23) Times'!Z3</f>
        <v>359777.57414516137</v>
      </c>
      <c r="M3" s="4">
        <f>VLOOKUP($B3, '[413]t (J)'!$1:$1048576, MATCH(LEFT(M$1,FIND(" (",M$1)-1),'[413]t (J)'!$1:$1, 0), 0)</f>
        <v>6155029.441731316</v>
      </c>
      <c r="O3" s="1">
        <f t="shared" ref="O3:O65" si="5">$G3/$K3</f>
        <v>0.1695019874300101</v>
      </c>
      <c r="P3" s="3">
        <f t="shared" si="1"/>
        <v>5.3711938623345918E-15</v>
      </c>
      <c r="Q3" s="3"/>
      <c r="R3" s="11">
        <f t="shared" ref="R3:R66" si="6">G3/L3</f>
        <v>2.4111292008816179E-3</v>
      </c>
      <c r="S3" s="3">
        <f t="shared" ref="S3:S66" si="7">R3/(365.25*60*60*24)*(10^-6)</f>
        <v>7.6404073848506146E-17</v>
      </c>
      <c r="T3" s="3"/>
      <c r="U3" s="9">
        <f t="shared" si="2"/>
        <v>1.4093680997888838E-4</v>
      </c>
      <c r="V3" s="3">
        <f t="shared" si="3"/>
        <v>4.4660180108401264E-18</v>
      </c>
      <c r="X3" s="3"/>
      <c r="Y3" s="3"/>
      <c r="Z3" s="4"/>
      <c r="AA3" s="4"/>
      <c r="AB3" s="4"/>
      <c r="AC3" s="4"/>
      <c r="AE3" s="3"/>
      <c r="AF3" s="3"/>
      <c r="AG3" s="4"/>
      <c r="AH3" s="4"/>
      <c r="AI3" s="4"/>
      <c r="AJ3" s="4"/>
      <c r="AK3"/>
    </row>
    <row r="4" spans="1:37" x14ac:dyDescent="0.2">
      <c r="A4" t="s">
        <v>453</v>
      </c>
      <c r="B4" s="1" t="str">
        <f>VLOOKUP(REPLACE(A4,FIND("dist",A4),4,"fit")&amp;"*",'[413]t (Cherniak)'!$A:$A,1,0)</f>
        <v>CGI001-qtz01-CL-fit-3</v>
      </c>
      <c r="C4">
        <v>2100</v>
      </c>
      <c r="D4" s="4">
        <v>1024</v>
      </c>
      <c r="E4" s="1">
        <f t="shared" si="0"/>
        <v>2.05078125</v>
      </c>
      <c r="F4" s="1">
        <f>'[416]CGI008-qtz04-CL-dist-3'!$B$4</f>
        <v>278.22699999999998</v>
      </c>
      <c r="G4" s="1">
        <f t="shared" si="4"/>
        <v>570.58271484374995</v>
      </c>
      <c r="H4" s="1"/>
      <c r="I4" s="1" t="str">
        <f>VLOOKUP($B4, '[413]t (Cherniak) Category'!$1:$1048576, MATCH(I$1, '[413]t (Cherniak) Category'!$1:$1, 0), 0)</f>
        <v>Interior</v>
      </c>
      <c r="J4" s="1"/>
      <c r="K4" s="4">
        <f>VLOOKUP($B4, '[413]t (Cherniak)'!$1:$1048576, MATCH(LEFT(K$1,FIND(" (",K$1)-1), '[413]t (Cherniak)'!$1:$1, 0), 0)</f>
        <v>915.87039718361336</v>
      </c>
      <c r="L4" s="4">
        <f>'D(Ti_Audétat23) Times'!Z4</f>
        <v>64385.538731882036</v>
      </c>
      <c r="M4" s="4">
        <f>VLOOKUP($B4, '[413]t (J)'!$1:$1048576, MATCH(LEFT(M$1,FIND(" (",M$1)-1),'[413]t (J)'!$1:$1, 0), 0)</f>
        <v>1101499.6903519358</v>
      </c>
      <c r="O4" s="1">
        <f t="shared" si="5"/>
        <v>0.62299504012614104</v>
      </c>
      <c r="P4" s="3">
        <f t="shared" si="1"/>
        <v>1.9741521539221644E-14</v>
      </c>
      <c r="Q4" s="3"/>
      <c r="R4" s="11">
        <f t="shared" si="6"/>
        <v>8.8619700336717427E-3</v>
      </c>
      <c r="S4" s="3">
        <f t="shared" si="7"/>
        <v>2.8081888463228329E-16</v>
      </c>
      <c r="T4" s="3"/>
      <c r="U4" s="9">
        <f t="shared" si="2"/>
        <v>5.1800533385664891E-4</v>
      </c>
      <c r="V4" s="3">
        <f t="shared" si="3"/>
        <v>1.6414598507384872E-17</v>
      </c>
      <c r="X4" s="3"/>
      <c r="Y4" s="3"/>
      <c r="Z4" s="4"/>
      <c r="AA4" s="4"/>
      <c r="AB4" s="4"/>
      <c r="AC4" s="4"/>
      <c r="AE4" s="3"/>
      <c r="AF4" s="3"/>
      <c r="AG4" s="4"/>
      <c r="AH4" s="4"/>
      <c r="AI4" s="4"/>
      <c r="AJ4" s="4"/>
      <c r="AK4"/>
    </row>
    <row r="5" spans="1:37" x14ac:dyDescent="0.2">
      <c r="A5" t="s">
        <v>454</v>
      </c>
      <c r="B5" s="1" t="str">
        <f>VLOOKUP(REPLACE(A5,FIND("dist",A5),4,"fit")&amp;"*",'[413]t (Cherniak)'!$A:$A,1,0)</f>
        <v>CGI001-qtz01-CL-fit-4</v>
      </c>
      <c r="C5">
        <v>2100</v>
      </c>
      <c r="D5" s="4">
        <v>1024</v>
      </c>
      <c r="E5" s="1">
        <f t="shared" si="0"/>
        <v>2.05078125</v>
      </c>
      <c r="F5" s="1">
        <f>'[417]CGI001-qtz01-CL-dist-4'!$B$4</f>
        <v>110.16800000000001</v>
      </c>
      <c r="G5" s="1">
        <f t="shared" si="4"/>
        <v>225.93046875000002</v>
      </c>
      <c r="H5" s="1"/>
      <c r="I5" s="1" t="str">
        <f>VLOOKUP($B5, '[413]t (Cherniak) Category'!$1:$1048576, MATCH(I$1, '[413]t (Cherniak) Category'!$1:$1, 0), 0)</f>
        <v>Rim</v>
      </c>
      <c r="J5" s="1"/>
      <c r="K5" s="4">
        <f>VLOOKUP($B5, '[413]t (Cherniak)'!$1:$1048576, MATCH(LEFT(K$1,FIND(" (",K$1)-1), '[413]t (Cherniak)'!$1:$1, 0), 0)</f>
        <v>316.12319347664436</v>
      </c>
      <c r="L5" s="4">
        <f>'D(Ti_Audétat23) Times'!Z5</f>
        <v>22223.408661560017</v>
      </c>
      <c r="M5" s="4">
        <f>VLOOKUP($B5, '[413]t (J)'!$1:$1048576, MATCH(LEFT(M$1,FIND(" (",M$1)-1),'[413]t (J)'!$1:$1, 0), 0)</f>
        <v>380195.27740864392</v>
      </c>
      <c r="O5" s="1">
        <f t="shared" si="5"/>
        <v>0.71469121346419684</v>
      </c>
      <c r="P5" s="3">
        <f t="shared" si="1"/>
        <v>2.2647197932168378E-14</v>
      </c>
      <c r="Q5" s="3"/>
      <c r="R5" s="11">
        <f t="shared" si="6"/>
        <v>1.0166328315817433E-2</v>
      </c>
      <c r="S5" s="3">
        <f t="shared" si="7"/>
        <v>3.2215150441787182E-16</v>
      </c>
      <c r="T5" s="3"/>
      <c r="U5" s="9">
        <f t="shared" si="2"/>
        <v>5.9424848801360567E-4</v>
      </c>
      <c r="V5" s="3">
        <f t="shared" si="3"/>
        <v>1.8830598271529067E-17</v>
      </c>
      <c r="X5" s="3"/>
      <c r="Y5" s="3"/>
      <c r="Z5" s="4"/>
      <c r="AA5" s="4"/>
      <c r="AB5" s="4"/>
      <c r="AC5" s="4"/>
      <c r="AE5" s="3"/>
      <c r="AF5" s="3"/>
      <c r="AG5" s="4"/>
      <c r="AH5" s="4"/>
      <c r="AI5" s="4"/>
      <c r="AJ5" s="4"/>
      <c r="AK5"/>
    </row>
    <row r="6" spans="1:37" x14ac:dyDescent="0.2">
      <c r="A6" t="s">
        <v>455</v>
      </c>
      <c r="B6" s="1" t="str">
        <f>VLOOKUP(REPLACE(A6,FIND("dist",A6),4,"fit")&amp;"*",'[413]t (Cherniak)'!$A:$A,1,0)</f>
        <v>CGI001-qtz02-CL-fit-1-offset</v>
      </c>
      <c r="C6">
        <v>1700</v>
      </c>
      <c r="D6" s="4">
        <v>1024</v>
      </c>
      <c r="E6" s="1">
        <f t="shared" si="0"/>
        <v>1.66015625</v>
      </c>
      <c r="F6">
        <f>'[418]CGI001-qtz02-CL-dist-1'!$B$4</f>
        <v>544.61500000000001</v>
      </c>
      <c r="G6" s="1">
        <f t="shared" si="4"/>
        <v>904.14599609375</v>
      </c>
      <c r="H6" s="1"/>
      <c r="I6" s="1" t="str">
        <f>VLOOKUP($B6, '[413]t (Cherniak) Category'!$1:$1048576, MATCH(I$1, '[413]t (Cherniak) Category'!$1:$1, 0), 0)</f>
        <v>Core</v>
      </c>
      <c r="J6" s="1"/>
      <c r="K6" s="4">
        <f>VLOOKUP($B6, '[413]t (Cherniak)'!$1:$1048576, MATCH(LEFT(K$1,FIND(" (",K$1)-1), '[413]t (Cherniak)'!$1:$1, 0), 0)</f>
        <v>402.86326478621976</v>
      </c>
      <c r="L6" s="4">
        <f>'D(Ti_Audétat23) Times'!Z6</f>
        <v>28321.221450446603</v>
      </c>
      <c r="M6" s="4">
        <f>VLOOKUP($B6, '[413]t (J)'!$1:$1048576, MATCH(LEFT(M$1,FIND(" (",M$1)-1),'[413]t (J)'!$1:$1, 0), 0)</f>
        <v>484515.89087361598</v>
      </c>
      <c r="O6" s="1">
        <f t="shared" si="5"/>
        <v>2.244299927851543</v>
      </c>
      <c r="P6" s="3">
        <f t="shared" si="1"/>
        <v>7.1117573194778535E-14</v>
      </c>
      <c r="Q6" s="3"/>
      <c r="R6" s="11">
        <f t="shared" si="6"/>
        <v>3.1924682262582722E-2</v>
      </c>
      <c r="S6" s="3">
        <f t="shared" si="7"/>
        <v>1.0116321349716937E-15</v>
      </c>
      <c r="T6" s="3"/>
      <c r="U6" s="9">
        <f t="shared" si="2"/>
        <v>1.8660812021325278E-3</v>
      </c>
      <c r="V6" s="3">
        <f t="shared" si="3"/>
        <v>5.9132545001284238E-17</v>
      </c>
      <c r="X6" s="3"/>
      <c r="Y6" s="3"/>
      <c r="Z6" s="4"/>
      <c r="AA6" s="4"/>
      <c r="AB6" s="4"/>
      <c r="AC6" s="4"/>
      <c r="AE6" s="3"/>
      <c r="AF6" s="3"/>
      <c r="AG6" s="4"/>
      <c r="AH6" s="4"/>
      <c r="AI6" s="4"/>
      <c r="AJ6" s="4"/>
    </row>
    <row r="7" spans="1:37" x14ac:dyDescent="0.2">
      <c r="A7" t="s">
        <v>456</v>
      </c>
      <c r="B7" s="1" t="str">
        <f>VLOOKUP(REPLACE(A7,FIND("dist",A7),4,"fit")&amp;"*",'[413]t (Cherniak)'!$A:$A,1,0)</f>
        <v>CGI001-qtz02-CL-fit-2</v>
      </c>
      <c r="C7">
        <v>1700</v>
      </c>
      <c r="D7">
        <v>1024</v>
      </c>
      <c r="E7" s="1">
        <f t="shared" si="0"/>
        <v>1.66015625</v>
      </c>
      <c r="F7">
        <f>'[419]CGI001-qtz02-CL-dist-2'!$B$4</f>
        <v>522.28800000000001</v>
      </c>
      <c r="G7" s="1">
        <f t="shared" si="4"/>
        <v>867.07968749999998</v>
      </c>
      <c r="H7" s="1"/>
      <c r="I7" s="1" t="str">
        <f>VLOOKUP($B7, '[413]t (Cherniak) Category'!$1:$1048576, MATCH(I$1, '[413]t (Cherniak) Category'!$1:$1, 0), 0)</f>
        <v>Core</v>
      </c>
      <c r="J7" s="1"/>
      <c r="K7" s="4">
        <f>VLOOKUP($B7, '[413]t (Cherniak)'!$1:$1048576, MATCH(LEFT(K$1,FIND(" (",K$1)-1), '[413]t (Cherniak)'!$1:$1, 0), 0)</f>
        <v>897.20546008657686</v>
      </c>
      <c r="L7" s="4">
        <f>'D(Ti_Audétat23) Times'!Z7</f>
        <v>63073.396714752875</v>
      </c>
      <c r="M7" s="4">
        <f>VLOOKUP($B7, '[413]t (J)'!$1:$1048576, MATCH(LEFT(M$1,FIND(" (",M$1)-1),'[413]t (J)'!$1:$1, 0), 0)</f>
        <v>1079051.7299242963</v>
      </c>
      <c r="O7" s="1">
        <f t="shared" si="5"/>
        <v>0.96642266021913215</v>
      </c>
      <c r="P7" s="3">
        <f t="shared" si="1"/>
        <v>3.0624086122491326E-14</v>
      </c>
      <c r="Q7" s="3"/>
      <c r="R7" s="11">
        <f t="shared" si="6"/>
        <v>1.3747153834465838E-2</v>
      </c>
      <c r="S7" s="3">
        <f t="shared" si="7"/>
        <v>4.3562101789951824E-16</v>
      </c>
      <c r="T7" s="3"/>
      <c r="U7" s="9">
        <f t="shared" si="2"/>
        <v>8.0355710801819692E-4</v>
      </c>
      <c r="V7" s="3">
        <f t="shared" si="3"/>
        <v>2.5463188202467769E-17</v>
      </c>
      <c r="X7" s="3"/>
      <c r="Y7" s="3"/>
      <c r="Z7" s="4"/>
      <c r="AA7" s="4"/>
      <c r="AB7" s="4"/>
      <c r="AC7" s="4"/>
      <c r="AE7" s="3"/>
      <c r="AF7" s="3"/>
      <c r="AG7" s="4"/>
      <c r="AH7" s="4"/>
      <c r="AI7" s="4"/>
      <c r="AJ7" s="4"/>
    </row>
    <row r="8" spans="1:37" x14ac:dyDescent="0.2">
      <c r="A8" t="s">
        <v>457</v>
      </c>
      <c r="B8" s="1" t="str">
        <f>VLOOKUP(REPLACE(A8,FIND("dist",A8),4,"fit")&amp;"*",'[413]t (Cherniak)'!$A:$A,1,0)</f>
        <v>CGI001-qtz02-CL-fit-3-offset</v>
      </c>
      <c r="C8">
        <v>1700</v>
      </c>
      <c r="D8">
        <v>1024</v>
      </c>
      <c r="E8" s="1">
        <f t="shared" si="0"/>
        <v>1.66015625</v>
      </c>
      <c r="F8">
        <f>'[420]CGI001-qtz02-CL-dist-3'!$B$4</f>
        <v>190.83</v>
      </c>
      <c r="G8" s="1">
        <f t="shared" si="4"/>
        <v>316.8076171875</v>
      </c>
      <c r="H8" s="1"/>
      <c r="I8" s="1" t="str">
        <f>VLOOKUP($B8, '[413]t (Cherniak) Category'!$1:$1048576, MATCH(I$1, '[413]t (Cherniak) Category'!$1:$1, 0), 0)</f>
        <v>Interior</v>
      </c>
      <c r="J8" s="1"/>
      <c r="K8" s="4">
        <f>VLOOKUP($B8, '[413]t (Cherniak)'!$1:$1048576, MATCH(LEFT(K$1,FIND(" (",K$1)-1), '[413]t (Cherniak)'!$1:$1, 0), 0)</f>
        <v>288.12926427366733</v>
      </c>
      <c r="L8" s="4">
        <f>'D(Ti_Audétat23) Times'!Z8</f>
        <v>20255.440029209411</v>
      </c>
      <c r="M8" s="4">
        <f>VLOOKUP($B8, '[413]t (J)'!$1:$1048576, MATCH(LEFT(M$1,FIND(" (",M$1)-1),'[413]t (J)'!$1:$1, 0), 0)</f>
        <v>346527.51781772956</v>
      </c>
      <c r="O8" s="1">
        <f t="shared" si="5"/>
        <v>1.0995329404881058</v>
      </c>
      <c r="P8" s="3">
        <f t="shared" si="1"/>
        <v>3.4842096372604566E-14</v>
      </c>
      <c r="Q8" s="3"/>
      <c r="R8" s="11">
        <f t="shared" si="6"/>
        <v>1.56406188525476E-2</v>
      </c>
      <c r="S8" s="3">
        <f t="shared" si="7"/>
        <v>4.9562130366528503E-16</v>
      </c>
      <c r="T8" s="3"/>
      <c r="U8" s="9">
        <f t="shared" si="2"/>
        <v>9.1423509215836081E-4</v>
      </c>
      <c r="V8" s="3">
        <f t="shared" si="3"/>
        <v>2.8970361882980988E-17</v>
      </c>
      <c r="X8" s="3"/>
      <c r="Y8" s="3"/>
      <c r="Z8" s="4"/>
      <c r="AA8" s="4"/>
      <c r="AB8" s="4"/>
      <c r="AC8" s="4"/>
      <c r="AE8" s="3"/>
      <c r="AF8" s="3"/>
      <c r="AG8" s="4"/>
      <c r="AH8" s="4"/>
      <c r="AI8" s="4"/>
      <c r="AJ8" s="4"/>
    </row>
    <row r="9" spans="1:37" x14ac:dyDescent="0.2">
      <c r="A9" t="s">
        <v>458</v>
      </c>
      <c r="B9" s="1" t="str">
        <f>VLOOKUP(REPLACE(A9,FIND("dist",A9),4,"fit")&amp;"*",'[413]t (Cherniak)'!$A:$A,1,0)</f>
        <v>CGI001-qtz02-CL-fit-4-offset</v>
      </c>
      <c r="C9">
        <v>1700</v>
      </c>
      <c r="D9">
        <v>1024</v>
      </c>
      <c r="E9" s="1">
        <f t="shared" si="0"/>
        <v>1.66015625</v>
      </c>
      <c r="F9">
        <f>'[421]CGI001-qtz02-CL-dist-4'!$B$4</f>
        <v>39.962499999999999</v>
      </c>
      <c r="G9" s="1">
        <f t="shared" si="4"/>
        <v>66.343994140625</v>
      </c>
      <c r="H9" s="1"/>
      <c r="I9" s="1" t="str">
        <f>VLOOKUP($B9, '[413]t (Cherniak) Category'!$1:$1048576, MATCH(I$1, '[413]t (Cherniak) Category'!$1:$1, 0), 0)</f>
        <v>Rim</v>
      </c>
      <c r="J9" s="1"/>
      <c r="K9" s="4">
        <f>VLOOKUP($B9, '[413]t (Cherniak)'!$1:$1048576, MATCH(LEFT(K$1,FIND(" (",K$1)-1), '[413]t (Cherniak)'!$1:$1, 0), 0)</f>
        <v>2.1032350063238625</v>
      </c>
      <c r="L9" s="4">
        <f>'D(Ti_Audétat23) Times'!Z9</f>
        <v>147.85707604300555</v>
      </c>
      <c r="M9" s="4">
        <f>VLOOKUP($B9, '[413]t (J)'!$1:$1048576, MATCH(LEFT(M$1,FIND(" (",M$1)-1),'[413]t (J)'!$1:$1, 0), 0)</f>
        <v>2529.5202414306577</v>
      </c>
      <c r="O9" s="1">
        <f t="shared" si="5"/>
        <v>31.543785616512867</v>
      </c>
      <c r="P9" s="3">
        <f t="shared" si="1"/>
        <v>9.9956224860296315E-13</v>
      </c>
      <c r="Q9" s="3"/>
      <c r="R9" s="11">
        <f t="shared" si="6"/>
        <v>0.44870354477541718</v>
      </c>
      <c r="S9" s="3">
        <f t="shared" si="7"/>
        <v>1.4218557329309489E-14</v>
      </c>
      <c r="T9" s="3"/>
      <c r="U9" s="9">
        <f t="shared" si="2"/>
        <v>2.6227896125907993E-2</v>
      </c>
      <c r="V9" s="3">
        <f t="shared" si="3"/>
        <v>8.3111187561500214E-16</v>
      </c>
      <c r="X9" s="3"/>
      <c r="Y9" s="3"/>
      <c r="Z9" s="4"/>
      <c r="AA9" s="4"/>
      <c r="AB9" s="4"/>
      <c r="AC9" s="4"/>
      <c r="AE9" s="3"/>
      <c r="AF9" s="3"/>
      <c r="AG9" s="4"/>
      <c r="AH9" s="4"/>
      <c r="AI9" s="4"/>
      <c r="AJ9" s="4"/>
    </row>
    <row r="10" spans="1:37" x14ac:dyDescent="0.2">
      <c r="A10" t="s">
        <v>459</v>
      </c>
      <c r="B10" s="1" t="str">
        <f>VLOOKUP(REPLACE(A10,FIND("dist",A10),4,"fit")&amp;"*",'[413]t (Cherniak)'!$A:$A,1,0)</f>
        <v>CGI001-qtz03-CL-fit-1</v>
      </c>
      <c r="C10">
        <v>1900</v>
      </c>
      <c r="D10">
        <v>1024</v>
      </c>
      <c r="E10" s="1">
        <f t="shared" si="0"/>
        <v>1.85546875</v>
      </c>
      <c r="F10">
        <f>'[422]CGI001-qtz03-CL-dist-1'!$B$4</f>
        <v>725.1</v>
      </c>
      <c r="G10" s="1">
        <f t="shared" si="4"/>
        <v>1345.400390625</v>
      </c>
      <c r="H10" s="1"/>
      <c r="I10" s="1" t="str">
        <f>VLOOKUP($B10, '[413]t (Cherniak) Category'!$1:$1048576, MATCH(I$1, '[413]t (Cherniak) Category'!$1:$1, 0), 0)</f>
        <v>Core</v>
      </c>
      <c r="J10" s="1"/>
      <c r="K10" s="4">
        <f>VLOOKUP($B10, '[413]t (Cherniak)'!$1:$1048576, MATCH(LEFT(K$1,FIND(" (",K$1)-1), '[413]t (Cherniak)'!$1:$1, 0), 0)</f>
        <v>2357.4076174031529</v>
      </c>
      <c r="L10" s="4">
        <f>'D(Ti_Audétat23) Times'!Z10</f>
        <v>165725.3689210735</v>
      </c>
      <c r="M10" s="4">
        <f>VLOOKUP($B10, '[413]t (J)'!$1:$1048576, MATCH(LEFT(M$1,FIND(" (",M$1)-1),'[413]t (J)'!$1:$1, 0), 0)</f>
        <v>2835208.746333445</v>
      </c>
      <c r="O10" s="1">
        <f t="shared" si="5"/>
        <v>0.57071181949732197</v>
      </c>
      <c r="P10" s="3">
        <f t="shared" si="1"/>
        <v>1.8084766252735377E-14</v>
      </c>
      <c r="Q10" s="3"/>
      <c r="R10" s="11">
        <f t="shared" si="6"/>
        <v>8.1182525004107556E-3</v>
      </c>
      <c r="S10" s="3">
        <f t="shared" si="7"/>
        <v>2.5725189812947609E-16</v>
      </c>
      <c r="T10" s="3"/>
      <c r="U10" s="9">
        <f t="shared" si="2"/>
        <v>4.7453309826477562E-4</v>
      </c>
      <c r="V10" s="3">
        <f t="shared" si="3"/>
        <v>1.5037046488477439E-17</v>
      </c>
      <c r="X10" s="3"/>
      <c r="Y10" s="3"/>
      <c r="Z10" s="4"/>
      <c r="AA10" s="4"/>
      <c r="AB10" s="4"/>
      <c r="AC10" s="4"/>
      <c r="AE10" s="3"/>
      <c r="AF10" s="3"/>
      <c r="AG10" s="4"/>
      <c r="AH10" s="4"/>
      <c r="AI10" s="4"/>
      <c r="AJ10" s="4"/>
    </row>
    <row r="11" spans="1:37" x14ac:dyDescent="0.2">
      <c r="A11" t="s">
        <v>460</v>
      </c>
      <c r="B11" s="1" t="str">
        <f>VLOOKUP(REPLACE(A11,FIND("dist",A11),4,"fit")&amp;"*",'[413]t (Cherniak)'!$A:$A,1,0)</f>
        <v>CGI001-qtz03-CL-fit-2</v>
      </c>
      <c r="C11">
        <v>1900</v>
      </c>
      <c r="D11">
        <v>1024</v>
      </c>
      <c r="E11" s="1">
        <f t="shared" si="0"/>
        <v>1.85546875</v>
      </c>
      <c r="F11">
        <f>'[423]CGI001-qtz03-CL-dist-2'!$B$4</f>
        <v>357.01299999999998</v>
      </c>
      <c r="G11" s="1">
        <f t="shared" si="4"/>
        <v>662.42646484374995</v>
      </c>
      <c r="H11" s="1"/>
      <c r="I11" s="1" t="str">
        <f>VLOOKUP($B11, '[413]t (Cherniak) Category'!$1:$1048576, MATCH(I$1, '[413]t (Cherniak) Category'!$1:$1, 0), 0)</f>
        <v>Interior</v>
      </c>
      <c r="J11" s="1"/>
      <c r="K11" s="4">
        <f>VLOOKUP($B11, '[413]t (Cherniak)'!$1:$1048576, MATCH(LEFT(K$1,FIND(" (",K$1)-1), '[413]t (Cherniak)'!$1:$1, 0), 0)</f>
        <v>303.53769558649623</v>
      </c>
      <c r="L11" s="4">
        <f>'D(Ti_Audétat23) Times'!Z11</f>
        <v>21338.650223730849</v>
      </c>
      <c r="M11" s="4">
        <f>VLOOKUP($B11, '[413]t (J)'!$1:$1048576, MATCH(LEFT(M$1,FIND(" (",M$1)-1),'[413]t (J)'!$1:$1, 0), 0)</f>
        <v>365058.94144718826</v>
      </c>
      <c r="O11" s="1">
        <f t="shared" si="5"/>
        <v>2.1823532117281448</v>
      </c>
      <c r="P11" s="3">
        <f t="shared" si="1"/>
        <v>6.9154600214469564E-14</v>
      </c>
      <c r="Q11" s="3"/>
      <c r="R11" s="11">
        <f t="shared" si="6"/>
        <v>3.1043503590825125E-2</v>
      </c>
      <c r="S11" s="3">
        <f t="shared" si="7"/>
        <v>9.8370926784118954E-16</v>
      </c>
      <c r="T11" s="3"/>
      <c r="U11" s="9">
        <f t="shared" si="2"/>
        <v>1.8145740033587994E-3</v>
      </c>
      <c r="V11" s="3">
        <f t="shared" si="3"/>
        <v>5.7500380363487695E-17</v>
      </c>
      <c r="X11" s="3"/>
      <c r="Y11" s="3"/>
      <c r="Z11" s="4"/>
      <c r="AA11" s="4"/>
      <c r="AB11" s="4"/>
      <c r="AC11" s="4"/>
      <c r="AE11" s="3"/>
      <c r="AF11" s="3"/>
      <c r="AG11" s="4"/>
      <c r="AH11" s="4"/>
      <c r="AI11" s="4"/>
      <c r="AJ11" s="4"/>
    </row>
    <row r="12" spans="1:37" x14ac:dyDescent="0.2">
      <c r="A12" t="s">
        <v>461</v>
      </c>
      <c r="B12" s="1" t="str">
        <f>VLOOKUP(REPLACE(A12,FIND("dist",A12),4,"fit")&amp;"*",'[413]t (Cherniak)'!$A:$A,1,0)</f>
        <v>CGI001-qtz03-CL-fit-3</v>
      </c>
      <c r="C12">
        <v>1900</v>
      </c>
      <c r="D12">
        <v>1024</v>
      </c>
      <c r="E12" s="1">
        <f t="shared" si="0"/>
        <v>1.85546875</v>
      </c>
      <c r="F12">
        <f>'[424]CGI001-qtz03-CL-dist-3'!$B$4</f>
        <v>157.029</v>
      </c>
      <c r="G12" s="1">
        <f t="shared" si="4"/>
        <v>291.36240234374998</v>
      </c>
      <c r="H12" s="1"/>
      <c r="I12" s="1" t="str">
        <f>VLOOKUP($B12, '[413]t (Cherniak) Category'!$1:$1048576, MATCH(I$1, '[413]t (Cherniak) Category'!$1:$1, 0), 0)</f>
        <v>Interior</v>
      </c>
      <c r="J12" s="1"/>
      <c r="K12" s="4">
        <f>VLOOKUP($B12, '[413]t (Cherniak)'!$1:$1048576, MATCH(LEFT(K$1,FIND(" (",K$1)-1), '[413]t (Cherniak)'!$1:$1, 0), 0)</f>
        <v>198.74684585611618</v>
      </c>
      <c r="L12" s="4">
        <f>'D(Ti_Audétat23) Times'!Z12</f>
        <v>13971.870671940644</v>
      </c>
      <c r="M12" s="4">
        <f>VLOOKUP($B12, '[413]t (J)'!$1:$1048576, MATCH(LEFT(M$1,FIND(" (",M$1)-1),'[413]t (J)'!$1:$1, 0), 0)</f>
        <v>239029.00436801315</v>
      </c>
      <c r="O12" s="1">
        <f t="shared" si="5"/>
        <v>1.465997616659956</v>
      </c>
      <c r="P12" s="3">
        <f t="shared" si="1"/>
        <v>4.6454661211877835E-14</v>
      </c>
      <c r="Q12" s="3"/>
      <c r="R12" s="11">
        <f t="shared" si="6"/>
        <v>2.0853499805783757E-2</v>
      </c>
      <c r="S12" s="3">
        <f t="shared" si="7"/>
        <v>6.6080753307551134E-16</v>
      </c>
      <c r="T12" s="3"/>
      <c r="U12" s="9">
        <f t="shared" si="2"/>
        <v>1.2189416222274157E-3</v>
      </c>
      <c r="V12" s="3">
        <f t="shared" si="3"/>
        <v>3.862592916531725E-17</v>
      </c>
      <c r="X12" s="3"/>
      <c r="Y12" s="3"/>
      <c r="Z12" s="4"/>
      <c r="AA12" s="4"/>
      <c r="AB12" s="4"/>
      <c r="AC12" s="4"/>
      <c r="AE12" s="3"/>
      <c r="AF12" s="3"/>
      <c r="AG12" s="4"/>
      <c r="AH12" s="4"/>
      <c r="AI12" s="4"/>
      <c r="AJ12" s="4"/>
    </row>
    <row r="13" spans="1:37" x14ac:dyDescent="0.2">
      <c r="A13" t="s">
        <v>462</v>
      </c>
      <c r="B13" s="1" t="str">
        <f>VLOOKUP(REPLACE(A13,FIND("dist",A13),4,"fit")&amp;"*",'[413]t (Cherniak)'!$A:$A,1,0)</f>
        <v>CGI001-qtz03-CL-fit-4-offset</v>
      </c>
      <c r="C13">
        <v>1900</v>
      </c>
      <c r="D13">
        <v>1024</v>
      </c>
      <c r="E13" s="1">
        <f t="shared" si="0"/>
        <v>1.85546875</v>
      </c>
      <c r="F13">
        <f>'[425]CGI001-qtz03-CL-dist-4'!$B$4</f>
        <v>58.249499999999998</v>
      </c>
      <c r="G13" s="1">
        <f t="shared" si="4"/>
        <v>108.08012695312499</v>
      </c>
      <c r="H13" s="1"/>
      <c r="I13" s="1" t="str">
        <f>VLOOKUP($B13, '[413]t (Cherniak) Category'!$1:$1048576, MATCH(I$1, '[413]t (Cherniak) Category'!$1:$1, 0), 0)</f>
        <v>Rim</v>
      </c>
      <c r="J13" s="1"/>
      <c r="K13" s="4">
        <f>VLOOKUP($B13, '[413]t (Cherniak)'!$1:$1048576, MATCH(LEFT(K$1,FIND(" (",K$1)-1), '[413]t (Cherniak)'!$1:$1, 0), 0)</f>
        <v>3.5809042014511565</v>
      </c>
      <c r="L13" s="4">
        <f>'D(Ti_Audétat23) Times'!Z13</f>
        <v>251.7369781430661</v>
      </c>
      <c r="M13" s="4">
        <f>VLOOKUP($B13, '[413]t (J)'!$1:$1048576, MATCH(LEFT(M$1,FIND(" (",M$1)-1),'[413]t (J)'!$1:$1, 0), 0)</f>
        <v>4306.6845278629844</v>
      </c>
      <c r="O13" s="1">
        <f t="shared" si="5"/>
        <v>30.182356430905262</v>
      </c>
      <c r="P13" s="3">
        <f t="shared" si="1"/>
        <v>9.5642116101684733E-13</v>
      </c>
      <c r="Q13" s="3"/>
      <c r="R13" s="11">
        <f t="shared" si="6"/>
        <v>0.42933750834055595</v>
      </c>
      <c r="S13" s="3">
        <f t="shared" si="7"/>
        <v>1.3604884666151923E-14</v>
      </c>
      <c r="T13" s="3"/>
      <c r="U13" s="9">
        <f t="shared" si="2"/>
        <v>2.5095900629330592E-2</v>
      </c>
      <c r="V13" s="3">
        <f t="shared" si="3"/>
        <v>7.9524110291437224E-16</v>
      </c>
      <c r="X13" s="3"/>
      <c r="Y13" s="3"/>
      <c r="Z13" s="4"/>
      <c r="AA13" s="4"/>
      <c r="AB13" s="4"/>
      <c r="AC13" s="4"/>
      <c r="AE13" s="3"/>
      <c r="AF13" s="3"/>
      <c r="AG13" s="4"/>
      <c r="AH13" s="4"/>
      <c r="AI13" s="4"/>
      <c r="AJ13" s="4"/>
    </row>
    <row r="14" spans="1:37" x14ac:dyDescent="0.2">
      <c r="A14" t="s">
        <v>463</v>
      </c>
      <c r="B14" s="1" t="str">
        <f>VLOOKUP(REPLACE(A14,FIND("dist",A14),4,"fit")&amp;"*",'[413]t (Cherniak)'!$A:$A,1,0)</f>
        <v>CGI001-qtz04-CL-fit-1-offset</v>
      </c>
      <c r="C14">
        <v>2050</v>
      </c>
      <c r="D14">
        <v>1024</v>
      </c>
      <c r="E14" s="1">
        <f t="shared" si="0"/>
        <v>2.001953125</v>
      </c>
      <c r="F14">
        <f>'[426]CGI001-qtz04-CL-dist-1'!$B$4</f>
        <v>850.76700000000005</v>
      </c>
      <c r="G14" s="1">
        <f t="shared" si="4"/>
        <v>1703.1956542968751</v>
      </c>
      <c r="H14" s="1"/>
      <c r="I14" s="1" t="str">
        <f>VLOOKUP($B14, '[413]t (Cherniak) Category'!$1:$1048576, MATCH(I$1, '[413]t (Cherniak) Category'!$1:$1, 0), 0)</f>
        <v>Core</v>
      </c>
      <c r="J14" s="1"/>
      <c r="K14" s="4">
        <f>VLOOKUP($B14, '[413]t (Cherniak)'!$1:$1048576, MATCH(LEFT(K$1,FIND(" (",K$1)-1), '[413]t (Cherniak)'!$1:$1, 0), 0)</f>
        <v>657.20519925452197</v>
      </c>
      <c r="L14" s="4">
        <f>'D(Ti_Audétat23) Times'!Z14</f>
        <v>46201.417734995397</v>
      </c>
      <c r="M14" s="4">
        <f>VLOOKUP($B14, '[413]t (J)'!$1:$1048576, MATCH(LEFT(M$1,FIND(" (",M$1)-1),'[413]t (J)'!$1:$1, 0), 0)</f>
        <v>790408.03775581426</v>
      </c>
      <c r="O14" s="1">
        <f t="shared" si="5"/>
        <v>2.5915736154078455</v>
      </c>
      <c r="P14" s="3">
        <f t="shared" si="1"/>
        <v>8.2122012301564294E-14</v>
      </c>
      <c r="Q14" s="3"/>
      <c r="R14" s="11">
        <f t="shared" si="6"/>
        <v>3.6864575543247555E-2</v>
      </c>
      <c r="S14" s="3">
        <f t="shared" si="7"/>
        <v>1.1681679070413324E-15</v>
      </c>
      <c r="T14" s="3"/>
      <c r="U14" s="9">
        <f t="shared" si="2"/>
        <v>2.1548308885277986E-3</v>
      </c>
      <c r="V14" s="3">
        <f t="shared" si="3"/>
        <v>6.8282470420050901E-17</v>
      </c>
      <c r="X14" s="3"/>
      <c r="Y14" s="3"/>
      <c r="Z14" s="4"/>
      <c r="AA14" s="4"/>
      <c r="AB14" s="4"/>
      <c r="AC14" s="4"/>
      <c r="AE14" s="3"/>
      <c r="AF14" s="3"/>
      <c r="AG14" s="4"/>
      <c r="AH14" s="4"/>
      <c r="AI14" s="4"/>
      <c r="AJ14" s="4"/>
    </row>
    <row r="15" spans="1:37" x14ac:dyDescent="0.2">
      <c r="A15" t="s">
        <v>464</v>
      </c>
      <c r="B15" s="1" t="str">
        <f>VLOOKUP(REPLACE(A15,FIND("dist",A15),4,"fit")&amp;"*",'[413]t (Cherniak)'!$A:$A,1,0)</f>
        <v>CGI001-qtz04-CL-fit-2-offset</v>
      </c>
      <c r="C15">
        <v>2050</v>
      </c>
      <c r="D15">
        <v>1024</v>
      </c>
      <c r="E15" s="1">
        <f t="shared" si="0"/>
        <v>2.001953125</v>
      </c>
      <c r="F15">
        <f>'[427]CGI001-qtz04-CL-dist-2'!$B$4</f>
        <v>613.96799999999996</v>
      </c>
      <c r="G15" s="1">
        <f t="shared" si="4"/>
        <v>1229.1351562499999</v>
      </c>
      <c r="H15" s="1"/>
      <c r="I15" s="1" t="str">
        <f>VLOOKUP($B15, '[413]t (Cherniak) Category'!$1:$1048576, MATCH(I$1, '[413]t (Cherniak) Category'!$1:$1, 0), 0)</f>
        <v>Interior</v>
      </c>
      <c r="J15" s="1"/>
      <c r="K15" s="4">
        <f>VLOOKUP($B15, '[413]t (Cherniak)'!$1:$1048576, MATCH(LEFT(K$1,FIND(" (",K$1)-1), '[413]t (Cherniak)'!$1:$1, 0), 0)</f>
        <v>623.68242198031044</v>
      </c>
      <c r="L15" s="4">
        <f>'D(Ti_Audétat23) Times'!Z15</f>
        <v>43844.771989891909</v>
      </c>
      <c r="M15" s="4">
        <f>VLOOKUP($B15, '[413]t (J)'!$1:$1048576, MATCH(LEFT(M$1,FIND(" (",M$1)-1),'[413]t (J)'!$1:$1, 0), 0)</f>
        <v>750090.83905517962</v>
      </c>
      <c r="O15" s="1">
        <f t="shared" si="5"/>
        <v>1.9707708810315061</v>
      </c>
      <c r="P15" s="3">
        <f t="shared" si="1"/>
        <v>6.2449960739457572E-14</v>
      </c>
      <c r="Q15" s="3"/>
      <c r="R15" s="11">
        <f t="shared" si="6"/>
        <v>2.8033790585873453E-2</v>
      </c>
      <c r="S15" s="3">
        <f t="shared" si="7"/>
        <v>8.8833721784525608E-16</v>
      </c>
      <c r="T15" s="3"/>
      <c r="U15" s="9">
        <f t="shared" si="2"/>
        <v>1.6386484039696157E-3</v>
      </c>
      <c r="V15" s="3">
        <f t="shared" si="3"/>
        <v>5.192563452130757E-17</v>
      </c>
      <c r="X15" s="3"/>
      <c r="Y15" s="3"/>
      <c r="Z15" s="4"/>
      <c r="AA15" s="4"/>
      <c r="AB15" s="4"/>
      <c r="AC15" s="4"/>
      <c r="AE15" s="3"/>
      <c r="AF15" s="3"/>
      <c r="AG15" s="4"/>
      <c r="AH15" s="4"/>
      <c r="AI15" s="4"/>
      <c r="AJ15" s="4"/>
    </row>
    <row r="16" spans="1:37" x14ac:dyDescent="0.2">
      <c r="A16" t="s">
        <v>465</v>
      </c>
      <c r="B16" s="1" t="str">
        <f>VLOOKUP(REPLACE(A16,FIND("dist",A16),4,"fit")&amp;"*",'[413]t (Cherniak)'!$A:$A,1,0)</f>
        <v>CGI001-qtz04-CL-fit-3-offset</v>
      </c>
      <c r="C16">
        <v>2050</v>
      </c>
      <c r="D16">
        <v>1024</v>
      </c>
      <c r="E16" s="1">
        <f t="shared" si="0"/>
        <v>2.001953125</v>
      </c>
      <c r="F16">
        <f>'[428]CGI001-qtz04-CL-dist-3'!$B$4</f>
        <v>327.81200000000001</v>
      </c>
      <c r="G16" s="1">
        <f t="shared" si="4"/>
        <v>656.26425781249998</v>
      </c>
      <c r="H16" s="1"/>
      <c r="I16" s="1" t="str">
        <f>VLOOKUP($B16, '[413]t (Cherniak) Category'!$1:$1048576, MATCH(I$1, '[413]t (Cherniak) Category'!$1:$1, 0), 0)</f>
        <v>Interior</v>
      </c>
      <c r="J16" s="1"/>
      <c r="K16" s="4">
        <f>VLOOKUP($B16, '[413]t (Cherniak)'!$1:$1048576, MATCH(LEFT(K$1,FIND(" (",K$1)-1), '[413]t (Cherniak)'!$1:$1, 0), 0)</f>
        <v>682.89925780004933</v>
      </c>
      <c r="L16" s="4">
        <f>'D(Ti_Audétat23) Times'!Z16</f>
        <v>48007.705837274392</v>
      </c>
      <c r="M16" s="4">
        <f>VLOOKUP($B16, '[413]t (J)'!$1:$1048576, MATCH(LEFT(M$1,FIND(" (",M$1)-1),'[413]t (J)'!$1:$1, 0), 0)</f>
        <v>821309.78719417821</v>
      </c>
      <c r="O16" s="1">
        <f t="shared" si="5"/>
        <v>0.96099717537641838</v>
      </c>
      <c r="P16" s="3">
        <f t="shared" si="1"/>
        <v>3.0452162882361724E-14</v>
      </c>
      <c r="Q16" s="3"/>
      <c r="R16" s="11">
        <f t="shared" si="6"/>
        <v>1.3669977483134799E-2</v>
      </c>
      <c r="S16" s="3">
        <f t="shared" si="7"/>
        <v>4.3317544690137394E-16</v>
      </c>
      <c r="T16" s="3"/>
      <c r="U16" s="9">
        <f t="shared" si="2"/>
        <v>7.990459483680092E-4</v>
      </c>
      <c r="V16" s="3">
        <f t="shared" si="3"/>
        <v>2.5320238179329517E-17</v>
      </c>
      <c r="X16" s="3"/>
      <c r="Y16" s="3"/>
      <c r="Z16" s="4"/>
      <c r="AA16" s="4"/>
      <c r="AB16" s="4"/>
      <c r="AC16" s="4"/>
      <c r="AE16" s="3"/>
      <c r="AF16" s="3"/>
      <c r="AG16" s="4"/>
      <c r="AH16" s="4"/>
      <c r="AI16" s="4"/>
      <c r="AJ16" s="4"/>
    </row>
    <row r="17" spans="1:36" x14ac:dyDescent="0.2">
      <c r="A17" t="s">
        <v>466</v>
      </c>
      <c r="B17" s="1" t="str">
        <f>VLOOKUP(REPLACE(A17,FIND("dist",A17),4,"fit")&amp;"*",'[413]t (Cherniak)'!$A:$A,1,0)</f>
        <v>CGI001-qtz04-CL-fit-4-offset</v>
      </c>
      <c r="C17">
        <v>2050</v>
      </c>
      <c r="D17">
        <v>1024</v>
      </c>
      <c r="E17" s="1">
        <f t="shared" si="0"/>
        <v>2.001953125</v>
      </c>
      <c r="F17">
        <f>'[429]CGI001-qtz04-CL-dist-4'!$B$4</f>
        <v>68.154200000000003</v>
      </c>
      <c r="G17" s="1">
        <f t="shared" si="4"/>
        <v>136.44151367187501</v>
      </c>
      <c r="H17" s="1"/>
      <c r="I17" s="1" t="str">
        <f>VLOOKUP($B17, '[413]t (Cherniak) Category'!$1:$1048576, MATCH(I$1, '[413]t (Cherniak) Category'!$1:$1, 0), 0)</f>
        <v>Rim</v>
      </c>
      <c r="J17" s="1"/>
      <c r="K17" s="4">
        <f>VLOOKUP($B17, '[413]t (Cherniak)'!$1:$1048576, MATCH(LEFT(K$1,FIND(" (",K$1)-1), '[413]t (Cherniak)'!$1:$1, 0), 0)</f>
        <v>3.4199699817336802</v>
      </c>
      <c r="L17" s="4">
        <f>'D(Ti_Audétat23) Times'!Z17</f>
        <v>240.42332888792211</v>
      </c>
      <c r="M17" s="4">
        <f>VLOOKUP($B17, '[413]t (J)'!$1:$1048576, MATCH(LEFT(M$1,FIND(" (",M$1)-1),'[413]t (J)'!$1:$1, 0), 0)</f>
        <v>4113.1320408179299</v>
      </c>
      <c r="O17" s="1">
        <f t="shared" si="5"/>
        <v>39.895529610090009</v>
      </c>
      <c r="P17" s="3">
        <f t="shared" si="1"/>
        <v>1.2642130456717242E-12</v>
      </c>
      <c r="Q17" s="3"/>
      <c r="R17" s="11">
        <f t="shared" si="6"/>
        <v>0.56750530118264775</v>
      </c>
      <c r="S17" s="3">
        <f t="shared" si="7"/>
        <v>1.7983157818802688E-14</v>
      </c>
      <c r="T17" s="3"/>
      <c r="U17" s="9">
        <f t="shared" si="2"/>
        <v>3.3172169606483753E-2</v>
      </c>
      <c r="V17" s="3">
        <f t="shared" si="3"/>
        <v>1.0511626234721192E-15</v>
      </c>
      <c r="X17" s="3"/>
      <c r="Y17" s="3"/>
      <c r="Z17" s="4"/>
      <c r="AA17" s="4"/>
      <c r="AB17" s="4"/>
      <c r="AC17" s="4"/>
      <c r="AE17" s="3"/>
      <c r="AF17" s="3"/>
      <c r="AG17" s="4"/>
      <c r="AH17" s="4"/>
      <c r="AI17" s="4"/>
      <c r="AJ17" s="4"/>
    </row>
    <row r="18" spans="1:36" x14ac:dyDescent="0.2">
      <c r="A18" t="s">
        <v>467</v>
      </c>
      <c r="B18" s="1" t="str">
        <f>VLOOKUP(REPLACE(A18,FIND("dist",A18),4,"fit")&amp;"*",'[413]t (Cherniak)'!$A:$A,1,0)</f>
        <v>CGI001-qtz05-CL-fit-1-offset</v>
      </c>
      <c r="C18">
        <v>1800</v>
      </c>
      <c r="D18">
        <v>1024</v>
      </c>
      <c r="E18" s="1">
        <f t="shared" si="0"/>
        <v>1.7578125</v>
      </c>
      <c r="F18">
        <f>'[430]CGI001-qtz05-CL-dist-1'!$B$4</f>
        <v>567.90599999999995</v>
      </c>
      <c r="G18" s="1">
        <f t="shared" si="4"/>
        <v>998.27226562499993</v>
      </c>
      <c r="H18" s="1"/>
      <c r="I18" s="1" t="str">
        <f>VLOOKUP($B18, '[413]t (Cherniak) Category'!$1:$1048576, MATCH(I$1, '[413]t (Cherniak) Category'!$1:$1, 0), 0)</f>
        <v>Core</v>
      </c>
      <c r="J18" s="1"/>
      <c r="K18" s="4">
        <f>VLOOKUP($B18, '[413]t (Cherniak)'!$1:$1048576, MATCH(LEFT(K$1,FIND(" (",K$1)-1), '[413]t (Cherniak)'!$1:$1, 0), 0)</f>
        <v>4781.156026998271</v>
      </c>
      <c r="L18" s="4">
        <f>'D(Ti_Audétat23) Times'!Z18</f>
        <v>336114.48465426633</v>
      </c>
      <c r="M18" s="4">
        <f>VLOOKUP($B18, '[413]t (J)'!$1:$1048576, MATCH(LEFT(M$1,FIND(" (",M$1)-1),'[413]t (J)'!$1:$1, 0), 0)</f>
        <v>5750204.2859532144</v>
      </c>
      <c r="O18" s="1">
        <f t="shared" si="5"/>
        <v>0.20879307430837812</v>
      </c>
      <c r="P18" s="3">
        <f t="shared" si="1"/>
        <v>6.6162532736449574E-15</v>
      </c>
      <c r="Q18" s="3"/>
      <c r="R18" s="11">
        <f t="shared" si="6"/>
        <v>2.9700364346149544E-3</v>
      </c>
      <c r="S18" s="3">
        <f t="shared" si="7"/>
        <v>9.4114775350944119E-17</v>
      </c>
      <c r="T18" s="3"/>
      <c r="U18" s="9">
        <f t="shared" si="2"/>
        <v>1.7360640004801425E-4</v>
      </c>
      <c r="V18" s="3">
        <f t="shared" si="3"/>
        <v>5.5012548497989151E-18</v>
      </c>
      <c r="X18" s="3"/>
      <c r="Y18" s="3"/>
      <c r="Z18" s="4"/>
      <c r="AA18" s="4"/>
      <c r="AB18" s="4"/>
      <c r="AC18" s="4"/>
      <c r="AE18" s="3"/>
      <c r="AF18" s="3"/>
      <c r="AG18" s="4"/>
      <c r="AH18" s="4"/>
      <c r="AI18" s="4"/>
      <c r="AJ18" s="4"/>
    </row>
    <row r="19" spans="1:36" x14ac:dyDescent="0.2">
      <c r="A19" t="s">
        <v>468</v>
      </c>
      <c r="B19" s="1" t="str">
        <f>VLOOKUP(REPLACE(A19,FIND("dist",A19),4,"fit")&amp;"*",'[413]t (Cherniak)'!$A:$A,1,0)</f>
        <v>CGI001-qtz05-CL-fit-2-offset</v>
      </c>
      <c r="C19">
        <v>1800</v>
      </c>
      <c r="D19">
        <v>1024</v>
      </c>
      <c r="E19" s="1">
        <f t="shared" si="0"/>
        <v>1.7578125</v>
      </c>
      <c r="F19">
        <f>'[431]CGI001-qtz05-CL-dist-2'!$B$4</f>
        <v>471.23899999999998</v>
      </c>
      <c r="G19" s="1">
        <f t="shared" si="4"/>
        <v>828.34980468749995</v>
      </c>
      <c r="I19" s="1" t="str">
        <f>VLOOKUP($B19, '[413]t (Cherniak) Category'!$1:$1048576, MATCH(I$1, '[413]t (Cherniak) Category'!$1:$1, 0), 0)</f>
        <v>Interior</v>
      </c>
      <c r="J19" s="1"/>
      <c r="K19" s="4">
        <f>VLOOKUP($B19, '[413]t (Cherniak)'!$1:$1048576, MATCH(LEFT(K$1,FIND(" (",K$1)-1), '[413]t (Cherniak)'!$1:$1, 0), 0)</f>
        <v>685.23504533202663</v>
      </c>
      <c r="L19" s="4">
        <f>'D(Ti_Audétat23) Times'!Z19</f>
        <v>48171.911317735423</v>
      </c>
      <c r="M19" s="4">
        <f>VLOOKUP($B19, '[413]t (J)'!$1:$1048576, MATCH(LEFT(M$1,FIND(" (",M$1)-1),'[413]t (J)'!$1:$1, 0), 0)</f>
        <v>824118.99388009438</v>
      </c>
      <c r="N19"/>
      <c r="O19" s="1">
        <f t="shared" si="5"/>
        <v>1.2088549911893778</v>
      </c>
      <c r="P19" s="3">
        <f t="shared" si="1"/>
        <v>3.8306303115236195E-14</v>
      </c>
      <c r="Q19" s="3"/>
      <c r="R19" s="11">
        <f t="shared" si="6"/>
        <v>1.7195701437375331E-2</v>
      </c>
      <c r="S19" s="3">
        <f t="shared" si="7"/>
        <v>5.4489889717137331E-16</v>
      </c>
      <c r="T19" s="3"/>
      <c r="U19" s="9">
        <f t="shared" si="2"/>
        <v>1.0051337377718795E-3</v>
      </c>
      <c r="V19" s="3">
        <f t="shared" si="3"/>
        <v>3.1850766147358466E-17</v>
      </c>
      <c r="X19" s="3"/>
      <c r="Y19" s="3"/>
      <c r="Z19" s="4"/>
      <c r="AA19" s="4"/>
      <c r="AB19" s="4"/>
      <c r="AC19" s="4"/>
      <c r="AE19" s="3"/>
      <c r="AF19" s="3"/>
      <c r="AG19" s="4"/>
      <c r="AH19" s="4"/>
      <c r="AI19" s="4"/>
      <c r="AJ19" s="4"/>
    </row>
    <row r="20" spans="1:36" x14ac:dyDescent="0.2">
      <c r="A20" t="s">
        <v>469</v>
      </c>
      <c r="B20" s="1" t="str">
        <f>VLOOKUP(REPLACE(A20,FIND("dist",A20),4,"fit")&amp;"*",'[413]t (Cherniak)'!$A:$A,1,0)</f>
        <v>CGI001-qtz05-CL-fit-3-offset</v>
      </c>
      <c r="C20">
        <v>1800</v>
      </c>
      <c r="D20">
        <v>1024</v>
      </c>
      <c r="E20" s="1">
        <f t="shared" si="0"/>
        <v>1.7578125</v>
      </c>
      <c r="F20">
        <f>'[432]CGI001-qtz05-CL-dist-3'!$B$4</f>
        <v>188.13800000000001</v>
      </c>
      <c r="G20" s="1">
        <f t="shared" si="4"/>
        <v>330.71132812500002</v>
      </c>
      <c r="H20" s="1"/>
      <c r="I20" s="1" t="str">
        <f>VLOOKUP($B20, '[413]t (Cherniak) Category'!$1:$1048576, MATCH(I$1, '[413]t (Cherniak) Category'!$1:$1, 0), 0)</f>
        <v>Interior</v>
      </c>
      <c r="J20" s="1"/>
      <c r="K20" s="4">
        <f>VLOOKUP($B20, '[413]t (Cherniak)'!$1:$1048576, MATCH(LEFT(K$1,FIND(" (",K$1)-1), '[413]t (Cherniak)'!$1:$1, 0), 0)</f>
        <v>277.43651249493928</v>
      </c>
      <c r="L20" s="4">
        <f>'D(Ti_Audétat23) Times'!Z20</f>
        <v>19503.74133262879</v>
      </c>
      <c r="M20" s="4">
        <f>VLOOKUP($B20, '[413]t (J)'!$1:$1048576, MATCH(LEFT(M$1,FIND(" (",M$1)-1),'[413]t (J)'!$1:$1, 0), 0)</f>
        <v>333667.55115705606</v>
      </c>
      <c r="O20" s="1">
        <f t="shared" si="5"/>
        <v>1.1920252498525497</v>
      </c>
      <c r="P20" s="3">
        <f t="shared" si="1"/>
        <v>3.7773000793867391E-14</v>
      </c>
      <c r="Q20" s="3"/>
      <c r="R20" s="11">
        <f t="shared" si="6"/>
        <v>1.6956301997901112E-2</v>
      </c>
      <c r="S20" s="3">
        <f t="shared" si="7"/>
        <v>5.3731278671068495E-16</v>
      </c>
      <c r="T20" s="3"/>
      <c r="U20" s="9">
        <f t="shared" si="2"/>
        <v>9.9114021419881922E-4</v>
      </c>
      <c r="V20" s="3">
        <f t="shared" si="3"/>
        <v>3.1407338143547648E-17</v>
      </c>
      <c r="X20" s="3"/>
      <c r="Y20" s="3"/>
      <c r="Z20" s="4"/>
      <c r="AA20" s="4"/>
      <c r="AB20" s="4"/>
      <c r="AC20" s="4"/>
      <c r="AE20" s="3"/>
      <c r="AF20" s="3"/>
      <c r="AG20" s="4"/>
      <c r="AH20" s="4"/>
      <c r="AI20" s="4"/>
      <c r="AJ20" s="4"/>
    </row>
    <row r="21" spans="1:36" x14ac:dyDescent="0.2">
      <c r="A21" t="s">
        <v>470</v>
      </c>
      <c r="B21" s="1" t="str">
        <f>VLOOKUP(REPLACE(A21,FIND("dist",A21),4,"fit")&amp;"*",'[413]t (Cherniak)'!$A:$A,1,0)</f>
        <v>CGI001-qtz05-CL-fit-4-offset</v>
      </c>
      <c r="C21">
        <v>1800</v>
      </c>
      <c r="D21">
        <v>1024</v>
      </c>
      <c r="E21" s="1">
        <f t="shared" si="0"/>
        <v>1.7578125</v>
      </c>
      <c r="F21">
        <f>'[433]CGI001-qtz05-CL-dist-4'!$B$4</f>
        <v>16.970600000000001</v>
      </c>
      <c r="G21" s="1">
        <f t="shared" si="4"/>
        <v>29.831132812500002</v>
      </c>
      <c r="H21" s="1"/>
      <c r="I21" s="1" t="str">
        <f>VLOOKUP($B21, '[413]t (Cherniak) Category'!$1:$1048576, MATCH(I$1, '[413]t (Cherniak) Category'!$1:$1, 0), 0)</f>
        <v>Rim</v>
      </c>
      <c r="J21" s="1"/>
      <c r="K21" s="4">
        <f>VLOOKUP($B21, '[413]t (Cherniak)'!$1:$1048576, MATCH(LEFT(K$1,FIND(" (",K$1)-1), '[413]t (Cherniak)'!$1:$1, 0), 0)</f>
        <v>2.1086827257956267</v>
      </c>
      <c r="L21" s="4">
        <f>'D(Ti_Audétat23) Times'!Z21</f>
        <v>148.24004982851966</v>
      </c>
      <c r="M21" s="4">
        <f>VLOOKUP($B21, '[413]t (J)'!$1:$1048576, MATCH(LEFT(M$1,FIND(" (",M$1)-1),'[413]t (J)'!$1:$1, 0), 0)</f>
        <v>2536.072108736038</v>
      </c>
      <c r="O21" s="1">
        <f t="shared" si="5"/>
        <v>14.146809497500115</v>
      </c>
      <c r="P21" s="3">
        <f t="shared" si="1"/>
        <v>4.482853416451224E-13</v>
      </c>
      <c r="Q21" s="3"/>
      <c r="R21" s="11">
        <f t="shared" si="6"/>
        <v>0.20123531290638327</v>
      </c>
      <c r="S21" s="3">
        <f t="shared" si="7"/>
        <v>6.376762266661066E-15</v>
      </c>
      <c r="T21" s="3"/>
      <c r="U21" s="9">
        <f t="shared" si="2"/>
        <v>1.1762730527156677E-2</v>
      </c>
      <c r="V21" s="3">
        <f t="shared" si="3"/>
        <v>3.7273843787729985E-16</v>
      </c>
      <c r="X21" s="3"/>
      <c r="Y21" s="3"/>
      <c r="Z21" s="4"/>
      <c r="AA21" s="4"/>
      <c r="AB21" s="4"/>
      <c r="AC21" s="4"/>
      <c r="AE21" s="3"/>
      <c r="AF21" s="3"/>
      <c r="AG21" s="4"/>
      <c r="AH21" s="4"/>
      <c r="AI21" s="4"/>
      <c r="AJ21" s="4"/>
    </row>
    <row r="22" spans="1:36" x14ac:dyDescent="0.2">
      <c r="A22" t="s">
        <v>471</v>
      </c>
      <c r="B22" s="1" t="str">
        <f>VLOOKUP(REPLACE(A22,FIND("dist",A22),4,"fit")&amp;"*",'[413]t (Cherniak)'!$A:$A,1,0)</f>
        <v>CGI001-qtz06-CL-fit-1-offset</v>
      </c>
      <c r="C22">
        <v>1500</v>
      </c>
      <c r="D22">
        <v>1024</v>
      </c>
      <c r="E22" s="1">
        <f t="shared" si="0"/>
        <v>1.46484375</v>
      </c>
      <c r="F22">
        <f>'[434]CGI001-qtz06-CL-dist-1'!$B$4</f>
        <v>652.44200000000001</v>
      </c>
      <c r="G22" s="1">
        <f t="shared" si="4"/>
        <v>955.7255859375</v>
      </c>
      <c r="H22" s="1"/>
      <c r="I22" s="1" t="str">
        <f>VLOOKUP($B22, '[413]t (Cherniak) Category'!$1:$1048576, MATCH(I$1, '[413]t (Cherniak) Category'!$1:$1, 0), 0)</f>
        <v>Core</v>
      </c>
      <c r="J22" s="1"/>
      <c r="K22" s="4">
        <f>VLOOKUP($B22, '[413]t (Cherniak)'!$1:$1048576, MATCH(LEFT(K$1,FIND(" (",K$1)-1), '[413]t (Cherniak)'!$1:$1, 0), 0)</f>
        <v>2997.796284812151</v>
      </c>
      <c r="L22" s="4">
        <f>'D(Ti_Audétat23) Times'!Z22</f>
        <v>210744.58722500809</v>
      </c>
      <c r="M22" s="4">
        <f>VLOOKUP($B22, '[413]t (J)'!$1:$1048576, MATCH(LEFT(M$1,FIND(" (",M$1)-1),'[413]t (J)'!$1:$1, 0), 0)</f>
        <v>3605391.8650640356</v>
      </c>
      <c r="O22" s="1">
        <f t="shared" si="5"/>
        <v>0.31880938367277617</v>
      </c>
      <c r="P22" s="3">
        <f t="shared" si="1"/>
        <v>1.0102459745759379E-14</v>
      </c>
      <c r="Q22" s="3"/>
      <c r="R22" s="11">
        <f t="shared" si="6"/>
        <v>4.5349946991382964E-3</v>
      </c>
      <c r="S22" s="3">
        <f t="shared" si="7"/>
        <v>1.4370531026245013E-16</v>
      </c>
      <c r="T22" s="3"/>
      <c r="U22" s="9">
        <f t="shared" si="2"/>
        <v>2.6508230497727752E-4</v>
      </c>
      <c r="V22" s="3">
        <f t="shared" si="3"/>
        <v>8.3999513580651736E-18</v>
      </c>
      <c r="X22" s="3"/>
      <c r="Y22" s="3"/>
      <c r="Z22" s="4"/>
      <c r="AA22" s="4"/>
      <c r="AB22" s="4"/>
      <c r="AC22" s="4"/>
      <c r="AE22" s="3"/>
      <c r="AF22" s="3"/>
      <c r="AG22" s="4"/>
      <c r="AH22" s="4"/>
      <c r="AI22" s="4"/>
      <c r="AJ22" s="4"/>
    </row>
    <row r="23" spans="1:36" x14ac:dyDescent="0.2">
      <c r="A23" t="s">
        <v>472</v>
      </c>
      <c r="B23" s="1" t="str">
        <f>VLOOKUP(REPLACE(A23,FIND("dist",A23),4,"fit")&amp;"*",'[413]t (Cherniak)'!$A:$A,1,0)</f>
        <v>CGI001-qtz06-CL-fit-2-offset</v>
      </c>
      <c r="C23">
        <v>1500</v>
      </c>
      <c r="D23">
        <v>1024</v>
      </c>
      <c r="E23" s="1">
        <f t="shared" si="0"/>
        <v>1.46484375</v>
      </c>
      <c r="F23">
        <f>'[435]CGI001-qtz06-CL-dist-2'!$B$4</f>
        <v>347.75400000000002</v>
      </c>
      <c r="G23" s="1">
        <f t="shared" si="4"/>
        <v>509.4052734375</v>
      </c>
      <c r="H23" s="1"/>
      <c r="I23" s="1" t="str">
        <f>VLOOKUP($B23, '[413]t (Cherniak) Category'!$1:$1048576, MATCH(I$1, '[413]t (Cherniak) Category'!$1:$1, 0), 0)</f>
        <v>Interior</v>
      </c>
      <c r="J23" s="1"/>
      <c r="K23" s="4">
        <f>VLOOKUP($B23, '[413]t (Cherniak)'!$1:$1048576, MATCH(LEFT(K$1,FIND(" (",K$1)-1), '[413]t (Cherniak)'!$1:$1, 0), 0)</f>
        <v>164.32076073439706</v>
      </c>
      <c r="L23" s="4">
        <f>'D(Ti_Audétat23) Times'!Z23</f>
        <v>11551.722533287417</v>
      </c>
      <c r="M23" s="4">
        <f>VLOOKUP($B23, '[413]t (J)'!$1:$1048576, MATCH(LEFT(M$1,FIND(" (",M$1)-1),'[413]t (J)'!$1:$1, 0), 0)</f>
        <v>197625.41471361279</v>
      </c>
      <c r="O23" s="1">
        <f t="shared" si="5"/>
        <v>3.1000664259392443</v>
      </c>
      <c r="P23" s="3">
        <f t="shared" si="1"/>
        <v>9.8235177134485635E-14</v>
      </c>
      <c r="Q23" s="3"/>
      <c r="R23" s="11">
        <f t="shared" si="6"/>
        <v>4.409777606496338E-2</v>
      </c>
      <c r="S23" s="3">
        <f t="shared" si="7"/>
        <v>1.3973742003499435E-15</v>
      </c>
      <c r="T23" s="3"/>
      <c r="U23" s="9">
        <f t="shared" si="2"/>
        <v>2.5776303830947066E-3</v>
      </c>
      <c r="V23" s="3">
        <f t="shared" si="3"/>
        <v>8.1680177931614134E-17</v>
      </c>
      <c r="Z23" s="4"/>
      <c r="AA23" s="4"/>
      <c r="AB23" s="4"/>
      <c r="AC23" s="4"/>
      <c r="AG23" s="4"/>
      <c r="AH23" s="4"/>
      <c r="AI23" s="4"/>
      <c r="AJ23" s="4"/>
    </row>
    <row r="24" spans="1:36" x14ac:dyDescent="0.2">
      <c r="A24" t="s">
        <v>473</v>
      </c>
      <c r="B24" s="1" t="str">
        <f>VLOOKUP(REPLACE(A24,FIND("dist",A24),4,"fit")&amp;"*",'[413]t (Cherniak)'!$A:$A,1,0)</f>
        <v>CGI001-qtz06-CL-fit-3-offset</v>
      </c>
      <c r="C24">
        <v>1500</v>
      </c>
      <c r="D24">
        <v>1024</v>
      </c>
      <c r="E24" s="1">
        <f t="shared" si="0"/>
        <v>1.46484375</v>
      </c>
      <c r="F24">
        <f>'[436]CGI001-qtz06-CL-dist-3'!$B$4</f>
        <v>253.10300000000001</v>
      </c>
      <c r="G24" s="1">
        <f t="shared" si="4"/>
        <v>370.75634765625</v>
      </c>
      <c r="H24" s="1"/>
      <c r="I24" s="1" t="str">
        <f>VLOOKUP($B24, '[413]t (Cherniak) Category'!$1:$1048576, MATCH(I$1, '[413]t (Cherniak) Category'!$1:$1, 0), 0)</f>
        <v>Interior</v>
      </c>
      <c r="J24" s="1"/>
      <c r="K24" s="4">
        <f>VLOOKUP($B24, '[413]t (Cherniak)'!$1:$1048576, MATCH(LEFT(K$1,FIND(" (",K$1)-1), '[413]t (Cherniak)'!$1:$1, 0), 0)</f>
        <v>138.16773383158036</v>
      </c>
      <c r="L24" s="4">
        <f>'D(Ti_Audétat23) Times'!Z24</f>
        <v>9713.1690307554709</v>
      </c>
      <c r="M24" s="4">
        <f>VLOOKUP($B24, '[413]t (J)'!$1:$1048576, MATCH(LEFT(M$1,FIND(" (",M$1)-1),'[413]t (J)'!$1:$1, 0), 0)</f>
        <v>166171.67287000225</v>
      </c>
      <c r="O24" s="1">
        <f t="shared" si="5"/>
        <v>2.6833786541522326</v>
      </c>
      <c r="P24" s="3">
        <f t="shared" si="1"/>
        <v>8.5031138431066758E-14</v>
      </c>
      <c r="Q24" s="3"/>
      <c r="R24" s="11">
        <f t="shared" si="6"/>
        <v>3.8170482412310427E-2</v>
      </c>
      <c r="S24" s="3">
        <f t="shared" si="7"/>
        <v>1.2095495985851403E-15</v>
      </c>
      <c r="T24" s="3"/>
      <c r="U24" s="9">
        <f t="shared" si="2"/>
        <v>2.2311645616416003E-3</v>
      </c>
      <c r="V24" s="3">
        <f t="shared" si="3"/>
        <v>7.0701338556848431E-17</v>
      </c>
    </row>
    <row r="25" spans="1:36" x14ac:dyDescent="0.2">
      <c r="A25" t="s">
        <v>474</v>
      </c>
      <c r="B25" s="1" t="str">
        <f>VLOOKUP(REPLACE(A25,FIND("dist",A25),4,"fit")&amp;"*",'[413]t (Cherniak)'!$A:$A,1,0)</f>
        <v>CGI001-qtz06-CL-fit-4-offset</v>
      </c>
      <c r="C25">
        <v>1500</v>
      </c>
      <c r="D25">
        <v>1024</v>
      </c>
      <c r="E25" s="1">
        <f t="shared" si="0"/>
        <v>1.46484375</v>
      </c>
      <c r="F25">
        <f>'[437]CGI001-qtz06-CL-dist-4'!$B$4</f>
        <v>32.062399999999997</v>
      </c>
      <c r="G25" s="1">
        <f t="shared" si="4"/>
        <v>46.966406249999999</v>
      </c>
      <c r="H25" s="1"/>
      <c r="I25" s="1" t="str">
        <f>VLOOKUP($B25, '[413]t (Cherniak) Category'!$1:$1048576, MATCH(I$1, '[413]t (Cherniak) Category'!$1:$1, 0), 0)</f>
        <v>Rim</v>
      </c>
      <c r="J25" s="1"/>
      <c r="K25" s="4">
        <f>VLOOKUP($B25, '[413]t (Cherniak)'!$1:$1048576, MATCH(LEFT(K$1,FIND(" (",K$1)-1), '[413]t (Cherniak)'!$1:$1, 0), 0)</f>
        <v>88.979441883008903</v>
      </c>
      <c r="L25" s="4">
        <f>'D(Ti_Audétat23) Times'!Z25</f>
        <v>6255.2401729730445</v>
      </c>
      <c r="M25" s="4">
        <f>VLOOKUP($B25, '[413]t (J)'!$1:$1048576, MATCH(LEFT(M$1,FIND(" (",M$1)-1),'[413]t (J)'!$1:$1, 0), 0)</f>
        <v>107013.86133148834</v>
      </c>
      <c r="O25" s="1">
        <f t="shared" si="5"/>
        <v>0.52783435427423697</v>
      </c>
      <c r="P25" s="3">
        <f t="shared" si="1"/>
        <v>1.6726061369503285E-14</v>
      </c>
      <c r="Q25" s="3"/>
      <c r="R25" s="11">
        <f t="shared" si="6"/>
        <v>7.5083298084903747E-3</v>
      </c>
      <c r="S25" s="3">
        <f t="shared" si="7"/>
        <v>2.3792461430813416E-16</v>
      </c>
      <c r="T25" s="3"/>
      <c r="U25" s="9">
        <f t="shared" si="2"/>
        <v>4.3888152119393107E-4</v>
      </c>
      <c r="V25" s="3">
        <f t="shared" si="3"/>
        <v>1.3907316183547895E-17</v>
      </c>
    </row>
    <row r="26" spans="1:36" x14ac:dyDescent="0.2">
      <c r="A26" t="s">
        <v>475</v>
      </c>
      <c r="B26" s="1" t="str">
        <f>VLOOKUP(REPLACE(A26,FIND("dist",A26),4,"fit")&amp;"*",'[413]t (Cherniak)'!$A:$A,1,0)</f>
        <v>CGI001-qtz07-CL-fit-1</v>
      </c>
      <c r="C26">
        <v>1850</v>
      </c>
      <c r="D26">
        <v>1024</v>
      </c>
      <c r="E26" s="1">
        <f t="shared" si="0"/>
        <v>1.806640625</v>
      </c>
      <c r="F26">
        <f>'[438]CGI001-qtz07-CL-dist-1'!$B$4</f>
        <v>445.66899999999998</v>
      </c>
      <c r="G26" s="1">
        <f t="shared" si="4"/>
        <v>805.16372070312502</v>
      </c>
      <c r="H26" s="1"/>
      <c r="I26" s="1" t="str">
        <f>VLOOKUP($B26, '[413]t (Cherniak) Category'!$1:$1048576, MATCH(I$1, '[413]t (Cherniak) Category'!$1:$1, 0), 0)</f>
        <v>Core</v>
      </c>
      <c r="J26" s="1"/>
      <c r="K26" s="4">
        <f>VLOOKUP($B26, '[413]t (Cherniak)'!$1:$1048576, MATCH(LEFT(K$1,FIND(" (",K$1)-1), '[413]t (Cherniak)'!$1:$1, 0), 0)</f>
        <v>4661.6251556438965</v>
      </c>
      <c r="L26" s="4">
        <f>'D(Ti_Audétat23) Times'!Z26</f>
        <v>327711.48399946984</v>
      </c>
      <c r="M26" s="4">
        <f>VLOOKUP($B26, '[413]t (J)'!$1:$1048576, MATCH(LEFT(M$1,FIND(" (",M$1)-1),'[413]t (J)'!$1:$1, 0), 0)</f>
        <v>5606446.808706197</v>
      </c>
      <c r="O26" s="1">
        <f t="shared" si="5"/>
        <v>0.17272167834608104</v>
      </c>
      <c r="P26" s="3">
        <f t="shared" si="1"/>
        <v>5.4732197108170787E-15</v>
      </c>
      <c r="Q26" s="3"/>
      <c r="R26" s="11">
        <f t="shared" si="6"/>
        <v>2.4569286095095393E-3</v>
      </c>
      <c r="S26" s="3">
        <f t="shared" si="7"/>
        <v>7.7855369530938319E-17</v>
      </c>
      <c r="T26" s="3"/>
      <c r="U26" s="9">
        <f t="shared" si="2"/>
        <v>1.4361390523723406E-4</v>
      </c>
      <c r="V26" s="3">
        <f t="shared" si="3"/>
        <v>4.5508500404731049E-18</v>
      </c>
    </row>
    <row r="27" spans="1:36" x14ac:dyDescent="0.2">
      <c r="A27" t="s">
        <v>476</v>
      </c>
      <c r="B27" s="1" t="str">
        <f>VLOOKUP(REPLACE(A27,FIND("dist",A27),4,"fit")&amp;"*",'[413]t (Cherniak)'!$A:$A,1,0)</f>
        <v>CGI001-qtz07-CL-fit-2-offset</v>
      </c>
      <c r="C27">
        <v>1850</v>
      </c>
      <c r="D27">
        <v>1024</v>
      </c>
      <c r="E27" s="1">
        <f t="shared" si="0"/>
        <v>1.806640625</v>
      </c>
      <c r="F27">
        <f>'[439]CGI001-qtz07-CL-dist-2'!$B$4</f>
        <v>173.773</v>
      </c>
      <c r="G27" s="1">
        <f t="shared" si="4"/>
        <v>313.94536132812499</v>
      </c>
      <c r="H27" s="1"/>
      <c r="I27" s="1" t="str">
        <f>VLOOKUP($B27, '[413]t (Cherniak) Category'!$1:$1048576, MATCH(I$1, '[413]t (Cherniak) Category'!$1:$1, 0), 0)</f>
        <v>Interior</v>
      </c>
      <c r="J27" s="1"/>
      <c r="K27" s="4">
        <f>VLOOKUP($B27, '[413]t (Cherniak)'!$1:$1048576, MATCH(LEFT(K$1,FIND(" (",K$1)-1), '[413]t (Cherniak)'!$1:$1, 0), 0)</f>
        <v>357.40710781454294</v>
      </c>
      <c r="L27" s="4">
        <f>'D(Ti_Audétat23) Times'!Z27</f>
        <v>25125.661069521157</v>
      </c>
      <c r="M27" s="4">
        <f>VLOOKUP($B27, '[413]t (J)'!$1:$1048576, MATCH(LEFT(M$1,FIND(" (",M$1)-1),'[413]t (J)'!$1:$1, 0), 0)</f>
        <v>429846.64620443492</v>
      </c>
      <c r="O27" s="1">
        <f t="shared" si="5"/>
        <v>0.87839708406423167</v>
      </c>
      <c r="P27" s="3">
        <f t="shared" si="1"/>
        <v>2.783472393541434E-14</v>
      </c>
      <c r="Q27" s="3"/>
      <c r="R27" s="11">
        <f t="shared" si="6"/>
        <v>1.2495009005313631E-2</v>
      </c>
      <c r="S27" s="3">
        <f t="shared" si="7"/>
        <v>3.9594294259746085E-16</v>
      </c>
      <c r="T27" s="3"/>
      <c r="U27" s="9">
        <f t="shared" si="2"/>
        <v>7.3036596679368457E-4</v>
      </c>
      <c r="V27" s="3">
        <f t="shared" si="3"/>
        <v>2.3143900892136429E-17</v>
      </c>
    </row>
    <row r="28" spans="1:36" x14ac:dyDescent="0.2">
      <c r="A28" t="s">
        <v>477</v>
      </c>
      <c r="B28" s="1" t="str">
        <f>VLOOKUP(REPLACE(A28,FIND("dist",A28),4,"fit")&amp;"*",'[413]t (Cherniak)'!$A:$A,1,0)</f>
        <v>CGI001-qtz07-CL-fit-3-offset</v>
      </c>
      <c r="C28">
        <v>1850</v>
      </c>
      <c r="D28">
        <v>1024</v>
      </c>
      <c r="E28" s="1">
        <f t="shared" si="0"/>
        <v>1.806640625</v>
      </c>
      <c r="F28">
        <f>'[440]CGI001-qtz07-CL-dist-3'!$B$4</f>
        <v>65.764700000000005</v>
      </c>
      <c r="G28" s="1">
        <f t="shared" si="4"/>
        <v>118.81317871093751</v>
      </c>
      <c r="H28" s="1"/>
      <c r="I28" s="1" t="str">
        <f>VLOOKUP($B28, '[413]t (Cherniak) Category'!$1:$1048576, MATCH(I$1, '[413]t (Cherniak) Category'!$1:$1, 0), 0)</f>
        <v>Interior</v>
      </c>
      <c r="J28" s="1"/>
      <c r="K28" s="4">
        <f>VLOOKUP($B28, '[413]t (Cherniak)'!$1:$1048576, MATCH(LEFT(K$1,FIND(" (",K$1)-1), '[413]t (Cherniak)'!$1:$1, 0), 0)</f>
        <v>158.07164425338775</v>
      </c>
      <c r="L28" s="4">
        <f>'D(Ti_Audétat23) Times'!Z28</f>
        <v>11112.41066944146</v>
      </c>
      <c r="M28" s="4">
        <f>VLOOKUP($B28, '[413]t (J)'!$1:$1048576, MATCH(LEFT(M$1,FIND(" (",M$1)-1),'[413]t (J)'!$1:$1, 0), 0)</f>
        <v>190109.72265721261</v>
      </c>
      <c r="O28" s="1">
        <f t="shared" si="5"/>
        <v>0.75164131601288853</v>
      </c>
      <c r="P28" s="3">
        <f t="shared" si="1"/>
        <v>2.3818076026468696E-14</v>
      </c>
      <c r="Q28" s="3"/>
      <c r="R28" s="11">
        <f t="shared" si="6"/>
        <v>1.0691935552532039E-2</v>
      </c>
      <c r="S28" s="3">
        <f t="shared" si="7"/>
        <v>3.3880699269057339E-16</v>
      </c>
      <c r="T28" s="3"/>
      <c r="U28" s="9">
        <f t="shared" si="2"/>
        <v>6.2497160613489455E-4</v>
      </c>
      <c r="V28" s="3">
        <f t="shared" si="3"/>
        <v>1.9804155136477251E-17</v>
      </c>
    </row>
    <row r="29" spans="1:36" x14ac:dyDescent="0.2">
      <c r="A29" t="s">
        <v>478</v>
      </c>
      <c r="B29" s="1" t="str">
        <f>VLOOKUP(REPLACE(A29,FIND("dist",A29),4,"fit")&amp;"*",'[413]t (Cherniak)'!$A:$A,1,0)</f>
        <v>CGI001-qtz08-CL-fit-1-offset</v>
      </c>
      <c r="C29">
        <v>1500</v>
      </c>
      <c r="D29">
        <v>1024</v>
      </c>
      <c r="E29" s="1">
        <f t="shared" si="0"/>
        <v>1.46484375</v>
      </c>
      <c r="F29">
        <f>'[441]CGI001-qtz08-CL-dist-1'!$B$4</f>
        <v>762.87099999999998</v>
      </c>
      <c r="G29" s="1">
        <f t="shared" si="4"/>
        <v>1117.48681640625</v>
      </c>
      <c r="H29" s="1"/>
      <c r="I29" s="1" t="str">
        <f>VLOOKUP($B29, '[413]t (Cherniak) Category'!$1:$1048576, MATCH(I$1, '[413]t (Cherniak) Category'!$1:$1, 0), 0)</f>
        <v>Core</v>
      </c>
      <c r="J29" s="1"/>
      <c r="K29" s="4">
        <f>VLOOKUP($B29, '[413]t (Cherniak)'!$1:$1048576, MATCH(LEFT(K$1,FIND(" (",K$1)-1), '[413]t (Cherniak)'!$1:$1, 0), 0)</f>
        <v>4468.6163569085948</v>
      </c>
      <c r="L29" s="4">
        <f>'D(Ti_Audétat23) Times'!Z29</f>
        <v>314142.99709916173</v>
      </c>
      <c r="M29" s="4">
        <f>VLOOKUP($B29, '[413]t (J)'!$1:$1048576, MATCH(LEFT(M$1,FIND(" (",M$1)-1),'[413]t (J)'!$1:$1, 0), 0)</f>
        <v>5374318.8431164194</v>
      </c>
      <c r="O29" s="1">
        <f t="shared" si="5"/>
        <v>0.25007445865845856</v>
      </c>
      <c r="P29" s="3">
        <f t="shared" si="1"/>
        <v>7.9243814060149864E-15</v>
      </c>
      <c r="Q29" s="3"/>
      <c r="R29" s="11">
        <f t="shared" si="6"/>
        <v>3.5572552204737079E-3</v>
      </c>
      <c r="S29" s="3">
        <f t="shared" si="7"/>
        <v>1.1272261580328376E-16</v>
      </c>
      <c r="T29" s="3"/>
      <c r="U29" s="9">
        <f t="shared" si="2"/>
        <v>2.0793087440979779E-4</v>
      </c>
      <c r="V29" s="3">
        <f t="shared" si="3"/>
        <v>6.5889318075454971E-18</v>
      </c>
    </row>
    <row r="30" spans="1:36" x14ac:dyDescent="0.2">
      <c r="A30" t="s">
        <v>479</v>
      </c>
      <c r="B30" s="1" t="str">
        <f>VLOOKUP(REPLACE(A30,FIND("dist",A30),4,"fit")&amp;"*",'[413]t (Cherniak)'!$A:$A,1,0)</f>
        <v>CGI001-qtz08-CL-fit-2-offset</v>
      </c>
      <c r="C30">
        <v>1500</v>
      </c>
      <c r="D30">
        <v>1024</v>
      </c>
      <c r="E30" s="1">
        <f t="shared" si="0"/>
        <v>1.46484375</v>
      </c>
      <c r="F30">
        <f>'[442]CGI001-qtz08-CL-dist-2'!$B$4</f>
        <v>439.36900000000003</v>
      </c>
      <c r="G30" s="1">
        <f t="shared" si="4"/>
        <v>643.60693359375</v>
      </c>
      <c r="H30" s="1"/>
      <c r="I30" s="1" t="str">
        <f>VLOOKUP($B30, '[413]t (Cherniak) Category'!$1:$1048576, MATCH(I$1, '[413]t (Cherniak) Category'!$1:$1, 0), 0)</f>
        <v>Interior</v>
      </c>
      <c r="J30" s="1"/>
      <c r="K30" s="4">
        <f>VLOOKUP($B30, '[413]t (Cherniak)'!$1:$1048576, MATCH(LEFT(K$1,FIND(" (",K$1)-1), '[413]t (Cherniak)'!$1:$1, 0), 0)</f>
        <v>539.60571259926905</v>
      </c>
      <c r="L30" s="4">
        <f>'D(Ti_Audétat23) Times'!Z30</f>
        <v>37934.193107826606</v>
      </c>
      <c r="M30" s="4">
        <f>VLOOKUP($B30, '[413]t (J)'!$1:$1048576, MATCH(LEFT(M$1,FIND(" (",M$1)-1),'[413]t (J)'!$1:$1, 0), 0)</f>
        <v>648973.39969496825</v>
      </c>
      <c r="O30" s="1">
        <f t="shared" si="5"/>
        <v>1.1927355818631151</v>
      </c>
      <c r="P30" s="3">
        <f t="shared" si="1"/>
        <v>3.7795509856995309E-14</v>
      </c>
      <c r="Q30" s="3"/>
      <c r="R30" s="11">
        <f t="shared" si="6"/>
        <v>1.6966406317496196E-2</v>
      </c>
      <c r="S30" s="3">
        <f t="shared" si="7"/>
        <v>5.3763297327731492E-16</v>
      </c>
      <c r="T30" s="3"/>
      <c r="U30" s="9">
        <f t="shared" si="2"/>
        <v>9.9173083811487407E-4</v>
      </c>
      <c r="V30" s="3">
        <f t="shared" si="3"/>
        <v>3.1426053886064653E-17</v>
      </c>
    </row>
    <row r="31" spans="1:36" x14ac:dyDescent="0.2">
      <c r="A31" t="s">
        <v>480</v>
      </c>
      <c r="B31" s="1" t="str">
        <f>VLOOKUP(REPLACE(A31,FIND("dist",A31),4,"fit")&amp;"*",'[413]t (Cherniak)'!$A:$A,1,0)</f>
        <v>CGI001-qtz08-CL-fit-3</v>
      </c>
      <c r="C31">
        <v>1500</v>
      </c>
      <c r="D31">
        <v>1024</v>
      </c>
      <c r="E31" s="1">
        <f t="shared" si="0"/>
        <v>1.46484375</v>
      </c>
      <c r="F31">
        <f>'[443]CGI001-qtz08-CL-dist-3'!$B$4</f>
        <v>271.81200000000001</v>
      </c>
      <c r="G31" s="1">
        <f t="shared" si="4"/>
        <v>398.162109375</v>
      </c>
      <c r="H31" s="1"/>
      <c r="I31" s="1" t="str">
        <f>VLOOKUP($B31, '[413]t (Cherniak) Category'!$1:$1048576, MATCH(I$1, '[413]t (Cherniak) Category'!$1:$1, 0), 0)</f>
        <v>Interior</v>
      </c>
      <c r="J31" s="1"/>
      <c r="K31" s="4">
        <f>VLOOKUP($B31, '[413]t (Cherniak)'!$1:$1048576, MATCH(LEFT(K$1,FIND(" (",K$1)-1), '[413]t (Cherniak)'!$1:$1, 0), 0)</f>
        <v>337.41473065082596</v>
      </c>
      <c r="L31" s="4">
        <f>'D(Ti_Audétat23) Times'!Z31</f>
        <v>23720.200233386244</v>
      </c>
      <c r="M31" s="4">
        <f>VLOOKUP($B31, '[413]t (J)'!$1:$1048576, MATCH(LEFT(M$1,FIND(" (",M$1)-1),'[413]t (J)'!$1:$1, 0), 0)</f>
        <v>405802.19917027827</v>
      </c>
      <c r="O31" s="1">
        <f t="shared" si="5"/>
        <v>1.1800377197729359</v>
      </c>
      <c r="P31" s="3">
        <f t="shared" si="1"/>
        <v>3.7393138888031281E-14</v>
      </c>
      <c r="Q31" s="3"/>
      <c r="R31" s="11">
        <f t="shared" si="6"/>
        <v>1.678578196884636E-2</v>
      </c>
      <c r="S31" s="3">
        <f t="shared" si="7"/>
        <v>5.3190933305594718E-16</v>
      </c>
      <c r="T31" s="3"/>
      <c r="U31" s="9">
        <f t="shared" si="2"/>
        <v>9.8117287237255114E-4</v>
      </c>
      <c r="V31" s="3">
        <f t="shared" si="3"/>
        <v>3.109149214048442E-17</v>
      </c>
    </row>
    <row r="32" spans="1:36" x14ac:dyDescent="0.2">
      <c r="A32" t="s">
        <v>481</v>
      </c>
      <c r="B32" s="1" t="str">
        <f>VLOOKUP(REPLACE(A32,FIND("dist",A32),4,"fit")&amp;"*",'[413]t (Cherniak)'!$A:$A,1,0)</f>
        <v>CGI001-qtz08-CL-fit-4-offset</v>
      </c>
      <c r="C32">
        <v>1500</v>
      </c>
      <c r="D32">
        <v>1024</v>
      </c>
      <c r="E32" s="1">
        <f t="shared" si="0"/>
        <v>1.46484375</v>
      </c>
      <c r="F32">
        <f>'[444]CGI001-qtz08-CL-dist-4'!$B$4</f>
        <v>50.448</v>
      </c>
      <c r="G32" s="1">
        <f t="shared" si="4"/>
        <v>73.8984375</v>
      </c>
      <c r="H32" s="1"/>
      <c r="I32" s="1" t="str">
        <f>VLOOKUP($B32, '[413]t (Cherniak) Category'!$1:$1048576, MATCH(I$1, '[413]t (Cherniak) Category'!$1:$1, 0), 0)</f>
        <v>Rim</v>
      </c>
      <c r="J32" s="1"/>
      <c r="K32" s="4">
        <f>VLOOKUP($B32, '[413]t (Cherniak)'!$1:$1048576, MATCH(LEFT(K$1,FIND(" (",K$1)-1), '[413]t (Cherniak)'!$1:$1, 0), 0)</f>
        <v>48.23842321360457</v>
      </c>
      <c r="L32" s="4">
        <f>'D(Ti_Audétat23) Times'!Z32</f>
        <v>3391.1532414796388</v>
      </c>
      <c r="M32" s="4">
        <f>VLOOKUP($B32, '[413]t (J)'!$1:$1048576, MATCH(LEFT(M$1,FIND(" (",M$1)-1),'[413]t (J)'!$1:$1, 0), 0)</f>
        <v>58015.422701994656</v>
      </c>
      <c r="O32" s="1">
        <f t="shared" si="5"/>
        <v>1.5319413981002306</v>
      </c>
      <c r="P32" s="3">
        <f t="shared" si="1"/>
        <v>4.8544293548946384E-14</v>
      </c>
      <c r="Q32" s="3"/>
      <c r="R32" s="11">
        <f t="shared" si="6"/>
        <v>2.1791535869301028E-2</v>
      </c>
      <c r="S32" s="3">
        <f t="shared" si="7"/>
        <v>6.9053210222897255E-16</v>
      </c>
      <c r="T32" s="3"/>
      <c r="U32" s="9">
        <f t="shared" si="2"/>
        <v>1.2737722843043126E-3</v>
      </c>
      <c r="V32" s="3">
        <f t="shared" si="3"/>
        <v>4.0363408000111308E-17</v>
      </c>
    </row>
    <row r="33" spans="1:22" x14ac:dyDescent="0.2">
      <c r="A33" t="s">
        <v>482</v>
      </c>
      <c r="B33" s="1" t="str">
        <f>VLOOKUP(REPLACE(A33,FIND("dist",A33),4,"fit")&amp;"*",'[413]t (Cherniak)'!$A:$A,1,0)</f>
        <v>CGI001-qtz09-CL-fit-1-offset</v>
      </c>
      <c r="C33">
        <v>1500</v>
      </c>
      <c r="D33">
        <v>1024</v>
      </c>
      <c r="E33" s="1">
        <f t="shared" si="0"/>
        <v>1.46484375</v>
      </c>
      <c r="F33">
        <f>'[445]CGI001-qtz09-CL-dist-1'!$B$4</f>
        <v>437.39299999999997</v>
      </c>
      <c r="G33" s="1">
        <f t="shared" si="4"/>
        <v>640.71240234375</v>
      </c>
      <c r="H33" s="1"/>
      <c r="I33" s="1" t="str">
        <f>VLOOKUP($B33, '[413]t (Cherniak) Category'!$1:$1048576, MATCH(I$1, '[413]t (Cherniak) Category'!$1:$1, 0), 0)</f>
        <v>Core</v>
      </c>
      <c r="J33" s="1"/>
      <c r="K33" s="4">
        <f>VLOOKUP($B33, '[413]t (Cherniak)'!$1:$1048576, MATCH(LEFT(K$1,FIND(" (",K$1)-1), '[413]t (Cherniak)'!$1:$1, 0), 0)</f>
        <v>588.0566953098164</v>
      </c>
      <c r="L33" s="4">
        <f>'D(Ti_Audétat23) Times'!Z33</f>
        <v>41340.289247084496</v>
      </c>
      <c r="M33" s="4">
        <f>VLOOKUP($B33, '[413]t (J)'!$1:$1048576, MATCH(LEFT(M$1,FIND(" (",M$1)-1),'[413]t (J)'!$1:$1, 0), 0)</f>
        <v>707244.46361081139</v>
      </c>
      <c r="O33" s="1">
        <f t="shared" si="5"/>
        <v>1.0895418884843953</v>
      </c>
      <c r="P33" s="3">
        <f t="shared" si="1"/>
        <v>3.4525499039356455E-14</v>
      </c>
      <c r="Q33" s="3"/>
      <c r="R33" s="11">
        <f t="shared" si="6"/>
        <v>1.5498498293379404E-2</v>
      </c>
      <c r="S33" s="3">
        <f t="shared" si="7"/>
        <v>4.9111777490618431E-16</v>
      </c>
      <c r="T33" s="3"/>
      <c r="U33" s="9">
        <f t="shared" si="2"/>
        <v>9.0592777364790621E-4</v>
      </c>
      <c r="V33" s="3">
        <f t="shared" si="3"/>
        <v>2.8707118844522593E-17</v>
      </c>
    </row>
    <row r="34" spans="1:22" x14ac:dyDescent="0.2">
      <c r="A34" t="s">
        <v>483</v>
      </c>
      <c r="B34" s="1" t="str">
        <f>VLOOKUP(REPLACE(A34,FIND("dist",A34),4,"fit")&amp;"*",'[413]t (Cherniak)'!$A:$A,1,0)</f>
        <v>CGI001-qtz09-CL-fit-2-offset</v>
      </c>
      <c r="C34">
        <v>1500</v>
      </c>
      <c r="D34">
        <v>1024</v>
      </c>
      <c r="E34" s="1">
        <f t="shared" si="0"/>
        <v>1.46484375</v>
      </c>
      <c r="F34">
        <f>'[446]CGI001-qtz09-CL-dist-2'!$B$4</f>
        <v>222.40700000000001</v>
      </c>
      <c r="G34" s="1">
        <f t="shared" si="4"/>
        <v>325.79150390625</v>
      </c>
      <c r="H34" s="1"/>
      <c r="I34" s="1" t="str">
        <f>VLOOKUP($B34, '[413]t (Cherniak) Category'!$1:$1048576, MATCH(I$1, '[413]t (Cherniak) Category'!$1:$1, 0), 0)</f>
        <v>Core</v>
      </c>
      <c r="J34" s="1"/>
      <c r="K34" s="4">
        <f>VLOOKUP($B34, '[413]t (Cherniak)'!$1:$1048576, MATCH(LEFT(K$1,FIND(" (",K$1)-1), '[413]t (Cherniak)'!$1:$1, 0), 0)</f>
        <v>111.96105812843216</v>
      </c>
      <c r="L34" s="4">
        <f>'D(Ti_Audétat23) Times'!Z34</f>
        <v>7870.8440263578832</v>
      </c>
      <c r="M34" s="4">
        <f>VLOOKUP($B34, '[413]t (J)'!$1:$1048576, MATCH(LEFT(M$1,FIND(" (",M$1)-1),'[413]t (J)'!$1:$1, 0), 0)</f>
        <v>134653.40864731424</v>
      </c>
      <c r="O34" s="1">
        <f t="shared" si="5"/>
        <v>2.9098644595921006</v>
      </c>
      <c r="P34" s="3">
        <f t="shared" si="1"/>
        <v>9.2208040522476378E-14</v>
      </c>
      <c r="Q34" s="3"/>
      <c r="R34" s="11">
        <f t="shared" si="6"/>
        <v>4.1392194130037308E-2</v>
      </c>
      <c r="S34" s="3">
        <f t="shared" si="7"/>
        <v>1.3116394824079558E-15</v>
      </c>
      <c r="T34" s="3"/>
      <c r="U34" s="9">
        <f t="shared" si="2"/>
        <v>2.4194820404403344E-3</v>
      </c>
      <c r="V34" s="3">
        <f t="shared" si="3"/>
        <v>7.6668759361939247E-17</v>
      </c>
    </row>
    <row r="35" spans="1:22" x14ac:dyDescent="0.2">
      <c r="A35" t="s">
        <v>484</v>
      </c>
      <c r="B35" s="1" t="str">
        <f>VLOOKUP(REPLACE(A35,FIND("dist",A35),4,"fit")&amp;"*",'[413]t (Cherniak)'!$A:$A,1,0)</f>
        <v>CGI001-qtz09-CL-fit-3-offset</v>
      </c>
      <c r="C35">
        <v>1500</v>
      </c>
      <c r="D35">
        <v>1024</v>
      </c>
      <c r="E35" s="1">
        <f t="shared" si="0"/>
        <v>1.46484375</v>
      </c>
      <c r="F35">
        <f>'[447]CGI001-qtz09-CL-dist-3'!$B$4</f>
        <v>16.124500000000001</v>
      </c>
      <c r="G35" s="1">
        <f t="shared" si="4"/>
        <v>23.619873046875</v>
      </c>
      <c r="H35" s="1"/>
      <c r="I35" s="1" t="str">
        <f>VLOOKUP($B35, '[413]t (Cherniak) Category'!$1:$1048576, MATCH(I$1, '[413]t (Cherniak) Category'!$1:$1, 0), 0)</f>
        <v>Interior</v>
      </c>
      <c r="J35" s="1"/>
      <c r="K35" s="4">
        <f>VLOOKUP($B35, '[413]t (Cherniak)'!$1:$1048576, MATCH(LEFT(K$1,FIND(" (",K$1)-1), '[413]t (Cherniak)'!$1:$1, 0), 0)</f>
        <v>84.868464718814238</v>
      </c>
      <c r="L35" s="4">
        <f>'D(Ti_Audétat23) Times'!Z35</f>
        <v>5966.2391524737723</v>
      </c>
      <c r="M35" s="4">
        <f>VLOOKUP($B35, '[413]t (J)'!$1:$1048576, MATCH(LEFT(M$1,FIND(" (",M$1)-1),'[413]t (J)'!$1:$1, 0), 0)</f>
        <v>102069.66825861575</v>
      </c>
      <c r="O35" s="1">
        <f t="shared" si="5"/>
        <v>0.27831153921697821</v>
      </c>
      <c r="P35" s="3">
        <f t="shared" si="1"/>
        <v>8.8191604943651668E-15</v>
      </c>
      <c r="Q35" s="3"/>
      <c r="R35" s="11">
        <f t="shared" si="6"/>
        <v>3.958921599225792E-3</v>
      </c>
      <c r="S35" s="3">
        <f t="shared" si="7"/>
        <v>1.2545065528512281E-16</v>
      </c>
      <c r="T35" s="3"/>
      <c r="U35" s="9">
        <f t="shared" si="2"/>
        <v>2.3140932511927934E-4</v>
      </c>
      <c r="V35" s="3">
        <f t="shared" si="3"/>
        <v>7.3329190153649001E-18</v>
      </c>
    </row>
    <row r="36" spans="1:22" x14ac:dyDescent="0.2">
      <c r="A36" t="s">
        <v>485</v>
      </c>
      <c r="B36" s="1" t="str">
        <f>VLOOKUP(REPLACE(A36,FIND("dist",A36),4,"fit")&amp;"*",'[413]t (Cherniak)'!$A:$A,1,0)</f>
        <v>CGI001-qtz10-CL-fit-1-offset</v>
      </c>
      <c r="C36">
        <v>2000</v>
      </c>
      <c r="D36">
        <v>1024</v>
      </c>
      <c r="E36" s="1">
        <f t="shared" si="0"/>
        <v>1.953125</v>
      </c>
      <c r="F36">
        <f>'[448]CGI001-qtz10-CL-dist-1'!$B$4</f>
        <v>331.30799999999999</v>
      </c>
      <c r="G36" s="1">
        <f t="shared" si="4"/>
        <v>647.0859375</v>
      </c>
      <c r="H36" s="1"/>
      <c r="I36" s="1" t="str">
        <f>VLOOKUP($B36, '[413]t (Cherniak) Category'!$1:$1048576, MATCH(I$1, '[413]t (Cherniak) Category'!$1:$1, 0), 0)</f>
        <v>Core</v>
      </c>
      <c r="J36" s="1"/>
      <c r="K36" s="4">
        <f>VLOOKUP($B36, '[413]t (Cherniak)'!$1:$1048576, MATCH(LEFT(K$1,FIND(" (",K$1)-1), '[413]t (Cherniak)'!$1:$1, 0), 0)</f>
        <v>821.48509655199234</v>
      </c>
      <c r="L36" s="4">
        <f>'D(Ti_Audétat23) Times'!Z36</f>
        <v>57750.267575367907</v>
      </c>
      <c r="M36" s="4">
        <f>VLOOKUP($B36, '[413]t (J)'!$1:$1048576, MATCH(LEFT(M$1,FIND(" (",M$1)-1),'[413]t (J)'!$1:$1, 0), 0)</f>
        <v>987984.30680071691</v>
      </c>
      <c r="O36" s="1">
        <f t="shared" si="5"/>
        <v>0.78770258914739244</v>
      </c>
      <c r="P36" s="3">
        <f t="shared" si="1"/>
        <v>2.496078881624054E-14</v>
      </c>
      <c r="Q36" s="3"/>
      <c r="R36" s="11">
        <f t="shared" si="6"/>
        <v>1.120489938259611E-2</v>
      </c>
      <c r="S36" s="3">
        <f t="shared" si="7"/>
        <v>3.5506183558306431E-16</v>
      </c>
      <c r="T36" s="3"/>
      <c r="U36" s="9">
        <f t="shared" si="2"/>
        <v>6.5495568405877689E-4</v>
      </c>
      <c r="V36" s="3">
        <f t="shared" si="3"/>
        <v>2.0754293230751921E-17</v>
      </c>
    </row>
    <row r="37" spans="1:22" x14ac:dyDescent="0.2">
      <c r="A37" t="s">
        <v>486</v>
      </c>
      <c r="B37" s="1" t="str">
        <f>VLOOKUP(REPLACE(A37,FIND("dist",A37),4,"fit")&amp;"*",'[413]t (Cherniak)'!$A:$A,1,0)</f>
        <v>CGI001-qtz10-CL-fit-2</v>
      </c>
      <c r="C37">
        <v>2000</v>
      </c>
      <c r="D37">
        <v>1024</v>
      </c>
      <c r="E37" s="1">
        <f t="shared" si="0"/>
        <v>1.953125</v>
      </c>
      <c r="F37">
        <f>'[449]CGI001-qtz10-CL-dist-2'!$B$4</f>
        <v>302.76100000000002</v>
      </c>
      <c r="G37" s="1">
        <f t="shared" si="4"/>
        <v>591.330078125</v>
      </c>
      <c r="H37" s="1"/>
      <c r="I37" s="1" t="str">
        <f>VLOOKUP($B37, '[413]t (Cherniak) Category'!$1:$1048576, MATCH(I$1, '[413]t (Cherniak) Category'!$1:$1, 0), 0)</f>
        <v>Interior</v>
      </c>
      <c r="J37" s="1"/>
      <c r="K37" s="4">
        <f>VLOOKUP($B37, '[413]t (Cherniak)'!$1:$1048576, MATCH(LEFT(K$1,FIND(" (",K$1)-1), '[413]t (Cherniak)'!$1:$1, 0), 0)</f>
        <v>272.36911881466455</v>
      </c>
      <c r="L37" s="4">
        <f>'D(Ti_Audétat23) Times'!Z37</f>
        <v>19147.504387888221</v>
      </c>
      <c r="M37" s="4">
        <f>VLOOKUP($B37, '[413]t (J)'!$1:$1048576, MATCH(LEFT(M$1,FIND(" (",M$1)-1),'[413]t (J)'!$1:$1, 0), 0)</f>
        <v>327573.09435740591</v>
      </c>
      <c r="O37" s="1">
        <f t="shared" si="5"/>
        <v>2.1710613916086965</v>
      </c>
      <c r="P37" s="3">
        <f t="shared" si="1"/>
        <v>6.8796784026944263E-14</v>
      </c>
      <c r="Q37" s="3"/>
      <c r="R37" s="11">
        <f t="shared" si="6"/>
        <v>3.088287988585325E-2</v>
      </c>
      <c r="S37" s="3">
        <f t="shared" si="7"/>
        <v>9.78619409773026E-16</v>
      </c>
      <c r="T37" s="3"/>
      <c r="U37" s="9">
        <f t="shared" si="2"/>
        <v>1.8051851275667232E-3</v>
      </c>
      <c r="V37" s="3">
        <f t="shared" si="3"/>
        <v>5.7202864842913376E-17</v>
      </c>
    </row>
    <row r="38" spans="1:22" x14ac:dyDescent="0.2">
      <c r="A38" t="s">
        <v>487</v>
      </c>
      <c r="B38" s="1" t="str">
        <f>VLOOKUP(REPLACE(A38,FIND("dist",A38),4,"fit")&amp;"*",'[413]t (Cherniak)'!$A:$A,1,0)</f>
        <v>CGI001-qtz10-CL-fit-3-offset</v>
      </c>
      <c r="C38">
        <v>2000</v>
      </c>
      <c r="D38">
        <v>1024</v>
      </c>
      <c r="E38" s="1">
        <f t="shared" si="0"/>
        <v>1.953125</v>
      </c>
      <c r="F38">
        <f>'[450]CGI001-qtz10-CL-dist-3'!$B$4</f>
        <v>498.41399999999999</v>
      </c>
      <c r="G38" s="1">
        <f t="shared" si="4"/>
        <v>973.46484375</v>
      </c>
      <c r="H38" s="1"/>
      <c r="I38" s="1" t="str">
        <f>VLOOKUP($B38, '[413]t (Cherniak) Category'!$1:$1048576, MATCH(I$1, '[413]t (Cherniak) Category'!$1:$1, 0), 0)</f>
        <v>Core</v>
      </c>
      <c r="J38" s="1"/>
      <c r="K38" s="4">
        <f>VLOOKUP($B38, '[413]t (Cherniak)'!$1:$1048576, MATCH(LEFT(K$1,FIND(" (",K$1)-1), '[413]t (Cherniak)'!$1:$1, 0), 0)</f>
        <v>7136.8747954462933</v>
      </c>
      <c r="L38" s="4">
        <f>'D(Ti_Audétat23) Times'!Z38</f>
        <v>501721.12777074217</v>
      </c>
      <c r="M38" s="4">
        <f>VLOOKUP($B38, '[413]t (J)'!$1:$1048576, MATCH(LEFT(M$1,FIND(" (",M$1)-1),'[413]t (J)'!$1:$1, 0), 0)</f>
        <v>8583381.886169428</v>
      </c>
      <c r="O38" s="1">
        <f t="shared" si="5"/>
        <v>0.13639931645867215</v>
      </c>
      <c r="P38" s="3">
        <f t="shared" si="1"/>
        <v>4.3222335177159268E-15</v>
      </c>
      <c r="Q38" s="3"/>
      <c r="R38" s="11">
        <f t="shared" si="6"/>
        <v>1.9402508482656876E-3</v>
      </c>
      <c r="S38" s="3">
        <f t="shared" si="7"/>
        <v>6.1482839261087274E-17</v>
      </c>
      <c r="T38" s="3"/>
      <c r="U38" s="9">
        <f t="shared" si="2"/>
        <v>1.1341273831921228E-4</v>
      </c>
      <c r="V38" s="3">
        <f t="shared" si="3"/>
        <v>3.5938328110886843E-18</v>
      </c>
    </row>
    <row r="39" spans="1:22" x14ac:dyDescent="0.2">
      <c r="A39" t="s">
        <v>488</v>
      </c>
      <c r="B39" s="1" t="str">
        <f>VLOOKUP(REPLACE(A39,FIND("dist",A39),4,"fit")&amp;"*",'[413]t (Cherniak)'!$A:$A,1,0)</f>
        <v>CGI001-qtz10-CL-fit-4</v>
      </c>
      <c r="C39">
        <v>2000</v>
      </c>
      <c r="D39">
        <v>1024</v>
      </c>
      <c r="E39" s="1">
        <f t="shared" si="0"/>
        <v>1.953125</v>
      </c>
      <c r="F39">
        <f>'[451]CGI001-qtz10-CL-dist-4'!$B$4</f>
        <v>158.24</v>
      </c>
      <c r="G39" s="1">
        <f t="shared" si="4"/>
        <v>309.0625</v>
      </c>
      <c r="H39" s="1"/>
      <c r="I39" s="1" t="str">
        <f>VLOOKUP($B39, '[413]t (Cherniak) Category'!$1:$1048576, MATCH(I$1, '[413]t (Cherniak) Category'!$1:$1, 0), 0)</f>
        <v>Interior</v>
      </c>
      <c r="J39" s="1"/>
      <c r="K39" s="4">
        <f>VLOOKUP($B39, '[413]t (Cherniak)'!$1:$1048576, MATCH(LEFT(K$1,FIND(" (",K$1)-1), '[413]t (Cherniak)'!$1:$1, 0), 0)</f>
        <v>145.72793171138218</v>
      </c>
      <c r="L39" s="4">
        <f>'D(Ti_Audétat23) Times'!Z39</f>
        <v>10244.649701937253</v>
      </c>
      <c r="M39" s="4">
        <f>VLOOKUP($B39, '[413]t (J)'!$1:$1048576, MATCH(LEFT(M$1,FIND(" (",M$1)-1),'[413]t (J)'!$1:$1, 0), 0)</f>
        <v>175264.17727805945</v>
      </c>
      <c r="O39" s="1">
        <f t="shared" si="5"/>
        <v>2.1208185443275624</v>
      </c>
      <c r="P39" s="3">
        <f t="shared" si="1"/>
        <v>6.7204684270272843E-14</v>
      </c>
      <c r="Q39" s="3"/>
      <c r="R39" s="11">
        <f t="shared" si="6"/>
        <v>3.016818622324945E-2</v>
      </c>
      <c r="S39" s="3">
        <f t="shared" si="7"/>
        <v>9.5597213423230684E-16</v>
      </c>
      <c r="T39" s="3"/>
      <c r="U39" s="9">
        <f t="shared" si="2"/>
        <v>1.7634094131493132E-3</v>
      </c>
      <c r="V39" s="3">
        <f t="shared" si="3"/>
        <v>5.5879072335960691E-17</v>
      </c>
    </row>
    <row r="40" spans="1:22" x14ac:dyDescent="0.2">
      <c r="A40" t="s">
        <v>489</v>
      </c>
      <c r="B40" s="1" t="str">
        <f>VLOOKUP(REPLACE(A40,FIND("dist",A40),4,"fit")&amp;"*",'[413]t (Cherniak)'!$A:$A,1,0)</f>
        <v>CGI001-qtz10-CL-fit-5-offset</v>
      </c>
      <c r="C40">
        <v>2000</v>
      </c>
      <c r="D40">
        <v>1024</v>
      </c>
      <c r="E40" s="1">
        <f t="shared" si="0"/>
        <v>1.953125</v>
      </c>
      <c r="F40">
        <f>'[452]CGI001-qtz10-CL-dist-5'!$B$4</f>
        <v>47.539499999999997</v>
      </c>
      <c r="G40" s="1">
        <f t="shared" si="4"/>
        <v>92.8505859375</v>
      </c>
      <c r="H40" s="1"/>
      <c r="I40" s="1" t="str">
        <f>VLOOKUP($B40, '[413]t (Cherniak) Category'!$1:$1048576, MATCH(I$1, '[413]t (Cherniak) Category'!$1:$1, 0), 0)</f>
        <v>Rim</v>
      </c>
      <c r="J40" s="1"/>
      <c r="K40" s="4">
        <f>VLOOKUP($B40, '[413]t (Cherniak)'!$1:$1048576, MATCH(LEFT(K$1,FIND(" (",K$1)-1), '[413]t (Cherniak)'!$1:$1, 0), 0)</f>
        <v>27.480943837535357</v>
      </c>
      <c r="L40" s="4">
        <f>'D(Ti_Audétat23) Times'!Z40</f>
        <v>2102.7189683647566</v>
      </c>
      <c r="M40" s="4">
        <f>VLOOKUP($B40, '[413]t (J)'!$1:$1048576, MATCH(LEFT(M$1,FIND(" (",M$1)-1),'[413]t (J)'!$1:$1, 0), 0)</f>
        <v>33050.801970134598</v>
      </c>
      <c r="O40" s="1">
        <f t="shared" si="5"/>
        <v>3.3787262361301544</v>
      </c>
      <c r="P40" s="3">
        <f t="shared" si="1"/>
        <v>1.0706537367005584E-13</v>
      </c>
      <c r="Q40" s="3"/>
      <c r="R40" s="11">
        <f t="shared" si="6"/>
        <v>4.4157392088258036E-2</v>
      </c>
      <c r="S40" s="3">
        <f t="shared" si="7"/>
        <v>1.3992633181312277E-15</v>
      </c>
      <c r="T40" s="3"/>
      <c r="U40" s="9">
        <f t="shared" si="2"/>
        <v>2.8093292871199235E-3</v>
      </c>
      <c r="V40" s="3">
        <f t="shared" si="3"/>
        <v>8.9022273148779485E-17</v>
      </c>
    </row>
    <row r="41" spans="1:22" x14ac:dyDescent="0.2">
      <c r="A41" t="s">
        <v>490</v>
      </c>
      <c r="B41" s="1" t="str">
        <f>VLOOKUP(REPLACE(A41,FIND("dist",A41),4,"fit")&amp;"*",'[413]t (Cherniak)'!$A:$A,1,0)</f>
        <v>CGI001-qtz11-CL-fit-1</v>
      </c>
      <c r="C41">
        <v>1500</v>
      </c>
      <c r="D41">
        <v>1024</v>
      </c>
      <c r="E41" s="1">
        <f t="shared" si="0"/>
        <v>1.46484375</v>
      </c>
      <c r="F41">
        <f>'[453]CGI001-qtz11-CL-dist-1'!$B$4</f>
        <v>215.66900000000001</v>
      </c>
      <c r="G41" s="1">
        <f t="shared" si="4"/>
        <v>315.92138671875</v>
      </c>
      <c r="H41" s="1"/>
      <c r="I41" s="1" t="str">
        <f>VLOOKUP($B41, '[413]t (Cherniak) Category'!$1:$1048576, MATCH(I$1, '[413]t (Cherniak) Category'!$1:$1, 0), 0)</f>
        <v>Core</v>
      </c>
      <c r="J41" s="1"/>
      <c r="K41" s="4">
        <f>VLOOKUP($B41, '[413]t (Cherniak)'!$1:$1048576, MATCH(LEFT(K$1,FIND(" (",K$1)-1), '[413]t (Cherniak)'!$1:$1, 0), 0)</f>
        <v>2353.032819442692</v>
      </c>
      <c r="L41" s="4">
        <f>'D(Ti_Audétat23) Times'!Z41</f>
        <v>165417.82134185973</v>
      </c>
      <c r="M41" s="4">
        <f>VLOOKUP($B41, '[413]t (J)'!$1:$1048576, MATCH(LEFT(M$1,FIND(" (",M$1)-1),'[413]t (J)'!$1:$1, 0), 0)</f>
        <v>2829947.2610691353</v>
      </c>
      <c r="O41" s="1">
        <f t="shared" si="5"/>
        <v>0.13426136010868514</v>
      </c>
      <c r="P41" s="3">
        <f t="shared" si="1"/>
        <v>4.2544857691549779E-15</v>
      </c>
      <c r="Q41" s="3"/>
      <c r="R41" s="11">
        <f t="shared" si="6"/>
        <v>1.9098388804544403E-3</v>
      </c>
      <c r="S41" s="3">
        <f t="shared" si="7"/>
        <v>6.0519142154487036E-17</v>
      </c>
      <c r="T41" s="3"/>
      <c r="U41" s="9">
        <f t="shared" si="2"/>
        <v>1.1163507923444375E-4</v>
      </c>
      <c r="V41" s="3">
        <f t="shared" si="3"/>
        <v>3.5375021939071331E-18</v>
      </c>
    </row>
    <row r="42" spans="1:22" x14ac:dyDescent="0.2">
      <c r="A42" t="s">
        <v>491</v>
      </c>
      <c r="B42" s="1" t="str">
        <f>VLOOKUP(REPLACE(A42,FIND("dist",A42),4,"fit")&amp;"*",'[413]t (Cherniak)'!$A:$A,1,0)</f>
        <v>CGI001-qtz11-CL-fit-2-offset</v>
      </c>
      <c r="C42">
        <v>1500</v>
      </c>
      <c r="D42">
        <v>1024</v>
      </c>
      <c r="E42" s="1">
        <f t="shared" si="0"/>
        <v>1.46484375</v>
      </c>
      <c r="F42">
        <f>'[454]CGI001-qtz11-CL-dist-2'!$B$4</f>
        <v>142.636</v>
      </c>
      <c r="G42" s="1">
        <f t="shared" si="4"/>
        <v>208.939453125</v>
      </c>
      <c r="H42" s="1"/>
      <c r="I42" s="1" t="str">
        <f>VLOOKUP($B42, '[413]t (Cherniak) Category'!$1:$1048576, MATCH(I$1, '[413]t (Cherniak) Category'!$1:$1, 0), 0)</f>
        <v>Interior</v>
      </c>
      <c r="J42" s="1"/>
      <c r="K42" s="4">
        <f>VLOOKUP($B42, '[413]t (Cherniak)'!$1:$1048576, MATCH(LEFT(K$1,FIND(" (",K$1)-1), '[413]t (Cherniak)'!$1:$1, 0), 0)</f>
        <v>35.554084211458303</v>
      </c>
      <c r="L42" s="4">
        <f>'D(Ti_Audétat23) Times'!Z42</f>
        <v>2499.4462896855835</v>
      </c>
      <c r="M42" s="4">
        <f>VLOOKUP($B42, '[413]t (J)'!$1:$1048576, MATCH(LEFT(M$1,FIND(" (",M$1)-1),'[413]t (J)'!$1:$1, 0), 0)</f>
        <v>42760.212438459916</v>
      </c>
      <c r="O42" s="1">
        <f t="shared" si="5"/>
        <v>5.8766653046758375</v>
      </c>
      <c r="P42" s="3">
        <f t="shared" si="1"/>
        <v>1.8622028622822511E-13</v>
      </c>
      <c r="Q42" s="3"/>
      <c r="R42" s="11">
        <f t="shared" si="6"/>
        <v>8.3594296059581838E-2</v>
      </c>
      <c r="S42" s="3">
        <f t="shared" si="7"/>
        <v>2.6489433942879633E-15</v>
      </c>
      <c r="T42" s="3"/>
      <c r="U42" s="9">
        <f t="shared" si="2"/>
        <v>4.8863053107068549E-3</v>
      </c>
      <c r="V42" s="3">
        <f t="shared" si="3"/>
        <v>1.5483767177183481E-16</v>
      </c>
    </row>
    <row r="43" spans="1:22" x14ac:dyDescent="0.2">
      <c r="A43" t="s">
        <v>492</v>
      </c>
      <c r="B43" s="1" t="str">
        <f>VLOOKUP(REPLACE(A43,FIND("dist",A43),4,"fit")&amp;"*",'[413]t (Cherniak)'!$A:$A,1,0)</f>
        <v>CGI001-qtz12-CL-fit-1</v>
      </c>
      <c r="C43">
        <v>2100</v>
      </c>
      <c r="D43">
        <v>1024</v>
      </c>
      <c r="E43" s="1">
        <f t="shared" si="0"/>
        <v>2.05078125</v>
      </c>
      <c r="F43">
        <f>'[455]CGI001-qtz12-CL-dist-1'!$B$4</f>
        <v>327.11599999999999</v>
      </c>
      <c r="G43" s="1">
        <f t="shared" si="4"/>
        <v>670.84335937499998</v>
      </c>
      <c r="H43" s="1"/>
      <c r="I43" s="1" t="str">
        <f>VLOOKUP($B43, '[413]t (Cherniak) Category'!$1:$1048576, MATCH(I$1, '[413]t (Cherniak) Category'!$1:$1, 0), 0)</f>
        <v>Core</v>
      </c>
      <c r="J43" s="1"/>
      <c r="K43" s="4">
        <f>VLOOKUP($B43, '[413]t (Cherniak)'!$1:$1048576, MATCH(LEFT(K$1,FIND(" (",K$1)-1), '[413]t (Cherniak)'!$1:$1, 0), 0)</f>
        <v>1804.371789414716</v>
      </c>
      <c r="L43" s="4">
        <f>'D(Ti_Audétat23) Times'!Z43</f>
        <v>126847.04090374228</v>
      </c>
      <c r="M43" s="4">
        <f>VLOOKUP($B43, '[413]t (J)'!$1:$1048576, MATCH(LEFT(M$1,FIND(" (",M$1)-1),'[413]t (J)'!$1:$1, 0), 0)</f>
        <v>2170083.2054752191</v>
      </c>
      <c r="O43" s="1">
        <f t="shared" si="5"/>
        <v>0.37178776752689169</v>
      </c>
      <c r="P43" s="3">
        <f t="shared" si="1"/>
        <v>1.1781243425573924E-14</v>
      </c>
      <c r="Q43" s="3"/>
      <c r="R43" s="11">
        <f t="shared" si="6"/>
        <v>5.2886007792966065E-3</v>
      </c>
      <c r="S43" s="3">
        <f t="shared" si="7"/>
        <v>1.6758564590769281E-16</v>
      </c>
      <c r="T43" s="3"/>
      <c r="U43" s="9">
        <f t="shared" si="2"/>
        <v>3.091325520064998E-4</v>
      </c>
      <c r="V43" s="3">
        <f t="shared" si="3"/>
        <v>9.7958194541568373E-18</v>
      </c>
    </row>
    <row r="44" spans="1:22" x14ac:dyDescent="0.2">
      <c r="A44" t="s">
        <v>493</v>
      </c>
      <c r="B44" s="1" t="str">
        <f>VLOOKUP(REPLACE(A44,FIND("dist",A44),4,"fit")&amp;"*",'[413]t (Cherniak)'!$A:$A,1,0)</f>
        <v>CGI001-qtz12-CL-fit-2-offset</v>
      </c>
      <c r="C44">
        <v>2100</v>
      </c>
      <c r="D44">
        <v>1024</v>
      </c>
      <c r="E44" s="1">
        <f t="shared" si="0"/>
        <v>2.05078125</v>
      </c>
      <c r="F44">
        <f>'[456]CGI001-qtz12-CL-dist-2'!$B$4</f>
        <v>628.90800000000002</v>
      </c>
      <c r="G44" s="1">
        <f t="shared" si="4"/>
        <v>1289.752734375</v>
      </c>
      <c r="H44" s="1"/>
      <c r="I44" s="1" t="str">
        <f>VLOOKUP($B44, '[413]t (Cherniak) Category'!$1:$1048576, MATCH(I$1, '[413]t (Cherniak) Category'!$1:$1, 0), 0)</f>
        <v>Interior</v>
      </c>
      <c r="J44" s="1"/>
      <c r="K44" s="4">
        <f>VLOOKUP($B44, '[413]t (Cherniak)'!$1:$1048576, MATCH(LEFT(K$1,FIND(" (",K$1)-1), '[413]t (Cherniak)'!$1:$1, 0), 0)</f>
        <v>2282.5195585620945</v>
      </c>
      <c r="L44" s="4">
        <f>'D(Ti_Audétat23) Times'!Z44</f>
        <v>160460.75066515693</v>
      </c>
      <c r="M44" s="4">
        <f>VLOOKUP($B44, '[413]t (J)'!$1:$1048576, MATCH(LEFT(M$1,FIND(" (",M$1)-1),'[413]t (J)'!$1:$1, 0), 0)</f>
        <v>2745142.3200376015</v>
      </c>
      <c r="O44" s="1">
        <f t="shared" si="5"/>
        <v>0.56505659701224997</v>
      </c>
      <c r="P44" s="3">
        <f t="shared" si="1"/>
        <v>1.7905563066020545E-14</v>
      </c>
      <c r="Q44" s="3"/>
      <c r="R44" s="11">
        <f t="shared" si="6"/>
        <v>8.0378081806834149E-3</v>
      </c>
      <c r="S44" s="3">
        <f t="shared" si="7"/>
        <v>2.5470277146181632E-16</v>
      </c>
      <c r="T44" s="3"/>
      <c r="U44" s="9">
        <f t="shared" si="2"/>
        <v>4.6983091731190598E-4</v>
      </c>
      <c r="V44" s="3">
        <f t="shared" si="3"/>
        <v>1.4888043365525451E-17</v>
      </c>
    </row>
    <row r="45" spans="1:22" x14ac:dyDescent="0.2">
      <c r="A45" t="s">
        <v>494</v>
      </c>
      <c r="B45" s="1" t="str">
        <f>VLOOKUP(REPLACE(A45,FIND("dist",A45),4,"fit")&amp;"*",'[413]t (Cherniak)'!$A:$A,1,0)</f>
        <v>CGI001-qtz12-CL-fit-3-offset</v>
      </c>
      <c r="C45">
        <v>2100</v>
      </c>
      <c r="D45">
        <v>1024</v>
      </c>
      <c r="E45" s="1">
        <f t="shared" si="0"/>
        <v>2.05078125</v>
      </c>
      <c r="F45">
        <f>'[457]CGI001-qtz12-CL-dist-3'!$B$4</f>
        <v>231.08699999999999</v>
      </c>
      <c r="G45" s="1">
        <f t="shared" si="4"/>
        <v>473.90888671874995</v>
      </c>
      <c r="H45" s="1"/>
      <c r="I45" s="1" t="str">
        <f>VLOOKUP($B45, '[413]t (Cherniak) Category'!$1:$1048576, MATCH(I$1, '[413]t (Cherniak) Category'!$1:$1, 0), 0)</f>
        <v>Interior</v>
      </c>
      <c r="J45" s="1"/>
      <c r="K45" s="4">
        <f>VLOOKUP($B45, '[413]t (Cherniak)'!$1:$1048576, MATCH(LEFT(K$1,FIND(" (",K$1)-1), '[413]t (Cherniak)'!$1:$1, 0), 0)</f>
        <v>75.165493769254027</v>
      </c>
      <c r="L45" s="4">
        <f>'D(Ti_Audétat23) Times'!Z45</f>
        <v>5284.1218858732345</v>
      </c>
      <c r="M45" s="4">
        <f>VLOOKUP($B45, '[413]t (J)'!$1:$1048576, MATCH(LEFT(M$1,FIND(" (",M$1)-1),'[413]t (J)'!$1:$1, 0), 0)</f>
        <v>90400.091941594874</v>
      </c>
      <c r="O45" s="1">
        <f t="shared" si="5"/>
        <v>6.3048729271116608</v>
      </c>
      <c r="P45" s="3">
        <f t="shared" si="1"/>
        <v>1.9978936697060805E-13</v>
      </c>
      <c r="Q45" s="3"/>
      <c r="R45" s="11">
        <f t="shared" si="6"/>
        <v>8.968545710228891E-2</v>
      </c>
      <c r="S45" s="3">
        <f t="shared" si="7"/>
        <v>2.8419606402986572E-15</v>
      </c>
      <c r="T45" s="3"/>
      <c r="U45" s="9">
        <f t="shared" si="2"/>
        <v>5.2423496098314816E-3</v>
      </c>
      <c r="V45" s="3">
        <f t="shared" si="3"/>
        <v>1.6612003478818039E-16</v>
      </c>
    </row>
    <row r="46" spans="1:22" x14ac:dyDescent="0.2">
      <c r="A46" t="s">
        <v>495</v>
      </c>
      <c r="B46" s="1" t="str">
        <f>VLOOKUP(REPLACE(A46,FIND("dist",A46),4,"fit")&amp;"*",'[413]t (Cherniak)'!$A:$A,1,0)</f>
        <v>CGI001-qtz12-CL-fit-4-offset</v>
      </c>
      <c r="C46">
        <v>2100</v>
      </c>
      <c r="D46">
        <v>1024</v>
      </c>
      <c r="E46" s="1">
        <f t="shared" si="0"/>
        <v>2.05078125</v>
      </c>
      <c r="F46">
        <f>'[458]CGI001-qtz12-CL-dist-4'!$B$4</f>
        <v>49.679000000000002</v>
      </c>
      <c r="G46" s="1">
        <f t="shared" si="4"/>
        <v>101.88076171875001</v>
      </c>
      <c r="H46" s="1"/>
      <c r="I46" s="1" t="str">
        <f>VLOOKUP($B46, '[413]t (Cherniak) Category'!$1:$1048576, MATCH(I$1, '[413]t (Cherniak) Category'!$1:$1, 0), 0)</f>
        <v>Rim</v>
      </c>
      <c r="J46" s="1"/>
      <c r="K46" s="4">
        <f>VLOOKUP($B46, '[413]t (Cherniak)'!$1:$1048576, MATCH(LEFT(K$1,FIND(" (",K$1)-1), '[413]t (Cherniak)'!$1:$1, 0), 0)</f>
        <v>27.01109297962163</v>
      </c>
      <c r="L46" s="4">
        <f>'D(Ti_Audétat23) Times'!Z46</f>
        <v>1898.8754070203195</v>
      </c>
      <c r="M46" s="4">
        <f>VLOOKUP($B46, '[413]t (J)'!$1:$1048576, MATCH(LEFT(M$1,FIND(" (",M$1)-1),'[413]t (J)'!$1:$1, 0), 0)</f>
        <v>32485.721390944527</v>
      </c>
      <c r="O46" s="1">
        <f t="shared" si="5"/>
        <v>3.771811892084981</v>
      </c>
      <c r="P46" s="3">
        <f t="shared" si="1"/>
        <v>1.1952150645438754E-13</v>
      </c>
      <c r="Q46" s="3"/>
      <c r="R46" s="11">
        <f t="shared" si="6"/>
        <v>5.3653210390785688E-2</v>
      </c>
      <c r="S46" s="3">
        <f t="shared" si="7"/>
        <v>1.7001676423677875E-15</v>
      </c>
      <c r="T46" s="3"/>
      <c r="U46" s="9">
        <f t="shared" si="2"/>
        <v>3.1361705191238114E-3</v>
      </c>
      <c r="V46" s="3">
        <f t="shared" si="3"/>
        <v>9.9379246809764087E-17</v>
      </c>
    </row>
    <row r="47" spans="1:22" x14ac:dyDescent="0.2">
      <c r="A47" t="s">
        <v>496</v>
      </c>
      <c r="B47" s="1" t="str">
        <f>VLOOKUP(REPLACE(A47,FIND("dist",A47),4,"fit")&amp;"*",'[413]t (Cherniak)'!$A:$A,1,0)</f>
        <v>CGI005-qtz01-CL-fit-1-offset</v>
      </c>
      <c r="C47">
        <v>1700</v>
      </c>
      <c r="D47">
        <v>1024</v>
      </c>
      <c r="E47" s="1">
        <f t="shared" si="0"/>
        <v>1.66015625</v>
      </c>
      <c r="F47">
        <f>'[459]CGI005-qtz01-CL-dist-1'!$B$4</f>
        <v>428.56200000000001</v>
      </c>
      <c r="G47" s="1">
        <f t="shared" si="4"/>
        <v>711.47988281250002</v>
      </c>
      <c r="H47" s="1"/>
      <c r="I47" s="1" t="str">
        <f>VLOOKUP($B47, '[413]t (Cherniak) Category'!$1:$1048576, MATCH(I$1, '[413]t (Cherniak) Category'!$1:$1, 0), 0)</f>
        <v>Core</v>
      </c>
      <c r="J47" s="1"/>
      <c r="K47" s="4">
        <f>VLOOKUP($B47, '[413]t (Cherniak)'!$1:$1048576, MATCH(LEFT(K$1,FIND(" (",K$1)-1), '[413]t (Cherniak)'!$1:$1, 0), 0)</f>
        <v>1306.9586841622684</v>
      </c>
      <c r="L47" s="4">
        <f>'D(Ti_Audétat23) Times'!Z47</f>
        <v>91878.981173390945</v>
      </c>
      <c r="M47" s="4">
        <f>VLOOKUP($B47, '[413]t (J)'!$1:$1048576, MATCH(LEFT(M$1,FIND(" (",M$1)-1),'[413]t (J)'!$1:$1, 0), 0)</f>
        <v>1571854.0421597429</v>
      </c>
      <c r="O47" s="1">
        <f t="shared" si="5"/>
        <v>0.54437825115224892</v>
      </c>
      <c r="P47" s="3">
        <f t="shared" si="1"/>
        <v>1.7250305826559969E-14</v>
      </c>
      <c r="Q47" s="3"/>
      <c r="R47" s="11">
        <f t="shared" si="6"/>
        <v>7.7436631722093106E-3</v>
      </c>
      <c r="S47" s="3">
        <f t="shared" si="7"/>
        <v>2.4538187860323062E-16</v>
      </c>
      <c r="T47" s="3"/>
      <c r="U47" s="9">
        <f t="shared" si="2"/>
        <v>4.5263737200110492E-4</v>
      </c>
      <c r="V47" s="3">
        <f t="shared" si="3"/>
        <v>1.4343212791882301E-17</v>
      </c>
    </row>
    <row r="48" spans="1:22" x14ac:dyDescent="0.2">
      <c r="A48" t="s">
        <v>497</v>
      </c>
      <c r="B48" s="1" t="str">
        <f>VLOOKUP(REPLACE(A48,FIND("dist",A48),4,"fit")&amp;"*",'[413]t (Cherniak)'!$A:$A,1,0)</f>
        <v>CGI005-qtz01-CL-fit-2</v>
      </c>
      <c r="C48">
        <v>1700</v>
      </c>
      <c r="D48">
        <v>1024</v>
      </c>
      <c r="E48" s="1">
        <f t="shared" si="0"/>
        <v>1.66015625</v>
      </c>
      <c r="F48">
        <f>'[460]CGI005-qtz01-CL-dist-2'!$B$4</f>
        <v>195.87</v>
      </c>
      <c r="G48" s="1">
        <f t="shared" si="4"/>
        <v>325.1748046875</v>
      </c>
      <c r="H48" s="1"/>
      <c r="I48" s="1" t="str">
        <f>VLOOKUP($B48, '[413]t (Cherniak) Category'!$1:$1048576, MATCH(I$1, '[413]t (Cherniak) Category'!$1:$1, 0), 0)</f>
        <v>Interior</v>
      </c>
      <c r="J48" s="1"/>
      <c r="K48" s="4">
        <f>VLOOKUP($B48, '[413]t (Cherniak)'!$1:$1048576, MATCH(LEFT(K$1,FIND(" (",K$1)-1), '[413]t (Cherniak)'!$1:$1, 0), 0)</f>
        <v>1899.3967238572552</v>
      </c>
      <c r="L48" s="4">
        <f>'D(Ti_Audétat23) Times'!Z48</f>
        <v>133527.27821227282</v>
      </c>
      <c r="M48" s="4">
        <f>VLOOKUP($B48, '[413]t (J)'!$1:$1048576, MATCH(LEFT(M$1,FIND(" (",M$1)-1),'[413]t (J)'!$1:$1, 0), 0)</f>
        <v>2284367.8642938025</v>
      </c>
      <c r="O48" s="1">
        <f t="shared" si="5"/>
        <v>0.17119899208162359</v>
      </c>
      <c r="P48" s="3">
        <f t="shared" si="1"/>
        <v>5.4249686947557345E-15</v>
      </c>
      <c r="Q48" s="3"/>
      <c r="R48" s="11">
        <f t="shared" si="6"/>
        <v>2.4352687259194981E-3</v>
      </c>
      <c r="S48" s="3">
        <f t="shared" si="7"/>
        <v>7.7169009237695454E-17</v>
      </c>
      <c r="T48" s="3"/>
      <c r="U48" s="9">
        <f t="shared" si="2"/>
        <v>1.4234782837309161E-4</v>
      </c>
      <c r="V48" s="3">
        <f t="shared" si="3"/>
        <v>4.5107304856228489E-18</v>
      </c>
    </row>
    <row r="49" spans="1:22" x14ac:dyDescent="0.2">
      <c r="A49" t="s">
        <v>498</v>
      </c>
      <c r="B49" s="1" t="str">
        <f>VLOOKUP(REPLACE(A49,FIND("dist",A49),4,"fit")&amp;"*",'[413]t (Cherniak)'!$A:$A,1,0)</f>
        <v>CGI005-qtz01-CL-fit-3-offset</v>
      </c>
      <c r="C49">
        <v>1700</v>
      </c>
      <c r="D49">
        <v>1024</v>
      </c>
      <c r="E49" s="1">
        <f t="shared" si="0"/>
        <v>1.66015625</v>
      </c>
      <c r="F49">
        <f>'[461]CGI005-qtz01-CL-dist-3'!$B$4</f>
        <v>254.892</v>
      </c>
      <c r="G49" s="1">
        <f t="shared" si="4"/>
        <v>423.16054687499997</v>
      </c>
      <c r="H49" s="1"/>
      <c r="I49" s="1" t="str">
        <f>VLOOKUP($B49, '[413]t (Cherniak) Category'!$1:$1048576, MATCH(I$1, '[413]t (Cherniak) Category'!$1:$1, 0), 0)</f>
        <v>Interior</v>
      </c>
      <c r="J49" s="1"/>
      <c r="K49" s="4">
        <f>VLOOKUP($B49, '[413]t (Cherniak)'!$1:$1048576, MATCH(LEFT(K$1,FIND(" (",K$1)-1), '[413]t (Cherniak)'!$1:$1, 0), 0)</f>
        <v>1055.4176700275823</v>
      </c>
      <c r="L49" s="4">
        <f>'D(Ti_Audétat23) Times'!Z49</f>
        <v>74195.689128983038</v>
      </c>
      <c r="M49" s="4">
        <f>VLOOKUP($B49, '[413]t (J)'!$1:$1048576, MATCH(LEFT(M$1,FIND(" (",M$1)-1),'[413]t (J)'!$1:$1, 0), 0)</f>
        <v>1269330.5082272217</v>
      </c>
      <c r="O49" s="1">
        <f t="shared" si="5"/>
        <v>0.40094131346497269</v>
      </c>
      <c r="P49" s="3">
        <f t="shared" si="1"/>
        <v>1.2705063549350162E-14</v>
      </c>
      <c r="Q49" s="3"/>
      <c r="R49" s="11">
        <f t="shared" si="6"/>
        <v>5.7033036803441576E-3</v>
      </c>
      <c r="S49" s="3">
        <f t="shared" si="7"/>
        <v>1.8072678785282015E-16</v>
      </c>
      <c r="T49" s="3"/>
      <c r="U49" s="9">
        <f t="shared" si="2"/>
        <v>3.3337302155133454E-4</v>
      </c>
      <c r="V49" s="3">
        <f t="shared" si="3"/>
        <v>1.0563953581746854E-17</v>
      </c>
    </row>
    <row r="50" spans="1:22" x14ac:dyDescent="0.2">
      <c r="A50" t="s">
        <v>499</v>
      </c>
      <c r="B50" s="1" t="str">
        <f>VLOOKUP(REPLACE(A50,FIND("dist",A50),4,"fit")&amp;"*",'[413]t (Cherniak)'!$A:$A,1,0)</f>
        <v>CGI005-qtz01-CL-fit-4-offset</v>
      </c>
      <c r="C50">
        <v>1700</v>
      </c>
      <c r="D50">
        <v>1024</v>
      </c>
      <c r="E50" s="1">
        <f t="shared" si="0"/>
        <v>1.66015625</v>
      </c>
      <c r="F50">
        <f>'[462]CGI005-qtz01-CL-dist-4'!$B$4</f>
        <v>115.38200000000001</v>
      </c>
      <c r="G50" s="1">
        <f t="shared" si="4"/>
        <v>191.55214843749999</v>
      </c>
      <c r="H50" s="1"/>
      <c r="I50" s="1" t="str">
        <f>VLOOKUP($B50, '[413]t (Cherniak) Category'!$1:$1048576, MATCH(I$1, '[413]t (Cherniak) Category'!$1:$1, 0), 0)</f>
        <v>Rim</v>
      </c>
      <c r="J50" s="1"/>
      <c r="K50" s="4">
        <f>VLOOKUP($B50, '[413]t (Cherniak)'!$1:$1048576, MATCH(LEFT(K$1,FIND(" (",K$1)-1), '[413]t (Cherniak)'!$1:$1, 0), 0)</f>
        <v>91.375086146466302</v>
      </c>
      <c r="L50" s="4">
        <f>'D(Ti_Audétat23) Times'!Z50</f>
        <v>6423.6535718414489</v>
      </c>
      <c r="M50" s="4">
        <f>VLOOKUP($B50, '[413]t (J)'!$1:$1048576, MATCH(LEFT(M$1,FIND(" (",M$1)-1),'[413]t (J)'!$1:$1, 0), 0)</f>
        <v>109895.05655573217</v>
      </c>
      <c r="O50" s="1">
        <f t="shared" si="5"/>
        <v>2.096327965485675</v>
      </c>
      <c r="P50" s="3">
        <f t="shared" si="1"/>
        <v>6.6428624657314723E-14</v>
      </c>
      <c r="Q50" s="3"/>
      <c r="R50" s="11">
        <f t="shared" si="6"/>
        <v>2.9819813023103041E-2</v>
      </c>
      <c r="S50" s="3">
        <f t="shared" si="7"/>
        <v>9.449328536740132E-16</v>
      </c>
      <c r="T50" s="3"/>
      <c r="U50" s="9">
        <f t="shared" si="2"/>
        <v>1.7430460881591727E-3</v>
      </c>
      <c r="V50" s="3">
        <f t="shared" si="3"/>
        <v>5.5233797505487514E-17</v>
      </c>
    </row>
    <row r="51" spans="1:22" x14ac:dyDescent="0.2">
      <c r="A51" t="s">
        <v>500</v>
      </c>
      <c r="B51" s="1" t="str">
        <f>VLOOKUP(REPLACE(A51,FIND("dist",A51),4,"fit")&amp;"*",'[413]t (Cherniak)'!$A:$A,1,0)</f>
        <v>CGI005-qtz01-CL-fit-5-offset</v>
      </c>
      <c r="C51">
        <v>1700</v>
      </c>
      <c r="D51">
        <v>1024</v>
      </c>
      <c r="E51" s="1">
        <f t="shared" si="0"/>
        <v>1.66015625</v>
      </c>
      <c r="F51">
        <f>'[463]CGI005-qtz01-CL-dist-5'!$B$4</f>
        <v>87.726900000000001</v>
      </c>
      <c r="G51" s="1">
        <f t="shared" si="4"/>
        <v>145.64036132812501</v>
      </c>
      <c r="H51" s="1"/>
      <c r="I51" s="1" t="str">
        <f>VLOOKUP($B51, '[413]t (Cherniak) Category'!$1:$1048576, MATCH(I$1, '[413]t (Cherniak) Category'!$1:$1, 0), 0)</f>
        <v>Rim</v>
      </c>
      <c r="J51" s="1"/>
      <c r="K51" s="4">
        <f>VLOOKUP($B51, '[413]t (Cherniak)'!$1:$1048576, MATCH(LEFT(K$1,FIND(" (",K$1)-1), '[413]t (Cherniak)'!$1:$1, 0), 0)</f>
        <v>419.75867788100334</v>
      </c>
      <c r="L51" s="4">
        <f>'D(Ti_Audétat23) Times'!Z51</f>
        <v>29508.96622039493</v>
      </c>
      <c r="M51" s="4">
        <f>VLOOKUP($B51, '[413]t (J)'!$1:$1048576, MATCH(LEFT(M$1,FIND(" (",M$1)-1),'[413]t (J)'!$1:$1, 0), 0)</f>
        <v>504835.67885835766</v>
      </c>
      <c r="O51" s="1">
        <f t="shared" si="5"/>
        <v>0.34696212133918608</v>
      </c>
      <c r="P51" s="3">
        <f t="shared" si="1"/>
        <v>1.0994566169137897E-14</v>
      </c>
      <c r="Q51" s="3"/>
      <c r="R51" s="11">
        <f t="shared" si="6"/>
        <v>4.9354613184472255E-3</v>
      </c>
      <c r="S51" s="3">
        <f t="shared" si="7"/>
        <v>1.5639533166169878E-16</v>
      </c>
      <c r="T51" s="3"/>
      <c r="U51" s="9">
        <f t="shared" si="2"/>
        <v>2.8849062660840082E-4</v>
      </c>
      <c r="V51" s="3">
        <f t="shared" si="3"/>
        <v>9.1417163094912424E-18</v>
      </c>
    </row>
    <row r="52" spans="1:22" x14ac:dyDescent="0.2">
      <c r="A52" t="s">
        <v>501</v>
      </c>
      <c r="B52" s="1" t="str">
        <f>VLOOKUP(REPLACE(A52,FIND("dist",A52),4,"fit")&amp;"*",'[413]t (Cherniak)'!$A:$A,1,0)</f>
        <v>CGI005-qtz03-CL-fit-1-offset</v>
      </c>
      <c r="C52">
        <v>1400</v>
      </c>
      <c r="D52">
        <v>1024</v>
      </c>
      <c r="E52" s="1">
        <f t="shared" si="0"/>
        <v>1.3671875</v>
      </c>
      <c r="F52">
        <f>'[464]CGI005-qtz03-CL-dist-1'!$B$4</f>
        <v>529.63900000000001</v>
      </c>
      <c r="G52" s="1">
        <f t="shared" si="4"/>
        <v>724.11582031249998</v>
      </c>
      <c r="H52" s="1"/>
      <c r="I52" s="1" t="str">
        <f>VLOOKUP($B52, '[413]t (Cherniak) Category'!$1:$1048576, MATCH(I$1, '[413]t (Cherniak) Category'!$1:$1, 0), 0)</f>
        <v>Core</v>
      </c>
      <c r="J52" s="1"/>
      <c r="K52" s="4">
        <f>VLOOKUP($B52, '[413]t (Cherniak)'!$1:$1048576, MATCH(LEFT(K$1,FIND(" (",K$1)-1), '[413]t (Cherniak)'!$1:$1, 0), 0)</f>
        <v>2848.9086237129536</v>
      </c>
      <c r="L52" s="4">
        <f>'D(Ti_Audétat23) Times'!Z52</f>
        <v>200277.80906525953</v>
      </c>
      <c r="M52" s="4">
        <f>VLOOKUP($B52, '[413]t (J)'!$1:$1048576, MATCH(LEFT(M$1,FIND(" (",M$1)-1),'[413]t (J)'!$1:$1, 0), 0)</f>
        <v>3426327.5420961748</v>
      </c>
      <c r="O52" s="1">
        <f t="shared" si="5"/>
        <v>0.2541730592147835</v>
      </c>
      <c r="P52" s="3">
        <f t="shared" si="1"/>
        <v>8.0542582203584406E-15</v>
      </c>
      <c r="Q52" s="3"/>
      <c r="R52" s="11">
        <f t="shared" si="6"/>
        <v>3.6155569291081591E-3</v>
      </c>
      <c r="S52" s="3">
        <f t="shared" si="7"/>
        <v>1.1457008546620017E-16</v>
      </c>
      <c r="T52" s="3"/>
      <c r="U52" s="9">
        <f t="shared" si="2"/>
        <v>2.1133876181303349E-4</v>
      </c>
      <c r="V52" s="3">
        <f t="shared" si="3"/>
        <v>6.6969212428395529E-18</v>
      </c>
    </row>
    <row r="53" spans="1:22" x14ac:dyDescent="0.2">
      <c r="A53" t="s">
        <v>502</v>
      </c>
      <c r="B53" s="1" t="str">
        <f>VLOOKUP(REPLACE(A53,FIND("dist",A53),4,"fit")&amp;"*",'[413]t (Cherniak)'!$A:$A,1,0)</f>
        <v>CGI005-qtz03-CL-fit-2-offset</v>
      </c>
      <c r="C53">
        <v>1400</v>
      </c>
      <c r="D53">
        <v>1024</v>
      </c>
      <c r="E53" s="1">
        <f t="shared" si="0"/>
        <v>1.3671875</v>
      </c>
      <c r="F53">
        <f>'[465]CGI005-qtz03-CL-dist-2'!$B$4</f>
        <v>496.01600000000002</v>
      </c>
      <c r="G53" s="1">
        <f t="shared" si="4"/>
        <v>678.14687500000002</v>
      </c>
      <c r="H53" s="1"/>
      <c r="I53" s="1" t="str">
        <f>VLOOKUP($B53, '[413]t (Cherniak) Category'!$1:$1048576, MATCH(I$1, '[413]t (Cherniak) Category'!$1:$1, 0), 0)</f>
        <v>Core</v>
      </c>
      <c r="J53" s="1"/>
      <c r="K53" s="4">
        <f>VLOOKUP($B53, '[413]t (Cherniak)'!$1:$1048576, MATCH(LEFT(K$1,FIND(" (",K$1)-1), '[413]t (Cherniak)'!$1:$1, 0), 0)</f>
        <v>1264.2684576857339</v>
      </c>
      <c r="L53" s="4">
        <f>'D(Ti_Audétat23) Times'!Z53</f>
        <v>88877.865252699514</v>
      </c>
      <c r="M53" s="4">
        <f>VLOOKUP($B53, '[413]t (J)'!$1:$1048576, MATCH(LEFT(M$1,FIND(" (",M$1)-1),'[413]t (J)'!$1:$1, 0), 0)</f>
        <v>1520511.3288352836</v>
      </c>
      <c r="O53" s="1">
        <f t="shared" si="5"/>
        <v>0.53639468016259784</v>
      </c>
      <c r="P53" s="3">
        <f t="shared" si="1"/>
        <v>1.6997321727970372E-14</v>
      </c>
      <c r="Q53" s="3"/>
      <c r="R53" s="11">
        <f t="shared" si="6"/>
        <v>7.6300985973490453E-3</v>
      </c>
      <c r="S53" s="3">
        <f t="shared" si="7"/>
        <v>2.4178323438249567E-16</v>
      </c>
      <c r="T53" s="3"/>
      <c r="U53" s="9">
        <f t="shared" si="2"/>
        <v>4.4599922548387889E-4</v>
      </c>
      <c r="V53" s="3">
        <f t="shared" si="3"/>
        <v>1.413286262212205E-17</v>
      </c>
    </row>
    <row r="54" spans="1:22" x14ac:dyDescent="0.2">
      <c r="A54" t="s">
        <v>503</v>
      </c>
      <c r="B54" s="1" t="str">
        <f>VLOOKUP(REPLACE(A54,FIND("dist",A54),4,"fit")&amp;"*",'[413]t (Cherniak)'!$A:$A,1,0)</f>
        <v>CGI005-qtz03-CL-fit-3</v>
      </c>
      <c r="C54">
        <v>1400</v>
      </c>
      <c r="D54">
        <v>1024</v>
      </c>
      <c r="E54" s="1">
        <f t="shared" si="0"/>
        <v>1.3671875</v>
      </c>
      <c r="F54">
        <f>'[466]CGI005-qtz03-CL-dist-3'!$B$4</f>
        <v>385.012</v>
      </c>
      <c r="G54" s="1">
        <f t="shared" si="4"/>
        <v>526.38359375000005</v>
      </c>
      <c r="H54" s="1"/>
      <c r="I54" s="1" t="str">
        <f>VLOOKUP($B54, '[413]t (Cherniak) Category'!$1:$1048576, MATCH(I$1, '[413]t (Cherniak) Category'!$1:$1, 0), 0)</f>
        <v>Core</v>
      </c>
      <c r="J54" s="1"/>
      <c r="K54" s="4">
        <f>VLOOKUP($B54, '[413]t (Cherniak)'!$1:$1048576, MATCH(LEFT(K$1,FIND(" (",K$1)-1), '[413]t (Cherniak)'!$1:$1, 0), 0)</f>
        <v>1520.9932709451339</v>
      </c>
      <c r="L54" s="4">
        <f>'D(Ti_Audétat23) Times'!Z54</f>
        <v>106925.57752550322</v>
      </c>
      <c r="M54" s="4">
        <f>VLOOKUP($B54, '[413]t (J)'!$1:$1048576, MATCH(LEFT(M$1,FIND(" (",M$1)-1),'[413]t (J)'!$1:$1, 0), 0)</f>
        <v>1829269.318153936</v>
      </c>
      <c r="O54" s="1">
        <f t="shared" si="5"/>
        <v>0.34607884453223731</v>
      </c>
      <c r="P54" s="3">
        <f t="shared" si="1"/>
        <v>1.0966576816115208E-14</v>
      </c>
      <c r="Q54" s="3"/>
      <c r="R54" s="11">
        <f t="shared" si="6"/>
        <v>4.9228968964366857E-3</v>
      </c>
      <c r="S54" s="3">
        <f t="shared" si="7"/>
        <v>1.5599718915369627E-16</v>
      </c>
      <c r="T54" s="3"/>
      <c r="U54" s="9">
        <f t="shared" si="2"/>
        <v>2.8775620326984791E-4</v>
      </c>
      <c r="V54" s="3">
        <f t="shared" si="3"/>
        <v>9.118443838246505E-18</v>
      </c>
    </row>
    <row r="55" spans="1:22" x14ac:dyDescent="0.2">
      <c r="A55" t="s">
        <v>504</v>
      </c>
      <c r="B55" s="1" t="str">
        <f>VLOOKUP(REPLACE(A55,FIND("dist",A55),4,"fit")&amp;"*",'[413]t (Cherniak)'!$A:$A,1,0)</f>
        <v>CGI005-qtz03-CL-fit-4-offset</v>
      </c>
      <c r="C55">
        <v>1400</v>
      </c>
      <c r="D55">
        <v>1024</v>
      </c>
      <c r="E55" s="1">
        <f t="shared" si="0"/>
        <v>1.3671875</v>
      </c>
      <c r="F55">
        <f>'[467]CGI005-qtz03-CL-dist-4'!$B$4</f>
        <v>225.80099999999999</v>
      </c>
      <c r="G55" s="1">
        <f t="shared" si="4"/>
        <v>308.71230468749997</v>
      </c>
      <c r="H55" s="1"/>
      <c r="I55" s="1" t="str">
        <f>VLOOKUP($B55, '[413]t (Cherniak) Category'!$1:$1048576, MATCH(I$1, '[413]t (Cherniak) Category'!$1:$1, 0), 0)</f>
        <v>Interior</v>
      </c>
      <c r="J55" s="1"/>
      <c r="K55" s="4">
        <f>VLOOKUP($B55, '[413]t (Cherniak)'!$1:$1048576, MATCH(LEFT(K$1,FIND(" (",K$1)-1), '[413]t (Cherniak)'!$1:$1, 0), 0)</f>
        <v>1066.234236395863</v>
      </c>
      <c r="L55" s="4">
        <f>'D(Ti_Audétat23) Times'!Z55</f>
        <v>74956.091970905312</v>
      </c>
      <c r="M55" s="4">
        <f>VLOOKUP($B55, '[413]t (J)'!$1:$1048576, MATCH(LEFT(M$1,FIND(" (",M$1)-1),'[413]t (J)'!$1:$1, 0), 0)</f>
        <v>1282339.3843105305</v>
      </c>
      <c r="O55" s="1">
        <f t="shared" si="5"/>
        <v>0.28953516417839326</v>
      </c>
      <c r="P55" s="3">
        <f t="shared" si="1"/>
        <v>9.1748157077342142E-15</v>
      </c>
      <c r="Q55" s="3"/>
      <c r="R55" s="11">
        <f t="shared" si="6"/>
        <v>4.1185752427878525E-3</v>
      </c>
      <c r="S55" s="3">
        <f t="shared" si="7"/>
        <v>1.3050977396214707E-16</v>
      </c>
      <c r="T55" s="3"/>
      <c r="U55" s="9">
        <f t="shared" si="2"/>
        <v>2.4074149828400061E-4</v>
      </c>
      <c r="V55" s="3">
        <f t="shared" si="3"/>
        <v>7.6286377381043112E-18</v>
      </c>
    </row>
    <row r="56" spans="1:22" x14ac:dyDescent="0.2">
      <c r="A56" t="s">
        <v>505</v>
      </c>
      <c r="B56" s="1" t="str">
        <f>VLOOKUP(REPLACE(A56,FIND("dist",A56),4,"fit")&amp;"*",'[413]t (Cherniak)'!$A:$A,1,0)</f>
        <v>CGI005-qtz03-CL-fit-5-offset</v>
      </c>
      <c r="C56">
        <v>1400</v>
      </c>
      <c r="D56">
        <v>1024</v>
      </c>
      <c r="E56" s="1">
        <f t="shared" si="0"/>
        <v>1.3671875</v>
      </c>
      <c r="F56">
        <f>'[468]CGI005-qtz03-CL-dist-5'!$B$4</f>
        <v>119.331</v>
      </c>
      <c r="G56" s="1">
        <f t="shared" si="4"/>
        <v>163.14785156249999</v>
      </c>
      <c r="H56" s="1"/>
      <c r="I56" s="1" t="str">
        <f>VLOOKUP($B56, '[413]t (Cherniak) Category'!$1:$1048576, MATCH(I$1, '[413]t (Cherniak) Category'!$1:$1, 0), 0)</f>
        <v>Interior</v>
      </c>
      <c r="J56" s="1"/>
      <c r="K56" s="4">
        <f>VLOOKUP($B56, '[413]t (Cherniak)'!$1:$1048576, MATCH(LEFT(K$1,FIND(" (",K$1)-1), '[413]t (Cherniak)'!$1:$1, 0), 0)</f>
        <v>65.665369687152335</v>
      </c>
      <c r="L56" s="4">
        <f>'D(Ti_Audétat23) Times'!Z56</f>
        <v>4616.2647207909386</v>
      </c>
      <c r="M56" s="4">
        <f>VLOOKUP($B56, '[413]t (J)'!$1:$1048576, MATCH(LEFT(M$1,FIND(" (",M$1)-1),'[413]t (J)'!$1:$1, 0), 0)</f>
        <v>78974.475645971688</v>
      </c>
      <c r="O56" s="1">
        <f t="shared" si="5"/>
        <v>2.4845341211018943</v>
      </c>
      <c r="P56" s="3">
        <f t="shared" si="1"/>
        <v>7.8730135406428059E-14</v>
      </c>
      <c r="Q56" s="3"/>
      <c r="R56" s="11">
        <f t="shared" si="6"/>
        <v>3.534196183067826E-2</v>
      </c>
      <c r="S56" s="3">
        <f t="shared" si="7"/>
        <v>1.119919190010592E-15</v>
      </c>
      <c r="T56" s="3"/>
      <c r="U56" s="9">
        <f t="shared" si="2"/>
        <v>2.065830133445423E-3</v>
      </c>
      <c r="V56" s="3">
        <f t="shared" si="3"/>
        <v>6.5462206677485702E-17</v>
      </c>
    </row>
    <row r="57" spans="1:22" x14ac:dyDescent="0.2">
      <c r="A57" t="s">
        <v>506</v>
      </c>
      <c r="B57" s="1" t="str">
        <f>VLOOKUP(REPLACE(A57,FIND("dist",A57),4,"fit")&amp;"*",'[413]t (Cherniak)'!$A:$A,1,0)</f>
        <v>CGI005-qtz03-CL-fit-6-offset</v>
      </c>
      <c r="C57">
        <v>1400</v>
      </c>
      <c r="D57">
        <v>1024</v>
      </c>
      <c r="E57" s="1">
        <f t="shared" si="0"/>
        <v>1.3671875</v>
      </c>
      <c r="F57">
        <f>'[469]CGI005-qtz03-CL-dist-6'!$B$4</f>
        <v>64.288399999999996</v>
      </c>
      <c r="G57" s="1">
        <f t="shared" si="4"/>
        <v>87.894296874999995</v>
      </c>
      <c r="H57" s="1"/>
      <c r="I57" s="1" t="str">
        <f>VLOOKUP($B57, '[413]t (Cherniak) Category'!$1:$1048576, MATCH(I$1, '[413]t (Cherniak) Category'!$1:$1, 0), 0)</f>
        <v>Interior</v>
      </c>
      <c r="J57" s="1"/>
      <c r="K57" s="4">
        <f>VLOOKUP($B57, '[413]t (Cherniak)'!$1:$1048576, MATCH(LEFT(K$1,FIND(" (",K$1)-1), '[413]t (Cherniak)'!$1:$1, 0), 0)</f>
        <v>21.518984679198322</v>
      </c>
      <c r="L57" s="4">
        <f>'D(Ti_Audétat23) Times'!Z57</f>
        <v>1512.78109413065</v>
      </c>
      <c r="M57" s="4">
        <f>VLOOKUP($B57, '[413]t (J)'!$1:$1048576, MATCH(LEFT(M$1,FIND(" (",M$1)-1),'[413]t (J)'!$1:$1, 0), 0)</f>
        <v>25880.468496104255</v>
      </c>
      <c r="O57" s="1">
        <f t="shared" si="5"/>
        <v>4.0845001836896353</v>
      </c>
      <c r="P57" s="3">
        <f t="shared" si="1"/>
        <v>1.2943000049717456E-13</v>
      </c>
      <c r="Q57" s="3"/>
      <c r="R57" s="11">
        <f t="shared" si="6"/>
        <v>5.8101133875889832E-2</v>
      </c>
      <c r="S57" s="3">
        <f t="shared" si="7"/>
        <v>1.8411138323538491E-15</v>
      </c>
      <c r="T57" s="3"/>
      <c r="U57" s="9">
        <f t="shared" si="2"/>
        <v>3.3961632838381802E-3</v>
      </c>
      <c r="V57" s="3">
        <f t="shared" si="3"/>
        <v>1.0761792036904518E-16</v>
      </c>
    </row>
    <row r="58" spans="1:22" x14ac:dyDescent="0.2">
      <c r="A58" t="s">
        <v>507</v>
      </c>
      <c r="B58" s="1" t="str">
        <f>VLOOKUP(REPLACE(A58,FIND("dist",A58),4,"fit")&amp;"*",'[413]t (Cherniak)'!$A:$A,1,0)</f>
        <v>CGI005-qtz04-CL-fit-1-offset</v>
      </c>
      <c r="C58">
        <v>1900</v>
      </c>
      <c r="D58">
        <v>1024</v>
      </c>
      <c r="E58" s="1">
        <f t="shared" si="0"/>
        <v>1.85546875</v>
      </c>
      <c r="F58">
        <f>'[470]CGI005-qtz04-CL-dist-1'!$B$4</f>
        <v>732.13400000000001</v>
      </c>
      <c r="G58" s="1">
        <f t="shared" si="4"/>
        <v>1358.4517578125001</v>
      </c>
      <c r="H58" s="1"/>
      <c r="I58" s="1" t="str">
        <f>VLOOKUP($B58, '[413]t (Cherniak) Category'!$1:$1048576, MATCH(I$1, '[413]t (Cherniak) Category'!$1:$1, 0), 0)</f>
        <v>Core</v>
      </c>
      <c r="J58" s="1"/>
      <c r="K58" s="4">
        <f>VLOOKUP($B58, '[413]t (Cherniak)'!$1:$1048576, MATCH(LEFT(K$1,FIND(" (",K$1)-1), '[413]t (Cherniak)'!$1:$1, 0), 0)</f>
        <v>631.77293164761738</v>
      </c>
      <c r="L58" s="4">
        <f>'D(Ti_Audétat23) Times'!Z58</f>
        <v>44413.533492771479</v>
      </c>
      <c r="M58" s="4">
        <f>VLOOKUP($B58, '[413]t (J)'!$1:$1048576, MATCH(LEFT(M$1,FIND(" (",M$1)-1),'[413]t (J)'!$1:$1, 0), 0)</f>
        <v>759821.13923818839</v>
      </c>
      <c r="O58" s="1">
        <f t="shared" si="5"/>
        <v>2.1502215270124942</v>
      </c>
      <c r="P58" s="3">
        <f t="shared" si="1"/>
        <v>6.8136408567587331E-14</v>
      </c>
      <c r="Q58" s="3"/>
      <c r="R58" s="11">
        <f t="shared" si="6"/>
        <v>3.0586437308204598E-2</v>
      </c>
      <c r="S58" s="3">
        <f t="shared" si="7"/>
        <v>9.6922571134067853E-16</v>
      </c>
      <c r="T58" s="3"/>
      <c r="U58" s="9">
        <f t="shared" si="2"/>
        <v>1.7878572833265874E-3</v>
      </c>
      <c r="V58" s="3">
        <f t="shared" si="3"/>
        <v>5.6653778593004136E-17</v>
      </c>
    </row>
    <row r="59" spans="1:22" x14ac:dyDescent="0.2">
      <c r="A59" t="s">
        <v>508</v>
      </c>
      <c r="B59" s="1" t="str">
        <f>VLOOKUP(REPLACE(A59,FIND("dist",A59),4,"fit")&amp;"*",'[413]t (Cherniak)'!$A:$A,1,0)</f>
        <v>CGI005-qtz04-CL-fit-2-offset</v>
      </c>
      <c r="C59">
        <v>1900</v>
      </c>
      <c r="D59">
        <v>1024</v>
      </c>
      <c r="E59" s="1">
        <f t="shared" si="0"/>
        <v>1.85546875</v>
      </c>
      <c r="F59">
        <f>'[471]CGI005-qtz04-CL-dist-2'!$B$4</f>
        <v>576.82799999999997</v>
      </c>
      <c r="G59" s="1">
        <f t="shared" si="4"/>
        <v>1070.286328125</v>
      </c>
      <c r="H59" s="1"/>
      <c r="I59" s="1" t="str">
        <f>VLOOKUP($B59, '[413]t (Cherniak) Category'!$1:$1048576, MATCH(I$1, '[413]t (Cherniak) Category'!$1:$1, 0), 0)</f>
        <v>Interior</v>
      </c>
      <c r="J59" s="1"/>
      <c r="K59" s="4">
        <f>VLOOKUP($B59, '[413]t (Cherniak)'!$1:$1048576, MATCH(LEFT(K$1,FIND(" (",K$1)-1), '[413]t (Cherniak)'!$1:$1, 0), 0)</f>
        <v>1071.5348571383852</v>
      </c>
      <c r="L59" s="4">
        <f>'D(Ti_Audétat23) Times'!Z59</f>
        <v>75328.724739875848</v>
      </c>
      <c r="M59" s="4">
        <f>VLOOKUP($B59, '[413]t (J)'!$1:$1048576, MATCH(LEFT(M$1,FIND(" (",M$1)-1),'[413]t (J)'!$1:$1, 0), 0)</f>
        <v>1288714.3388068385</v>
      </c>
      <c r="O59" s="1">
        <f t="shared" si="5"/>
        <v>0.9988348218398424</v>
      </c>
      <c r="P59" s="3">
        <f t="shared" si="1"/>
        <v>3.1651165546170884E-14</v>
      </c>
      <c r="Q59" s="3"/>
      <c r="R59" s="11">
        <f t="shared" si="6"/>
        <v>1.4208209840547527E-2</v>
      </c>
      <c r="S59" s="3">
        <f t="shared" si="7"/>
        <v>4.5023100110742033E-16</v>
      </c>
      <c r="T59" s="3"/>
      <c r="U59" s="9">
        <f t="shared" si="2"/>
        <v>8.3050703782494497E-4</v>
      </c>
      <c r="V59" s="3">
        <f t="shared" si="3"/>
        <v>2.6317179944765917E-17</v>
      </c>
    </row>
    <row r="60" spans="1:22" x14ac:dyDescent="0.2">
      <c r="A60" t="s">
        <v>509</v>
      </c>
      <c r="B60" s="1" t="str">
        <f>VLOOKUP(REPLACE(A60,FIND("dist",A60),4,"fit")&amp;"*",'[413]t (Cherniak)'!$A:$A,1,0)</f>
        <v>CGI005-qtz04-CL-fit-3</v>
      </c>
      <c r="C60">
        <v>1900</v>
      </c>
      <c r="D60">
        <v>1024</v>
      </c>
      <c r="E60" s="1">
        <f t="shared" si="0"/>
        <v>1.85546875</v>
      </c>
      <c r="F60">
        <f>'[472]CGI005-qtz04-CL-dist-3'!$B$4</f>
        <v>312.84699999999998</v>
      </c>
      <c r="G60" s="1">
        <f t="shared" si="4"/>
        <v>580.47783203124993</v>
      </c>
      <c r="H60" s="1"/>
      <c r="I60" s="1" t="str">
        <f>VLOOKUP($B60, '[413]t (Cherniak) Category'!$1:$1048576, MATCH(I$1, '[413]t (Cherniak) Category'!$1:$1, 0), 0)</f>
        <v>Interior</v>
      </c>
      <c r="J60" s="1"/>
      <c r="K60" s="4">
        <f>VLOOKUP($B60, '[413]t (Cherniak)'!$1:$1048576, MATCH(LEFT(K$1,FIND(" (",K$1)-1), '[413]t (Cherniak)'!$1:$1, 0), 0)</f>
        <v>186.15287265730228</v>
      </c>
      <c r="L60" s="4">
        <f>'D(Ti_Audétat23) Times'!Z60</f>
        <v>13086.516421302107</v>
      </c>
      <c r="M60" s="4">
        <f>VLOOKUP($B60, '[413]t (J)'!$1:$1048576, MATCH(LEFT(M$1,FIND(" (",M$1)-1),'[413]t (J)'!$1:$1, 0), 0)</f>
        <v>223882.47531602878</v>
      </c>
      <c r="O60" s="1">
        <f t="shared" si="5"/>
        <v>3.1182856527810845</v>
      </c>
      <c r="P60" s="3">
        <f t="shared" si="1"/>
        <v>9.8812509594553591E-14</v>
      </c>
      <c r="Q60" s="3"/>
      <c r="R60" s="11">
        <f t="shared" si="6"/>
        <v>4.4356940635962801E-2</v>
      </c>
      <c r="S60" s="3">
        <f t="shared" si="7"/>
        <v>1.4055866300340583E-15</v>
      </c>
      <c r="T60" s="3"/>
      <c r="U60" s="9">
        <f t="shared" si="2"/>
        <v>2.5927792303165179E-3</v>
      </c>
      <c r="V60" s="3">
        <f t="shared" si="3"/>
        <v>8.2160215932660201E-17</v>
      </c>
    </row>
    <row r="61" spans="1:22" x14ac:dyDescent="0.2">
      <c r="A61" t="s">
        <v>510</v>
      </c>
      <c r="B61" s="1" t="str">
        <f>VLOOKUP(REPLACE(A61,FIND("dist",A61),4,"fit")&amp;"*",'[413]t (Cherniak)'!$A:$A,1,0)</f>
        <v>CGI005-qtz04-CL-fit-4-offset</v>
      </c>
      <c r="C61">
        <v>1900</v>
      </c>
      <c r="D61">
        <v>1024</v>
      </c>
      <c r="E61" s="1">
        <f t="shared" si="0"/>
        <v>1.85546875</v>
      </c>
      <c r="F61">
        <f>'[473]CGI005-qtz04-CL-dist-4'!$B$4</f>
        <v>115.378</v>
      </c>
      <c r="G61" s="1">
        <f t="shared" si="4"/>
        <v>214.08027343750001</v>
      </c>
      <c r="H61" s="1"/>
      <c r="I61" s="1" t="str">
        <f>VLOOKUP($B61, '[413]t (Cherniak) Category'!$1:$1048576, MATCH(I$1, '[413]t (Cherniak) Category'!$1:$1, 0), 0)</f>
        <v>Interior</v>
      </c>
      <c r="J61" s="1"/>
      <c r="K61" s="4">
        <f>VLOOKUP($B61, '[413]t (Cherniak)'!$1:$1048576, MATCH(LEFT(K$1,FIND(" (",K$1)-1), '[413]t (Cherniak)'!$1:$1, 0), 0)</f>
        <v>288.61399668584215</v>
      </c>
      <c r="L61" s="4">
        <f>'D(Ti_Audétat23) Times'!Z61</f>
        <v>20289.516638295867</v>
      </c>
      <c r="M61" s="4">
        <f>VLOOKUP($B61, '[413]t (J)'!$1:$1048576, MATCH(LEFT(M$1,FIND(" (",M$1)-1),'[413]t (J)'!$1:$1, 0), 0)</f>
        <v>347110.49615566473</v>
      </c>
      <c r="O61" s="1">
        <f t="shared" si="5"/>
        <v>0.74175291529789356</v>
      </c>
      <c r="P61" s="3">
        <f t="shared" si="1"/>
        <v>2.3504731516271627E-14</v>
      </c>
      <c r="Q61" s="3"/>
      <c r="R61" s="11">
        <f t="shared" si="6"/>
        <v>1.055127518579865E-2</v>
      </c>
      <c r="S61" s="3">
        <f t="shared" si="7"/>
        <v>3.3434973463757225E-16</v>
      </c>
      <c r="T61" s="3"/>
      <c r="U61" s="9">
        <f t="shared" si="2"/>
        <v>6.1674963969252561E-4</v>
      </c>
      <c r="V61" s="3">
        <f t="shared" si="3"/>
        <v>1.9543616741847467E-17</v>
      </c>
    </row>
    <row r="62" spans="1:22" x14ac:dyDescent="0.2">
      <c r="A62" t="s">
        <v>511</v>
      </c>
      <c r="B62" s="1" t="str">
        <f>VLOOKUP(REPLACE(A62,FIND("dist",A62),4,"fit")&amp;"*",'[413]t (Cherniak)'!$A:$A,1,0)</f>
        <v>CGI005-qtz04-CL-fit-5-offset</v>
      </c>
      <c r="C62">
        <v>1900</v>
      </c>
      <c r="D62">
        <v>1024</v>
      </c>
      <c r="E62" s="1">
        <f t="shared" si="0"/>
        <v>1.85546875</v>
      </c>
      <c r="F62">
        <f>'[474]CGI005-qtz04-CL-dist-5'!$B$4</f>
        <v>39.661099999999998</v>
      </c>
      <c r="G62" s="1">
        <f t="shared" si="4"/>
        <v>73.589931640624997</v>
      </c>
      <c r="H62" s="1"/>
      <c r="I62" s="1" t="str">
        <f>VLOOKUP($B62, '[413]t (Cherniak) Category'!$1:$1048576, MATCH(I$1, '[413]t (Cherniak) Category'!$1:$1, 0), 0)</f>
        <v>Interior</v>
      </c>
      <c r="J62" s="1"/>
      <c r="K62" s="4">
        <f>VLOOKUP($B62, '[413]t (Cherniak)'!$1:$1048576, MATCH(LEFT(K$1,FIND(" (",K$1)-1), '[413]t (Cherniak)'!$1:$1, 0), 0)</f>
        <v>195.82554426334272</v>
      </c>
      <c r="L62" s="4">
        <f>'D(Ti_Audétat23) Times'!Z62</f>
        <v>13766.503649021883</v>
      </c>
      <c r="M62" s="4">
        <f>VLOOKUP($B62, '[413]t (J)'!$1:$1048576, MATCH(LEFT(M$1,FIND(" (",M$1)-1),'[413]t (J)'!$1:$1, 0), 0)</f>
        <v>235515.61119605385</v>
      </c>
      <c r="O62" s="1">
        <f t="shared" si="5"/>
        <v>0.37579332112904823</v>
      </c>
      <c r="P62" s="3">
        <f t="shared" si="1"/>
        <v>1.1908171759862861E-14</v>
      </c>
      <c r="Q62" s="3"/>
      <c r="R62" s="11">
        <f t="shared" si="6"/>
        <v>5.3455789150830321E-3</v>
      </c>
      <c r="S62" s="3">
        <f t="shared" si="7"/>
        <v>1.6939117407797271E-16</v>
      </c>
      <c r="T62" s="3"/>
      <c r="U62" s="9">
        <f t="shared" si="2"/>
        <v>3.1246307311393219E-4</v>
      </c>
      <c r="V62" s="3">
        <f t="shared" si="3"/>
        <v>9.9013572994756304E-18</v>
      </c>
    </row>
    <row r="63" spans="1:22" x14ac:dyDescent="0.2">
      <c r="A63" t="s">
        <v>512</v>
      </c>
      <c r="B63" s="1" t="str">
        <f>VLOOKUP(REPLACE(A63,FIND("dist",A63),4,"fit")&amp;"*",'[413]t (Cherniak)'!$A:$A,1,0)</f>
        <v>CGI005-qtz05-CL-fit-1-offset</v>
      </c>
      <c r="C63">
        <v>1900</v>
      </c>
      <c r="D63">
        <v>1024</v>
      </c>
      <c r="E63" s="1">
        <f t="shared" si="0"/>
        <v>1.85546875</v>
      </c>
      <c r="F63">
        <f>'[475]CGI005-qtz05-CL-dist-1'!$B$4</f>
        <v>220.67599999999999</v>
      </c>
      <c r="G63" s="1">
        <f>F63*E63</f>
        <v>409.45742187499997</v>
      </c>
      <c r="H63" s="1"/>
      <c r="I63" s="1" t="str">
        <f>VLOOKUP($B63, '[413]t (Cherniak) Category'!$1:$1048576, MATCH(I$1, '[413]t (Cherniak) Category'!$1:$1, 0), 0)</f>
        <v>Core</v>
      </c>
      <c r="J63" s="1"/>
      <c r="K63" s="4">
        <f>VLOOKUP($B63, '[413]t (Cherniak)'!$1:$1048576, MATCH(LEFT(K$1,FIND(" (",K$1)-1), '[413]t (Cherniak)'!$1:$1, 0), 0)</f>
        <v>378.08509833138953</v>
      </c>
      <c r="L63" s="4">
        <f>'D(Ti_Audétat23) Times'!Z63</f>
        <v>26579.320411949935</v>
      </c>
      <c r="M63" s="4">
        <f>VLOOKUP($B63, '[413]t (J)'!$1:$1048576, MATCH(LEFT(M$1,FIND(" (",M$1)-1),'[413]t (J)'!$1:$1, 0), 0)</f>
        <v>454715.667215975</v>
      </c>
      <c r="O63" s="1">
        <f t="shared" si="5"/>
        <v>1.0829768845216765</v>
      </c>
      <c r="P63" s="3">
        <f t="shared" si="1"/>
        <v>3.4317466617286373E-14</v>
      </c>
      <c r="Q63" s="3"/>
      <c r="R63" s="11">
        <f t="shared" si="6"/>
        <v>1.5405112528419269E-2</v>
      </c>
      <c r="S63" s="3">
        <f t="shared" si="7"/>
        <v>4.8815855858554724E-16</v>
      </c>
      <c r="T63" s="3"/>
      <c r="U63" s="9">
        <f t="shared" si="2"/>
        <v>9.0046913136274489E-4</v>
      </c>
      <c r="V63" s="3">
        <f t="shared" si="3"/>
        <v>2.8534144908445029E-17</v>
      </c>
    </row>
    <row r="64" spans="1:22" x14ac:dyDescent="0.2">
      <c r="A64" t="s">
        <v>513</v>
      </c>
      <c r="B64" s="1" t="str">
        <f>VLOOKUP(REPLACE(A64,FIND("dist",A64),4,"fit")&amp;"*",'[413]t (Cherniak)'!$A:$A,1,0)</f>
        <v>CGI005-qtz05-CL-fit-2-offset</v>
      </c>
      <c r="C64">
        <v>1900</v>
      </c>
      <c r="D64">
        <v>1024</v>
      </c>
      <c r="E64" s="1">
        <f t="shared" si="0"/>
        <v>1.85546875</v>
      </c>
      <c r="F64">
        <f>'[476]CGI005-qtz05-CL-dist-2'!$B$4</f>
        <v>213.38499999999999</v>
      </c>
      <c r="G64" s="1">
        <f t="shared" si="4"/>
        <v>395.92919921875</v>
      </c>
      <c r="H64" s="1"/>
      <c r="I64" s="1" t="str">
        <f>VLOOKUP($B64, '[413]t (Cherniak) Category'!$1:$1048576, MATCH(I$1, '[413]t (Cherniak) Category'!$1:$1, 0), 0)</f>
        <v>Core</v>
      </c>
      <c r="J64" s="1"/>
      <c r="K64" s="4">
        <f>VLOOKUP($B64, '[413]t (Cherniak)'!$1:$1048576, MATCH(LEFT(K$1,FIND(" (",K$1)-1), '[413]t (Cherniak)'!$1:$1, 0), 0)</f>
        <v>1754.3745334940584</v>
      </c>
      <c r="L64" s="4">
        <f>'D(Ti_Audétat23) Times'!Z64</f>
        <v>123332.24201138114</v>
      </c>
      <c r="M64" s="4">
        <f>VLOOKUP($B64, '[413]t (J)'!$1:$1048576, MATCH(LEFT(M$1,FIND(" (",M$1)-1),'[413]t (J)'!$1:$1, 0), 0)</f>
        <v>2109952.4685451877</v>
      </c>
      <c r="O64" s="1">
        <f t="shared" si="5"/>
        <v>0.22568111407215141</v>
      </c>
      <c r="P64" s="3">
        <f t="shared" si="1"/>
        <v>7.1514029606862187E-15</v>
      </c>
      <c r="Q64" s="3"/>
      <c r="R64" s="11">
        <f t="shared" si="6"/>
        <v>3.2102651566344956E-3</v>
      </c>
      <c r="S64" s="3">
        <f t="shared" si="7"/>
        <v>1.017271641897513E-16</v>
      </c>
      <c r="T64" s="3"/>
      <c r="U64" s="9">
        <f t="shared" si="2"/>
        <v>1.8764839735548318E-4</v>
      </c>
      <c r="V64" s="3">
        <f t="shared" si="3"/>
        <v>5.9462188935623491E-18</v>
      </c>
    </row>
    <row r="65" spans="1:22" x14ac:dyDescent="0.2">
      <c r="A65" t="s">
        <v>514</v>
      </c>
      <c r="B65" s="1" t="str">
        <f>VLOOKUP(REPLACE(A65,FIND("dist",A65),4,"fit")&amp;"*",'[413]t (Cherniak)'!$A:$A,1,0)</f>
        <v>CGI005-qtz05-CL-fit-3-offset</v>
      </c>
      <c r="C65">
        <v>1900</v>
      </c>
      <c r="D65">
        <v>1024</v>
      </c>
      <c r="E65" s="1">
        <f t="shared" si="0"/>
        <v>1.85546875</v>
      </c>
      <c r="F65">
        <f>'[477]CGI005-qtz05-CL-dist-3'!$B$4</f>
        <v>138.15899999999999</v>
      </c>
      <c r="G65" s="1">
        <f t="shared" si="4"/>
        <v>256.34970703124998</v>
      </c>
      <c r="H65" s="1"/>
      <c r="I65" s="1" t="str">
        <f>VLOOKUP($B65, '[413]t (Cherniak) Category'!$1:$1048576, MATCH(I$1, '[413]t (Cherniak) Category'!$1:$1, 0), 0)</f>
        <v>Interior</v>
      </c>
      <c r="J65" s="1"/>
      <c r="K65" s="4">
        <f>VLOOKUP($B65, '[413]t (Cherniak)'!$1:$1048576, MATCH(LEFT(K$1,FIND(" (",K$1)-1), '[413]t (Cherniak)'!$1:$1, 0), 0)</f>
        <v>1376.2136315744076</v>
      </c>
      <c r="L65" s="4">
        <f>'D(Ti_Audétat23) Times'!Z65</f>
        <v>96747.592619607181</v>
      </c>
      <c r="M65" s="4">
        <f>VLOOKUP($B65, '[413]t (J)'!$1:$1048576, MATCH(LEFT(M$1,FIND(" (",M$1)-1),'[413]t (J)'!$1:$1, 0), 0)</f>
        <v>1655145.6338133134</v>
      </c>
      <c r="O65" s="1">
        <f t="shared" si="5"/>
        <v>0.18627173946677328</v>
      </c>
      <c r="P65" s="3">
        <f t="shared" si="1"/>
        <v>5.9025952374950331E-15</v>
      </c>
      <c r="Q65" s="3"/>
      <c r="R65" s="11">
        <f t="shared" si="6"/>
        <v>2.6496753055051969E-3</v>
      </c>
      <c r="S65" s="3">
        <f t="shared" si="7"/>
        <v>8.3963143759512653E-17</v>
      </c>
      <c r="T65" s="3"/>
      <c r="U65" s="9">
        <f t="shared" si="2"/>
        <v>1.5488045389736629E-4</v>
      </c>
      <c r="V65" s="3">
        <f t="shared" si="3"/>
        <v>4.907865423776405E-18</v>
      </c>
    </row>
    <row r="66" spans="1:22" x14ac:dyDescent="0.2">
      <c r="A66" t="s">
        <v>515</v>
      </c>
      <c r="B66" s="1" t="str">
        <f>VLOOKUP(REPLACE(A66,FIND("dist",A66),4,"fit")&amp;"*",'[413]t (Cherniak)'!$A:$A,1,0)</f>
        <v>CGI005-qtz06-CL-fit-1-offset</v>
      </c>
      <c r="C66">
        <v>2050</v>
      </c>
      <c r="D66">
        <v>1024</v>
      </c>
      <c r="E66" s="1">
        <f t="shared" ref="E66:E129" si="8">C66/D66</f>
        <v>2.001953125</v>
      </c>
      <c r="F66">
        <f>'[478]CGI005-qtz06-CL-dist-1'!$B$4</f>
        <v>684.67899999999997</v>
      </c>
      <c r="G66" s="1">
        <f t="shared" si="4"/>
        <v>1370.695263671875</v>
      </c>
      <c r="H66" s="1"/>
      <c r="I66" s="1" t="str">
        <f>VLOOKUP($B66, '[413]t (Cherniak) Category'!$1:$1048576, MATCH(I$1, '[413]t (Cherniak) Category'!$1:$1, 0), 0)</f>
        <v>Core</v>
      </c>
      <c r="J66" s="1"/>
      <c r="K66" s="4">
        <f>VLOOKUP($B66, '[413]t (Cherniak)'!$1:$1048576, MATCH(LEFT(K$1,FIND(" (",K$1)-1), '[413]t (Cherniak)'!$1:$1, 0), 0)</f>
        <v>5064.2790352963539</v>
      </c>
      <c r="L66" s="4">
        <f>'D(Ti_Audétat23) Times'!Z66</f>
        <v>356017.98570934916</v>
      </c>
      <c r="M66" s="4">
        <f>VLOOKUP($B66, '[413]t (J)'!$1:$1048576, MATCH(LEFT(M$1,FIND(" (",M$1)-1),'[413]t (J)'!$1:$1, 0), 0)</f>
        <v>6090710.8761114348</v>
      </c>
      <c r="O66" s="1">
        <f t="shared" ref="O66:O129" si="9">$G66/$K66</f>
        <v>0.27065950634208369</v>
      </c>
      <c r="P66" s="3">
        <f t="shared" ref="P66:P129" si="10">O66/(365.25*60*60*24)*(10^-6)</f>
        <v>8.5766822046696739E-15</v>
      </c>
      <c r="Q66" s="3"/>
      <c r="R66" s="11">
        <f t="shared" si="6"/>
        <v>3.850073082518089E-3</v>
      </c>
      <c r="S66" s="3">
        <f t="shared" si="7"/>
        <v>1.2200145392926232E-16</v>
      </c>
      <c r="T66" s="3"/>
      <c r="U66" s="9">
        <f t="shared" ref="U66:U129" si="11">G66/M66</f>
        <v>2.2504684453959574E-4</v>
      </c>
      <c r="V66" s="3">
        <f t="shared" ref="V66:V129" si="12">U66/(365.25*60*60*24)*(10^-6)</f>
        <v>7.1313041720408316E-18</v>
      </c>
    </row>
    <row r="67" spans="1:22" x14ac:dyDescent="0.2">
      <c r="A67" t="s">
        <v>516</v>
      </c>
      <c r="B67" s="1" t="str">
        <f>VLOOKUP(REPLACE(A67,FIND("dist",A67),4,"fit")&amp;"*",'[413]t (Cherniak)'!$A:$A,1,0)</f>
        <v>CGI005-qtz06-CL-fit-2-offset</v>
      </c>
      <c r="C67">
        <v>2050</v>
      </c>
      <c r="D67">
        <v>1024</v>
      </c>
      <c r="E67" s="1">
        <f t="shared" si="8"/>
        <v>2.001953125</v>
      </c>
      <c r="F67">
        <f>'[479]CGI005-qtz06-CL-dist-2'!$B$4</f>
        <v>431.06599999999997</v>
      </c>
      <c r="G67" s="1">
        <f t="shared" ref="G67:G130" si="13">F67*E67</f>
        <v>862.97392578124993</v>
      </c>
      <c r="H67" s="1"/>
      <c r="I67" s="1" t="str">
        <f>VLOOKUP($B67, '[413]t (Cherniak) Category'!$1:$1048576, MATCH(I$1, '[413]t (Cherniak) Category'!$1:$1, 0), 0)</f>
        <v>Interior</v>
      </c>
      <c r="J67" s="1"/>
      <c r="K67" s="4">
        <f>VLOOKUP($B67, '[413]t (Cherniak)'!$1:$1048576, MATCH(LEFT(K$1,FIND(" (",K$1)-1), '[413]t (Cherniak)'!$1:$1, 0), 0)</f>
        <v>1503.2793801574458</v>
      </c>
      <c r="L67" s="4">
        <f>'D(Ti_Audétat23) Times'!Z67</f>
        <v>105680.29390796275</v>
      </c>
      <c r="M67" s="4">
        <f>VLOOKUP($B67, '[413]t (J)'!$1:$1048576, MATCH(LEFT(M$1,FIND(" (",M$1)-1),'[413]t (J)'!$1:$1, 0), 0)</f>
        <v>1807965.1628088483</v>
      </c>
      <c r="O67" s="1">
        <f t="shared" si="9"/>
        <v>0.57406090788717301</v>
      </c>
      <c r="P67" s="3">
        <f t="shared" si="10"/>
        <v>1.8190892459729922E-14</v>
      </c>
      <c r="Q67" s="3"/>
      <c r="R67" s="11">
        <f t="shared" ref="R67:R130" si="14">G67/L67</f>
        <v>8.1658925601854979E-3</v>
      </c>
      <c r="S67" s="3">
        <f t="shared" ref="S67:S130" si="15">R67/(365.25*60*60*24)*(10^-6)</f>
        <v>2.5876152052708369E-16</v>
      </c>
      <c r="T67" s="3"/>
      <c r="U67" s="9">
        <f t="shared" si="11"/>
        <v>4.7731778439831035E-4</v>
      </c>
      <c r="V67" s="3">
        <f t="shared" si="12"/>
        <v>1.5125287867211396E-17</v>
      </c>
    </row>
    <row r="68" spans="1:22" x14ac:dyDescent="0.2">
      <c r="A68" t="s">
        <v>517</v>
      </c>
      <c r="B68" s="1" t="str">
        <f>VLOOKUP(REPLACE(A68,FIND("dist",A68),4,"fit")&amp;"*",'[413]t (Cherniak)'!$A:$A,1,0)</f>
        <v>CGI005-qtz06-CL-fit-3-offset</v>
      </c>
      <c r="C68">
        <v>2050</v>
      </c>
      <c r="D68">
        <v>1024</v>
      </c>
      <c r="E68" s="1">
        <f t="shared" si="8"/>
        <v>2.001953125</v>
      </c>
      <c r="F68">
        <f>'[480]CGI005-qtz06-CL-dist-3'!$B$4</f>
        <v>216.72300000000001</v>
      </c>
      <c r="G68" s="1">
        <f t="shared" si="13"/>
        <v>433.86928710937502</v>
      </c>
      <c r="H68" s="1"/>
      <c r="I68" s="1" t="str">
        <f>VLOOKUP($B68, '[413]t (Cherniak) Category'!$1:$1048576, MATCH(I$1, '[413]t (Cherniak) Category'!$1:$1, 0), 0)</f>
        <v>Interior</v>
      </c>
      <c r="J68" s="1"/>
      <c r="K68" s="4">
        <f>VLOOKUP($B68, '[413]t (Cherniak)'!$1:$1048576, MATCH(LEFT(K$1,FIND(" (",K$1)-1), '[413]t (Cherniak)'!$1:$1, 0), 0)</f>
        <v>1050.0103118998134</v>
      </c>
      <c r="L68" s="4">
        <f>'D(Ti_Audétat23) Times'!Z68</f>
        <v>73815.552739333114</v>
      </c>
      <c r="M68" s="4">
        <f>VLOOKUP($B68, '[413]t (J)'!$1:$1048576, MATCH(LEFT(M$1,FIND(" (",M$1)-1),'[413]t (J)'!$1:$1, 0), 0)</f>
        <v>1262827.1827330522</v>
      </c>
      <c r="O68" s="1">
        <f t="shared" si="9"/>
        <v>0.41320478684096257</v>
      </c>
      <c r="P68" s="3">
        <f t="shared" si="10"/>
        <v>1.3093669570593535E-14</v>
      </c>
      <c r="Q68" s="3"/>
      <c r="R68" s="11">
        <f t="shared" si="14"/>
        <v>5.8777489432546761E-3</v>
      </c>
      <c r="S68" s="3">
        <f t="shared" si="15"/>
        <v>1.8625462466267004E-16</v>
      </c>
      <c r="T68" s="3"/>
      <c r="U68" s="9">
        <f t="shared" si="11"/>
        <v>3.4356980356598031E-4</v>
      </c>
      <c r="V68" s="3">
        <f t="shared" si="12"/>
        <v>1.0887070105647459E-17</v>
      </c>
    </row>
    <row r="69" spans="1:22" x14ac:dyDescent="0.2">
      <c r="A69" t="s">
        <v>518</v>
      </c>
      <c r="B69" s="1" t="str">
        <f>VLOOKUP(REPLACE(A69,FIND("dist",A69),4,"fit")&amp;"*",'[413]t (Cherniak)'!$A:$A,1,0)</f>
        <v>CGI005-qtz06-CL-fit-4</v>
      </c>
      <c r="C69">
        <v>2050</v>
      </c>
      <c r="D69">
        <v>1024</v>
      </c>
      <c r="E69" s="1">
        <f t="shared" si="8"/>
        <v>2.001953125</v>
      </c>
      <c r="F69">
        <f>'[481]CGI005-qtz06-CL-dist-4'!$B$4</f>
        <v>64.007800000000003</v>
      </c>
      <c r="G69" s="1">
        <f t="shared" si="13"/>
        <v>128.14061523437502</v>
      </c>
      <c r="H69" s="1"/>
      <c r="I69" s="1" t="str">
        <f>VLOOKUP($B69, '[413]t (Cherniak) Category'!$1:$1048576, MATCH(I$1, '[413]t (Cherniak) Category'!$1:$1, 0), 0)</f>
        <v>Interior</v>
      </c>
      <c r="J69" s="1"/>
      <c r="K69" s="4">
        <f>VLOOKUP($B69, '[413]t (Cherniak)'!$1:$1048576, MATCH(LEFT(K$1,FIND(" (",K$1)-1), '[413]t (Cherniak)'!$1:$1, 0), 0)</f>
        <v>70.957723794992717</v>
      </c>
      <c r="L69" s="4">
        <f>'D(Ti_Audétat23) Times'!Z69</f>
        <v>4988.3163466989627</v>
      </c>
      <c r="M69" s="4">
        <f>VLOOKUP($B69, '[413]t (J)'!$1:$1048576, MATCH(LEFT(M$1,FIND(" (",M$1)-1),'[413]t (J)'!$1:$1, 0), 0)</f>
        <v>85339.488019933429</v>
      </c>
      <c r="O69" s="1">
        <f t="shared" si="9"/>
        <v>1.8058726856091392</v>
      </c>
      <c r="P69" s="3">
        <f t="shared" si="10"/>
        <v>5.7224652242538696E-14</v>
      </c>
      <c r="Q69" s="3"/>
      <c r="R69" s="11">
        <f t="shared" si="14"/>
        <v>2.5688149333025472E-2</v>
      </c>
      <c r="S69" s="3">
        <f t="shared" si="15"/>
        <v>8.1400833184480033E-16</v>
      </c>
      <c r="T69" s="3"/>
      <c r="U69" s="9">
        <f t="shared" si="11"/>
        <v>1.5015395358880543E-3</v>
      </c>
      <c r="V69" s="3">
        <f t="shared" si="12"/>
        <v>4.7580916669456938E-17</v>
      </c>
    </row>
    <row r="70" spans="1:22" x14ac:dyDescent="0.2">
      <c r="A70" t="s">
        <v>519</v>
      </c>
      <c r="B70" s="1" t="str">
        <f>VLOOKUP(REPLACE(A70,FIND("dist",A70),4,"fit")&amp;"*",'[413]t (Cherniak)'!$A:$A,1,0)</f>
        <v>CGI005-qtz07-CL-fit-1-offset</v>
      </c>
      <c r="C70">
        <v>2100</v>
      </c>
      <c r="D70">
        <v>1024</v>
      </c>
      <c r="E70" s="1">
        <f t="shared" si="8"/>
        <v>2.05078125</v>
      </c>
      <c r="F70">
        <f>'[482]CGI005-qtz07-CL-dist-1'!$B$4</f>
        <v>611.49800000000005</v>
      </c>
      <c r="G70" s="1">
        <f t="shared" si="13"/>
        <v>1254.0486328125</v>
      </c>
      <c r="H70" s="1"/>
      <c r="I70" s="1" t="str">
        <f>VLOOKUP($B70, '[413]t (Cherniak) Category'!$1:$1048576, MATCH(I$1, '[413]t (Cherniak) Category'!$1:$1, 0), 0)</f>
        <v>Core</v>
      </c>
      <c r="J70" s="1"/>
      <c r="K70" s="4">
        <f>VLOOKUP($B70, '[413]t (Cherniak)'!$1:$1048576, MATCH(LEFT(K$1,FIND(" (",K$1)-1), '[413]t (Cherniak)'!$1:$1, 0), 0)</f>
        <v>1193.2420413989228</v>
      </c>
      <c r="L70" s="4">
        <f>'D(Ti_Audétat23) Times'!Z70</f>
        <v>83884.719835090349</v>
      </c>
      <c r="M70" s="4">
        <f>VLOOKUP($B70, '[413]t (J)'!$1:$1048576, MATCH(LEFT(M$1,FIND(" (",M$1)-1),'[413]t (J)'!$1:$1, 0), 0)</f>
        <v>1435089.2256782085</v>
      </c>
      <c r="O70" s="1">
        <f t="shared" si="9"/>
        <v>1.0509591426583407</v>
      </c>
      <c r="P70" s="3">
        <f t="shared" si="10"/>
        <v>3.3302885601514075E-14</v>
      </c>
      <c r="Q70" s="3"/>
      <c r="R70" s="11">
        <f t="shared" si="14"/>
        <v>1.4949667058289573E-2</v>
      </c>
      <c r="S70" s="3">
        <f t="shared" si="15"/>
        <v>4.7372636253357577E-16</v>
      </c>
      <c r="T70" s="3"/>
      <c r="U70" s="9">
        <f t="shared" si="11"/>
        <v>8.7384715206111974E-4</v>
      </c>
      <c r="V70" s="3">
        <f t="shared" si="12"/>
        <v>2.7690545290551868E-17</v>
      </c>
    </row>
    <row r="71" spans="1:22" x14ac:dyDescent="0.2">
      <c r="A71" t="s">
        <v>520</v>
      </c>
      <c r="B71" s="1" t="str">
        <f>VLOOKUP(REPLACE(A71,FIND("dist",A71),4,"fit")&amp;"*",'[413]t (Cherniak)'!$A:$A,1,0)</f>
        <v>CGI005-qtz07-CL-fit-2-offset</v>
      </c>
      <c r="C71">
        <v>2100</v>
      </c>
      <c r="D71">
        <v>1024</v>
      </c>
      <c r="E71" s="1">
        <f t="shared" si="8"/>
        <v>2.05078125</v>
      </c>
      <c r="F71">
        <f>'[483]CGI005-qtz07-CL-dist-2'!$B$4</f>
        <v>396.87900000000002</v>
      </c>
      <c r="G71" s="1">
        <f t="shared" si="13"/>
        <v>813.91201171875002</v>
      </c>
      <c r="H71" s="1"/>
      <c r="I71" s="1" t="str">
        <f>VLOOKUP($B71, '[413]t (Cherniak) Category'!$1:$1048576, MATCH(I$1, '[413]t (Cherniak) Category'!$1:$1, 0), 0)</f>
        <v>Interior</v>
      </c>
      <c r="J71" s="1"/>
      <c r="K71" s="4">
        <f>VLOOKUP($B71, '[413]t (Cherniak)'!$1:$1048576, MATCH(LEFT(K$1,FIND(" (",K$1)-1), '[413]t (Cherniak)'!$1:$1, 0), 0)</f>
        <v>91.268634581833538</v>
      </c>
      <c r="L71" s="4">
        <f>'D(Ti_Audétat23) Times'!Z71</f>
        <v>6416.1700443043537</v>
      </c>
      <c r="M71" s="4">
        <f>VLOOKUP($B71, '[413]t (J)'!$1:$1048576, MATCH(LEFT(M$1,FIND(" (",M$1)-1),'[413]t (J)'!$1:$1, 0), 0)</f>
        <v>109767.02930881924</v>
      </c>
      <c r="O71" s="1">
        <f t="shared" si="9"/>
        <v>8.9177625527965798</v>
      </c>
      <c r="P71" s="3">
        <f t="shared" si="10"/>
        <v>2.8258684287767696E-13</v>
      </c>
      <c r="Q71" s="3"/>
      <c r="R71" s="11">
        <f t="shared" si="14"/>
        <v>0.12685324829276637</v>
      </c>
      <c r="S71" s="3">
        <f t="shared" si="15"/>
        <v>4.0197368713959989E-15</v>
      </c>
      <c r="T71" s="3"/>
      <c r="U71" s="9">
        <f t="shared" si="11"/>
        <v>7.4149042462366812E-3</v>
      </c>
      <c r="V71" s="3">
        <f t="shared" si="12"/>
        <v>2.3496413688736408E-16</v>
      </c>
    </row>
    <row r="72" spans="1:22" x14ac:dyDescent="0.2">
      <c r="A72" t="s">
        <v>521</v>
      </c>
      <c r="B72" s="1" t="str">
        <f>VLOOKUP(REPLACE(A72,FIND("dist",A72),4,"fit")&amp;"*",'[413]t (Cherniak)'!$A:$A,1,0)</f>
        <v>CGI005-qtz07-CL-fit-3-offset</v>
      </c>
      <c r="C72">
        <v>2100</v>
      </c>
      <c r="D72">
        <v>1024</v>
      </c>
      <c r="E72" s="1">
        <f t="shared" si="8"/>
        <v>2.05078125</v>
      </c>
      <c r="F72">
        <f>'[484]CGI005-qtz07-CL-dist-3'!$B$4</f>
        <v>254.37200000000001</v>
      </c>
      <c r="G72" s="1">
        <f t="shared" si="13"/>
        <v>521.66132812500007</v>
      </c>
      <c r="H72" s="1"/>
      <c r="I72" s="1" t="str">
        <f>VLOOKUP($B72, '[413]t (Cherniak) Category'!$1:$1048576, MATCH(I$1, '[413]t (Cherniak) Category'!$1:$1, 0), 0)</f>
        <v>Interior</v>
      </c>
      <c r="J72" s="1"/>
      <c r="K72" s="4">
        <f>VLOOKUP($B72, '[413]t (Cherniak)'!$1:$1048576, MATCH(LEFT(K$1,FIND(" (",K$1)-1), '[413]t (Cherniak)'!$1:$1, 0), 0)</f>
        <v>129.85420956478831</v>
      </c>
      <c r="L72" s="4">
        <f>'D(Ti_Audétat23) Times'!Z72</f>
        <v>9128.7296381034212</v>
      </c>
      <c r="M72" s="4">
        <f>VLOOKUP($B72, '[413]t (J)'!$1:$1048576, MATCH(LEFT(M$1,FIND(" (",M$1)-1),'[413]t (J)'!$1:$1, 0), 0)</f>
        <v>156173.15732264484</v>
      </c>
      <c r="O72" s="1">
        <f t="shared" si="9"/>
        <v>4.0172846908342006</v>
      </c>
      <c r="P72" s="3">
        <f t="shared" si="10"/>
        <v>1.2730007005710828E-13</v>
      </c>
      <c r="Q72" s="3"/>
      <c r="R72" s="11">
        <f t="shared" si="14"/>
        <v>5.7145007991865567E-2</v>
      </c>
      <c r="S72" s="3">
        <f t="shared" si="15"/>
        <v>1.8108160313796219E-15</v>
      </c>
      <c r="T72" s="3"/>
      <c r="U72" s="9">
        <f t="shared" si="11"/>
        <v>3.3402752244246271E-3</v>
      </c>
      <c r="V72" s="3">
        <f t="shared" si="12"/>
        <v>1.0584693463459284E-16</v>
      </c>
    </row>
    <row r="73" spans="1:22" x14ac:dyDescent="0.2">
      <c r="A73" t="s">
        <v>522</v>
      </c>
      <c r="B73" s="1" t="str">
        <f>VLOOKUP(REPLACE(A73,FIND("dist",A73),4,"fit")&amp;"*",'[413]t (Cherniak)'!$A:$A,1,0)</f>
        <v>CGI005-qtz07-CL-fit-4-offset</v>
      </c>
      <c r="C73">
        <v>2100</v>
      </c>
      <c r="D73">
        <v>1024</v>
      </c>
      <c r="E73" s="1">
        <f t="shared" si="8"/>
        <v>2.05078125</v>
      </c>
      <c r="F73">
        <f>'[485]CGI005-qtz07-CL-dist-4'!$B$4</f>
        <v>51.009799999999998</v>
      </c>
      <c r="G73" s="1">
        <f t="shared" si="13"/>
        <v>104.60994140625</v>
      </c>
      <c r="H73" s="1"/>
      <c r="I73" s="1" t="str">
        <f>VLOOKUP($B73, '[413]t (Cherniak) Category'!$1:$1048576, MATCH(I$1, '[413]t (Cherniak) Category'!$1:$1, 0), 0)</f>
        <v>Interior</v>
      </c>
      <c r="J73" s="1"/>
      <c r="K73" s="4">
        <f>VLOOKUP($B73, '[413]t (Cherniak)'!$1:$1048576, MATCH(LEFT(K$1,FIND(" (",K$1)-1), '[413]t (Cherniak)'!$1:$1, 0), 0)</f>
        <v>484.20822505345558</v>
      </c>
      <c r="L73" s="4">
        <f>'D(Ti_Audétat23) Times'!Z73</f>
        <v>34039.758817780588</v>
      </c>
      <c r="M73" s="4">
        <f>VLOOKUP($B73, '[413]t (J)'!$1:$1048576, MATCH(LEFT(M$1,FIND(" (",M$1)-1),'[413]t (J)'!$1:$1, 0), 0)</f>
        <v>582347.9081782297</v>
      </c>
      <c r="O73" s="1">
        <f t="shared" si="9"/>
        <v>0.21604329706440092</v>
      </c>
      <c r="P73" s="3">
        <f t="shared" si="10"/>
        <v>6.8459989690090793E-15</v>
      </c>
      <c r="Q73" s="3"/>
      <c r="R73" s="11">
        <f t="shared" si="14"/>
        <v>3.0731692890728487E-3</v>
      </c>
      <c r="S73" s="3">
        <f t="shared" si="15"/>
        <v>9.7382858299517351E-17</v>
      </c>
      <c r="T73" s="3"/>
      <c r="U73" s="9">
        <f t="shared" si="11"/>
        <v>1.7963478521542786E-4</v>
      </c>
      <c r="V73" s="3">
        <f t="shared" si="12"/>
        <v>5.6922828483607071E-18</v>
      </c>
    </row>
    <row r="74" spans="1:22" x14ac:dyDescent="0.2">
      <c r="A74" t="s">
        <v>523</v>
      </c>
      <c r="B74" s="1" t="str">
        <f>VLOOKUP(REPLACE(A74,FIND("dist",A74),4,"fit")&amp;"*",'[413]t (Cherniak)'!$A:$A,1,0)</f>
        <v>CGI005-qtz08-CL-fit-1-offset</v>
      </c>
      <c r="C74">
        <v>1900</v>
      </c>
      <c r="D74">
        <v>1024</v>
      </c>
      <c r="E74" s="1">
        <f t="shared" si="8"/>
        <v>1.85546875</v>
      </c>
      <c r="F74">
        <f>'[486]CGI005-qtz08-CL-dist-1'!$B$4</f>
        <v>506.32</v>
      </c>
      <c r="G74" s="1">
        <f t="shared" si="13"/>
        <v>939.4609375</v>
      </c>
      <c r="H74" s="1"/>
      <c r="I74" s="1" t="str">
        <f>VLOOKUP($B74, '[413]t (Cherniak) Category'!$1:$1048576, MATCH(I$1, '[413]t (Cherniak) Category'!$1:$1, 0), 0)</f>
        <v>Core</v>
      </c>
      <c r="J74" s="1"/>
      <c r="K74" s="4">
        <f>VLOOKUP($B74, '[413]t (Cherniak)'!$1:$1048576, MATCH(LEFT(K$1,FIND(" (",K$1)-1), '[413]t (Cherniak)'!$1:$1, 0), 0)</f>
        <v>483.77429896831524</v>
      </c>
      <c r="L74" s="4">
        <f>'D(Ti_Audétat23) Times'!Z74</f>
        <v>34009.253885153128</v>
      </c>
      <c r="M74" s="4">
        <f>VLOOKUP($B74, '[413]t (J)'!$1:$1048576, MATCH(LEFT(M$1,FIND(" (",M$1)-1),'[413]t (J)'!$1:$1, 0), 0)</f>
        <v>581826.03363147343</v>
      </c>
      <c r="O74" s="1">
        <f t="shared" si="9"/>
        <v>1.9419405691940859</v>
      </c>
      <c r="P74" s="3">
        <f t="shared" si="10"/>
        <v>6.1536383286247554E-14</v>
      </c>
      <c r="Q74" s="3"/>
      <c r="R74" s="11">
        <f t="shared" si="14"/>
        <v>2.7623685620169553E-2</v>
      </c>
      <c r="S74" s="3">
        <f t="shared" si="15"/>
        <v>8.7534177567906154E-16</v>
      </c>
      <c r="T74" s="3"/>
      <c r="U74" s="9">
        <f t="shared" si="11"/>
        <v>1.6146766957751005E-3</v>
      </c>
      <c r="V74" s="3">
        <f t="shared" si="12"/>
        <v>5.116601692698749E-17</v>
      </c>
    </row>
    <row r="75" spans="1:22" x14ac:dyDescent="0.2">
      <c r="A75" t="s">
        <v>524</v>
      </c>
      <c r="B75" s="1" t="str">
        <f>VLOOKUP(REPLACE(A75,FIND("dist",A75),4,"fit")&amp;"*",'[413]t (Cherniak)'!$A:$A,1,0)</f>
        <v>CGI005-qtz08-CL-fit-2-offset</v>
      </c>
      <c r="C75">
        <v>1900</v>
      </c>
      <c r="D75">
        <v>1024</v>
      </c>
      <c r="E75" s="1">
        <f t="shared" si="8"/>
        <v>1.85546875</v>
      </c>
      <c r="F75">
        <f>'[487]CGI005-qtz08-CL-dist-2'!$B$4</f>
        <v>454.01</v>
      </c>
      <c r="G75" s="1">
        <f t="shared" si="13"/>
        <v>842.4013671875</v>
      </c>
      <c r="H75" s="1"/>
      <c r="I75" s="1" t="str">
        <f>VLOOKUP($B75, '[413]t (Cherniak) Category'!$1:$1048576, MATCH(I$1, '[413]t (Cherniak) Category'!$1:$1, 0), 0)</f>
        <v>Interior</v>
      </c>
      <c r="J75" s="1"/>
      <c r="K75" s="4">
        <f>VLOOKUP($B75, '[413]t (Cherniak)'!$1:$1048576, MATCH(LEFT(K$1,FIND(" (",K$1)-1), '[413]t (Cherniak)'!$1:$1, 0), 0)</f>
        <v>252.39290631738979</v>
      </c>
      <c r="L75" s="4">
        <f>'D(Ti_Audétat23) Times'!Z75</f>
        <v>17743.179925153418</v>
      </c>
      <c r="M75" s="4">
        <f>VLOOKUP($B75, '[413]t (J)'!$1:$1048576, MATCH(LEFT(M$1,FIND(" (",M$1)-1),'[413]t (J)'!$1:$1, 0), 0)</f>
        <v>303548.08825630648</v>
      </c>
      <c r="O75" s="1">
        <f t="shared" si="9"/>
        <v>3.3376586508662065</v>
      </c>
      <c r="P75" s="3">
        <f t="shared" si="10"/>
        <v>1.0576402042190175E-13</v>
      </c>
      <c r="Q75" s="3"/>
      <c r="R75" s="11">
        <f t="shared" si="14"/>
        <v>4.7477474203667366E-2</v>
      </c>
      <c r="S75" s="3">
        <f t="shared" si="15"/>
        <v>1.5044703717541055E-15</v>
      </c>
      <c r="T75" s="3"/>
      <c r="U75" s="9">
        <f t="shared" si="11"/>
        <v>2.775182581536151E-3</v>
      </c>
      <c r="V75" s="3">
        <f t="shared" si="12"/>
        <v>8.7940229343681113E-17</v>
      </c>
    </row>
    <row r="76" spans="1:22" x14ac:dyDescent="0.2">
      <c r="A76" t="s">
        <v>525</v>
      </c>
      <c r="B76" s="1" t="str">
        <f>VLOOKUP(REPLACE(A76,FIND("dist",A76),4,"fit")&amp;"*",'[413]t (Cherniak)'!$A:$A,1,0)</f>
        <v>CGI005-qtz08-CL-fit-3</v>
      </c>
      <c r="C76">
        <v>1900</v>
      </c>
      <c r="D76">
        <v>1024</v>
      </c>
      <c r="E76" s="1">
        <f t="shared" si="8"/>
        <v>1.85546875</v>
      </c>
      <c r="F76">
        <f>'[488]CGI005-qtz08-CL-dist-3'!$B$4</f>
        <v>400.18</v>
      </c>
      <c r="G76" s="1">
        <f t="shared" si="13"/>
        <v>742.521484375</v>
      </c>
      <c r="H76" s="1"/>
      <c r="I76" s="1" t="str">
        <f>VLOOKUP($B76, '[413]t (Cherniak) Category'!$1:$1048576, MATCH(I$1, '[413]t (Cherniak) Category'!$1:$1, 0), 0)</f>
        <v>Interior</v>
      </c>
      <c r="J76" s="1"/>
      <c r="K76" s="4">
        <f>VLOOKUP($B76, '[413]t (Cherniak)'!$1:$1048576, MATCH(LEFT(K$1,FIND(" (",K$1)-1), '[413]t (Cherniak)'!$1:$1, 0), 0)</f>
        <v>85.07086899735441</v>
      </c>
      <c r="L76" s="4">
        <f>'D(Ti_Audétat23) Times'!Z76</f>
        <v>5980.4681400636327</v>
      </c>
      <c r="M76" s="4">
        <f>VLOOKUP($B76, '[413]t (J)'!$1:$1048576, MATCH(LEFT(M$1,FIND(" (",M$1)-1),'[413]t (J)'!$1:$1, 0), 0)</f>
        <v>102313.09598684398</v>
      </c>
      <c r="O76" s="1">
        <f t="shared" si="9"/>
        <v>8.7282696547756125</v>
      </c>
      <c r="P76" s="3">
        <f t="shared" si="10"/>
        <v>2.7658217528505375E-13</v>
      </c>
      <c r="Q76" s="3"/>
      <c r="R76" s="11">
        <f t="shared" si="14"/>
        <v>0.1241577527017976</v>
      </c>
      <c r="S76" s="3">
        <f t="shared" si="15"/>
        <v>3.9343217704070523E-15</v>
      </c>
      <c r="T76" s="3"/>
      <c r="U76" s="9">
        <f t="shared" si="11"/>
        <v>7.2573454767753069E-3</v>
      </c>
      <c r="V76" s="3">
        <f t="shared" si="12"/>
        <v>2.2997140076480169E-16</v>
      </c>
    </row>
    <row r="77" spans="1:22" x14ac:dyDescent="0.2">
      <c r="A77" t="s">
        <v>526</v>
      </c>
      <c r="B77" s="1" t="str">
        <f>VLOOKUP(REPLACE(A77,FIND("dist",A77),4,"fit")&amp;"*",'[413]t (Cherniak)'!$A:$A,1,0)</f>
        <v>CGI005-qtz08-CL-fit-4-offset</v>
      </c>
      <c r="C77">
        <v>1900</v>
      </c>
      <c r="D77">
        <v>1024</v>
      </c>
      <c r="E77" s="1">
        <f t="shared" si="8"/>
        <v>1.85546875</v>
      </c>
      <c r="F77">
        <f>'[489]CGI005-qtz08-CL-dist-4'!$B$4</f>
        <v>222.18199999999999</v>
      </c>
      <c r="G77" s="1">
        <f t="shared" si="13"/>
        <v>412.25175781249999</v>
      </c>
      <c r="H77" s="1"/>
      <c r="I77" s="1" t="str">
        <f>VLOOKUP($B77, '[413]t (Cherniak) Category'!$1:$1048576, MATCH(I$1, '[413]t (Cherniak) Category'!$1:$1, 0), 0)</f>
        <v>Interior</v>
      </c>
      <c r="J77" s="1"/>
      <c r="K77" s="4">
        <f>VLOOKUP($B77, '[413]t (Cherniak)'!$1:$1048576, MATCH(LEFT(K$1,FIND(" (",K$1)-1), '[413]t (Cherniak)'!$1:$1, 0), 0)</f>
        <v>159.91374683723345</v>
      </c>
      <c r="L77" s="4">
        <f>'D(Ti_Audétat23) Times'!Z77</f>
        <v>11241.910179006374</v>
      </c>
      <c r="M77" s="4">
        <f>VLOOKUP($B77, '[413]t (J)'!$1:$1048576, MATCH(LEFT(M$1,FIND(" (",M$1)-1),'[413]t (J)'!$1:$1, 0), 0)</f>
        <v>192325.18396259184</v>
      </c>
      <c r="O77" s="1">
        <f t="shared" si="9"/>
        <v>2.5779632205860712</v>
      </c>
      <c r="P77" s="3">
        <f t="shared" si="10"/>
        <v>8.1690724915268304E-14</v>
      </c>
      <c r="Q77" s="3"/>
      <c r="R77" s="11">
        <f t="shared" si="14"/>
        <v>3.667097061337108E-2</v>
      </c>
      <c r="S77" s="3">
        <f t="shared" si="15"/>
        <v>1.1620329370221778E-15</v>
      </c>
      <c r="T77" s="3"/>
      <c r="U77" s="9">
        <f t="shared" si="11"/>
        <v>2.1435141738519532E-3</v>
      </c>
      <c r="V77" s="3">
        <f t="shared" si="12"/>
        <v>6.7923865371636412E-17</v>
      </c>
    </row>
    <row r="78" spans="1:22" x14ac:dyDescent="0.2">
      <c r="A78" t="s">
        <v>527</v>
      </c>
      <c r="B78" s="1" t="str">
        <f>VLOOKUP(REPLACE(A78,FIND("dist",A78),4,"fit")&amp;"*",'[413]t (Cherniak)'!$A:$A,1,0)</f>
        <v>CGI005-qtz08-CL-fit-5-offset</v>
      </c>
      <c r="C78">
        <v>1900</v>
      </c>
      <c r="D78">
        <v>1024</v>
      </c>
      <c r="E78" s="1">
        <f t="shared" si="8"/>
        <v>1.85546875</v>
      </c>
      <c r="F78">
        <f>'[490]CGI005-qtz08-CL-dist-5'!$B$4</f>
        <v>166.19300000000001</v>
      </c>
      <c r="G78" s="1">
        <f t="shared" si="13"/>
        <v>308.36591796875001</v>
      </c>
      <c r="H78" s="1"/>
      <c r="I78" s="1" t="str">
        <f>VLOOKUP($B78, '[413]t (Cherniak) Category'!$1:$1048576, MATCH(I$1, '[413]t (Cherniak) Category'!$1:$1, 0), 0)</f>
        <v>Interior</v>
      </c>
      <c r="J78" s="1"/>
      <c r="K78" s="4">
        <f>VLOOKUP($B78, '[413]t (Cherniak)'!$1:$1048576, MATCH(LEFT(K$1,FIND(" (",K$1)-1), '[413]t (Cherniak)'!$1:$1, 0), 0)</f>
        <v>39.783261960614468</v>
      </c>
      <c r="L78" s="4">
        <f>'D(Ti_Audétat23) Times'!Z78</f>
        <v>2796.7567919243816</v>
      </c>
      <c r="M78" s="4">
        <f>VLOOKUP($B78, '[413]t (J)'!$1:$1048576, MATCH(LEFT(M$1,FIND(" (",M$1)-1),'[413]t (J)'!$1:$1, 0), 0)</f>
        <v>47846.563078751307</v>
      </c>
      <c r="O78" s="1">
        <f t="shared" si="9"/>
        <v>7.751147160180909</v>
      </c>
      <c r="P78" s="3">
        <f t="shared" si="10"/>
        <v>2.4561903187127379E-13</v>
      </c>
      <c r="Q78" s="3"/>
      <c r="R78" s="11">
        <f t="shared" si="14"/>
        <v>0.11025839603184473</v>
      </c>
      <c r="S78" s="3">
        <f t="shared" si="15"/>
        <v>3.4938777356910768E-15</v>
      </c>
      <c r="T78" s="3"/>
      <c r="U78" s="9">
        <f t="shared" si="11"/>
        <v>6.4448917148177678E-3</v>
      </c>
      <c r="V78" s="3">
        <f t="shared" si="12"/>
        <v>2.0422629461105304E-16</v>
      </c>
    </row>
    <row r="79" spans="1:22" x14ac:dyDescent="0.2">
      <c r="A79" t="s">
        <v>528</v>
      </c>
      <c r="B79" s="1" t="str">
        <f>VLOOKUP(REPLACE(A79,FIND("dist",A79),4,"fit")&amp;"*",'[413]t (Cherniak)'!$A:$A,1,0)</f>
        <v>CGI005-qtz08-CL-fit-6-offset</v>
      </c>
      <c r="C79">
        <v>1900</v>
      </c>
      <c r="D79">
        <v>1024</v>
      </c>
      <c r="E79" s="1">
        <f t="shared" si="8"/>
        <v>1.85546875</v>
      </c>
      <c r="F79">
        <f>'[491]CGI005-qtz08-CL-dist-6'!$B$4</f>
        <v>117.068</v>
      </c>
      <c r="G79" s="1">
        <f t="shared" si="13"/>
        <v>217.21601562499998</v>
      </c>
      <c r="H79" s="1"/>
      <c r="I79" s="1" t="str">
        <f>VLOOKUP($B79, '[413]t (Cherniak) Category'!$1:$1048576, MATCH(I$1, '[413]t (Cherniak) Category'!$1:$1, 0), 0)</f>
        <v>Interior</v>
      </c>
      <c r="J79" s="1"/>
      <c r="K79" s="4">
        <f>VLOOKUP($B79, '[413]t (Cherniak)'!$1:$1048576, MATCH(LEFT(K$1,FIND(" (",K$1)-1), '[413]t (Cherniak)'!$1:$1, 0), 0)</f>
        <v>29.238004675506915</v>
      </c>
      <c r="L79" s="4">
        <f>'D(Ti_Audétat23) Times'!Z79</f>
        <v>2055.42693405822</v>
      </c>
      <c r="M79" s="4">
        <f>VLOOKUP($B79, '[413]t (J)'!$1:$1048576, MATCH(LEFT(M$1,FIND(" (",M$1)-1),'[413]t (J)'!$1:$1, 0), 0)</f>
        <v>35163.985205346406</v>
      </c>
      <c r="O79" s="1">
        <f t="shared" si="9"/>
        <v>7.4292352722333641</v>
      </c>
      <c r="P79" s="3">
        <f t="shared" si="10"/>
        <v>2.3541825969761208E-13</v>
      </c>
      <c r="Q79" s="3"/>
      <c r="R79" s="11">
        <f t="shared" si="14"/>
        <v>0.10567926887876782</v>
      </c>
      <c r="S79" s="3">
        <f t="shared" si="15"/>
        <v>3.3487739523527708E-15</v>
      </c>
      <c r="T79" s="3"/>
      <c r="U79" s="9">
        <f t="shared" si="11"/>
        <v>6.1772297524449538E-3</v>
      </c>
      <c r="V79" s="3">
        <f t="shared" si="12"/>
        <v>1.9574459884290798E-16</v>
      </c>
    </row>
    <row r="80" spans="1:22" x14ac:dyDescent="0.2">
      <c r="A80" t="s">
        <v>529</v>
      </c>
      <c r="B80" s="1" t="str">
        <f>VLOOKUP(REPLACE(A80,FIND("dist",A80),4,"fit")&amp;"*",'[413]t (Cherniak)'!$A:$A,1,0)</f>
        <v>CGI005-qtz09-CL-fit-1-offset</v>
      </c>
      <c r="C80">
        <v>2400</v>
      </c>
      <c r="D80">
        <v>1024</v>
      </c>
      <c r="E80" s="1">
        <f t="shared" si="8"/>
        <v>2.34375</v>
      </c>
      <c r="F80">
        <f>'[492]CGI005-qtz09-CL-dist-1'!$B$4</f>
        <v>828.45899999999995</v>
      </c>
      <c r="G80" s="1">
        <f t="shared" si="13"/>
        <v>1941.7007812499999</v>
      </c>
      <c r="H80" s="1"/>
      <c r="I80" s="1" t="str">
        <f>VLOOKUP($B80, '[413]t (Cherniak) Category'!$1:$1048576, MATCH(I$1, '[413]t (Cherniak) Category'!$1:$1, 0), 0)</f>
        <v>Core</v>
      </c>
      <c r="J80" s="1"/>
      <c r="K80" s="4">
        <f>VLOOKUP($B80, '[413]t (Cherniak)'!$1:$1048576, MATCH(LEFT(K$1,FIND(" (",K$1)-1), '[413]t (Cherniak)'!$1:$1, 0), 0)</f>
        <v>6152.7548005293747</v>
      </c>
      <c r="L80" s="4">
        <f>'D(Ti_Audétat23) Times'!Z80</f>
        <v>432537.6535102023</v>
      </c>
      <c r="M80" s="4">
        <f>VLOOKUP($B80, '[413]t (J)'!$1:$1048576, MATCH(LEFT(M$1,FIND(" (",M$1)-1),'[413]t (J)'!$1:$1, 0), 0)</f>
        <v>7399799.7188632675</v>
      </c>
      <c r="O80" s="1">
        <f t="shared" si="9"/>
        <v>0.31558234387675232</v>
      </c>
      <c r="P80" s="3">
        <f t="shared" si="10"/>
        <v>1.0000201025323609E-14</v>
      </c>
      <c r="Q80" s="3"/>
      <c r="R80" s="11">
        <f t="shared" si="14"/>
        <v>4.4890907542785774E-3</v>
      </c>
      <c r="S80" s="3">
        <f t="shared" si="15"/>
        <v>1.4225070202672501E-16</v>
      </c>
      <c r="T80" s="3"/>
      <c r="U80" s="9">
        <f t="shared" si="11"/>
        <v>2.623990993026873E-4</v>
      </c>
      <c r="V80" s="3">
        <f t="shared" si="12"/>
        <v>8.3149257010256566E-18</v>
      </c>
    </row>
    <row r="81" spans="1:22" x14ac:dyDescent="0.2">
      <c r="A81" t="s">
        <v>530</v>
      </c>
      <c r="B81" s="1" t="str">
        <f>VLOOKUP(REPLACE(A81,FIND("dist",A81),4,"fit")&amp;"*",'[413]t (Cherniak)'!$A:$A,1,0)</f>
        <v>CGI005-qtz09-CL-fit-2-offset</v>
      </c>
      <c r="C81">
        <v>2400</v>
      </c>
      <c r="D81">
        <v>1024</v>
      </c>
      <c r="E81" s="1">
        <f t="shared" si="8"/>
        <v>2.34375</v>
      </c>
      <c r="F81">
        <f>'[493]CGI005-qtz09-CL-dist-2'!$B$4</f>
        <v>678.77599999999995</v>
      </c>
      <c r="G81" s="1">
        <f t="shared" si="13"/>
        <v>1590.8812499999999</v>
      </c>
      <c r="H81" s="1"/>
      <c r="I81" s="1" t="str">
        <f>VLOOKUP($B81, '[413]t (Cherniak) Category'!$1:$1048576, MATCH(I$1, '[413]t (Cherniak) Category'!$1:$1, 0), 0)</f>
        <v>Core</v>
      </c>
      <c r="J81" s="1"/>
      <c r="K81" s="4">
        <f>VLOOKUP($B81, '[413]t (Cherniak)'!$1:$1048576, MATCH(LEFT(K$1,FIND(" (",K$1)-1), '[413]t (Cherniak)'!$1:$1, 0), 0)</f>
        <v>1271.8858788726498</v>
      </c>
      <c r="L81" s="4">
        <f>'D(Ti_Audétat23) Times'!Z81</f>
        <v>89413.368712987591</v>
      </c>
      <c r="M81" s="4">
        <f>VLOOKUP($B81, '[413]t (J)'!$1:$1048576, MATCH(LEFT(M$1,FIND(" (",M$1)-1),'[413]t (J)'!$1:$1, 0), 0)</f>
        <v>1529672.6546128937</v>
      </c>
      <c r="O81" s="1">
        <f t="shared" si="9"/>
        <v>1.2508050261632713</v>
      </c>
      <c r="P81" s="3">
        <f t="shared" si="10"/>
        <v>3.9635619507290519E-14</v>
      </c>
      <c r="Q81" s="3"/>
      <c r="R81" s="11">
        <f t="shared" si="14"/>
        <v>1.779243163409544E-2</v>
      </c>
      <c r="S81" s="3">
        <f t="shared" si="15"/>
        <v>5.6380813604632284E-16</v>
      </c>
      <c r="T81" s="3"/>
      <c r="U81" s="9">
        <f t="shared" si="11"/>
        <v>1.0400141789830165E-3</v>
      </c>
      <c r="V81" s="3">
        <f t="shared" si="12"/>
        <v>3.2956060631449047E-17</v>
      </c>
    </row>
    <row r="82" spans="1:22" x14ac:dyDescent="0.2">
      <c r="A82" t="s">
        <v>531</v>
      </c>
      <c r="B82" s="1" t="str">
        <f>VLOOKUP(REPLACE(A82,FIND("dist",A82),4,"fit")&amp;"*",'[413]t (Cherniak)'!$A:$A,1,0)</f>
        <v>CGI005-qtz09-CL-fit-3-offset</v>
      </c>
      <c r="C82">
        <v>2400</v>
      </c>
      <c r="D82">
        <v>1024</v>
      </c>
      <c r="E82" s="1">
        <f t="shared" si="8"/>
        <v>2.34375</v>
      </c>
      <c r="F82">
        <f>'[494]CGI005-qtz09-CL-dist-3'!$B$4</f>
        <v>399.01100000000002</v>
      </c>
      <c r="G82" s="1">
        <f t="shared" si="13"/>
        <v>935.18203125000002</v>
      </c>
      <c r="H82" s="1"/>
      <c r="I82" s="1" t="str">
        <f>VLOOKUP($B82, '[413]t (Cherniak) Category'!$1:$1048576, MATCH(I$1, '[413]t (Cherniak) Category'!$1:$1, 0), 0)</f>
        <v>Interior</v>
      </c>
      <c r="J82" s="1"/>
      <c r="K82" s="4">
        <f>VLOOKUP($B82, '[413]t (Cherniak)'!$1:$1048576, MATCH(LEFT(K$1,FIND(" (",K$1)-1), '[413]t (Cherniak)'!$1:$1, 0), 0)</f>
        <v>1065.2537916881188</v>
      </c>
      <c r="L82" s="4">
        <f>'D(Ti_Audétat23) Times'!Z82</f>
        <v>74887.166868730317</v>
      </c>
      <c r="M82" s="4">
        <f>VLOOKUP($B82, '[413]t (J)'!$1:$1048576, MATCH(LEFT(M$1,FIND(" (",M$1)-1),'[413]t (J)'!$1:$1, 0), 0)</f>
        <v>1281160.2223403342</v>
      </c>
      <c r="O82" s="1">
        <f t="shared" si="9"/>
        <v>0.87789598924403478</v>
      </c>
      <c r="P82" s="3">
        <f t="shared" si="10"/>
        <v>2.7818845198748789E-14</v>
      </c>
      <c r="Q82" s="3"/>
      <c r="R82" s="11">
        <f t="shared" si="14"/>
        <v>1.2487881039608299E-2</v>
      </c>
      <c r="S82" s="3">
        <f t="shared" si="15"/>
        <v>3.9571707099425488E-16</v>
      </c>
      <c r="T82" s="3"/>
      <c r="U82" s="9">
        <f t="shared" si="11"/>
        <v>7.2994931854945876E-4</v>
      </c>
      <c r="V82" s="3">
        <f t="shared" si="12"/>
        <v>2.3130698105985839E-17</v>
      </c>
    </row>
    <row r="83" spans="1:22" x14ac:dyDescent="0.2">
      <c r="A83" t="s">
        <v>532</v>
      </c>
      <c r="B83" s="1" t="str">
        <f>VLOOKUP(REPLACE(A83,FIND("dist",A83),4,"fit")&amp;"*",'[413]t (Cherniak)'!$A:$A,1,0)</f>
        <v>CGI005-qtz09-CL-fit-4-offset</v>
      </c>
      <c r="C83">
        <v>2400</v>
      </c>
      <c r="D83">
        <v>1024</v>
      </c>
      <c r="E83" s="1">
        <f t="shared" si="8"/>
        <v>2.34375</v>
      </c>
      <c r="F83">
        <f>'[495]CGI005-qtz09-CL-dist-4'!$B$4</f>
        <v>255.267</v>
      </c>
      <c r="G83" s="1">
        <f t="shared" si="13"/>
        <v>598.28203125000005</v>
      </c>
      <c r="H83" s="1"/>
      <c r="I83" s="1" t="str">
        <f>VLOOKUP($B83, '[413]t (Cherniak) Category'!$1:$1048576, MATCH(I$1, '[413]t (Cherniak) Category'!$1:$1, 0), 0)</f>
        <v>Interior</v>
      </c>
      <c r="J83" s="1"/>
      <c r="K83" s="4">
        <f>VLOOKUP($B83, '[413]t (Cherniak)'!$1:$1048576, MATCH(LEFT(K$1,FIND(" (",K$1)-1), '[413]t (Cherniak)'!$1:$1, 0), 0)</f>
        <v>429.61424810393623</v>
      </c>
      <c r="L83" s="4">
        <f>'D(Ti_Audétat23) Times'!Z83</f>
        <v>30201.811190889392</v>
      </c>
      <c r="M83" s="4">
        <f>VLOOKUP($B83, '[413]t (J)'!$1:$1048576, MATCH(LEFT(M$1,FIND(" (",M$1)-1),'[413]t (J)'!$1:$1, 0), 0)</f>
        <v>516688.78338295547</v>
      </c>
      <c r="O83" s="1">
        <f t="shared" si="9"/>
        <v>1.3926028614983414</v>
      </c>
      <c r="P83" s="3">
        <f t="shared" si="10"/>
        <v>4.4128921765227436E-14</v>
      </c>
      <c r="Q83" s="3"/>
      <c r="R83" s="11">
        <f t="shared" si="14"/>
        <v>1.9809475248639276E-2</v>
      </c>
      <c r="S83" s="3">
        <f t="shared" si="15"/>
        <v>6.2772439122871433E-16</v>
      </c>
      <c r="T83" s="3"/>
      <c r="U83" s="9">
        <f t="shared" si="11"/>
        <v>1.1579156554025092E-3</v>
      </c>
      <c r="V83" s="3">
        <f t="shared" si="12"/>
        <v>3.6692132969633594E-17</v>
      </c>
    </row>
    <row r="84" spans="1:22" x14ac:dyDescent="0.2">
      <c r="A84" t="s">
        <v>533</v>
      </c>
      <c r="B84" s="1" t="str">
        <f>VLOOKUP(REPLACE(A84,FIND("dist",A84),4,"fit")&amp;"*",'[413]t (Cherniak)'!$A:$A,1,0)</f>
        <v>CGI005-qtz09-CL-fit-5-offset</v>
      </c>
      <c r="C84">
        <v>2400</v>
      </c>
      <c r="D84">
        <v>1024</v>
      </c>
      <c r="E84" s="1">
        <f t="shared" si="8"/>
        <v>2.34375</v>
      </c>
      <c r="F84">
        <f>'[496]CGI005-qtz09-CL-dist-5'!$B$4</f>
        <v>72.835400000000007</v>
      </c>
      <c r="G84" s="1">
        <f t="shared" si="13"/>
        <v>170.70796875000002</v>
      </c>
      <c r="H84" s="1"/>
      <c r="I84" s="1" t="str">
        <f>VLOOKUP($B84, '[413]t (Cherniak) Category'!$1:$1048576, MATCH(I$1, '[413]t (Cherniak) Category'!$1:$1, 0), 0)</f>
        <v>Interior</v>
      </c>
      <c r="J84" s="1"/>
      <c r="K84" s="4">
        <f>VLOOKUP($B84, '[413]t (Cherniak)'!$1:$1048576, MATCH(LEFT(K$1,FIND(" (",K$1)-1), '[413]t (Cherniak)'!$1:$1, 0), 0)</f>
        <v>254.69192031314094</v>
      </c>
      <c r="L84" s="4">
        <f>'D(Ti_Audétat23) Times'!Z84</f>
        <v>17904.800232048106</v>
      </c>
      <c r="M84" s="4">
        <f>VLOOKUP($B84, '[413]t (J)'!$1:$1048576, MATCH(LEFT(M$1,FIND(" (",M$1)-1),'[413]t (J)'!$1:$1, 0), 0)</f>
        <v>306313.0681183284</v>
      </c>
      <c r="O84" s="1">
        <f t="shared" si="9"/>
        <v>0.67025278438403713</v>
      </c>
      <c r="P84" s="3">
        <f t="shared" si="10"/>
        <v>2.1239029089158777E-14</v>
      </c>
      <c r="Q84" s="3"/>
      <c r="R84" s="11">
        <f t="shared" si="14"/>
        <v>9.5342012498104787E-3</v>
      </c>
      <c r="S84" s="3">
        <f t="shared" si="15"/>
        <v>3.0212060644061902E-16</v>
      </c>
      <c r="T84" s="3"/>
      <c r="U84" s="9">
        <f t="shared" si="11"/>
        <v>5.5729900718455702E-4</v>
      </c>
      <c r="V84" s="3">
        <f t="shared" si="12"/>
        <v>1.7659739878335391E-17</v>
      </c>
    </row>
    <row r="85" spans="1:22" x14ac:dyDescent="0.2">
      <c r="A85" t="s">
        <v>534</v>
      </c>
      <c r="B85" s="1" t="str">
        <f>VLOOKUP(REPLACE(A85,FIND("dist",A85),4,"fit")&amp;"*",'[413]t (Cherniak)'!$A:$A,1,0)</f>
        <v>CGI005-qtz10-CL-fit-1</v>
      </c>
      <c r="C85">
        <v>2100</v>
      </c>
      <c r="D85">
        <v>1024</v>
      </c>
      <c r="E85" s="1">
        <f t="shared" si="8"/>
        <v>2.05078125</v>
      </c>
      <c r="F85">
        <f>'[497]CGI005-qtz10-CL-dist-1'!$B$4</f>
        <v>557.00099999999998</v>
      </c>
      <c r="G85" s="1">
        <f t="shared" si="13"/>
        <v>1142.2872070312499</v>
      </c>
      <c r="H85" s="1"/>
      <c r="I85" s="1" t="str">
        <f>VLOOKUP($B85, '[413]t (Cherniak) Category'!$1:$1048576, MATCH(I$1, '[413]t (Cherniak) Category'!$1:$1, 0), 0)</f>
        <v>Core</v>
      </c>
      <c r="J85" s="1"/>
      <c r="K85" s="4">
        <f>VLOOKUP($B85, '[413]t (Cherniak)'!$1:$1048576, MATCH(LEFT(K$1,FIND(" (",K$1)-1), '[413]t (Cherniak)'!$1:$1, 0), 0)</f>
        <v>7745.4021926207606</v>
      </c>
      <c r="L85" s="4">
        <f>'D(Ti_Audétat23) Times'!Z85</f>
        <v>544500.50400199846</v>
      </c>
      <c r="M85" s="4">
        <f>VLOOKUP($B85, '[413]t (J)'!$1:$1048576, MATCH(LEFT(M$1,FIND(" (",M$1)-1),'[413]t (J)'!$1:$1, 0), 0)</f>
        <v>9315246.0687214099</v>
      </c>
      <c r="O85" s="1">
        <f t="shared" si="9"/>
        <v>0.14747939211207595</v>
      </c>
      <c r="P85" s="3">
        <f t="shared" si="10"/>
        <v>4.6733399280070711E-15</v>
      </c>
      <c r="Q85" s="3"/>
      <c r="R85" s="11">
        <f t="shared" si="14"/>
        <v>2.0978625338922688E-3</v>
      </c>
      <c r="S85" s="3">
        <f t="shared" si="15"/>
        <v>6.6477252195739491E-17</v>
      </c>
      <c r="T85" s="3"/>
      <c r="U85" s="9">
        <f t="shared" si="11"/>
        <v>1.2262555370027255E-4</v>
      </c>
      <c r="V85" s="3">
        <f t="shared" si="12"/>
        <v>3.8857693138981591E-18</v>
      </c>
    </row>
    <row r="86" spans="1:22" x14ac:dyDescent="0.2">
      <c r="A86" t="s">
        <v>535</v>
      </c>
      <c r="B86" s="1" t="str">
        <f>VLOOKUP(REPLACE(A86,FIND("dist",A86),4,"fit")&amp;"*",'[413]t (Cherniak)'!$A:$A,1,0)</f>
        <v>CGI005-qtz10-CL-fit-2</v>
      </c>
      <c r="C86">
        <v>2100</v>
      </c>
      <c r="D86">
        <v>1024</v>
      </c>
      <c r="E86" s="1">
        <f t="shared" si="8"/>
        <v>2.05078125</v>
      </c>
      <c r="F86">
        <f>'[498]CGI005-qtz10-CL-dist-2'!$B$4</f>
        <v>425.005</v>
      </c>
      <c r="G86" s="1">
        <f t="shared" si="13"/>
        <v>871.59228515625</v>
      </c>
      <c r="H86" s="1"/>
      <c r="I86" s="1" t="str">
        <f>VLOOKUP($B86, '[413]t (Cherniak) Category'!$1:$1048576, MATCH(I$1, '[413]t (Cherniak) Category'!$1:$1, 0), 0)</f>
        <v>Core</v>
      </c>
      <c r="J86" s="1"/>
      <c r="K86" s="4">
        <f>VLOOKUP($B86, '[413]t (Cherniak)'!$1:$1048576, MATCH(LEFT(K$1,FIND(" (",K$1)-1), '[413]t (Cherniak)'!$1:$1, 0), 0)</f>
        <v>1603.3905455377133</v>
      </c>
      <c r="L86" s="4">
        <f>'D(Ti_Audétat23) Times'!Z86</f>
        <v>112718.0924173438</v>
      </c>
      <c r="M86" s="4">
        <f>VLOOKUP($B86, '[413]t (J)'!$1:$1048576, MATCH(LEFT(M$1,FIND(" (",M$1)-1),'[413]t (J)'!$1:$1, 0), 0)</f>
        <v>1928366.9336338844</v>
      </c>
      <c r="O86" s="1">
        <f t="shared" si="9"/>
        <v>0.5435932546701856</v>
      </c>
      <c r="P86" s="3">
        <f t="shared" si="10"/>
        <v>1.7225430789102646E-14</v>
      </c>
      <c r="Q86" s="3"/>
      <c r="R86" s="11">
        <f t="shared" si="14"/>
        <v>7.7324967666161388E-3</v>
      </c>
      <c r="S86" s="3">
        <f t="shared" si="15"/>
        <v>2.4502803656222712E-16</v>
      </c>
      <c r="T86" s="3"/>
      <c r="U86" s="9">
        <f t="shared" si="11"/>
        <v>4.5198466637974858E-4</v>
      </c>
      <c r="V86" s="3">
        <f t="shared" si="12"/>
        <v>1.4322529798836052E-17</v>
      </c>
    </row>
    <row r="87" spans="1:22" x14ac:dyDescent="0.2">
      <c r="A87" t="s">
        <v>536</v>
      </c>
      <c r="B87" s="1" t="str">
        <f>VLOOKUP(REPLACE(A87,FIND("dist",A87),4,"fit")&amp;"*",'[413]t (Cherniak)'!$A:$A,1,0)</f>
        <v>CGI005-qtz10-CL-fit-3-offset</v>
      </c>
      <c r="C87">
        <v>2100</v>
      </c>
      <c r="D87">
        <v>1024</v>
      </c>
      <c r="E87" s="1">
        <f t="shared" si="8"/>
        <v>2.05078125</v>
      </c>
      <c r="F87">
        <f>'[499]CGI005-qtz10-CL-dist-3'!$B$4</f>
        <v>316.00599999999997</v>
      </c>
      <c r="G87" s="1">
        <f t="shared" si="13"/>
        <v>648.05917968749998</v>
      </c>
      <c r="H87" s="1"/>
      <c r="I87" s="1" t="str">
        <f>VLOOKUP($B87, '[413]t (Cherniak) Category'!$1:$1048576, MATCH(I$1, '[413]t (Cherniak) Category'!$1:$1, 0), 0)</f>
        <v>Core</v>
      </c>
      <c r="J87" s="1"/>
      <c r="K87" s="4">
        <f>VLOOKUP($B87, '[413]t (Cherniak)'!$1:$1048576, MATCH(LEFT(K$1,FIND(" (",K$1)-1), '[413]t (Cherniak)'!$1:$1, 0), 0)</f>
        <v>2091.4235940568624</v>
      </c>
      <c r="L87" s="4">
        <f>'D(Ti_Audétat23) Times'!Z87</f>
        <v>147026.73569754433</v>
      </c>
      <c r="M87" s="4">
        <f>VLOOKUP($B87, '[413]t (J)'!$1:$1048576, MATCH(LEFT(M$1,FIND(" (",M$1)-1),'[413]t (J)'!$1:$1, 0), 0)</f>
        <v>2515314.8833420817</v>
      </c>
      <c r="O87" s="1">
        <f t="shared" si="9"/>
        <v>0.30986509931755141</v>
      </c>
      <c r="P87" s="3">
        <f t="shared" si="10"/>
        <v>9.8190324776773695E-15</v>
      </c>
      <c r="Q87" s="3"/>
      <c r="R87" s="11">
        <f t="shared" si="14"/>
        <v>4.4077641839281069E-3</v>
      </c>
      <c r="S87" s="3">
        <f t="shared" si="15"/>
        <v>1.3967361852384548E-16</v>
      </c>
      <c r="T87" s="3"/>
      <c r="U87" s="9">
        <f t="shared" si="11"/>
        <v>2.5764534849268185E-4</v>
      </c>
      <c r="V87" s="3">
        <f t="shared" si="12"/>
        <v>8.1642884279121933E-18</v>
      </c>
    </row>
    <row r="88" spans="1:22" x14ac:dyDescent="0.2">
      <c r="A88" t="s">
        <v>537</v>
      </c>
      <c r="B88" s="1" t="str">
        <f>VLOOKUP(REPLACE(A88,FIND("dist",A88),4,"fit")&amp;"*",'[413]t (Cherniak)'!$A:$A,1,0)</f>
        <v>CGI005-qtz10-CL-fit-4-offset</v>
      </c>
      <c r="C88">
        <v>2100</v>
      </c>
      <c r="D88">
        <v>1024</v>
      </c>
      <c r="E88" s="1">
        <f t="shared" si="8"/>
        <v>2.05078125</v>
      </c>
      <c r="F88">
        <f>'[500]CGI005-qtz10-CL-dist-4'!$B$4</f>
        <v>214.149</v>
      </c>
      <c r="G88" s="1">
        <f t="shared" si="13"/>
        <v>439.17275390625002</v>
      </c>
      <c r="H88" s="1"/>
      <c r="I88" s="1" t="str">
        <f>VLOOKUP($B88, '[413]t (Cherniak) Category'!$1:$1048576, MATCH(I$1, '[413]t (Cherniak) Category'!$1:$1, 0), 0)</f>
        <v>Interior</v>
      </c>
      <c r="J88" s="1"/>
      <c r="K88" s="4">
        <f>VLOOKUP($B88, '[413]t (Cherniak)'!$1:$1048576, MATCH(LEFT(K$1,FIND(" (",K$1)-1), '[413]t (Cherniak)'!$1:$1, 0), 0)</f>
        <v>526.15806064179185</v>
      </c>
      <c r="L88" s="4">
        <f>'D(Ti_Audétat23) Times'!Z88</f>
        <v>36988.825380445596</v>
      </c>
      <c r="M88" s="4">
        <f>VLOOKUP($B88, '[413]t (J)'!$1:$1048576, MATCH(LEFT(M$1,FIND(" (",M$1)-1),'[413]t (J)'!$1:$1, 0), 0)</f>
        <v>632800.16763869498</v>
      </c>
      <c r="O88" s="1">
        <f t="shared" si="9"/>
        <v>0.83467837282690349</v>
      </c>
      <c r="P88" s="3">
        <f t="shared" si="10"/>
        <v>2.6449361574609712E-14</v>
      </c>
      <c r="Q88" s="3"/>
      <c r="R88" s="11">
        <f t="shared" si="14"/>
        <v>1.1873119770340742E-2</v>
      </c>
      <c r="S88" s="3">
        <f t="shared" si="15"/>
        <v>3.7623646190904065E-16</v>
      </c>
      <c r="T88" s="3"/>
      <c r="U88" s="9">
        <f t="shared" si="11"/>
        <v>6.9401491397360227E-4</v>
      </c>
      <c r="V88" s="3">
        <f t="shared" si="12"/>
        <v>2.1992005538241254E-17</v>
      </c>
    </row>
    <row r="89" spans="1:22" x14ac:dyDescent="0.2">
      <c r="A89" t="s">
        <v>538</v>
      </c>
      <c r="B89" s="1" t="str">
        <f>VLOOKUP(REPLACE(A89,FIND("dist",A89),4,"fit")&amp;"*",'[413]t (Cherniak)'!$A:$A,1,0)</f>
        <v>CGI005-qtz10-CL-fit-5-offset</v>
      </c>
      <c r="C89">
        <v>2100</v>
      </c>
      <c r="D89">
        <v>1024</v>
      </c>
      <c r="E89" s="1">
        <f t="shared" si="8"/>
        <v>2.05078125</v>
      </c>
      <c r="F89">
        <f>'[501]CGI005-qtz10-CL-dist-5'!$B$4</f>
        <v>163.68899999999999</v>
      </c>
      <c r="G89" s="1">
        <f t="shared" si="13"/>
        <v>335.69033203124997</v>
      </c>
      <c r="H89" s="1"/>
      <c r="I89" s="1" t="str">
        <f>VLOOKUP($B89, '[413]t (Cherniak) Category'!$1:$1048576, MATCH(I$1, '[413]t (Cherniak) Category'!$1:$1, 0), 0)</f>
        <v>Interior</v>
      </c>
      <c r="J89" s="1"/>
      <c r="K89" s="4">
        <f>VLOOKUP($B89, '[413]t (Cherniak)'!$1:$1048576, MATCH(LEFT(K$1,FIND(" (",K$1)-1), '[413]t (Cherniak)'!$1:$1, 0), 0)</f>
        <v>296.23637482160836</v>
      </c>
      <c r="L89" s="4">
        <f>'D(Ti_Audétat23) Times'!Z89</f>
        <v>20825.368571275238</v>
      </c>
      <c r="M89" s="4">
        <f>VLOOKUP($B89, '[413]t (J)'!$1:$1048576, MATCH(LEFT(M$1,FIND(" (",M$1)-1),'[413]t (J)'!$1:$1, 0), 0)</f>
        <v>356277.78356020415</v>
      </c>
      <c r="O89" s="1">
        <f t="shared" si="9"/>
        <v>1.1331840400538271</v>
      </c>
      <c r="P89" s="3">
        <f t="shared" si="10"/>
        <v>3.5908435370681769E-14</v>
      </c>
      <c r="Q89" s="3"/>
      <c r="R89" s="11">
        <f t="shared" si="14"/>
        <v>1.6119298483594332E-2</v>
      </c>
      <c r="S89" s="3">
        <f t="shared" si="15"/>
        <v>5.1078974584868083E-16</v>
      </c>
      <c r="T89" s="3"/>
      <c r="U89" s="9">
        <f t="shared" si="11"/>
        <v>9.4221516895264033E-4</v>
      </c>
      <c r="V89" s="3">
        <f t="shared" si="12"/>
        <v>2.9856997013481387E-17</v>
      </c>
    </row>
    <row r="90" spans="1:22" x14ac:dyDescent="0.2">
      <c r="A90" t="s">
        <v>539</v>
      </c>
      <c r="B90" s="1" t="str">
        <f>VLOOKUP(REPLACE(A90,FIND("dist",A90),4,"fit")&amp;"*",'[413]t (Cherniak)'!$A:$A,1,0)</f>
        <v>CGI005-qtz10-CL-fit-6-offset</v>
      </c>
      <c r="C90">
        <v>2100</v>
      </c>
      <c r="D90">
        <v>1024</v>
      </c>
      <c r="E90" s="1">
        <f t="shared" si="8"/>
        <v>2.05078125</v>
      </c>
      <c r="F90">
        <f>'[502]CGI005-qtz10-CL-dist-6'!$B$4</f>
        <v>40.311300000000003</v>
      </c>
      <c r="G90" s="1">
        <f t="shared" si="13"/>
        <v>82.66965820312501</v>
      </c>
      <c r="H90" s="1"/>
      <c r="I90" s="1" t="str">
        <f>VLOOKUP($B90, '[413]t (Cherniak) Category'!$1:$1048576, MATCH(I$1, '[413]t (Cherniak) Category'!$1:$1, 0), 0)</f>
        <v>Interior</v>
      </c>
      <c r="J90" s="1"/>
      <c r="K90" s="4">
        <f>VLOOKUP($B90, '[413]t (Cherniak)'!$1:$1048576, MATCH(LEFT(K$1,FIND(" (",K$1)-1), '[413]t (Cherniak)'!$1:$1, 0), 0)</f>
        <v>116.9358255069755</v>
      </c>
      <c r="L90" s="4">
        <f>'D(Ti_Audétat23) Times'!Z90</f>
        <v>8220.5693572761738</v>
      </c>
      <c r="M90" s="4">
        <f>VLOOKUP($B90, '[413]t (J)'!$1:$1048576, MATCH(LEFT(M$1,FIND(" (",M$1)-1),'[413]t (J)'!$1:$1, 0), 0)</f>
        <v>140636.46557751857</v>
      </c>
      <c r="O90" s="1">
        <f t="shared" si="9"/>
        <v>0.70696604607450741</v>
      </c>
      <c r="P90" s="3">
        <f t="shared" si="10"/>
        <v>2.2402402149545827E-14</v>
      </c>
      <c r="Q90" s="3"/>
      <c r="R90" s="11">
        <f t="shared" si="14"/>
        <v>1.0056439476415659E-2</v>
      </c>
      <c r="S90" s="3">
        <f t="shared" si="15"/>
        <v>3.1866933722512672E-16</v>
      </c>
      <c r="T90" s="3"/>
      <c r="U90" s="9">
        <f t="shared" si="11"/>
        <v>5.878251978506787E-4</v>
      </c>
      <c r="V90" s="3">
        <f t="shared" si="12"/>
        <v>1.8627056488791247E-17</v>
      </c>
    </row>
    <row r="91" spans="1:22" x14ac:dyDescent="0.2">
      <c r="A91" t="s">
        <v>540</v>
      </c>
      <c r="B91" s="1" t="str">
        <f>VLOOKUP(REPLACE(A91,FIND("dist",A91),4,"fit")&amp;"*",'[413]t (Cherniak)'!$A:$A,1,0)</f>
        <v>CGI005-qtz11-CL-fit-1-offset</v>
      </c>
      <c r="C91">
        <v>2300</v>
      </c>
      <c r="D91">
        <v>1024</v>
      </c>
      <c r="E91" s="1">
        <f t="shared" si="8"/>
        <v>2.24609375</v>
      </c>
      <c r="F91">
        <f>'[503]CGI005-qtz11-CL-dist-1'!$B$4</f>
        <v>525.30799999999999</v>
      </c>
      <c r="G91" s="1">
        <f t="shared" si="13"/>
        <v>1179.8910156249999</v>
      </c>
      <c r="H91" s="1"/>
      <c r="I91" s="1" t="str">
        <f>VLOOKUP($B91, '[413]t (Cherniak) Category'!$1:$1048576, MATCH(I$1, '[413]t (Cherniak) Category'!$1:$1, 0), 0)</f>
        <v>Interior</v>
      </c>
      <c r="J91" s="1"/>
      <c r="K91" s="4">
        <f>VLOOKUP($B91, '[413]t (Cherniak)'!$1:$1048576, MATCH(LEFT(K$1,FIND(" (",K$1)-1), '[413]t (Cherniak)'!$1:$1, 0), 0)</f>
        <v>1240.1627060585568</v>
      </c>
      <c r="L91" s="4">
        <f>'D(Ti_Audétat23) Times'!Z91</f>
        <v>87183.234866320097</v>
      </c>
      <c r="M91" s="4">
        <f>VLOOKUP($B91, '[413]t (J)'!$1:$1048576, MATCH(LEFT(M$1,FIND(" (",M$1)-1),'[413]t (J)'!$1:$1, 0), 0)</f>
        <v>1491519.8055425913</v>
      </c>
      <c r="O91" s="1">
        <f t="shared" si="9"/>
        <v>0.95140017504226493</v>
      </c>
      <c r="P91" s="3">
        <f t="shared" si="10"/>
        <v>3.0148052293021803E-14</v>
      </c>
      <c r="Q91" s="3"/>
      <c r="R91" s="11">
        <f t="shared" si="14"/>
        <v>1.353346222394881E-2</v>
      </c>
      <c r="S91" s="3">
        <f t="shared" si="15"/>
        <v>4.2884953938033343E-16</v>
      </c>
      <c r="T91" s="3"/>
      <c r="U91" s="9">
        <f t="shared" si="11"/>
        <v>7.9106627430654481E-4</v>
      </c>
      <c r="V91" s="3">
        <f t="shared" si="12"/>
        <v>2.5067377566942503E-17</v>
      </c>
    </row>
    <row r="92" spans="1:22" x14ac:dyDescent="0.2">
      <c r="A92" t="s">
        <v>541</v>
      </c>
      <c r="B92" s="1" t="str">
        <f>VLOOKUP(REPLACE(A92,FIND("dist",A92),4,"fit")&amp;"*",'[413]t (Cherniak)'!$A:$A,1,0)</f>
        <v>CGI005-qtz11-CL-fit-2-offset</v>
      </c>
      <c r="C92">
        <v>2300</v>
      </c>
      <c r="D92">
        <v>1024</v>
      </c>
      <c r="E92" s="1">
        <f t="shared" si="8"/>
        <v>2.24609375</v>
      </c>
      <c r="F92">
        <f>'[504]CGI005-qtz11-CL-dist-2'!$B$4</f>
        <v>389.74</v>
      </c>
      <c r="G92" s="1">
        <f t="shared" si="13"/>
        <v>875.392578125</v>
      </c>
      <c r="H92" s="1"/>
      <c r="I92" s="1" t="str">
        <f>VLOOKUP($B92, '[413]t (Cherniak) Category'!$1:$1048576, MATCH(I$1, '[413]t (Cherniak) Category'!$1:$1, 0), 0)</f>
        <v>Interior</v>
      </c>
      <c r="J92" s="1"/>
      <c r="K92" s="4">
        <f>VLOOKUP($B92, '[413]t (Cherniak)'!$1:$1048576, MATCH(LEFT(K$1,FIND(" (",K$1)-1), '[413]t (Cherniak)'!$1:$1, 0), 0)</f>
        <v>1170.5619195694451</v>
      </c>
      <c r="L92" s="4">
        <f>'D(Ti_Audétat23) Times'!Z92</f>
        <v>82290.310989705555</v>
      </c>
      <c r="M92" s="4">
        <f>VLOOKUP($B92, '[413]t (J)'!$1:$1048576, MATCH(LEFT(M$1,FIND(" (",M$1)-1),'[413]t (J)'!$1:$1, 0), 0)</f>
        <v>1407812.2798907519</v>
      </c>
      <c r="O92" s="1">
        <f t="shared" si="9"/>
        <v>0.74783961744371974</v>
      </c>
      <c r="P92" s="3">
        <f t="shared" si="10"/>
        <v>2.3697607468366407E-14</v>
      </c>
      <c r="Q92" s="3"/>
      <c r="R92" s="11">
        <f t="shared" si="14"/>
        <v>1.063785721060783E-2</v>
      </c>
      <c r="S92" s="3">
        <f t="shared" si="15"/>
        <v>3.3709335344284198E-16</v>
      </c>
      <c r="T92" s="3"/>
      <c r="U92" s="9">
        <f t="shared" si="11"/>
        <v>6.2181058556537926E-4</v>
      </c>
      <c r="V92" s="3">
        <f t="shared" si="12"/>
        <v>1.9703988439088499E-17</v>
      </c>
    </row>
    <row r="93" spans="1:22" x14ac:dyDescent="0.2">
      <c r="A93" t="s">
        <v>542</v>
      </c>
      <c r="B93" s="1" t="str">
        <f>VLOOKUP(REPLACE(A93,FIND("dist",A93),4,"fit")&amp;"*",'[413]t (Cherniak)'!$A:$A,1,0)</f>
        <v>CGI005-qtz11-CL-fit-3</v>
      </c>
      <c r="C93">
        <v>2300</v>
      </c>
      <c r="D93">
        <v>1024</v>
      </c>
      <c r="E93" s="1">
        <f t="shared" si="8"/>
        <v>2.24609375</v>
      </c>
      <c r="F93">
        <f>'[505]CGI005-qtz11-CL-dist-3'!$B$4</f>
        <v>175.23099999999999</v>
      </c>
      <c r="G93" s="1">
        <f t="shared" si="13"/>
        <v>393.58525390624999</v>
      </c>
      <c r="H93" s="1"/>
      <c r="I93" s="1" t="str">
        <f>VLOOKUP($B93, '[413]t (Cherniak) Category'!$1:$1048576, MATCH(I$1, '[413]t (Cherniak) Category'!$1:$1, 0), 0)</f>
        <v>Interior</v>
      </c>
      <c r="J93" s="1"/>
      <c r="K93" s="4">
        <f>VLOOKUP($B93, '[413]t (Cherniak)'!$1:$1048576, MATCH(LEFT(K$1,FIND(" (",K$1)-1), '[413]t (Cherniak)'!$1:$1, 0), 0)</f>
        <v>141.12043820203482</v>
      </c>
      <c r="L93" s="4">
        <f>'D(Ti_Audétat23) Times'!Z93</f>
        <v>9920.7436637955871</v>
      </c>
      <c r="M93" s="4">
        <f>VLOOKUP($B93, '[413]t (J)'!$1:$1048576, MATCH(LEFT(M$1,FIND(" (",M$1)-1),'[413]t (J)'!$1:$1, 0), 0)</f>
        <v>169722.83355797498</v>
      </c>
      <c r="O93" s="1">
        <f t="shared" si="9"/>
        <v>2.7890024926281365</v>
      </c>
      <c r="P93" s="3">
        <f t="shared" si="10"/>
        <v>8.8378155899946009E-14</v>
      </c>
      <c r="Q93" s="3"/>
      <c r="R93" s="11">
        <f t="shared" si="14"/>
        <v>3.9672958726127174E-2</v>
      </c>
      <c r="S93" s="3">
        <f t="shared" si="15"/>
        <v>1.2571601999558639E-15</v>
      </c>
      <c r="T93" s="3"/>
      <c r="U93" s="9">
        <f t="shared" si="11"/>
        <v>2.3189882330818304E-3</v>
      </c>
      <c r="V93" s="3">
        <f t="shared" si="12"/>
        <v>7.3484302769596877E-17</v>
      </c>
    </row>
    <row r="94" spans="1:22" x14ac:dyDescent="0.2">
      <c r="A94" t="s">
        <v>543</v>
      </c>
      <c r="B94" s="1" t="str">
        <f>VLOOKUP(REPLACE(A94,FIND("dist",A94),4,"fit")&amp;"*",'[413]t (Cherniak)'!$A:$A,1,0)</f>
        <v>CGI005-qtz11-CL-fit-4-offset</v>
      </c>
      <c r="C94">
        <v>2300</v>
      </c>
      <c r="D94">
        <v>1024</v>
      </c>
      <c r="E94" s="1">
        <f t="shared" si="8"/>
        <v>2.24609375</v>
      </c>
      <c r="F94">
        <f>'[506]CGI005-qtz11-CL-dist-4'!$B$4</f>
        <v>80</v>
      </c>
      <c r="G94" s="1">
        <f t="shared" si="13"/>
        <v>179.6875</v>
      </c>
      <c r="H94" s="1"/>
      <c r="I94" s="1" t="str">
        <f>VLOOKUP($B94, '[413]t (Cherniak) Category'!$1:$1048576, MATCH(I$1, '[413]t (Cherniak) Category'!$1:$1, 0), 0)</f>
        <v>Interior</v>
      </c>
      <c r="J94" s="1"/>
      <c r="K94" s="4">
        <f>VLOOKUP($B94, '[413]t (Cherniak)'!$1:$1048576, MATCH(LEFT(K$1,FIND(" (",K$1)-1), '[413]t (Cherniak)'!$1:$1, 0), 0)</f>
        <v>62.18684293796565</v>
      </c>
      <c r="L94" s="4">
        <f>'D(Ti_Audétat23) Times'!Z94</f>
        <v>4371.724860753573</v>
      </c>
      <c r="M94" s="4">
        <f>VLOOKUP($B94, '[413]t (J)'!$1:$1048576, MATCH(LEFT(M$1,FIND(" (",M$1)-1),'[413]t (J)'!$1:$1, 0), 0)</f>
        <v>74790.918508528892</v>
      </c>
      <c r="O94" s="1">
        <f t="shared" si="9"/>
        <v>2.8894777658876634</v>
      </c>
      <c r="P94" s="3">
        <f t="shared" si="10"/>
        <v>9.1562025182132457E-14</v>
      </c>
      <c r="Q94" s="3"/>
      <c r="R94" s="11">
        <f t="shared" si="14"/>
        <v>4.1102197810551716E-2</v>
      </c>
      <c r="S94" s="3">
        <f t="shared" si="15"/>
        <v>1.3024500535703512E-15</v>
      </c>
      <c r="T94" s="3"/>
      <c r="U94" s="9">
        <f t="shared" si="11"/>
        <v>2.4025309968550403E-3</v>
      </c>
      <c r="V94" s="3">
        <f t="shared" si="12"/>
        <v>7.613161320426903E-17</v>
      </c>
    </row>
    <row r="95" spans="1:22" x14ac:dyDescent="0.2">
      <c r="A95" t="s">
        <v>544</v>
      </c>
      <c r="B95" s="1" t="str">
        <f>VLOOKUP(REPLACE(A95,FIND("dist",A95),4,"fit")&amp;"*",'[413]t (Cherniak)'!$A:$A,1,0)</f>
        <v>CGI005-qtz12-CL-fit-1-offset</v>
      </c>
      <c r="C95">
        <v>2700</v>
      </c>
      <c r="D95">
        <v>1024</v>
      </c>
      <c r="E95" s="1">
        <f t="shared" si="8"/>
        <v>2.63671875</v>
      </c>
      <c r="F95">
        <f>'[507]CGI005-qtz12-CL-dist-1'!$B$4</f>
        <v>442.02800000000002</v>
      </c>
      <c r="G95" s="1">
        <f t="shared" si="13"/>
        <v>1165.5035156250001</v>
      </c>
      <c r="H95" s="1"/>
      <c r="I95" s="1" t="str">
        <f>VLOOKUP($B95, '[413]t (Cherniak) Category'!$1:$1048576, MATCH(I$1, '[413]t (Cherniak) Category'!$1:$1, 0), 0)</f>
        <v>Interior</v>
      </c>
      <c r="J95" s="1"/>
      <c r="K95" s="4">
        <f>VLOOKUP($B95, '[413]t (Cherniak)'!$1:$1048576, MATCH(LEFT(K$1,FIND(" (",K$1)-1), '[413]t (Cherniak)'!$1:$1, 0), 0)</f>
        <v>995.37310369193312</v>
      </c>
      <c r="L95" s="4">
        <f>'D(Ti_Audétat23) Times'!Z95</f>
        <v>69974.56596206846</v>
      </c>
      <c r="M95" s="4">
        <f>VLOOKUP($B95, '[413]t (J)'!$1:$1048576, MATCH(LEFT(M$1,FIND(" (",M$1)-1),'[413]t (J)'!$1:$1, 0), 0)</f>
        <v>1197116.0645358241</v>
      </c>
      <c r="O95" s="1">
        <f t="shared" si="9"/>
        <v>1.1709212468189438</v>
      </c>
      <c r="P95" s="3">
        <f t="shared" si="10"/>
        <v>3.710425529251096E-14</v>
      </c>
      <c r="Q95" s="3"/>
      <c r="R95" s="11">
        <f t="shared" si="14"/>
        <v>1.6656102107968654E-2</v>
      </c>
      <c r="S95" s="3">
        <f t="shared" si="15"/>
        <v>5.278000262367433E-16</v>
      </c>
      <c r="T95" s="3"/>
      <c r="U95" s="9">
        <f t="shared" si="11"/>
        <v>9.7359274522551694E-4</v>
      </c>
      <c r="V95" s="3">
        <f t="shared" si="12"/>
        <v>3.0851292405807697E-17</v>
      </c>
    </row>
    <row r="96" spans="1:22" x14ac:dyDescent="0.2">
      <c r="A96" t="s">
        <v>545</v>
      </c>
      <c r="B96" s="1" t="str">
        <f>VLOOKUP(REPLACE(A96,FIND("dist",A96),4,"fit")&amp;"*",'[413]t (Cherniak)'!$A:$A,1,0)</f>
        <v>CGI005-qtz12-CL-fit-2-offset</v>
      </c>
      <c r="C96">
        <v>2700</v>
      </c>
      <c r="D96">
        <v>1024</v>
      </c>
      <c r="E96" s="1">
        <f t="shared" si="8"/>
        <v>2.63671875</v>
      </c>
      <c r="F96">
        <f>'[508]CGI005-qtz12-CL-dist-2'!$B$4</f>
        <v>342.11799999999999</v>
      </c>
      <c r="G96" s="1">
        <f t="shared" si="13"/>
        <v>902.06894531249998</v>
      </c>
      <c r="H96" s="1"/>
      <c r="I96" s="1" t="str">
        <f>VLOOKUP($B96, '[413]t (Cherniak) Category'!$1:$1048576, MATCH(I$1, '[413]t (Cherniak) Category'!$1:$1, 0), 0)</f>
        <v>Interior</v>
      </c>
      <c r="J96" s="1"/>
      <c r="K96" s="4">
        <f>VLOOKUP($B96, '[413]t (Cherniak)'!$1:$1048576, MATCH(LEFT(K$1,FIND(" (",K$1)-1), '[413]t (Cherniak)'!$1:$1, 0), 0)</f>
        <v>1556.2877103135088</v>
      </c>
      <c r="L96" s="4">
        <f>'D(Ti_Audétat23) Times'!Z96</f>
        <v>109406.77082529821</v>
      </c>
      <c r="M96" s="4">
        <f>VLOOKUP($B96, '[413]t (J)'!$1:$1048576, MATCH(LEFT(M$1,FIND(" (",M$1)-1),'[413]t (J)'!$1:$1, 0), 0)</f>
        <v>1871717.2607394368</v>
      </c>
      <c r="O96" s="1">
        <f t="shared" si="9"/>
        <v>0.57962865049598145</v>
      </c>
      <c r="P96" s="3">
        <f t="shared" si="10"/>
        <v>1.8367323576443753E-14</v>
      </c>
      <c r="Q96" s="3"/>
      <c r="R96" s="11">
        <f t="shared" si="14"/>
        <v>8.2450924975469055E-3</v>
      </c>
      <c r="S96" s="3">
        <f t="shared" si="15"/>
        <v>2.6127121509705758E-16</v>
      </c>
      <c r="T96" s="3"/>
      <c r="U96" s="9">
        <f t="shared" si="11"/>
        <v>4.8194722794623929E-4</v>
      </c>
      <c r="V96" s="3">
        <f t="shared" si="12"/>
        <v>1.5271986080888257E-17</v>
      </c>
    </row>
    <row r="97" spans="1:22" x14ac:dyDescent="0.2">
      <c r="A97" t="s">
        <v>546</v>
      </c>
      <c r="B97" s="1" t="str">
        <f>VLOOKUP(REPLACE(A97,FIND("dist",A97),4,"fit")&amp;"*",'[413]t (Cherniak)'!$A:$A,1,0)</f>
        <v>CGI005-qtz12-CL-fit-3</v>
      </c>
      <c r="C97">
        <v>2700</v>
      </c>
      <c r="D97">
        <v>1024</v>
      </c>
      <c r="E97" s="1">
        <f t="shared" si="8"/>
        <v>2.63671875</v>
      </c>
      <c r="F97">
        <f>'[509]CGI005-qtz12-CL-dist-3'!$B$4</f>
        <v>166.208</v>
      </c>
      <c r="G97" s="1">
        <f t="shared" si="13"/>
        <v>438.24374999999998</v>
      </c>
      <c r="H97" s="1"/>
      <c r="I97" s="1" t="str">
        <f>VLOOKUP($B97, '[413]t (Cherniak) Category'!$1:$1048576, MATCH(I$1, '[413]t (Cherniak) Category'!$1:$1, 0), 0)</f>
        <v>Interior</v>
      </c>
      <c r="J97" s="1"/>
      <c r="K97" s="4">
        <f>VLOOKUP($B97, '[413]t (Cherniak)'!$1:$1048576, MATCH(LEFT(K$1,FIND(" (",K$1)-1), '[413]t (Cherniak)'!$1:$1, 0), 0)</f>
        <v>1287.0529945926205</v>
      </c>
      <c r="L97" s="4">
        <f>'D(Ti_Audétat23) Times'!Z97</f>
        <v>90479.61446090354</v>
      </c>
      <c r="M97" s="4">
        <f>VLOOKUP($B97, '[413]t (J)'!$1:$1048576, MATCH(LEFT(M$1,FIND(" (",M$1)-1),'[413]t (J)'!$1:$1, 0), 0)</f>
        <v>1547913.8526256848</v>
      </c>
      <c r="O97" s="1">
        <f t="shared" si="9"/>
        <v>0.34050171348128005</v>
      </c>
      <c r="P97" s="3">
        <f t="shared" si="10"/>
        <v>1.0789848197622127E-14</v>
      </c>
      <c r="Q97" s="3"/>
      <c r="R97" s="11">
        <f t="shared" si="14"/>
        <v>4.8435634105112833E-3</v>
      </c>
      <c r="S97" s="3">
        <f t="shared" si="15"/>
        <v>1.5348326268509907E-16</v>
      </c>
      <c r="T97" s="3"/>
      <c r="U97" s="9">
        <f t="shared" si="11"/>
        <v>2.8311895345895308E-4</v>
      </c>
      <c r="V97" s="3">
        <f t="shared" si="12"/>
        <v>8.9714982590232792E-18</v>
      </c>
    </row>
    <row r="98" spans="1:22" x14ac:dyDescent="0.2">
      <c r="A98" t="s">
        <v>547</v>
      </c>
      <c r="B98" s="1" t="str">
        <f>VLOOKUP(REPLACE(A98,FIND("dist",A98),4,"fit")&amp;"*",'[413]t (Cherniak)'!$A:$A,1,0)</f>
        <v>CGI005-qtz12-CL-fit-4-offset</v>
      </c>
      <c r="C98">
        <v>2700</v>
      </c>
      <c r="D98">
        <v>1024</v>
      </c>
      <c r="E98" s="1">
        <f t="shared" si="8"/>
        <v>2.63671875</v>
      </c>
      <c r="F98">
        <f>'[510]CGI005-qtz12-CL-dist-4'!$B$4</f>
        <v>79.202299999999994</v>
      </c>
      <c r="G98" s="1">
        <f t="shared" si="13"/>
        <v>208.83418945312499</v>
      </c>
      <c r="H98" s="1"/>
      <c r="I98" s="1" t="str">
        <f>VLOOKUP($B98, '[413]t (Cherniak) Category'!$1:$1048576, MATCH(I$1, '[413]t (Cherniak) Category'!$1:$1, 0), 0)</f>
        <v>Rim</v>
      </c>
      <c r="J98" s="1"/>
      <c r="K98" s="4">
        <f>VLOOKUP($B98, '[413]t (Cherniak)'!$1:$1048576, MATCH(LEFT(K$1,FIND(" (",K$1)-1), '[413]t (Cherniak)'!$1:$1, 0), 0)</f>
        <v>139.46194757571331</v>
      </c>
      <c r="L98" s="4">
        <f>'D(Ti_Audétat23) Times'!Z98</f>
        <v>9804.1520447347939</v>
      </c>
      <c r="M98" s="4">
        <f>VLOOKUP($B98, '[413]t (J)'!$1:$1048576, MATCH(LEFT(M$1,FIND(" (",M$1)-1),'[413]t (J)'!$1:$1, 0), 0)</f>
        <v>167728.19881821005</v>
      </c>
      <c r="O98" s="1">
        <f t="shared" si="9"/>
        <v>1.497427743433382</v>
      </c>
      <c r="P98" s="3">
        <f t="shared" si="10"/>
        <v>4.7450621829080219E-14</v>
      </c>
      <c r="Q98" s="3"/>
      <c r="R98" s="11">
        <f t="shared" si="14"/>
        <v>2.1300586578038329E-2</v>
      </c>
      <c r="S98" s="3">
        <f t="shared" si="15"/>
        <v>6.7497485797520499E-16</v>
      </c>
      <c r="T98" s="3"/>
      <c r="U98" s="9">
        <f t="shared" si="11"/>
        <v>1.2450750137695517E-3</v>
      </c>
      <c r="V98" s="3">
        <f t="shared" si="12"/>
        <v>3.9454046371382857E-17</v>
      </c>
    </row>
    <row r="99" spans="1:22" x14ac:dyDescent="0.2">
      <c r="A99" t="s">
        <v>548</v>
      </c>
      <c r="B99" s="1" t="str">
        <f>VLOOKUP(REPLACE(A99,FIND("dist",A99),4,"fit")&amp;"*",'[413]t (Cherniak)'!$A:$A,1,0)</f>
        <v>CGI008-qtz01-CL-fit-1-offset</v>
      </c>
      <c r="C99">
        <v>1500</v>
      </c>
      <c r="D99">
        <v>1024</v>
      </c>
      <c r="E99" s="1">
        <f t="shared" si="8"/>
        <v>1.46484375</v>
      </c>
      <c r="F99">
        <f>'[511]CGI008-qtz01-CL-dist-1--'!$B$4</f>
        <v>519.78200000000004</v>
      </c>
      <c r="G99" s="1">
        <f t="shared" si="13"/>
        <v>761.39941406250011</v>
      </c>
      <c r="H99" s="1"/>
      <c r="I99" s="1" t="str">
        <f>VLOOKUP($B99, '[413]t (Cherniak) Category'!$1:$1048576, MATCH(I$1, '[413]t (Cherniak) Category'!$1:$1, 0), 0)</f>
        <v>Core</v>
      </c>
      <c r="J99" s="1"/>
      <c r="K99" s="4">
        <f>VLOOKUP($B99, '[413]t (Cherniak)'!$1:$1048576, MATCH(LEFT(K$1,FIND(" (",K$1)-1), '[413]t (Cherniak)'!$1:$1, 0), 0)</f>
        <v>250.1094831239451</v>
      </c>
      <c r="L99" s="4">
        <f>'D(Ti_Audétat23) Times'!Z99</f>
        <v>17582.655649104196</v>
      </c>
      <c r="M99" s="4">
        <f>VLOOKUP($B99, '[413]t (J)'!$1:$1048576, MATCH(LEFT(M$1,FIND(" (",M$1)-1),'[413]t (J)'!$1:$1, 0), 0)</f>
        <v>300801.85915199632</v>
      </c>
      <c r="O99" s="1">
        <f t="shared" si="9"/>
        <v>3.0442644739111251</v>
      </c>
      <c r="P99" s="3">
        <f t="shared" si="10"/>
        <v>9.6466919978424368E-14</v>
      </c>
      <c r="Q99" s="3"/>
      <c r="R99" s="11">
        <f t="shared" si="14"/>
        <v>4.3304005336718972E-2</v>
      </c>
      <c r="S99" s="3">
        <f t="shared" si="15"/>
        <v>1.3722211238091291E-15</v>
      </c>
      <c r="T99" s="3"/>
      <c r="U99" s="9">
        <f t="shared" si="11"/>
        <v>2.5312324073029154E-3</v>
      </c>
      <c r="V99" s="3">
        <f t="shared" si="12"/>
        <v>8.020991480033068E-17</v>
      </c>
    </row>
    <row r="100" spans="1:22" x14ac:dyDescent="0.2">
      <c r="A100" t="s">
        <v>549</v>
      </c>
      <c r="B100" s="1" t="str">
        <f>VLOOKUP(REPLACE(A100,FIND("dist",A100),4,"fit")&amp;"*",'[413]t (Cherniak)'!$A:$A,1,0)</f>
        <v>CGI008-qtz01-CL-fit-2-offset</v>
      </c>
      <c r="C100">
        <v>1500</v>
      </c>
      <c r="D100">
        <v>1024</v>
      </c>
      <c r="E100" s="1">
        <f t="shared" si="8"/>
        <v>1.46484375</v>
      </c>
      <c r="F100">
        <f>'[512]CGI008-qtz01-CL-dist-2'!$B$4</f>
        <v>362.92700000000002</v>
      </c>
      <c r="G100" s="1">
        <f t="shared" si="13"/>
        <v>531.63134765625</v>
      </c>
      <c r="H100" s="1"/>
      <c r="I100" s="1" t="str">
        <f>VLOOKUP($B100, '[413]t (Cherniak) Category'!$1:$1048576, MATCH(I$1, '[413]t (Cherniak) Category'!$1:$1, 0), 0)</f>
        <v>COre</v>
      </c>
      <c r="J100" s="1"/>
      <c r="K100" s="4">
        <f>VLOOKUP($B100, '[413]t (Cherniak)'!$1:$1048576, MATCH(LEFT(K$1,FIND(" (",K$1)-1), '[413]t (Cherniak)'!$1:$1, 0), 0)</f>
        <v>403.53933113582457</v>
      </c>
      <c r="L100" s="4">
        <f>'D(Ti_Audétat23) Times'!Z100</f>
        <v>28368.748803958257</v>
      </c>
      <c r="M100" s="4">
        <f>VLOOKUP($B100, '[413]t (J)'!$1:$1048576, MATCH(LEFT(M$1,FIND(" (",M$1)-1),'[413]t (J)'!$1:$1, 0), 0)</f>
        <v>485328.98285370076</v>
      </c>
      <c r="O100" s="1">
        <f t="shared" si="9"/>
        <v>1.3174213927546801</v>
      </c>
      <c r="P100" s="3">
        <f t="shared" si="10"/>
        <v>4.1746564781690626E-14</v>
      </c>
      <c r="Q100" s="3"/>
      <c r="R100" s="11">
        <f t="shared" si="14"/>
        <v>1.8740035076276335E-2</v>
      </c>
      <c r="S100" s="3">
        <f t="shared" si="15"/>
        <v>5.9383587713502715E-16</v>
      </c>
      <c r="T100" s="3"/>
      <c r="U100" s="9">
        <f t="shared" si="11"/>
        <v>1.0954040793737364E-3</v>
      </c>
      <c r="V100" s="3">
        <f t="shared" si="12"/>
        <v>3.4711260659040496E-17</v>
      </c>
    </row>
    <row r="101" spans="1:22" x14ac:dyDescent="0.2">
      <c r="A101" t="s">
        <v>550</v>
      </c>
      <c r="B101" s="1" t="str">
        <f>VLOOKUP(REPLACE(A101,FIND("dist",A101),4,"fit")&amp;"*",'[413]t (Cherniak)'!$A:$A,1,0)</f>
        <v>CGI008-qtz01-CL-fit-3-offset</v>
      </c>
      <c r="C101">
        <v>1500</v>
      </c>
      <c r="D101">
        <v>1024</v>
      </c>
      <c r="E101" s="1">
        <f t="shared" si="8"/>
        <v>1.46484375</v>
      </c>
      <c r="F101">
        <f>'[513]CGI008-qtz01-CL-dist-3'!$B$4</f>
        <v>184.71600000000001</v>
      </c>
      <c r="G101" s="1">
        <f t="shared" si="13"/>
        <v>270.580078125</v>
      </c>
      <c r="H101" s="1"/>
      <c r="I101" s="1" t="str">
        <f>VLOOKUP($B101, '[413]t (Cherniak) Category'!$1:$1048576, MATCH(I$1, '[413]t (Cherniak) Category'!$1:$1, 0), 0)</f>
        <v>Interior</v>
      </c>
      <c r="J101" s="1"/>
      <c r="K101" s="4">
        <f>VLOOKUP($B101, '[413]t (Cherniak)'!$1:$1048576, MATCH(LEFT(K$1,FIND(" (",K$1)-1), '[413]t (Cherniak)'!$1:$1, 0), 0)</f>
        <v>579.39145564670775</v>
      </c>
      <c r="L101" s="4">
        <f>'D(Ti_Audétat23) Times'!Z101</f>
        <v>40731.124319747876</v>
      </c>
      <c r="M101" s="4">
        <f>VLOOKUP($B101, '[413]t (J)'!$1:$1048576, MATCH(LEFT(M$1,FIND(" (",M$1)-1),'[413]t (J)'!$1:$1, 0), 0)</f>
        <v>696822.94672906632</v>
      </c>
      <c r="O101" s="1">
        <f t="shared" si="9"/>
        <v>0.46700736693291883</v>
      </c>
      <c r="P101" s="3">
        <f t="shared" si="10"/>
        <v>1.479857045316877E-14</v>
      </c>
      <c r="Q101" s="3"/>
      <c r="R101" s="11">
        <f t="shared" si="14"/>
        <v>6.643079037074685E-3</v>
      </c>
      <c r="S101" s="3">
        <f t="shared" si="15"/>
        <v>2.105064718823575E-16</v>
      </c>
      <c r="T101" s="3"/>
      <c r="U101" s="9">
        <f t="shared" si="11"/>
        <v>3.8830534986702297E-4</v>
      </c>
      <c r="V101" s="3">
        <f t="shared" si="12"/>
        <v>1.2304654025243458E-17</v>
      </c>
    </row>
    <row r="102" spans="1:22" x14ac:dyDescent="0.2">
      <c r="A102" t="s">
        <v>551</v>
      </c>
      <c r="B102" s="1" t="str">
        <f>VLOOKUP(REPLACE(A102,FIND("dist",A102),4,"fit")&amp;"*",'[413]t (Cherniak)'!$A:$A,1,0)</f>
        <v>CGI008-qtz01-CL-fit-4-offset</v>
      </c>
      <c r="C102">
        <v>1500</v>
      </c>
      <c r="D102">
        <v>1024</v>
      </c>
      <c r="E102" s="1">
        <f t="shared" si="8"/>
        <v>1.46484375</v>
      </c>
      <c r="F102">
        <f>'[514]CGI008-qtz01-CL-dist-4'!$B$4</f>
        <v>41.436700000000002</v>
      </c>
      <c r="G102" s="1">
        <f t="shared" si="13"/>
        <v>60.698291015625003</v>
      </c>
      <c r="H102" s="1"/>
      <c r="I102" s="1" t="str">
        <f>VLOOKUP($B102, '[413]t (Cherniak) Category'!$1:$1048576, MATCH(I$1, '[413]t (Cherniak) Category'!$1:$1, 0), 0)</f>
        <v>Interior</v>
      </c>
      <c r="J102" s="1"/>
      <c r="K102" s="4">
        <f>VLOOKUP($B102, '[413]t (Cherniak)'!$1:$1048576, MATCH(LEFT(K$1,FIND(" (",K$1)-1), '[413]t (Cherniak)'!$1:$1, 0), 0)</f>
        <v>73.787801490995136</v>
      </c>
      <c r="L102" s="4">
        <f>'D(Ti_Audétat23) Times'!Z102</f>
        <v>5187.2703446341857</v>
      </c>
      <c r="M102" s="4">
        <f>VLOOKUP($B102, '[413]t (J)'!$1:$1048576, MATCH(LEFT(M$1,FIND(" (",M$1)-1),'[413]t (J)'!$1:$1, 0), 0)</f>
        <v>88743.167967887493</v>
      </c>
      <c r="O102" s="1">
        <f t="shared" si="9"/>
        <v>0.82260603770709251</v>
      </c>
      <c r="P102" s="3">
        <f t="shared" si="10"/>
        <v>2.6066812359212757E-14</v>
      </c>
      <c r="Q102" s="3"/>
      <c r="R102" s="11">
        <f t="shared" si="14"/>
        <v>1.1701393407886E-2</v>
      </c>
      <c r="S102" s="3">
        <f t="shared" si="15"/>
        <v>3.7079478185559105E-16</v>
      </c>
      <c r="T102" s="3"/>
      <c r="U102" s="9">
        <f t="shared" si="11"/>
        <v>6.8397705880399965E-4</v>
      </c>
      <c r="V102" s="3">
        <f t="shared" si="12"/>
        <v>2.1673925102162382E-17</v>
      </c>
    </row>
    <row r="103" spans="1:22" x14ac:dyDescent="0.2">
      <c r="A103" t="s">
        <v>552</v>
      </c>
      <c r="B103" s="1" t="str">
        <f>VLOOKUP(REPLACE(A103,FIND("dist",A103),4,"fit")&amp;"*",'[413]t (Cherniak)'!$A:$A,1,0)</f>
        <v>CGI008-qtz01-CL-fit-5-offset</v>
      </c>
      <c r="C103">
        <v>1500</v>
      </c>
      <c r="D103">
        <v>1024</v>
      </c>
      <c r="E103" s="1">
        <f t="shared" si="8"/>
        <v>1.46484375</v>
      </c>
      <c r="F103">
        <f>'[515]CGI008-qtz01-CL-dist-5'!$B$4</f>
        <v>15.811400000000001</v>
      </c>
      <c r="G103" s="1">
        <f t="shared" si="13"/>
        <v>23.161230468750002</v>
      </c>
      <c r="H103" s="1"/>
      <c r="I103" s="1" t="str">
        <f>VLOOKUP($B103, '[413]t (Cherniak) Category'!$1:$1048576, MATCH(I$1, '[413]t (Cherniak) Category'!$1:$1, 0), 0)</f>
        <v>Rim</v>
      </c>
      <c r="J103" s="1"/>
      <c r="K103" s="4">
        <f>VLOOKUP($B103, '[413]t (Cherniak)'!$1:$1048576, MATCH(LEFT(K$1,FIND(" (",K$1)-1), '[413]t (Cherniak)'!$1:$1, 0), 0)</f>
        <v>22.947955255301263</v>
      </c>
      <c r="L103" s="4">
        <f>'D(Ti_Audétat23) Times'!Z103</f>
        <v>1613.2374912992011</v>
      </c>
      <c r="M103" s="4">
        <f>VLOOKUP($B103, '[413]t (J)'!$1:$1048576, MATCH(LEFT(M$1,FIND(" (",M$1)-1),'[413]t (J)'!$1:$1, 0), 0)</f>
        <v>27599.063891194706</v>
      </c>
      <c r="O103" s="1">
        <f t="shared" si="9"/>
        <v>1.0092938656658514</v>
      </c>
      <c r="P103" s="3">
        <f t="shared" si="10"/>
        <v>3.198259264538024E-14</v>
      </c>
      <c r="Q103" s="3"/>
      <c r="R103" s="11">
        <f t="shared" si="14"/>
        <v>1.4356987482417972E-2</v>
      </c>
      <c r="S103" s="3">
        <f t="shared" si="15"/>
        <v>4.5494548008777513E-16</v>
      </c>
      <c r="T103" s="3"/>
      <c r="U103" s="9">
        <f t="shared" si="11"/>
        <v>8.3920348023613347E-4</v>
      </c>
      <c r="V103" s="3">
        <f t="shared" si="12"/>
        <v>2.6592753575561306E-17</v>
      </c>
    </row>
    <row r="104" spans="1:22" x14ac:dyDescent="0.2">
      <c r="A104" t="s">
        <v>553</v>
      </c>
      <c r="B104" s="1" t="str">
        <f>VLOOKUP(REPLACE(A104,FIND("dist",A104),4,"fit")&amp;"*",'[413]t (Cherniak)'!$A:$A,1,0)</f>
        <v>CGI008-qtz02-CL-fit-1-offset</v>
      </c>
      <c r="C104">
        <v>2400</v>
      </c>
      <c r="D104">
        <v>1024</v>
      </c>
      <c r="E104" s="1">
        <f t="shared" si="8"/>
        <v>2.34375</v>
      </c>
      <c r="F104">
        <f>'[516]CGI008-qtz02-CL-dist-1'!$B$4</f>
        <v>532.78099999999995</v>
      </c>
      <c r="G104" s="1">
        <f t="shared" si="13"/>
        <v>1248.7054687499999</v>
      </c>
      <c r="H104" s="1"/>
      <c r="I104" s="1" t="str">
        <f>VLOOKUP($B104, '[413]t (Cherniak) Category'!$1:$1048576, MATCH(I$1, '[413]t (Cherniak) Category'!$1:$1, 0), 0)</f>
        <v>Core</v>
      </c>
      <c r="J104" s="1"/>
      <c r="K104" s="4">
        <f>VLOOKUP($B104, '[413]t (Cherniak)'!$1:$1048576, MATCH(LEFT(K$1,FIND(" (",K$1)-1), '[413]t (Cherniak)'!$1:$1, 0), 0)</f>
        <v>2513.3145608067694</v>
      </c>
      <c r="L104" s="4">
        <f>'D(Ti_Audétat23) Times'!Z104</f>
        <v>176685.60147575714</v>
      </c>
      <c r="M104" s="4">
        <f>VLOOKUP($B104, '[413]t (J)'!$1:$1048576, MATCH(LEFT(M$1,FIND(" (",M$1)-1),'[413]t (J)'!$1:$1, 0), 0)</f>
        <v>3022715.0249629226</v>
      </c>
      <c r="O104" s="1">
        <f t="shared" si="9"/>
        <v>0.49683612557799678</v>
      </c>
      <c r="P104" s="3">
        <f t="shared" si="10"/>
        <v>1.5743786776497474E-14</v>
      </c>
      <c r="Q104" s="3"/>
      <c r="R104" s="11">
        <f t="shared" si="14"/>
        <v>7.0673866932011069E-3</v>
      </c>
      <c r="S104" s="3">
        <f t="shared" si="15"/>
        <v>2.2395197014985637E-16</v>
      </c>
      <c r="T104" s="3"/>
      <c r="U104" s="9">
        <f t="shared" si="11"/>
        <v>4.1310724247493918E-4</v>
      </c>
      <c r="V104" s="3">
        <f t="shared" si="12"/>
        <v>1.3090578576157223E-17</v>
      </c>
    </row>
    <row r="105" spans="1:22" x14ac:dyDescent="0.2">
      <c r="A105" t="s">
        <v>554</v>
      </c>
      <c r="B105" s="1" t="str">
        <f>VLOOKUP(REPLACE(A105,FIND("dist",A105),4,"fit")&amp;"*",'[413]t (Cherniak)'!$A:$A,1,0)</f>
        <v>CGI008-qtz02-CL-fit-2-offset</v>
      </c>
      <c r="C105">
        <v>2400</v>
      </c>
      <c r="D105">
        <v>1024</v>
      </c>
      <c r="E105" s="1">
        <f t="shared" si="8"/>
        <v>2.34375</v>
      </c>
      <c r="F105">
        <f>'[517]CGI008-qtz02-CL-dist-2'!$B$4</f>
        <v>408.38499999999999</v>
      </c>
      <c r="G105" s="1">
        <f t="shared" si="13"/>
        <v>957.15234375</v>
      </c>
      <c r="H105" s="1"/>
      <c r="I105" s="1" t="str">
        <f>VLOOKUP($B105, '[413]t (Cherniak) Category'!$1:$1048576, MATCH(I$1, '[413]t (Cherniak) Category'!$1:$1, 0), 0)</f>
        <v>Core</v>
      </c>
      <c r="J105" s="1"/>
      <c r="K105" s="4">
        <f>VLOOKUP($B105, '[413]t (Cherniak)'!$1:$1048576, MATCH(LEFT(K$1,FIND(" (",K$1)-1), '[413]t (Cherniak)'!$1:$1, 0), 0)</f>
        <v>1153.8528213644961</v>
      </c>
      <c r="L105" s="4">
        <f>'D(Ti_Audétat23) Times'!Z105</f>
        <v>81115.66412595952</v>
      </c>
      <c r="M105" s="4">
        <f>VLOOKUP($B105, '[413]t (J)'!$1:$1048576, MATCH(LEFT(M$1,FIND(" (",M$1)-1),'[413]t (J)'!$1:$1, 0), 0)</f>
        <v>1387716.5692362653</v>
      </c>
      <c r="O105" s="1">
        <f t="shared" si="9"/>
        <v>0.82952723781366966</v>
      </c>
      <c r="P105" s="3">
        <f t="shared" si="10"/>
        <v>2.6286131955968441E-14</v>
      </c>
      <c r="Q105" s="3"/>
      <c r="R105" s="11">
        <f t="shared" si="14"/>
        <v>1.1799845986142666E-2</v>
      </c>
      <c r="S105" s="3">
        <f t="shared" si="15"/>
        <v>3.7391455580090579E-16</v>
      </c>
      <c r="T105" s="3"/>
      <c r="U105" s="9">
        <f t="shared" si="11"/>
        <v>6.8973186958254178E-4</v>
      </c>
      <c r="V105" s="3">
        <f t="shared" si="12"/>
        <v>2.1856284051465946E-17</v>
      </c>
    </row>
    <row r="106" spans="1:22" x14ac:dyDescent="0.2">
      <c r="A106" t="s">
        <v>555</v>
      </c>
      <c r="B106" s="1" t="str">
        <f>VLOOKUP(REPLACE(A106,FIND("dist",A106),4,"fit")&amp;"*",'[413]t (Cherniak)'!$A:$A,1,0)</f>
        <v>CGI008-qtz02-CL-fit-3-offset</v>
      </c>
      <c r="C106">
        <v>2400</v>
      </c>
      <c r="D106">
        <v>1024</v>
      </c>
      <c r="E106" s="1">
        <f t="shared" si="8"/>
        <v>2.34375</v>
      </c>
      <c r="F106">
        <f>'[518]CGI008-qtz02-CL-dist-3'!$B$4</f>
        <v>186.07499999999999</v>
      </c>
      <c r="G106" s="1">
        <f t="shared" si="13"/>
        <v>436.11328125</v>
      </c>
      <c r="H106" s="1"/>
      <c r="I106" s="1" t="str">
        <f>VLOOKUP($B106, '[413]t (Cherniak) Category'!$1:$1048576, MATCH(I$1, '[413]t (Cherniak) Category'!$1:$1, 0), 0)</f>
        <v>Interior</v>
      </c>
      <c r="J106" s="1"/>
      <c r="K106" s="4">
        <f>VLOOKUP($B106, '[413]t (Cherniak)'!$1:$1048576, MATCH(LEFT(K$1,FIND(" (",K$1)-1), '[413]t (Cherniak)'!$1:$1, 0), 0)</f>
        <v>288.08736835642111</v>
      </c>
      <c r="L106" s="4">
        <f>'D(Ti_Audétat23) Times'!Z106</f>
        <v>20252.494753097351</v>
      </c>
      <c r="M106" s="4">
        <f>VLOOKUP($B106, '[413]t (J)'!$1:$1048576, MATCH(LEFT(M$1,FIND(" (",M$1)-1),'[413]t (J)'!$1:$1, 0), 0)</f>
        <v>346477.13040482084</v>
      </c>
      <c r="O106" s="1">
        <f t="shared" si="9"/>
        <v>1.5138229896648627</v>
      </c>
      <c r="P106" s="3">
        <f t="shared" si="10"/>
        <v>4.7970155831396008E-14</v>
      </c>
      <c r="Q106" s="3"/>
      <c r="R106" s="11">
        <f t="shared" si="14"/>
        <v>2.1533805418381961E-2</v>
      </c>
      <c r="S106" s="3">
        <f t="shared" si="15"/>
        <v>6.8236511706789993E-16</v>
      </c>
      <c r="T106" s="3"/>
      <c r="U106" s="9">
        <f t="shared" si="11"/>
        <v>1.2587072651532557E-3</v>
      </c>
      <c r="V106" s="3">
        <f t="shared" si="12"/>
        <v>3.9886026350332581E-17</v>
      </c>
    </row>
    <row r="107" spans="1:22" x14ac:dyDescent="0.2">
      <c r="A107" t="s">
        <v>556</v>
      </c>
      <c r="B107" s="1" t="str">
        <f>VLOOKUP(REPLACE(A107,FIND("dist",A107),4,"fit")&amp;"*",'[413]t (Cherniak)'!$A:$A,1,0)</f>
        <v>CGI008-qtz02-CL-fit-4-offset</v>
      </c>
      <c r="C107">
        <v>2400</v>
      </c>
      <c r="D107">
        <v>1024</v>
      </c>
      <c r="E107" s="1">
        <f t="shared" si="8"/>
        <v>2.34375</v>
      </c>
      <c r="F107">
        <f>'[519]CGI008-qtz02-CL-dist-4'!$B$4</f>
        <v>77.491900000000001</v>
      </c>
      <c r="G107" s="1">
        <f t="shared" si="13"/>
        <v>181.621640625</v>
      </c>
      <c r="H107" s="1"/>
      <c r="I107" s="1" t="str">
        <f>VLOOKUP($B107, '[413]t (Cherniak) Category'!$1:$1048576, MATCH(I$1, '[413]t (Cherniak) Category'!$1:$1, 0), 0)</f>
        <v>Interior</v>
      </c>
      <c r="J107" s="1"/>
      <c r="K107" s="4">
        <f>VLOOKUP($B107, '[413]t (Cherniak)'!$1:$1048576, MATCH(LEFT(K$1,FIND(" (",K$1)-1), '[413]t (Cherniak)'!$1:$1, 0), 0)</f>
        <v>16.049839517767381</v>
      </c>
      <c r="L107" s="4">
        <f>'D(Ti_Audétat23) Times'!Z107</f>
        <v>1128.3010861465057</v>
      </c>
      <c r="M107" s="4">
        <f>VLOOKUP($B107, '[413]t (J)'!$1:$1048576, MATCH(LEFT(M$1,FIND(" (",M$1)-1),'[413]t (J)'!$1:$1, 0), 0)</f>
        <v>19302.83292634337</v>
      </c>
      <c r="O107" s="1">
        <f t="shared" si="9"/>
        <v>11.316103218598695</v>
      </c>
      <c r="P107" s="3">
        <f t="shared" si="10"/>
        <v>3.585856725035711E-13</v>
      </c>
      <c r="Q107" s="3"/>
      <c r="R107" s="11">
        <f t="shared" si="14"/>
        <v>0.16096912681817369</v>
      </c>
      <c r="S107" s="3">
        <f t="shared" si="15"/>
        <v>5.1008038259618499E-15</v>
      </c>
      <c r="T107" s="3"/>
      <c r="U107" s="9">
        <f t="shared" si="11"/>
        <v>9.4090666027126756E-3</v>
      </c>
      <c r="V107" s="3">
        <f t="shared" si="12"/>
        <v>2.9815532875480628E-16</v>
      </c>
    </row>
    <row r="108" spans="1:22" x14ac:dyDescent="0.2">
      <c r="A108" t="s">
        <v>557</v>
      </c>
      <c r="B108" s="1" t="str">
        <f>VLOOKUP(REPLACE(A108,FIND("dist",A108),4,"fit")&amp;"*",'[413]t (Cherniak)'!$A:$A,1,0)</f>
        <v>CGI008-qtz03-CL-fit-1-offset</v>
      </c>
      <c r="C108">
        <v>2800</v>
      </c>
      <c r="D108">
        <v>1024</v>
      </c>
      <c r="E108" s="1">
        <f t="shared" si="8"/>
        <v>2.734375</v>
      </c>
      <c r="F108">
        <f>'[520]CGI008-qtz03-CL-dist-1'!$B$4</f>
        <v>539.57399999999996</v>
      </c>
      <c r="G108" s="1">
        <f t="shared" si="13"/>
        <v>1475.39765625</v>
      </c>
      <c r="H108" s="1"/>
      <c r="I108" s="1" t="str">
        <f>VLOOKUP($B108, '[413]t (Cherniak) Category'!$1:$1048576, MATCH(I$1, '[413]t (Cherniak) Category'!$1:$1, 0), 0)</f>
        <v>Interior</v>
      </c>
      <c r="J108" s="1"/>
      <c r="K108" s="4">
        <f>VLOOKUP($B108, '[413]t (Cherniak)'!$1:$1048576, MATCH(LEFT(K$1,FIND(" (",K$1)-1), '[413]t (Cherniak)'!$1:$1, 0), 0)</f>
        <v>983.83849215114151</v>
      </c>
      <c r="L108" s="4">
        <f>'D(Ti_Audétat23) Times'!Z108</f>
        <v>69163.684662268177</v>
      </c>
      <c r="M108" s="4">
        <f>VLOOKUP($B108, '[413]t (J)'!$1:$1048576, MATCH(LEFT(M$1,FIND(" (",M$1)-1),'[413]t (J)'!$1:$1, 0), 0)</f>
        <v>1183243.6093504813</v>
      </c>
      <c r="O108" s="1">
        <f t="shared" si="9"/>
        <v>1.4996340029592408</v>
      </c>
      <c r="P108" s="3">
        <f t="shared" si="10"/>
        <v>4.7520533974676171E-14</v>
      </c>
      <c r="Q108" s="3"/>
      <c r="R108" s="11">
        <f t="shared" si="14"/>
        <v>2.133197014378984E-2</v>
      </c>
      <c r="S108" s="3">
        <f t="shared" si="15"/>
        <v>6.7596934316265621E-16</v>
      </c>
      <c r="T108" s="3"/>
      <c r="U108" s="9">
        <f t="shared" si="11"/>
        <v>1.2469094652959004E-3</v>
      </c>
      <c r="V108" s="3">
        <f t="shared" si="12"/>
        <v>3.9512176632440374E-17</v>
      </c>
    </row>
    <row r="109" spans="1:22" x14ac:dyDescent="0.2">
      <c r="A109" t="s">
        <v>558</v>
      </c>
      <c r="B109" s="1" t="str">
        <f>VLOOKUP(REPLACE(A109,FIND("dist",A109),4,"fit")&amp;"*",'[413]t (Cherniak)'!$A:$A,1,0)</f>
        <v>CGI008-qtz03-CL-fit-2-offset</v>
      </c>
      <c r="C109">
        <v>2800</v>
      </c>
      <c r="D109">
        <v>1024</v>
      </c>
      <c r="E109" s="1">
        <f t="shared" si="8"/>
        <v>2.734375</v>
      </c>
      <c r="F109">
        <f>'[521]CGI008-qtz03-CL-dist-2'!$B$4</f>
        <v>385.673</v>
      </c>
      <c r="G109" s="1">
        <f t="shared" si="13"/>
        <v>1054.5746093749999</v>
      </c>
      <c r="H109" s="1"/>
      <c r="I109" s="1" t="str">
        <f>VLOOKUP($B109, '[413]t (Cherniak) Category'!$1:$1048576, MATCH(I$1, '[413]t (Cherniak) Category'!$1:$1, 0), 0)</f>
        <v>Interior</v>
      </c>
      <c r="J109" s="1"/>
      <c r="K109" s="4">
        <f>VLOOKUP($B109, '[413]t (Cherniak)'!$1:$1048576, MATCH(LEFT(K$1,FIND(" (",K$1)-1), '[413]t (Cherniak)'!$1:$1, 0), 0)</f>
        <v>694.85349494659113</v>
      </c>
      <c r="L109" s="4">
        <f>'D(Ti_Audétat23) Times'!Z109</f>
        <v>48848.08674834609</v>
      </c>
      <c r="M109" s="4">
        <f>VLOOKUP($B109, '[413]t (J)'!$1:$1048576, MATCH(LEFT(M$1,FIND(" (",M$1)-1),'[413]t (J)'!$1:$1, 0), 0)</f>
        <v>835686.91801509005</v>
      </c>
      <c r="O109" s="1">
        <f t="shared" si="9"/>
        <v>1.5176934663846775</v>
      </c>
      <c r="P109" s="3">
        <f t="shared" si="10"/>
        <v>4.8092803837575654E-14</v>
      </c>
      <c r="Q109" s="3"/>
      <c r="R109" s="11">
        <f t="shared" si="14"/>
        <v>2.1588862114660119E-2</v>
      </c>
      <c r="S109" s="3">
        <f t="shared" si="15"/>
        <v>6.8410975849431256E-16</v>
      </c>
      <c r="T109" s="3"/>
      <c r="U109" s="9">
        <f t="shared" si="11"/>
        <v>1.2619254730944075E-3</v>
      </c>
      <c r="V109" s="3">
        <f t="shared" si="12"/>
        <v>3.9988005206175613E-17</v>
      </c>
    </row>
    <row r="110" spans="1:22" x14ac:dyDescent="0.2">
      <c r="A110" t="s">
        <v>559</v>
      </c>
      <c r="B110" s="1" t="str">
        <f>VLOOKUP(REPLACE(A110,FIND("dist",A110),4,"fit")&amp;"*",'[413]t (Cherniak)'!$A:$A,1,0)</f>
        <v>CGI008-qtz03-CL-fit-3-offset</v>
      </c>
      <c r="C110">
        <v>2800</v>
      </c>
      <c r="D110">
        <v>1024</v>
      </c>
      <c r="E110" s="1">
        <f t="shared" si="8"/>
        <v>2.734375</v>
      </c>
      <c r="F110">
        <f>'[522]CGI008-qtz03-CL-dist-3'!$B$4</f>
        <v>179.77799999999999</v>
      </c>
      <c r="G110" s="1">
        <f t="shared" si="13"/>
        <v>491.58046874999997</v>
      </c>
      <c r="H110" s="1"/>
      <c r="I110" s="1" t="str">
        <f>VLOOKUP($B110, '[413]t (Cherniak) Category'!$1:$1048576, MATCH(I$1, '[413]t (Cherniak) Category'!$1:$1, 0), 0)</f>
        <v>Interior</v>
      </c>
      <c r="J110" s="1"/>
      <c r="K110" s="4">
        <f>VLOOKUP($B110, '[413]t (Cherniak)'!$1:$1048576, MATCH(LEFT(K$1,FIND(" (",K$1)-1), '[413]t (Cherniak)'!$1:$1, 0), 0)</f>
        <v>209.26388537331695</v>
      </c>
      <c r="L110" s="4">
        <f>'D(Ti_Audétat23) Times'!Z110</f>
        <v>14711.216825350284</v>
      </c>
      <c r="M110" s="4">
        <f>VLOOKUP($B110, '[413]t (J)'!$1:$1048576, MATCH(LEFT(M$1,FIND(" (",M$1)-1),'[413]t (J)'!$1:$1, 0), 0)</f>
        <v>251677.6452753284</v>
      </c>
      <c r="O110" s="1">
        <f t="shared" si="9"/>
        <v>2.3490936712421422</v>
      </c>
      <c r="P110" s="3">
        <f t="shared" si="10"/>
        <v>7.4438286537700659E-14</v>
      </c>
      <c r="Q110" s="3"/>
      <c r="R110" s="11">
        <f t="shared" si="14"/>
        <v>3.3415350652905296E-2</v>
      </c>
      <c r="S110" s="3">
        <f t="shared" si="15"/>
        <v>1.0588685658258327E-15</v>
      </c>
      <c r="T110" s="3"/>
      <c r="U110" s="9">
        <f t="shared" si="11"/>
        <v>1.9532146695516979E-3</v>
      </c>
      <c r="V110" s="3">
        <f t="shared" si="12"/>
        <v>6.1893637968403743E-17</v>
      </c>
    </row>
    <row r="111" spans="1:22" x14ac:dyDescent="0.2">
      <c r="A111" t="s">
        <v>560</v>
      </c>
      <c r="B111" s="1" t="str">
        <f>VLOOKUP(REPLACE(A111,FIND("dist",A111),4,"fit")&amp;"*",'[413]t (Cherniak)'!$A:$A,1,0)</f>
        <v>CGI008-qtz03-CL-fit-4-offset</v>
      </c>
      <c r="C111">
        <v>2800</v>
      </c>
      <c r="D111">
        <v>1024</v>
      </c>
      <c r="E111" s="1">
        <f t="shared" si="8"/>
        <v>2.734375</v>
      </c>
      <c r="F111">
        <f>'[523]CGI008-qtz03-CL-dist-4'!$B$4</f>
        <v>148.923</v>
      </c>
      <c r="G111" s="1">
        <f t="shared" si="13"/>
        <v>407.21132812500002</v>
      </c>
      <c r="H111" s="1"/>
      <c r="I111" s="1" t="str">
        <f>VLOOKUP($B111, '[413]t (Cherniak) Category'!$1:$1048576, MATCH(I$1, '[413]t (Cherniak) Category'!$1:$1, 0), 0)</f>
        <v>Interior</v>
      </c>
      <c r="J111" s="1"/>
      <c r="K111" s="4">
        <f>VLOOKUP($B111, '[413]t (Cherniak)'!$1:$1048576, MATCH(LEFT(K$1,FIND(" (",K$1)-1), '[413]t (Cherniak)'!$1:$1, 0), 0)</f>
        <v>22.239957507774591</v>
      </c>
      <c r="L111" s="4">
        <f>'D(Ti_Audétat23) Times'!Z111</f>
        <v>1563.4653657499516</v>
      </c>
      <c r="M111" s="4">
        <f>VLOOKUP($B111, '[413]t (J)'!$1:$1048576, MATCH(LEFT(M$1,FIND(" (",M$1)-1),'[413]t (J)'!$1:$1, 0), 0)</f>
        <v>26747.568633712162</v>
      </c>
      <c r="O111" s="1">
        <f t="shared" si="9"/>
        <v>18.309896859409378</v>
      </c>
      <c r="P111" s="3">
        <f t="shared" si="10"/>
        <v>5.8020561954677719E-13</v>
      </c>
      <c r="Q111" s="3"/>
      <c r="R111" s="11">
        <f t="shared" si="14"/>
        <v>0.26045433243714478</v>
      </c>
      <c r="S111" s="3">
        <f t="shared" si="15"/>
        <v>8.2532997578125316E-15</v>
      </c>
      <c r="T111" s="3"/>
      <c r="U111" s="9">
        <f t="shared" si="11"/>
        <v>1.5224237152223177E-2</v>
      </c>
      <c r="V111" s="3">
        <f t="shared" si="12"/>
        <v>4.8242696378125002E-16</v>
      </c>
    </row>
    <row r="112" spans="1:22" x14ac:dyDescent="0.2">
      <c r="A112" t="s">
        <v>561</v>
      </c>
      <c r="B112" s="1" t="str">
        <f>VLOOKUP(REPLACE(A112,FIND("dist",A112),4,"fit")&amp;"*",'[413]t (Cherniak)'!$A:$A,1,0)</f>
        <v>CGI008-qtz04-CL-fit-1-offset</v>
      </c>
      <c r="C112">
        <v>2700</v>
      </c>
      <c r="D112">
        <v>1024</v>
      </c>
      <c r="E112" s="1">
        <f t="shared" si="8"/>
        <v>2.63671875</v>
      </c>
      <c r="F112">
        <f>'[524]CGI008-qtz04-CL-dist-1'!$B$4</f>
        <v>75.504999999999995</v>
      </c>
      <c r="G112" s="1">
        <f t="shared" si="13"/>
        <v>199.08544921875</v>
      </c>
      <c r="H112" s="1"/>
      <c r="I112" s="1" t="str">
        <f>VLOOKUP($B112, '[413]t (Cherniak) Category'!$1:$1048576, MATCH(I$1, '[413]t (Cherniak) Category'!$1:$1, 0), 0)</f>
        <v>Interior</v>
      </c>
      <c r="J112" s="1"/>
      <c r="K112" s="4">
        <f>VLOOKUP($B112, '[413]t (Cherniak)'!$1:$1048576, MATCH(LEFT(K$1,FIND(" (",K$1)-1), '[413]t (Cherniak)'!$1:$1, 0), 0)</f>
        <v>54.466705183105944</v>
      </c>
      <c r="L112" s="4">
        <f>'D(Ti_Audétat23) Times'!Z112</f>
        <v>3829.0004425831571</v>
      </c>
      <c r="M112" s="4">
        <f>VLOOKUP($B112, '[413]t (J)'!$1:$1048576, MATCH(LEFT(M$1,FIND(" (",M$1)-1),'[413]t (J)'!$1:$1, 0), 0)</f>
        <v>65506.057492601292</v>
      </c>
      <c r="O112" s="1">
        <f t="shared" si="9"/>
        <v>3.6551770214384249</v>
      </c>
      <c r="P112" s="3">
        <f t="shared" si="10"/>
        <v>1.1582557043116158E-13</v>
      </c>
      <c r="Q112" s="3"/>
      <c r="R112" s="11">
        <f t="shared" si="14"/>
        <v>5.1994104519988267E-2</v>
      </c>
      <c r="S112" s="3">
        <f t="shared" si="15"/>
        <v>1.6475937498411876E-15</v>
      </c>
      <c r="T112" s="3"/>
      <c r="U112" s="9">
        <f t="shared" si="11"/>
        <v>3.0391914402913972E-3</v>
      </c>
      <c r="V112" s="3">
        <f t="shared" si="12"/>
        <v>9.630616524359891E-17</v>
      </c>
    </row>
    <row r="113" spans="1:22" x14ac:dyDescent="0.2">
      <c r="A113" t="s">
        <v>562</v>
      </c>
      <c r="B113" s="1" t="str">
        <f>VLOOKUP(REPLACE(A113,FIND("dist",A113),4,"fit")&amp;"*",'[413]t (Cherniak)'!$A:$A,1,0)</f>
        <v>CGI008-qtz04-CL-fit-2-offset</v>
      </c>
      <c r="C113">
        <v>2700</v>
      </c>
      <c r="D113">
        <v>1024</v>
      </c>
      <c r="E113" s="1">
        <f t="shared" si="8"/>
        <v>2.63671875</v>
      </c>
      <c r="F113">
        <f>'[525]CGI008-qtz04-CL-dist-2'!$B$4</f>
        <v>158.59700000000001</v>
      </c>
      <c r="G113" s="1">
        <f t="shared" si="13"/>
        <v>418.17568359375002</v>
      </c>
      <c r="H113" s="1"/>
      <c r="I113" s="1" t="str">
        <f>VLOOKUP($B113, '[413]t (Cherniak) Category'!$1:$1048576, MATCH(I$1, '[413]t (Cherniak) Category'!$1:$1, 0), 0)</f>
        <v>Interior</v>
      </c>
      <c r="J113" s="1"/>
      <c r="K113" s="4">
        <f>VLOOKUP($B113, '[413]t (Cherniak)'!$1:$1048576, MATCH(LEFT(K$1,FIND(" (",K$1)-1), '[413]t (Cherniak)'!$1:$1, 0), 0)</f>
        <v>1520.7328357146077</v>
      </c>
      <c r="L113" s="4">
        <f>'D(Ti_Audétat23) Times'!Z113</f>
        <v>106907.26897150501</v>
      </c>
      <c r="M113" s="4">
        <f>VLOOKUP($B113, '[413]t (J)'!$1:$1048576, MATCH(LEFT(M$1,FIND(" (",M$1)-1),'[413]t (J)'!$1:$1, 0), 0)</f>
        <v>1828956.0977172195</v>
      </c>
      <c r="O113" s="1">
        <f t="shared" si="9"/>
        <v>0.27498300409699844</v>
      </c>
      <c r="P113" s="3">
        <f t="shared" si="10"/>
        <v>8.7136855811911679E-15</v>
      </c>
      <c r="Q113" s="3"/>
      <c r="R113" s="11">
        <f t="shared" si="14"/>
        <v>3.911573905280569E-3</v>
      </c>
      <c r="S113" s="3">
        <f t="shared" si="15"/>
        <v>1.2395029740159482E-16</v>
      </c>
      <c r="T113" s="3"/>
      <c r="U113" s="9">
        <f t="shared" si="11"/>
        <v>2.2864172853339067E-4</v>
      </c>
      <c r="V113" s="3">
        <f t="shared" si="12"/>
        <v>7.245219171717452E-18</v>
      </c>
    </row>
    <row r="114" spans="1:22" x14ac:dyDescent="0.2">
      <c r="A114" t="s">
        <v>563</v>
      </c>
      <c r="B114" s="1" t="str">
        <f>VLOOKUP(REPLACE(A114,FIND("dist",A114),4,"fit")&amp;"*",'[413]t (Cherniak)'!$A:$A,1,0)</f>
        <v>CGI008-qtz04-CL-fit-3-offset</v>
      </c>
      <c r="C114">
        <v>2700</v>
      </c>
      <c r="D114">
        <v>1024</v>
      </c>
      <c r="E114" s="1">
        <f t="shared" si="8"/>
        <v>2.63671875</v>
      </c>
      <c r="F114">
        <f>'[526]CGI008-qtz04-CL-dist-3'!$B$4</f>
        <v>509.608</v>
      </c>
      <c r="G114" s="1">
        <f t="shared" si="13"/>
        <v>1343.6929687500001</v>
      </c>
      <c r="H114" s="1"/>
      <c r="I114" s="1" t="str">
        <f>VLOOKUP($B114, '[413]t (Cherniak) Category'!$1:$1048576, MATCH(I$1, '[413]t (Cherniak) Category'!$1:$1, 0), 0)</f>
        <v>Interior</v>
      </c>
      <c r="J114" s="1"/>
      <c r="K114" s="4">
        <f>VLOOKUP($B114, '[413]t (Cherniak)'!$1:$1048576, MATCH(LEFT(K$1,FIND(" (",K$1)-1), '[413]t (Cherniak)'!$1:$1, 0), 0)</f>
        <v>1924.5305824243542</v>
      </c>
      <c r="L114" s="4">
        <f>'D(Ti_Audétat23) Times'!Z114</f>
        <v>135294.18434793336</v>
      </c>
      <c r="M114" s="4">
        <f>VLOOKUP($B114, '[413]t (J)'!$1:$1048576, MATCH(LEFT(M$1,FIND(" (",M$1)-1),'[413]t (J)'!$1:$1, 0), 0)</f>
        <v>2314595.8720055297</v>
      </c>
      <c r="O114" s="1">
        <f t="shared" si="9"/>
        <v>0.69819257798300816</v>
      </c>
      <c r="P114" s="3">
        <f t="shared" si="10"/>
        <v>2.2124387722228816E-14</v>
      </c>
      <c r="Q114" s="3"/>
      <c r="R114" s="11">
        <f t="shared" si="14"/>
        <v>9.9316387857030994E-3</v>
      </c>
      <c r="S114" s="3">
        <f t="shared" si="15"/>
        <v>3.1471464197857565E-16</v>
      </c>
      <c r="T114" s="3"/>
      <c r="U114" s="9">
        <f t="shared" si="11"/>
        <v>5.8053027096506885E-4</v>
      </c>
      <c r="V114" s="3">
        <f t="shared" si="12"/>
        <v>1.8395894205043123E-17</v>
      </c>
    </row>
    <row r="115" spans="1:22" x14ac:dyDescent="0.2">
      <c r="A115" t="s">
        <v>564</v>
      </c>
      <c r="B115" s="1" t="str">
        <f>VLOOKUP(REPLACE(A115,FIND("dist",A115),4,"fit")&amp;"*",'[413]t (Cherniak)'!$A:$A,1,0)</f>
        <v>CGI008-qtz05-CL-fit-1-offset</v>
      </c>
      <c r="C115">
        <v>1450</v>
      </c>
      <c r="D115">
        <v>1024</v>
      </c>
      <c r="E115" s="1">
        <f t="shared" si="8"/>
        <v>1.416015625</v>
      </c>
      <c r="F115">
        <f>'[527]CGI008-qtz05-CL-dist-1'!$B$4</f>
        <v>449.43099999999998</v>
      </c>
      <c r="G115" s="1">
        <f t="shared" si="13"/>
        <v>636.40131835937495</v>
      </c>
      <c r="H115" s="1"/>
      <c r="I115" s="1" t="str">
        <f>VLOOKUP($B115, '[413]t (Cherniak) Category'!$1:$1048576, MATCH(I$1, '[413]t (Cherniak) Category'!$1:$1, 0), 0)</f>
        <v>Core</v>
      </c>
      <c r="J115" s="1"/>
      <c r="K115" s="4">
        <f>VLOOKUP($B115, '[413]t (Cherniak)'!$1:$1048576, MATCH(LEFT(K$1,FIND(" (",K$1)-1), '[413]t (Cherniak)'!$1:$1, 0), 0)</f>
        <v>167.98815274263879</v>
      </c>
      <c r="L115" s="4">
        <f>'D(Ti_Audétat23) Times'!Z115</f>
        <v>11809.539590065051</v>
      </c>
      <c r="M115" s="4">
        <f>VLOOKUP($B115, '[413]t (J)'!$1:$1048576, MATCH(LEFT(M$1,FIND(" (",M$1)-1),'[413]t (J)'!$1:$1, 0), 0)</f>
        <v>202036.11646126147</v>
      </c>
      <c r="O115" s="1">
        <f t="shared" si="9"/>
        <v>3.7883702390272398</v>
      </c>
      <c r="P115" s="3">
        <f t="shared" si="10"/>
        <v>1.2004620880634903E-13</v>
      </c>
      <c r="Q115" s="3"/>
      <c r="R115" s="11">
        <f t="shared" si="14"/>
        <v>5.3888749303550913E-2</v>
      </c>
      <c r="S115" s="3">
        <f t="shared" si="15"/>
        <v>1.7076314201191127E-15</v>
      </c>
      <c r="T115" s="3"/>
      <c r="U115" s="9">
        <f t="shared" si="11"/>
        <v>3.1499383848105147E-3</v>
      </c>
      <c r="V115" s="3">
        <f t="shared" si="12"/>
        <v>9.9815524146656106E-17</v>
      </c>
    </row>
    <row r="116" spans="1:22" x14ac:dyDescent="0.2">
      <c r="A116" t="s">
        <v>565</v>
      </c>
      <c r="B116" s="1" t="str">
        <f>VLOOKUP(REPLACE(A116,FIND("dist",A116),4,"fit")&amp;"*",'[413]t (Cherniak)'!$A:$A,1,0)</f>
        <v>CGI008-qtz05-CL-fit-2-offset</v>
      </c>
      <c r="C116">
        <v>1450</v>
      </c>
      <c r="D116">
        <v>1024</v>
      </c>
      <c r="E116" s="1">
        <f t="shared" si="8"/>
        <v>1.416015625</v>
      </c>
      <c r="F116">
        <f>'[528]CGI008-qtz05-CL-dist-2'!$B$4</f>
        <v>229.02</v>
      </c>
      <c r="G116" s="1">
        <f t="shared" si="13"/>
        <v>324.2958984375</v>
      </c>
      <c r="H116" s="1"/>
      <c r="I116" s="1" t="str">
        <f>VLOOKUP($B116, '[413]t (Cherniak) Category'!$1:$1048576, MATCH(I$1, '[413]t (Cherniak) Category'!$1:$1, 0), 0)</f>
        <v>Interior</v>
      </c>
      <c r="J116" s="1"/>
      <c r="K116" s="4">
        <f>VLOOKUP($B116, '[413]t (Cherniak)'!$1:$1048576, MATCH(LEFT(K$1,FIND(" (",K$1)-1), '[413]t (Cherniak)'!$1:$1, 0), 0)</f>
        <v>167.29516171131021</v>
      </c>
      <c r="L116" s="4">
        <f>'D(Ti_Audétat23) Times'!Z116</f>
        <v>11760.822434203632</v>
      </c>
      <c r="M116" s="4">
        <f>VLOOKUP($B116, '[413]t (J)'!$1:$1048576, MATCH(LEFT(M$1,FIND(" (",M$1)-1),'[413]t (J)'!$1:$1, 0), 0)</f>
        <v>201202.66949237545</v>
      </c>
      <c r="O116" s="1">
        <f t="shared" si="9"/>
        <v>1.938465494878538</v>
      </c>
      <c r="P116" s="3">
        <f t="shared" si="10"/>
        <v>6.1426264826176197E-14</v>
      </c>
      <c r="Q116" s="3"/>
      <c r="R116" s="11">
        <f t="shared" si="14"/>
        <v>2.7574253437783431E-2</v>
      </c>
      <c r="S116" s="3">
        <f t="shared" si="15"/>
        <v>8.7377536434277101E-16</v>
      </c>
      <c r="T116" s="3"/>
      <c r="U116" s="9">
        <f t="shared" si="11"/>
        <v>1.6117872553862371E-3</v>
      </c>
      <c r="V116" s="3">
        <f t="shared" si="12"/>
        <v>5.1074456086211783E-17</v>
      </c>
    </row>
    <row r="117" spans="1:22" x14ac:dyDescent="0.2">
      <c r="A117" t="s">
        <v>566</v>
      </c>
      <c r="B117" s="1" t="str">
        <f>VLOOKUP(REPLACE(A117,FIND("dist",A117),4,"fit")&amp;"*",'[413]t (Cherniak)'!$A:$A,1,0)</f>
        <v>CGI008-qtz05-CL-fit-3-offset</v>
      </c>
      <c r="C117">
        <v>1450</v>
      </c>
      <c r="D117">
        <v>1024</v>
      </c>
      <c r="E117" s="1">
        <f t="shared" si="8"/>
        <v>1.416015625</v>
      </c>
      <c r="F117">
        <f>'[529]CGI008-qtz05-CL-dist-3'!$B$4</f>
        <v>129.02699999999999</v>
      </c>
      <c r="G117" s="1">
        <f t="shared" si="13"/>
        <v>182.70424804687499</v>
      </c>
      <c r="H117" s="1"/>
      <c r="I117" s="1" t="str">
        <f>VLOOKUP($B117, '[413]t (Cherniak) Category'!$1:$1048576, MATCH(I$1, '[413]t (Cherniak) Category'!$1:$1, 0), 0)</f>
        <v>Interior</v>
      </c>
      <c r="J117" s="1"/>
      <c r="K117" s="4">
        <f>VLOOKUP($B117, '[413]t (Cherniak)'!$1:$1048576, MATCH(LEFT(K$1,FIND(" (",K$1)-1), '[413]t (Cherniak)'!$1:$1, 0), 0)</f>
        <v>135.55745759809673</v>
      </c>
      <c r="L117" s="4">
        <f>'D(Ti_Audétat23) Times'!Z117</f>
        <v>9529.6670395909059</v>
      </c>
      <c r="M117" s="4">
        <f>VLOOKUP($B117, '[413]t (J)'!$1:$1048576, MATCH(LEFT(M$1,FIND(" (",M$1)-1),'[413]t (J)'!$1:$1, 0), 0)</f>
        <v>163032.34390844085</v>
      </c>
      <c r="O117" s="1">
        <f t="shared" si="9"/>
        <v>1.347799311702643</v>
      </c>
      <c r="P117" s="3">
        <f t="shared" si="10"/>
        <v>4.2709182944921129E-14</v>
      </c>
      <c r="Q117" s="3"/>
      <c r="R117" s="11">
        <f t="shared" si="14"/>
        <v>1.9172154419229134E-2</v>
      </c>
      <c r="S117" s="3">
        <f t="shared" si="15"/>
        <v>6.0752891282065592E-16</v>
      </c>
      <c r="T117" s="3"/>
      <c r="U117" s="9">
        <f t="shared" si="11"/>
        <v>1.1206625855142089E-3</v>
      </c>
      <c r="V117" s="3">
        <f t="shared" si="12"/>
        <v>3.5511654419670975E-17</v>
      </c>
    </row>
    <row r="118" spans="1:22" x14ac:dyDescent="0.2">
      <c r="A118" t="s">
        <v>567</v>
      </c>
      <c r="B118" s="1" t="str">
        <f>VLOOKUP(REPLACE(A118,FIND("dist",A118),4,"fit")&amp;"*",'[413]t (Cherniak)'!$A:$A,1,0)</f>
        <v>CGI008-qtz05-CL-fit-4-offset</v>
      </c>
      <c r="C118">
        <v>1450</v>
      </c>
      <c r="D118">
        <v>1024</v>
      </c>
      <c r="E118" s="1">
        <f t="shared" si="8"/>
        <v>1.416015625</v>
      </c>
      <c r="F118">
        <f>'[530]CGI008-qtz05-CL-dist-4'!$B$4</f>
        <v>43.324399999999997</v>
      </c>
      <c r="G118" s="1">
        <f t="shared" si="13"/>
        <v>61.348027343749997</v>
      </c>
      <c r="H118" s="1"/>
      <c r="I118" s="1" t="str">
        <f>VLOOKUP($B118, '[413]t (Cherniak) Category'!$1:$1048576, MATCH(I$1, '[413]t (Cherniak) Category'!$1:$1, 0), 0)</f>
        <v>RIm</v>
      </c>
      <c r="J118" s="1"/>
      <c r="K118" s="4">
        <f>VLOOKUP($B118, '[413]t (Cherniak)'!$1:$1048576, MATCH(LEFT(K$1,FIND(" (",K$1)-1), '[413]t (Cherniak)'!$1:$1, 0), 0)</f>
        <v>66.196217206270717</v>
      </c>
      <c r="L118" s="4">
        <f>'D(Ti_Audétat23) Times'!Z118</f>
        <v>4653.5832143332818</v>
      </c>
      <c r="M118" s="4">
        <f>VLOOKUP($B118, '[413]t (J)'!$1:$1048576, MATCH(LEFT(M$1,FIND(" (",M$1)-1),'[413]t (J)'!$1:$1, 0), 0)</f>
        <v>79612.915735018221</v>
      </c>
      <c r="O118" s="1">
        <f t="shared" si="9"/>
        <v>0.92676031853280194</v>
      </c>
      <c r="P118" s="3">
        <f t="shared" si="10"/>
        <v>2.9367262356224871E-14</v>
      </c>
      <c r="Q118" s="3"/>
      <c r="R118" s="11">
        <f t="shared" si="14"/>
        <v>1.3182965581188026E-2</v>
      </c>
      <c r="S118" s="3">
        <f t="shared" si="15"/>
        <v>4.1774297098600732E-16</v>
      </c>
      <c r="T118" s="3"/>
      <c r="U118" s="9">
        <f t="shared" si="11"/>
        <v>7.7057882854007439E-4</v>
      </c>
      <c r="V118" s="3">
        <f t="shared" si="12"/>
        <v>2.4418169586409436E-17</v>
      </c>
    </row>
    <row r="119" spans="1:22" x14ac:dyDescent="0.2">
      <c r="A119" t="s">
        <v>568</v>
      </c>
      <c r="B119" s="1" t="str">
        <f>VLOOKUP(REPLACE(A119,FIND("dist",A119),4,"fit")&amp;"*",'[413]t (Cherniak)'!$A:$A,1,0)</f>
        <v>CGI008-qtz06-CL-fit-1-offset</v>
      </c>
      <c r="C119">
        <v>1900</v>
      </c>
      <c r="D119">
        <v>1024</v>
      </c>
      <c r="E119" s="1">
        <f t="shared" si="8"/>
        <v>1.85546875</v>
      </c>
      <c r="F119">
        <f>'[531]CGI008-qtz06-CL-dist-1'!$B$4</f>
        <v>626.67100000000005</v>
      </c>
      <c r="G119" s="1">
        <f t="shared" si="13"/>
        <v>1162.7684570312501</v>
      </c>
      <c r="H119" s="1"/>
      <c r="I119" s="1" t="str">
        <f>VLOOKUP($B119, '[413]t (Cherniak) Category'!$1:$1048576, MATCH(I$1, '[413]t (Cherniak) Category'!$1:$1, 0), 0)</f>
        <v>Core</v>
      </c>
      <c r="J119" s="1"/>
      <c r="K119" s="4">
        <f>VLOOKUP($B119, '[413]t (Cherniak)'!$1:$1048576, MATCH(LEFT(K$1,FIND(" (",K$1)-1), '[413]t (Cherniak)'!$1:$1, 0), 0)</f>
        <v>3441.9577186154966</v>
      </c>
      <c r="L119" s="4">
        <f>'D(Ti_Audétat23) Times'!Z119</f>
        <v>241969.06318502795</v>
      </c>
      <c r="M119" s="4">
        <f>VLOOKUP($B119, '[413]t (J)'!$1:$1048576, MATCH(LEFT(M$1,FIND(" (",M$1)-1),'[413]t (J)'!$1:$1, 0), 0)</f>
        <v>4139576.2685616566</v>
      </c>
      <c r="O119" s="1">
        <f t="shared" si="9"/>
        <v>0.33782183050725145</v>
      </c>
      <c r="P119" s="3">
        <f t="shared" si="10"/>
        <v>1.0704927830609787E-14</v>
      </c>
      <c r="Q119" s="3"/>
      <c r="R119" s="11">
        <f t="shared" si="14"/>
        <v>4.805442653394533E-3</v>
      </c>
      <c r="S119" s="3">
        <f t="shared" si="15"/>
        <v>1.5227528878604625E-16</v>
      </c>
      <c r="T119" s="3"/>
      <c r="U119" s="9">
        <f t="shared" si="11"/>
        <v>2.808906954709322E-4</v>
      </c>
      <c r="V119" s="3">
        <f t="shared" si="12"/>
        <v>8.9008890242265633E-18</v>
      </c>
    </row>
    <row r="120" spans="1:22" x14ac:dyDescent="0.2">
      <c r="A120" t="s">
        <v>569</v>
      </c>
      <c r="B120" s="1" t="str">
        <f>VLOOKUP(REPLACE(A120,FIND("dist",A120),4,"fit")&amp;"*",'[413]t (Cherniak)'!$A:$A,1,0)</f>
        <v>CGI008-qtz06-CL-fit-2-offset</v>
      </c>
      <c r="C120">
        <v>1900</v>
      </c>
      <c r="D120">
        <v>1024</v>
      </c>
      <c r="E120" s="1">
        <f t="shared" si="8"/>
        <v>1.85546875</v>
      </c>
      <c r="F120">
        <f>'[532]CGI008-qtz06-CL-dist-2'!$B$4</f>
        <v>527.83000000000004</v>
      </c>
      <c r="G120" s="1">
        <f t="shared" si="13"/>
        <v>979.37207031250011</v>
      </c>
      <c r="H120" s="1"/>
      <c r="I120" s="1" t="str">
        <f>VLOOKUP($B120, '[413]t (Cherniak) Category'!$1:$1048576, MATCH(I$1, '[413]t (Cherniak) Category'!$1:$1, 0), 0)</f>
        <v>Interior</v>
      </c>
      <c r="J120" s="1"/>
      <c r="K120" s="4">
        <f>VLOOKUP($B120, '[413]t (Cherniak)'!$1:$1048576, MATCH(LEFT(K$1,FIND(" (",K$1)-1), '[413]t (Cherniak)'!$1:$1, 0), 0)</f>
        <v>1235.3683459157264</v>
      </c>
      <c r="L120" s="4">
        <f>'D(Ti_Audétat23) Times'!Z120</f>
        <v>86846.192134488127</v>
      </c>
      <c r="M120" s="4">
        <f>VLOOKUP($B120, '[413]t (J)'!$1:$1048576, MATCH(LEFT(M$1,FIND(" (",M$1)-1),'[413]t (J)'!$1:$1, 0), 0)</f>
        <v>1485753.7209207902</v>
      </c>
      <c r="O120" s="1">
        <f t="shared" si="9"/>
        <v>0.79277737166442686</v>
      </c>
      <c r="P120" s="3">
        <f t="shared" si="10"/>
        <v>2.5121598970277422E-14</v>
      </c>
      <c r="Q120" s="3"/>
      <c r="R120" s="11">
        <f t="shared" si="14"/>
        <v>1.1277087069008918E-2</v>
      </c>
      <c r="S120" s="3">
        <f t="shared" si="15"/>
        <v>3.5734932532920497E-16</v>
      </c>
      <c r="T120" s="3"/>
      <c r="U120" s="9">
        <f t="shared" si="11"/>
        <v>6.5917524319275339E-4</v>
      </c>
      <c r="V120" s="3">
        <f t="shared" si="12"/>
        <v>2.0888002991125856E-17</v>
      </c>
    </row>
    <row r="121" spans="1:22" x14ac:dyDescent="0.2">
      <c r="A121" t="s">
        <v>570</v>
      </c>
      <c r="B121" s="1" t="str">
        <f>VLOOKUP(REPLACE(A121,FIND("dist",A121),4,"fit")&amp;"*",'[413]t (Cherniak)'!$A:$A,1,0)</f>
        <v>CGI008-qtz06-CL-fit-3-offset</v>
      </c>
      <c r="C121">
        <v>1900</v>
      </c>
      <c r="D121">
        <v>1024</v>
      </c>
      <c r="E121" s="1">
        <f t="shared" si="8"/>
        <v>1.85546875</v>
      </c>
      <c r="F121">
        <f>'[533]CGI008-qtz06-CL-dist-3'!$B$4</f>
        <v>222.84700000000001</v>
      </c>
      <c r="G121" s="1">
        <f t="shared" si="13"/>
        <v>413.48564453124999</v>
      </c>
      <c r="H121" s="1"/>
      <c r="I121" s="1" t="str">
        <f>VLOOKUP($B121, '[413]t (Cherniak) Category'!$1:$1048576, MATCH(I$1, '[413]t (Cherniak) Category'!$1:$1, 0), 0)</f>
        <v>Interior</v>
      </c>
      <c r="J121" s="1"/>
      <c r="K121" s="4">
        <f>VLOOKUP($B121, '[413]t (Cherniak)'!$1:$1048576, MATCH(LEFT(K$1,FIND(" (",K$1)-1), '[413]t (Cherniak)'!$1:$1, 0), 0)</f>
        <v>1940.0887897037637</v>
      </c>
      <c r="L121" s="4">
        <f>'D(Ti_Audétat23) Times'!Z121</f>
        <v>136387.92376834425</v>
      </c>
      <c r="M121" s="4">
        <f>VLOOKUP($B121, '[413]t (J)'!$1:$1048576, MATCH(LEFT(M$1,FIND(" (",M$1)-1),'[413]t (J)'!$1:$1, 0), 0)</f>
        <v>2333307.4283058532</v>
      </c>
      <c r="O121" s="1">
        <f t="shared" si="9"/>
        <v>0.21312717578992144</v>
      </c>
      <c r="P121" s="3">
        <f t="shared" si="10"/>
        <v>6.7535926619870149E-15</v>
      </c>
      <c r="Q121" s="3"/>
      <c r="R121" s="11">
        <f t="shared" si="14"/>
        <v>3.0316880931009552E-3</v>
      </c>
      <c r="S121" s="3">
        <f t="shared" si="15"/>
        <v>9.6068398518929039E-17</v>
      </c>
      <c r="T121" s="3"/>
      <c r="U121" s="9">
        <f t="shared" si="11"/>
        <v>1.7721010078447738E-4</v>
      </c>
      <c r="V121" s="3">
        <f t="shared" si="12"/>
        <v>5.6154492351914395E-18</v>
      </c>
    </row>
    <row r="122" spans="1:22" x14ac:dyDescent="0.2">
      <c r="A122" t="s">
        <v>571</v>
      </c>
      <c r="B122" s="1" t="str">
        <f>VLOOKUP(REPLACE(A122,FIND("dist",A122),4,"fit")&amp;"*",'[413]t (Cherniak)'!$A:$A,1,0)</f>
        <v>CGI008-qtz06-CL-fit-4-offset</v>
      </c>
      <c r="C122">
        <v>1900</v>
      </c>
      <c r="D122">
        <v>1024</v>
      </c>
      <c r="E122" s="1">
        <f t="shared" si="8"/>
        <v>1.85546875</v>
      </c>
      <c r="F122">
        <f>'[534]CGI008-qtz06-CL-dist-4'!$B$4</f>
        <v>126.46299999999999</v>
      </c>
      <c r="G122" s="1">
        <f t="shared" si="13"/>
        <v>234.64814453124998</v>
      </c>
      <c r="H122" s="1"/>
      <c r="I122" s="1" t="str">
        <f>VLOOKUP($B122, '[413]t (Cherniak) Category'!$1:$1048576, MATCH(I$1, '[413]t (Cherniak) Category'!$1:$1, 0), 0)</f>
        <v>Interior</v>
      </c>
      <c r="J122" s="1"/>
      <c r="K122" s="4">
        <f>VLOOKUP($B122, '[413]t (Cherniak)'!$1:$1048576, MATCH(LEFT(K$1,FIND(" (",K$1)-1), '[413]t (Cherniak)'!$1:$1, 0), 0)</f>
        <v>318.70920401717927</v>
      </c>
      <c r="L122" s="4">
        <f>'D(Ti_Audétat23) Times'!Z122</f>
        <v>22405.204778489522</v>
      </c>
      <c r="M122" s="4">
        <f>VLOOKUP($B122, '[413]t (J)'!$1:$1048576, MATCH(LEFT(M$1,FIND(" (",M$1)-1),'[413]t (J)'!$1:$1, 0), 0)</f>
        <v>383305.42248856515</v>
      </c>
      <c r="O122" s="1">
        <f t="shared" si="9"/>
        <v>0.73624527178261789</v>
      </c>
      <c r="P122" s="3">
        <f t="shared" si="10"/>
        <v>2.3330204824911206E-14</v>
      </c>
      <c r="Q122" s="3"/>
      <c r="R122" s="11">
        <f t="shared" si="14"/>
        <v>1.0472930145076277E-2</v>
      </c>
      <c r="S122" s="3">
        <f t="shared" si="15"/>
        <v>3.3186713010736804E-16</v>
      </c>
      <c r="T122" s="3"/>
      <c r="U122" s="9">
        <f t="shared" si="11"/>
        <v>6.1217016708979652E-4</v>
      </c>
      <c r="V122" s="3">
        <f t="shared" si="12"/>
        <v>1.9398502011870248E-17</v>
      </c>
    </row>
    <row r="123" spans="1:22" x14ac:dyDescent="0.2">
      <c r="A123" t="s">
        <v>572</v>
      </c>
      <c r="B123" s="1" t="str">
        <f>VLOOKUP(REPLACE(A123,FIND("dist",A123),4,"fit")&amp;"*",'[413]t (Cherniak)'!$A:$A,1,0)</f>
        <v>CGI008-qtz07-CL-fit-1-offset</v>
      </c>
      <c r="C123">
        <v>1900</v>
      </c>
      <c r="D123">
        <v>1024</v>
      </c>
      <c r="E123" s="1">
        <f t="shared" si="8"/>
        <v>1.85546875</v>
      </c>
      <c r="F123">
        <f>'[535]CGI008-qtz07-CL-dist-1'!$B$4</f>
        <v>73.756399999999999</v>
      </c>
      <c r="G123" s="1">
        <f t="shared" si="13"/>
        <v>136.8526953125</v>
      </c>
      <c r="H123" s="1"/>
      <c r="I123" s="1" t="str">
        <f>VLOOKUP($B123, '[413]t (Cherniak) Category'!$1:$1048576, MATCH(I$1, '[413]t (Cherniak) Category'!$1:$1, 0), 0)</f>
        <v>Interior</v>
      </c>
      <c r="J123" s="1"/>
      <c r="K123" s="4">
        <f>VLOOKUP($B123, '[413]t (Cherniak)'!$1:$1048576, MATCH(LEFT(K$1,FIND(" (",K$1)-1), '[413]t (Cherniak)'!$1:$1, 0), 0)</f>
        <v>562.83060148995287</v>
      </c>
      <c r="L123" s="4">
        <f>'D(Ti_Audétat23) Times'!Z123</f>
        <v>39566.8989882799</v>
      </c>
      <c r="M123" s="4">
        <f>VLOOKUP($B123, '[413]t (J)'!$1:$1048576, MATCH(LEFT(M$1,FIND(" (",M$1)-1),'[413]t (J)'!$1:$1, 0), 0)</f>
        <v>676905.52633670042</v>
      </c>
      <c r="O123" s="1">
        <f t="shared" si="9"/>
        <v>0.24315077209770899</v>
      </c>
      <c r="P123" s="3">
        <f t="shared" si="10"/>
        <v>7.7049830182811418E-15</v>
      </c>
      <c r="Q123" s="3"/>
      <c r="R123" s="11">
        <f t="shared" si="14"/>
        <v>3.4587672729428985E-3</v>
      </c>
      <c r="S123" s="3">
        <f t="shared" si="15"/>
        <v>1.09601721073304E-16</v>
      </c>
      <c r="T123" s="3"/>
      <c r="U123" s="9">
        <f t="shared" si="11"/>
        <v>2.0217399620464606E-4</v>
      </c>
      <c r="V123" s="3">
        <f t="shared" si="12"/>
        <v>6.4065073454459801E-18</v>
      </c>
    </row>
    <row r="124" spans="1:22" x14ac:dyDescent="0.2">
      <c r="A124" t="s">
        <v>573</v>
      </c>
      <c r="B124" s="1" t="str">
        <f>VLOOKUP(REPLACE(A124,FIND("dist",A124),4,"fit")&amp;"*",'[413]t (Cherniak)'!$A:$A,1,0)</f>
        <v>CGI008-qtz07-CL-fit-2-offset</v>
      </c>
      <c r="C124">
        <v>1900</v>
      </c>
      <c r="D124">
        <v>1024</v>
      </c>
      <c r="E124" s="1">
        <f t="shared" si="8"/>
        <v>1.85546875</v>
      </c>
      <c r="F124">
        <f>'[536]CGI008-qtz07-CL-dist-2'!$B$4</f>
        <v>279.041</v>
      </c>
      <c r="G124" s="1">
        <f t="shared" si="13"/>
        <v>517.75185546875002</v>
      </c>
      <c r="H124" s="1"/>
      <c r="I124" s="1" t="str">
        <f>VLOOKUP($B124, '[413]t (Cherniak) Category'!$1:$1048576, MATCH(I$1, '[413]t (Cherniak) Category'!$1:$1, 0), 0)</f>
        <v>Interior</v>
      </c>
      <c r="J124" s="1"/>
      <c r="K124" s="4">
        <f>VLOOKUP($B124, '[413]t (Cherniak)'!$1:$1048576, MATCH(LEFT(K$1,FIND(" (",K$1)-1), '[413]t (Cherniak)'!$1:$1, 0), 0)</f>
        <v>252.88914647411283</v>
      </c>
      <c r="L124" s="4">
        <f>'D(Ti_Audétat23) Times'!Z124</f>
        <v>17778.065526794497</v>
      </c>
      <c r="M124" s="4">
        <f>VLOOKUP($B124, '[413]t (J)'!$1:$1048576, MATCH(LEFT(M$1,FIND(" (",M$1)-1),'[413]t (J)'!$1:$1, 0), 0)</f>
        <v>304144.90673701244</v>
      </c>
      <c r="O124" s="1">
        <f t="shared" si="9"/>
        <v>2.0473470794910136</v>
      </c>
      <c r="P124" s="3">
        <f t="shared" si="10"/>
        <v>6.4876514040706946E-14</v>
      </c>
      <c r="Q124" s="3"/>
      <c r="R124" s="11">
        <f t="shared" si="14"/>
        <v>2.9123070487529254E-2</v>
      </c>
      <c r="S124" s="3">
        <f t="shared" si="15"/>
        <v>9.2285441502298188E-16</v>
      </c>
      <c r="T124" s="3"/>
      <c r="U124" s="9">
        <f t="shared" si="11"/>
        <v>1.7023196640818283E-3</v>
      </c>
      <c r="V124" s="3">
        <f t="shared" si="12"/>
        <v>5.3943255002973236E-17</v>
      </c>
    </row>
    <row r="125" spans="1:22" x14ac:dyDescent="0.2">
      <c r="A125" t="s">
        <v>574</v>
      </c>
      <c r="B125" s="1" t="str">
        <f>VLOOKUP(REPLACE(A125,FIND("dist",A125),4,"fit")&amp;"*",'[413]t (Cherniak)'!$A:$A,1,0)</f>
        <v>CGI008-qtz07-CL-fit-3-offset</v>
      </c>
      <c r="C125">
        <v>1900</v>
      </c>
      <c r="D125">
        <v>1024</v>
      </c>
      <c r="E125" s="1">
        <f t="shared" si="8"/>
        <v>1.85546875</v>
      </c>
      <c r="F125">
        <f>'[537]CGI008-qtz07-CL-dist-3'!$B$4</f>
        <v>409.024</v>
      </c>
      <c r="G125" s="1">
        <f t="shared" si="13"/>
        <v>758.93124999999998</v>
      </c>
      <c r="H125" s="1"/>
      <c r="I125" s="1" t="str">
        <f>VLOOKUP($B125, '[413]t (Cherniak) Category'!$1:$1048576, MATCH(I$1, '[413]t (Cherniak) Category'!$1:$1, 0), 0)</f>
        <v>Interior</v>
      </c>
      <c r="J125" s="1"/>
      <c r="K125" s="4">
        <f>VLOOKUP($B125, '[413]t (Cherniak)'!$1:$1048576, MATCH(LEFT(K$1,FIND(" (",K$1)-1), '[413]t (Cherniak)'!$1:$1, 0), 0)</f>
        <v>2605.231286647308</v>
      </c>
      <c r="L125" s="4">
        <f>'D(Ti_Audétat23) Times'!Z125</f>
        <v>183147.33222927045</v>
      </c>
      <c r="M125" s="4">
        <f>VLOOKUP($B125, '[413]t (J)'!$1:$1048576, MATCH(LEFT(M$1,FIND(" (",M$1)-1),'[413]t (J)'!$1:$1, 0), 0)</f>
        <v>3133261.5011487002</v>
      </c>
      <c r="O125" s="1">
        <f t="shared" si="9"/>
        <v>0.29131050816477577</v>
      </c>
      <c r="P125" s="3">
        <f t="shared" si="10"/>
        <v>9.231072963874812E-15</v>
      </c>
      <c r="Q125" s="3"/>
      <c r="R125" s="11">
        <f t="shared" si="14"/>
        <v>4.1438291279609924E-3</v>
      </c>
      <c r="S125" s="3">
        <f t="shared" si="15"/>
        <v>1.3131002129315893E-16</v>
      </c>
      <c r="T125" s="3"/>
      <c r="U125" s="9">
        <f t="shared" si="11"/>
        <v>2.4221765394358705E-4</v>
      </c>
      <c r="V125" s="3">
        <f t="shared" si="12"/>
        <v>7.6754142882724616E-18</v>
      </c>
    </row>
    <row r="126" spans="1:22" x14ac:dyDescent="0.2">
      <c r="A126" t="s">
        <v>575</v>
      </c>
      <c r="B126" s="1" t="str">
        <f>VLOOKUP(REPLACE(A126,FIND("dist",A126),4,"fit")&amp;"*",'[413]t (Cherniak)'!$A:$A,1,0)</f>
        <v>CGI008-qtz07-CL-fit-4-offset</v>
      </c>
      <c r="C126">
        <v>1900</v>
      </c>
      <c r="D126">
        <v>1024</v>
      </c>
      <c r="E126" s="1">
        <f t="shared" si="8"/>
        <v>1.85546875</v>
      </c>
      <c r="F126">
        <f>'[538]CGI008-qtz07-CL-dist-4'!$B$4</f>
        <v>615.58799999999997</v>
      </c>
      <c r="G126" s="1">
        <f t="shared" si="13"/>
        <v>1142.204296875</v>
      </c>
      <c r="H126" s="1"/>
      <c r="I126" s="1" t="str">
        <f>VLOOKUP($B126, '[413]t (Cherniak) Category'!$1:$1048576, MATCH(I$1, '[413]t (Cherniak) Category'!$1:$1, 0), 0)</f>
        <v>Interior</v>
      </c>
      <c r="J126" s="1"/>
      <c r="K126" s="4">
        <f>VLOOKUP($B126, '[413]t (Cherniak)'!$1:$1048576, MATCH(LEFT(K$1,FIND(" (",K$1)-1), '[413]t (Cherniak)'!$1:$1, 0), 0)</f>
        <v>1601.9334763155916</v>
      </c>
      <c r="L126" s="4">
        <f>'D(Ti_Audétat23) Times'!Z126</f>
        <v>112615.66068996792</v>
      </c>
      <c r="M126" s="4">
        <f>VLOOKUP($B126, '[413]t (J)'!$1:$1048576, MATCH(LEFT(M$1,FIND(" (",M$1)-1),'[413]t (J)'!$1:$1, 0), 0)</f>
        <v>1926614.5445383051</v>
      </c>
      <c r="O126" s="1">
        <f t="shared" si="9"/>
        <v>0.7130160607555579</v>
      </c>
      <c r="P126" s="3">
        <f t="shared" si="10"/>
        <v>2.2594115546035119E-14</v>
      </c>
      <c r="Q126" s="3"/>
      <c r="R126" s="11">
        <f t="shared" si="14"/>
        <v>1.0142499629953779E-2</v>
      </c>
      <c r="S126" s="3">
        <f t="shared" si="15"/>
        <v>3.2139641892773146E-16</v>
      </c>
      <c r="T126" s="3"/>
      <c r="U126" s="9">
        <f t="shared" si="11"/>
        <v>5.9285563898237796E-4</v>
      </c>
      <c r="V126" s="3">
        <f t="shared" si="12"/>
        <v>1.8786461549115836E-17</v>
      </c>
    </row>
    <row r="127" spans="1:22" x14ac:dyDescent="0.2">
      <c r="A127" t="s">
        <v>576</v>
      </c>
      <c r="B127" s="1" t="str">
        <f>VLOOKUP(REPLACE(A127,FIND("dist",A127),4,"fit")&amp;"*",'[413]t (Cherniak)'!$A:$A,1,0)</f>
        <v>CGI008-qtz07-CL-fit-5-offset</v>
      </c>
      <c r="C127">
        <v>1900</v>
      </c>
      <c r="D127">
        <v>1024</v>
      </c>
      <c r="E127" s="1">
        <f t="shared" si="8"/>
        <v>1.85546875</v>
      </c>
      <c r="F127">
        <f>'[539]CGI008-qtz07-CL-dist-5'!$B$4</f>
        <v>810.71400000000006</v>
      </c>
      <c r="G127" s="1">
        <f t="shared" si="13"/>
        <v>1504.2544921875001</v>
      </c>
      <c r="H127" s="1"/>
      <c r="I127" s="1" t="str">
        <f>VLOOKUP($B127, '[413]t (Cherniak) Category'!$1:$1048576, MATCH(I$1, '[413]t (Cherniak) Category'!$1:$1, 0), 0)</f>
        <v>Interior</v>
      </c>
      <c r="J127" s="1"/>
      <c r="K127" s="4">
        <f>VLOOKUP($B127, '[413]t (Cherniak)'!$1:$1048576, MATCH(LEFT(K$1,FIND(" (",K$1)-1), '[413]t (Cherniak)'!$1:$1, 0), 0)</f>
        <v>1475.782264230812</v>
      </c>
      <c r="L127" s="4">
        <f>'D(Ti_Audétat23) Times'!Z127</f>
        <v>103747.25116746855</v>
      </c>
      <c r="M127" s="4">
        <f>VLOOKUP($B127, '[413]t (J)'!$1:$1048576, MATCH(LEFT(M$1,FIND(" (",M$1)-1),'[413]t (J)'!$1:$1, 0), 0)</f>
        <v>1774894.9109785708</v>
      </c>
      <c r="O127" s="1">
        <f t="shared" si="9"/>
        <v>1.019292973392337</v>
      </c>
      <c r="P127" s="3">
        <f t="shared" si="10"/>
        <v>3.2299445249079048E-14</v>
      </c>
      <c r="Q127" s="3"/>
      <c r="R127" s="11">
        <f t="shared" si="14"/>
        <v>1.4499222632504607E-2</v>
      </c>
      <c r="S127" s="3">
        <f t="shared" si="15"/>
        <v>4.5945264001396197E-16</v>
      </c>
      <c r="T127" s="3"/>
      <c r="U127" s="9">
        <f t="shared" si="11"/>
        <v>8.4751749688557294E-4</v>
      </c>
      <c r="V127" s="3">
        <f t="shared" si="12"/>
        <v>2.6856208865236042E-17</v>
      </c>
    </row>
    <row r="128" spans="1:22" x14ac:dyDescent="0.2">
      <c r="A128" t="s">
        <v>577</v>
      </c>
      <c r="B128" s="1" t="str">
        <f>VLOOKUP(REPLACE(A128,FIND("dist",A128),4,"fit")&amp;"*",'[413]t (Cherniak)'!$A:$A,1,0)</f>
        <v>CGI008-qtz08-CL-fit-2-offset</v>
      </c>
      <c r="C128">
        <v>2050</v>
      </c>
      <c r="D128">
        <v>1024</v>
      </c>
      <c r="E128" s="1">
        <f t="shared" si="8"/>
        <v>2.001953125</v>
      </c>
      <c r="F128">
        <f>'[540]CGI008-qtz08-CL-dist-2'!$B$4</f>
        <v>135.518</v>
      </c>
      <c r="G128" s="1">
        <f t="shared" si="13"/>
        <v>271.30068359375002</v>
      </c>
      <c r="H128" s="1"/>
      <c r="I128" s="1" t="str">
        <f>VLOOKUP($B128, '[413]t (Cherniak) Category'!$1:$1048576, MATCH(I$1, '[413]t (Cherniak) Category'!$1:$1, 0), 0)</f>
        <v>Interior</v>
      </c>
      <c r="J128" s="1"/>
      <c r="K128" s="4">
        <f>VLOOKUP($B128, '[413]t (Cherniak)'!$1:$1048576, MATCH(LEFT(K$1,FIND(" (",K$1)-1), '[413]t (Cherniak)'!$1:$1, 0), 0)</f>
        <v>122.9583522447833</v>
      </c>
      <c r="L128" s="4">
        <f>'D(Ti_Audétat23) Times'!Z128</f>
        <v>8643.9519993326576</v>
      </c>
      <c r="M128" s="4">
        <f>VLOOKUP($B128, '[413]t (J)'!$1:$1048576, MATCH(LEFT(M$1,FIND(" (",M$1)-1),'[413]t (J)'!$1:$1, 0), 0)</f>
        <v>147879.64251306656</v>
      </c>
      <c r="O128" s="1">
        <f t="shared" si="9"/>
        <v>2.2064437156220951</v>
      </c>
      <c r="P128" s="3">
        <f t="shared" si="10"/>
        <v>6.9917982217345269E-14</v>
      </c>
      <c r="Q128" s="3"/>
      <c r="R128" s="11">
        <f t="shared" si="14"/>
        <v>3.1386185811153898E-2</v>
      </c>
      <c r="S128" s="3">
        <f t="shared" si="15"/>
        <v>9.9456821213127422E-16</v>
      </c>
      <c r="T128" s="3"/>
      <c r="U128" s="9">
        <f t="shared" si="11"/>
        <v>1.8346046756894077E-3</v>
      </c>
      <c r="V128" s="3">
        <f t="shared" si="12"/>
        <v>5.8135114067274049E-17</v>
      </c>
    </row>
    <row r="129" spans="1:22" x14ac:dyDescent="0.2">
      <c r="A129" t="s">
        <v>578</v>
      </c>
      <c r="B129" s="1" t="str">
        <f>VLOOKUP(REPLACE(A129,FIND("dist",A129),4,"fit")&amp;"*",'[413]t (Cherniak)'!$A:$A,1,0)</f>
        <v>CGI008-qtz08-CL-fit-3-offset</v>
      </c>
      <c r="C129">
        <v>2050</v>
      </c>
      <c r="D129">
        <v>1024</v>
      </c>
      <c r="E129" s="1">
        <f t="shared" si="8"/>
        <v>2.001953125</v>
      </c>
      <c r="F129">
        <f>'[541]CGI008-qtz08-CL-dist-3'!$B$4</f>
        <v>87.664100000000005</v>
      </c>
      <c r="G129" s="1">
        <f t="shared" si="13"/>
        <v>175.4994189453125</v>
      </c>
      <c r="H129" s="1"/>
      <c r="I129" s="1" t="str">
        <f>VLOOKUP($B129, '[413]t (Cherniak) Category'!$1:$1048576, MATCH(I$1, '[413]t (Cherniak) Category'!$1:$1, 0), 0)</f>
        <v>Interior</v>
      </c>
      <c r="J129" s="1"/>
      <c r="K129" s="4">
        <f>VLOOKUP($B129, '[413]t (Cherniak)'!$1:$1048576, MATCH(LEFT(K$1,FIND(" (",K$1)-1), '[413]t (Cherniak)'!$1:$1, 0), 0)</f>
        <v>137.03193258374424</v>
      </c>
      <c r="L129" s="4">
        <f>'D(Ti_Audétat23) Times'!Z129</f>
        <v>9633.322389288347</v>
      </c>
      <c r="M129" s="4">
        <f>VLOOKUP($B129, '[413]t (J)'!$1:$1048576, MATCH(LEFT(M$1,FIND(" (",M$1)-1),'[413]t (J)'!$1:$1, 0), 0)</f>
        <v>164805.66658064077</v>
      </c>
      <c r="O129" s="1">
        <f t="shared" si="9"/>
        <v>1.280719140686859</v>
      </c>
      <c r="P129" s="3">
        <f t="shared" si="10"/>
        <v>4.0583540595192886E-14</v>
      </c>
      <c r="Q129" s="3"/>
      <c r="R129" s="11">
        <f t="shared" si="14"/>
        <v>1.8217953459178E-2</v>
      </c>
      <c r="S129" s="3">
        <f t="shared" si="15"/>
        <v>5.7729210900632494E-16</v>
      </c>
      <c r="T129" s="3"/>
      <c r="U129" s="9">
        <f t="shared" si="11"/>
        <v>1.064887042943024E-3</v>
      </c>
      <c r="V129" s="3">
        <f t="shared" si="12"/>
        <v>3.3744234128800163E-17</v>
      </c>
    </row>
    <row r="130" spans="1:22" x14ac:dyDescent="0.2">
      <c r="A130" t="s">
        <v>579</v>
      </c>
      <c r="B130" s="1" t="str">
        <f>VLOOKUP(REPLACE(A130,FIND("dist",A130),4,"fit")&amp;"*",'[413]t (Cherniak)'!$A:$A,1,0)</f>
        <v>CGI008-qtz09-CL-fit-1-offset</v>
      </c>
      <c r="C130">
        <v>2000</v>
      </c>
      <c r="D130">
        <v>1024</v>
      </c>
      <c r="E130" s="1">
        <f t="shared" ref="E130:E193" si="16">C130/D130</f>
        <v>1.953125</v>
      </c>
      <c r="F130">
        <f>'[542]CGI008-qtz09-CL-dist-1'!$B$4</f>
        <v>95.210300000000004</v>
      </c>
      <c r="G130" s="1">
        <f t="shared" si="13"/>
        <v>185.95761718750001</v>
      </c>
      <c r="H130" s="1"/>
      <c r="I130" s="1" t="str">
        <f>VLOOKUP($B130, '[413]t (Cherniak) Category'!$1:$1048576, MATCH(I$1, '[413]t (Cherniak) Category'!$1:$1, 0), 0)</f>
        <v>Interior</v>
      </c>
      <c r="J130" s="1"/>
      <c r="K130" s="4">
        <f>VLOOKUP($B130, '[413]t (Cherniak)'!$1:$1048576, MATCH(LEFT(K$1,FIND(" (",K$1)-1), '[413]t (Cherniak)'!$1:$1, 0), 0)</f>
        <v>418.37180174196806</v>
      </c>
      <c r="L130" s="4">
        <f>'D(Ti_Audétat23) Times'!Z130</f>
        <v>29411.469055249327</v>
      </c>
      <c r="M130" s="4">
        <f>VLOOKUP($B130, '[413]t (J)'!$1:$1048576, MATCH(LEFT(M$1,FIND(" (",M$1)-1),'[413]t (J)'!$1:$1, 0), 0)</f>
        <v>503167.70963214233</v>
      </c>
      <c r="O130" s="1">
        <f t="shared" ref="O130:O193" si="17">$G130/$K130</f>
        <v>0.44447932774922022</v>
      </c>
      <c r="P130" s="3">
        <f t="shared" ref="P130:P193" si="18">O130/(365.25*60*60*24)*(10^-6)</f>
        <v>1.4084699969237845E-14</v>
      </c>
      <c r="Q130" s="3"/>
      <c r="R130" s="11">
        <f t="shared" si="14"/>
        <v>6.322622540145117E-3</v>
      </c>
      <c r="S130" s="3">
        <f t="shared" si="15"/>
        <v>2.0035181826707724E-16</v>
      </c>
      <c r="T130" s="3"/>
      <c r="U130" s="9">
        <f t="shared" ref="U130:U193" si="19">G130/M130</f>
        <v>3.695738292177981E-4</v>
      </c>
      <c r="V130" s="3">
        <f t="shared" ref="V130:V193" si="20">U130/(365.25*60*60*24)*(10^-6)</f>
        <v>1.1711087954020525E-17</v>
      </c>
    </row>
    <row r="131" spans="1:22" x14ac:dyDescent="0.2">
      <c r="A131" t="s">
        <v>580</v>
      </c>
      <c r="B131" s="1" t="str">
        <f>VLOOKUP(REPLACE(A131,FIND("dist",A131),4,"fit")&amp;"*",'[413]t (Cherniak)'!$A:$A,1,0)</f>
        <v>CGI008-qtz09-CL-fit-2-offset</v>
      </c>
      <c r="C131">
        <v>2000</v>
      </c>
      <c r="D131">
        <v>1024</v>
      </c>
      <c r="E131" s="1">
        <f t="shared" si="16"/>
        <v>1.953125</v>
      </c>
      <c r="F131">
        <f>'[543]CGI008-qtz09-CL-dist-2'!$B$4</f>
        <v>202.83</v>
      </c>
      <c r="G131" s="1">
        <f t="shared" ref="G131:G194" si="21">F131*E131</f>
        <v>396.15234375</v>
      </c>
      <c r="H131" s="1"/>
      <c r="I131" s="1" t="str">
        <f>VLOOKUP($B131, '[413]t (Cherniak) Category'!$1:$1048576, MATCH(I$1, '[413]t (Cherniak) Category'!$1:$1, 0), 0)</f>
        <v>Interior</v>
      </c>
      <c r="J131" s="1"/>
      <c r="K131" s="4">
        <f>VLOOKUP($B131, '[413]t (Cherniak)'!$1:$1048576, MATCH(LEFT(K$1,FIND(" (",K$1)-1), '[413]t (Cherniak)'!$1:$1, 0), 0)</f>
        <v>416.68941848231407</v>
      </c>
      <c r="L131" s="4">
        <f>'D(Ti_Audétat23) Times'!Z131</f>
        <v>29293.197787983328</v>
      </c>
      <c r="M131" s="4">
        <f>VLOOKUP($B131, '[413]t (J)'!$1:$1048576, MATCH(LEFT(M$1,FIND(" (",M$1)-1),'[413]t (J)'!$1:$1, 0), 0)</f>
        <v>501144.33968235389</v>
      </c>
      <c r="O131" s="1">
        <f t="shared" si="17"/>
        <v>0.95071371188854481</v>
      </c>
      <c r="P131" s="3">
        <f t="shared" si="18"/>
        <v>3.0126299588325626E-14</v>
      </c>
      <c r="Q131" s="3"/>
      <c r="R131" s="11">
        <f t="shared" ref="R131:R194" si="22">G131/L131</f>
        <v>1.3523697433692604E-2</v>
      </c>
      <c r="S131" s="3">
        <f t="shared" ref="S131:S194" si="23">R131/(365.25*60*60*24)*(10^-6)</f>
        <v>4.2854011184920917E-16</v>
      </c>
      <c r="T131" s="3"/>
      <c r="U131" s="9">
        <f t="shared" si="19"/>
        <v>7.9049549676865117E-4</v>
      </c>
      <c r="V131" s="3">
        <f t="shared" si="20"/>
        <v>2.5049290718199457E-17</v>
      </c>
    </row>
    <row r="132" spans="1:22" x14ac:dyDescent="0.2">
      <c r="A132" t="s">
        <v>581</v>
      </c>
      <c r="B132" s="1" t="str">
        <f>VLOOKUP(REPLACE(A132,FIND("dist",A132),4,"fit")&amp;"*",'[413]t (Cherniak)'!$A:$A,1,0)</f>
        <v>CGI008-qtz10-CL-fit-1-offset</v>
      </c>
      <c r="C132">
        <v>1800</v>
      </c>
      <c r="D132">
        <v>1024</v>
      </c>
      <c r="E132" s="1">
        <f t="shared" si="16"/>
        <v>1.7578125</v>
      </c>
      <c r="F132">
        <f>'[544]CGI008-qtz10-CL-dist-1'!$B$4</f>
        <v>471.13499999999999</v>
      </c>
      <c r="G132" s="1">
        <f t="shared" si="21"/>
        <v>828.1669921875</v>
      </c>
      <c r="H132" s="1"/>
      <c r="I132" s="1" t="str">
        <f>VLOOKUP($B132, '[413]t (Cherniak) Category'!$1:$1048576, MATCH(I$1, '[413]t (Cherniak) Category'!$1:$1, 0), 0)</f>
        <v>Core</v>
      </c>
      <c r="J132" s="1"/>
      <c r="K132" s="4">
        <f>VLOOKUP($B132, '[413]t (Cherniak)'!$1:$1048576, MATCH(LEFT(K$1,FIND(" (",K$1)-1), '[413]t (Cherniak)'!$1:$1, 0), 0)</f>
        <v>459.03160515741718</v>
      </c>
      <c r="L132" s="4">
        <f>'D(Ti_Audétat23) Times'!Z132</f>
        <v>32269.846567707864</v>
      </c>
      <c r="M132" s="4">
        <f>VLOOKUP($B132, '[413]t (J)'!$1:$1048576, MATCH(LEFT(M$1,FIND(" (",M$1)-1),'[413]t (J)'!$1:$1, 0), 0)</f>
        <v>552068.47223961516</v>
      </c>
      <c r="O132" s="1">
        <f t="shared" si="17"/>
        <v>1.804161157712646</v>
      </c>
      <c r="P132" s="3">
        <f t="shared" si="18"/>
        <v>5.7170417196258463E-14</v>
      </c>
      <c r="Q132" s="3"/>
      <c r="R132" s="11">
        <f t="shared" si="22"/>
        <v>2.5663803217962588E-2</v>
      </c>
      <c r="S132" s="3">
        <f t="shared" si="23"/>
        <v>8.1323685001275712E-16</v>
      </c>
      <c r="T132" s="3"/>
      <c r="U132" s="9">
        <f t="shared" si="19"/>
        <v>1.5001164417663927E-3</v>
      </c>
      <c r="V132" s="3">
        <f t="shared" si="20"/>
        <v>4.7535821537962092E-17</v>
      </c>
    </row>
    <row r="133" spans="1:22" x14ac:dyDescent="0.2">
      <c r="A133" t="s">
        <v>582</v>
      </c>
      <c r="B133" s="1" t="str">
        <f>VLOOKUP(REPLACE(A133,FIND("dist",A133),4,"fit")&amp;"*",'[413]t (Cherniak)'!$A:$A,1,0)</f>
        <v>CGI008-qtz10-CL-fit-2-offset</v>
      </c>
      <c r="C133">
        <v>1800</v>
      </c>
      <c r="D133">
        <v>1024</v>
      </c>
      <c r="E133" s="1">
        <f t="shared" si="16"/>
        <v>1.7578125</v>
      </c>
      <c r="F133">
        <f>'[545]CGI008-qtz10-CL-dist-2'!$B$4</f>
        <v>396.64600000000002</v>
      </c>
      <c r="G133" s="1">
        <f t="shared" si="21"/>
        <v>697.22929687500005</v>
      </c>
      <c r="H133" s="1"/>
      <c r="I133" s="1" t="str">
        <f>VLOOKUP($B133, '[413]t (Cherniak) Category'!$1:$1048576, MATCH(I$1, '[413]t (Cherniak) Category'!$1:$1, 0), 0)</f>
        <v>Interior</v>
      </c>
      <c r="J133" s="1"/>
      <c r="K133" s="4">
        <f>VLOOKUP($B133, '[413]t (Cherniak)'!$1:$1048576, MATCH(LEFT(K$1,FIND(" (",K$1)-1), '[413]t (Cherniak)'!$1:$1, 0), 0)</f>
        <v>215.80683735981953</v>
      </c>
      <c r="L133" s="4">
        <f>'D(Ti_Audétat23) Times'!Z133</f>
        <v>15171.185277047442</v>
      </c>
      <c r="M133" s="4">
        <f>VLOOKUP($B133, '[413]t (J)'!$1:$1048576, MATCH(LEFT(M$1,FIND(" (",M$1)-1),'[413]t (J)'!$1:$1, 0), 0)</f>
        <v>259546.72763597959</v>
      </c>
      <c r="O133" s="1">
        <f t="shared" si="17"/>
        <v>3.2308026261118603</v>
      </c>
      <c r="P133" s="3">
        <f t="shared" si="18"/>
        <v>1.0237795732602797E-13</v>
      </c>
      <c r="Q133" s="3"/>
      <c r="R133" s="11">
        <f t="shared" si="22"/>
        <v>4.5957470305885831E-2</v>
      </c>
      <c r="S133" s="3">
        <f t="shared" si="23"/>
        <v>1.456304354763538E-15</v>
      </c>
      <c r="T133" s="3"/>
      <c r="U133" s="9">
        <f t="shared" si="19"/>
        <v>2.6863343769561242E-3</v>
      </c>
      <c r="V133" s="3">
        <f t="shared" si="20"/>
        <v>8.5124799634830409E-17</v>
      </c>
    </row>
    <row r="134" spans="1:22" x14ac:dyDescent="0.2">
      <c r="A134" t="s">
        <v>583</v>
      </c>
      <c r="B134" s="1" t="str">
        <f>VLOOKUP(REPLACE(A134,FIND("dist",A134),4,"fit")&amp;"*",'[413]t (Cherniak)'!$A:$A,1,0)</f>
        <v>CGI008-qtz10-CL-fit-3-offset</v>
      </c>
      <c r="C134">
        <v>1800</v>
      </c>
      <c r="D134">
        <v>1024</v>
      </c>
      <c r="E134" s="1">
        <f t="shared" si="16"/>
        <v>1.7578125</v>
      </c>
      <c r="F134">
        <f>'[546]CGI008-qtz10-CL-dist-3'!$B$4</f>
        <v>138.29300000000001</v>
      </c>
      <c r="G134" s="1">
        <f t="shared" si="21"/>
        <v>243.09316406250002</v>
      </c>
      <c r="H134" s="1"/>
      <c r="I134" s="1" t="str">
        <f>VLOOKUP($B134, '[413]t (Cherniak) Category'!$1:$1048576, MATCH(I$1, '[413]t (Cherniak) Category'!$1:$1, 0), 0)</f>
        <v>Interior</v>
      </c>
      <c r="J134" s="1"/>
      <c r="K134" s="4">
        <f>VLOOKUP($B134, '[413]t (Cherniak)'!$1:$1048576, MATCH(LEFT(K$1,FIND(" (",K$1)-1), '[413]t (Cherniak)'!$1:$1, 0), 0)</f>
        <v>170.56502122556159</v>
      </c>
      <c r="L134" s="4">
        <f>'D(Ti_Audétat23) Times'!Z134</f>
        <v>11990.693021843597</v>
      </c>
      <c r="M134" s="4">
        <f>VLOOKUP($B134, '[413]t (J)'!$1:$1048576, MATCH(LEFT(M$1,FIND(" (",M$1)-1),'[413]t (J)'!$1:$1, 0), 0)</f>
        <v>205135.26656453536</v>
      </c>
      <c r="O134" s="1">
        <f t="shared" si="17"/>
        <v>1.4252228406258307</v>
      </c>
      <c r="P134" s="3">
        <f t="shared" si="18"/>
        <v>4.5162586528311112E-14</v>
      </c>
      <c r="Q134" s="3"/>
      <c r="R134" s="11">
        <f t="shared" si="22"/>
        <v>2.0273487413917955E-2</v>
      </c>
      <c r="S134" s="3">
        <f t="shared" si="23"/>
        <v>6.4242804946884282E-16</v>
      </c>
      <c r="T134" s="3"/>
      <c r="U134" s="9">
        <f t="shared" si="19"/>
        <v>1.1850383804484596E-3</v>
      </c>
      <c r="V134" s="3">
        <f t="shared" si="20"/>
        <v>3.7551600262645436E-17</v>
      </c>
    </row>
    <row r="135" spans="1:22" x14ac:dyDescent="0.2">
      <c r="A135" t="s">
        <v>584</v>
      </c>
      <c r="B135" s="1" t="str">
        <f>VLOOKUP(REPLACE(A135,FIND("dist",A135),4,"fit")&amp;"*",'[413]t (Cherniak)'!$A:$A,1,0)</f>
        <v>CGI008-qtz10-CL-fit-4-offset</v>
      </c>
      <c r="C135">
        <v>1800</v>
      </c>
      <c r="D135">
        <v>1024</v>
      </c>
      <c r="E135" s="1">
        <f t="shared" si="16"/>
        <v>1.7578125</v>
      </c>
      <c r="F135">
        <f>'[547]CGI008-qtz10-CL-dist-4'!$B$4</f>
        <v>47.127499999999998</v>
      </c>
      <c r="G135" s="1">
        <f t="shared" si="21"/>
        <v>82.84130859375</v>
      </c>
      <c r="H135" s="1"/>
      <c r="I135" s="1" t="str">
        <f>VLOOKUP($B135, '[413]t (Cherniak) Category'!$1:$1048576, MATCH(I$1, '[413]t (Cherniak) Category'!$1:$1, 0), 0)</f>
        <v>Rim</v>
      </c>
      <c r="J135" s="1"/>
      <c r="K135" s="4">
        <f>VLOOKUP($B135, '[413]t (Cherniak)'!$1:$1048576, MATCH(LEFT(K$1,FIND(" (",K$1)-1), '[413]t (Cherniak)'!$1:$1, 0), 0)</f>
        <v>27.314055978234428</v>
      </c>
      <c r="L135" s="4">
        <f>'D(Ti_Audétat23) Times'!Z135</f>
        <v>1920.1736561410419</v>
      </c>
      <c r="M135" s="4">
        <f>VLOOKUP($B135, '[413]t (J)'!$1:$1048576, MATCH(LEFT(M$1,FIND(" (",M$1)-1),'[413]t (J)'!$1:$1, 0), 0)</f>
        <v>32850.08915540803</v>
      </c>
      <c r="O135" s="1">
        <f t="shared" si="17"/>
        <v>3.032918606440699</v>
      </c>
      <c r="P135" s="3">
        <f t="shared" si="18"/>
        <v>9.6107391133695177E-14</v>
      </c>
      <c r="Q135" s="3"/>
      <c r="R135" s="11">
        <f t="shared" si="22"/>
        <v>4.3142612819840227E-2</v>
      </c>
      <c r="S135" s="3">
        <f t="shared" si="23"/>
        <v>1.3671069035617482E-15</v>
      </c>
      <c r="T135" s="3"/>
      <c r="U135" s="9">
        <f t="shared" si="19"/>
        <v>2.5217985924434558E-3</v>
      </c>
      <c r="V135" s="3">
        <f t="shared" si="20"/>
        <v>7.9910975246642833E-17</v>
      </c>
    </row>
    <row r="136" spans="1:22" x14ac:dyDescent="0.2">
      <c r="A136" t="s">
        <v>585</v>
      </c>
      <c r="B136" s="1" t="str">
        <f>VLOOKUP(REPLACE(A136,FIND("dist",A136),4,"fit")&amp;"*",'[413]t (Cherniak)'!$A:$A,1,0)</f>
        <v>CGI008-qtz11-CL-fit-1-offset</v>
      </c>
      <c r="C136">
        <v>1800</v>
      </c>
      <c r="D136">
        <v>1024</v>
      </c>
      <c r="E136" s="1">
        <f t="shared" si="16"/>
        <v>1.7578125</v>
      </c>
      <c r="F136">
        <f>'[548]CGI008-qtz11-CL-dist-1'!$B$4</f>
        <v>369.14100000000002</v>
      </c>
      <c r="G136" s="1">
        <f t="shared" si="21"/>
        <v>648.88066406250005</v>
      </c>
      <c r="H136" s="1"/>
      <c r="I136" s="1" t="str">
        <f>VLOOKUP($B136, '[413]t (Cherniak) Category'!$1:$1048576, MATCH(I$1, '[413]t (Cherniak) Category'!$1:$1, 0), 0)</f>
        <v>Interior</v>
      </c>
      <c r="J136" s="1"/>
      <c r="K136" s="4">
        <f>VLOOKUP($B136, '[413]t (Cherniak)'!$1:$1048576, MATCH(LEFT(K$1,FIND(" (",K$1)-1), '[413]t (Cherniak)'!$1:$1, 0), 0)</f>
        <v>553.79456323145348</v>
      </c>
      <c r="L136" s="4">
        <f>'D(Ti_Audétat23) Times'!Z136</f>
        <v>38931.666980493159</v>
      </c>
      <c r="M136" s="4">
        <f>VLOOKUP($B136, '[413]t (J)'!$1:$1048576, MATCH(LEFT(M$1,FIND(" (",M$1)-1),'[413]t (J)'!$1:$1, 0), 0)</f>
        <v>666038.0571245146</v>
      </c>
      <c r="O136" s="1">
        <f t="shared" si="17"/>
        <v>1.1716992313471055</v>
      </c>
      <c r="P136" s="3">
        <f t="shared" si="18"/>
        <v>3.7128908134557301E-14</v>
      </c>
      <c r="Q136" s="3"/>
      <c r="R136" s="11">
        <f t="shared" si="22"/>
        <v>1.6667168770030417E-2</v>
      </c>
      <c r="S136" s="3">
        <f t="shared" si="23"/>
        <v>5.2815070759596472E-16</v>
      </c>
      <c r="T136" s="3"/>
      <c r="U136" s="9">
        <f t="shared" si="19"/>
        <v>9.7423962057650556E-4</v>
      </c>
      <c r="V136" s="3">
        <f t="shared" si="20"/>
        <v>3.0871790648734551E-17</v>
      </c>
    </row>
    <row r="137" spans="1:22" x14ac:dyDescent="0.2">
      <c r="A137" t="s">
        <v>586</v>
      </c>
      <c r="B137" s="1" t="str">
        <f>VLOOKUP(REPLACE(A137,FIND("dist",A137),4,"fit")&amp;"*",'[413]t (Cherniak)'!$A:$A,1,0)</f>
        <v>CGI008-qtz11-CL-fit-2-offset</v>
      </c>
      <c r="C137">
        <v>1800</v>
      </c>
      <c r="D137">
        <v>1024</v>
      </c>
      <c r="E137" s="1">
        <f t="shared" si="16"/>
        <v>1.7578125</v>
      </c>
      <c r="F137">
        <f>'[549]CGI008-qtz11-CL-dist-2'!$B$4</f>
        <v>160.37799999999999</v>
      </c>
      <c r="G137" s="1">
        <f t="shared" si="21"/>
        <v>281.91445312499997</v>
      </c>
      <c r="H137" s="1"/>
      <c r="I137" s="1" t="str">
        <f>VLOOKUP($B137, '[413]t (Cherniak) Category'!$1:$1048576, MATCH(I$1, '[413]t (Cherniak) Category'!$1:$1, 0), 0)</f>
        <v>Interior</v>
      </c>
      <c r="J137" s="1"/>
      <c r="K137" s="4">
        <f>VLOOKUP($B137, '[413]t (Cherniak)'!$1:$1048576, MATCH(LEFT(K$1,FIND(" (",K$1)-1), '[413]t (Cherniak)'!$1:$1, 0), 0)</f>
        <v>682.77610545446248</v>
      </c>
      <c r="L137" s="4">
        <f>'D(Ti_Audétat23) Times'!Z137</f>
        <v>47999.04824757493</v>
      </c>
      <c r="M137" s="4">
        <f>VLOOKUP($B137, '[413]t (J)'!$1:$1048576, MATCH(LEFT(M$1,FIND(" (",M$1)-1),'[413]t (J)'!$1:$1, 0), 0)</f>
        <v>821161.67423960834</v>
      </c>
      <c r="O137" s="1">
        <f t="shared" si="17"/>
        <v>0.41289443328915992</v>
      </c>
      <c r="P137" s="3">
        <f t="shared" si="18"/>
        <v>1.3083835059990617E-14</v>
      </c>
      <c r="Q137" s="3"/>
      <c r="R137" s="11">
        <f t="shared" si="22"/>
        <v>5.8733342309395314E-3</v>
      </c>
      <c r="S137" s="3">
        <f t="shared" si="23"/>
        <v>1.8611473087115405E-16</v>
      </c>
      <c r="T137" s="3"/>
      <c r="U137" s="9">
        <f t="shared" si="19"/>
        <v>3.4331175208103976E-4</v>
      </c>
      <c r="V137" s="3">
        <f t="shared" si="20"/>
        <v>1.0878892947532123E-17</v>
      </c>
    </row>
    <row r="138" spans="1:22" x14ac:dyDescent="0.2">
      <c r="A138" t="s">
        <v>587</v>
      </c>
      <c r="B138" s="1" t="str">
        <f>VLOOKUP(REPLACE(A138,FIND("dist",A138),4,"fit")&amp;"*",'[413]t (Cherniak)'!$A:$A,1,0)</f>
        <v>CGI008-qtz11-CL-fit-3-offset</v>
      </c>
      <c r="C138">
        <v>1800</v>
      </c>
      <c r="D138">
        <v>1024</v>
      </c>
      <c r="E138" s="1">
        <f t="shared" si="16"/>
        <v>1.7578125</v>
      </c>
      <c r="F138">
        <f>'[550]CGI008-qtz11-CL-dist-3'!$B$4</f>
        <v>81.154200000000003</v>
      </c>
      <c r="G138" s="1">
        <f t="shared" si="21"/>
        <v>142.6538671875</v>
      </c>
      <c r="H138" s="1"/>
      <c r="I138" s="1" t="str">
        <f>VLOOKUP($B138, '[413]t (Cherniak) Category'!$1:$1048576, MATCH(I$1, '[413]t (Cherniak) Category'!$1:$1, 0), 0)</f>
        <v>Interior</v>
      </c>
      <c r="J138" s="1"/>
      <c r="K138" s="4">
        <f>VLOOKUP($B138, '[413]t (Cherniak)'!$1:$1048576, MATCH(LEFT(K$1,FIND(" (",K$1)-1), '[413]t (Cherniak)'!$1:$1, 0), 0)</f>
        <v>18.300757984972865</v>
      </c>
      <c r="L138" s="4">
        <f>'D(Ti_Audétat23) Times'!Z138</f>
        <v>1286.5402852714367</v>
      </c>
      <c r="M138" s="4">
        <f>VLOOKUP($B138, '[413]t (J)'!$1:$1048576, MATCH(LEFT(M$1,FIND(" (",M$1)-1),'[413]t (J)'!$1:$1, 0), 0)</f>
        <v>22009.969222328735</v>
      </c>
      <c r="O138" s="1">
        <f t="shared" si="17"/>
        <v>7.7949704216970721</v>
      </c>
      <c r="P138" s="3">
        <f t="shared" si="18"/>
        <v>2.470077072304951E-13</v>
      </c>
      <c r="Q138" s="3"/>
      <c r="R138" s="11">
        <f t="shared" si="22"/>
        <v>0.11088177247197713</v>
      </c>
      <c r="S138" s="3">
        <f t="shared" si="23"/>
        <v>3.513631343067189E-15</v>
      </c>
      <c r="T138" s="3"/>
      <c r="U138" s="9">
        <f t="shared" si="19"/>
        <v>6.481329698670369E-3</v>
      </c>
      <c r="V138" s="3">
        <f t="shared" si="20"/>
        <v>2.0538094464314043E-16</v>
      </c>
    </row>
    <row r="139" spans="1:22" x14ac:dyDescent="0.2">
      <c r="A139" t="s">
        <v>588</v>
      </c>
      <c r="B139" s="1" t="str">
        <f>VLOOKUP(REPLACE(A139,FIND("dist",A139),4,"fit")&amp;"*",'[413]t (Cherniak)'!$A:$A,1,0)</f>
        <v>CGI008-qtz11-CL-fit-4-offset</v>
      </c>
      <c r="C139">
        <v>1800</v>
      </c>
      <c r="D139">
        <v>1024</v>
      </c>
      <c r="E139" s="1">
        <f t="shared" si="16"/>
        <v>1.7578125</v>
      </c>
      <c r="F139">
        <f>'[551]CGI008-qtz11-CL-dist-4'!$B$4</f>
        <v>27.0185</v>
      </c>
      <c r="G139" s="1">
        <f t="shared" si="21"/>
        <v>47.493457031249996</v>
      </c>
      <c r="H139" s="1"/>
      <c r="I139" s="1" t="str">
        <f>VLOOKUP($B139, '[413]t (Cherniak) Category'!$1:$1048576, MATCH(I$1, '[413]t (Cherniak) Category'!$1:$1, 0), 0)</f>
        <v>Rim</v>
      </c>
      <c r="J139" s="1"/>
      <c r="K139" s="4">
        <f>VLOOKUP($B139, '[413]t (Cherniak)'!$1:$1048576, MATCH(LEFT(K$1,FIND(" (",K$1)-1), '[413]t (Cherniak)'!$1:$1, 0), 0)</f>
        <v>9.8239366106047541</v>
      </c>
      <c r="L139" s="4">
        <f>'D(Ti_Audétat23) Times'!Z139</f>
        <v>690.62113273526745</v>
      </c>
      <c r="M139" s="4">
        <f>VLOOKUP($B139, '[413]t (J)'!$1:$1048576, MATCH(LEFT(M$1,FIND(" (",M$1)-1),'[413]t (J)'!$1:$1, 0), 0)</f>
        <v>11815.059388199419</v>
      </c>
      <c r="O139" s="1">
        <f t="shared" si="17"/>
        <v>4.8344628954528988</v>
      </c>
      <c r="P139" s="3">
        <f t="shared" si="18"/>
        <v>1.5319488476477612E-13</v>
      </c>
      <c r="Q139" s="3"/>
      <c r="R139" s="11">
        <f t="shared" si="22"/>
        <v>6.8769191645132358E-2</v>
      </c>
      <c r="S139" s="3">
        <f t="shared" si="23"/>
        <v>2.1791641837507403E-15</v>
      </c>
      <c r="T139" s="3"/>
      <c r="U139" s="9">
        <f t="shared" si="19"/>
        <v>4.0197391710688523E-3</v>
      </c>
      <c r="V139" s="3">
        <f t="shared" si="20"/>
        <v>1.2737784784232171E-16</v>
      </c>
    </row>
    <row r="140" spans="1:22" x14ac:dyDescent="0.2">
      <c r="A140" t="s">
        <v>589</v>
      </c>
      <c r="B140" s="1" t="str">
        <f>VLOOKUP(REPLACE(A140,FIND("dist",A140),4,"fit")&amp;"*",'[413]t (Cherniak)'!$A:$A,1,0)</f>
        <v>CGI008-qtz12-CL-fit-1-offset</v>
      </c>
      <c r="C140">
        <v>1700</v>
      </c>
      <c r="D140">
        <v>1024</v>
      </c>
      <c r="E140" s="1">
        <f t="shared" si="16"/>
        <v>1.66015625</v>
      </c>
      <c r="F140">
        <f>'[552]CGI008-qtz12-CL-dist-1'!$B$4</f>
        <v>156.62700000000001</v>
      </c>
      <c r="G140" s="1">
        <f t="shared" si="21"/>
        <v>260.02529296875002</v>
      </c>
      <c r="H140" s="1"/>
      <c r="I140" s="1" t="str">
        <f>VLOOKUP($B140, '[413]t (Cherniak) Category'!$1:$1048576, MATCH(I$1, '[413]t (Cherniak) Category'!$1:$1, 0), 0)</f>
        <v>Core</v>
      </c>
      <c r="J140" s="1"/>
      <c r="K140" s="4">
        <f>VLOOKUP($B140, '[413]t (Cherniak)'!$1:$1048576, MATCH(LEFT(K$1,FIND(" (",K$1)-1), '[413]t (Cherniak)'!$1:$1, 0), 0)</f>
        <v>511.4103728887016</v>
      </c>
      <c r="L140" s="4">
        <f>'D(Ti_Audétat23) Times'!Z140</f>
        <v>35952.065349820943</v>
      </c>
      <c r="M140" s="4">
        <f>VLOOKUP($B140, '[413]t (J)'!$1:$1048576, MATCH(LEFT(M$1,FIND(" (",M$1)-1),'[413]t (J)'!$1:$1, 0), 0)</f>
        <v>615063.40756501048</v>
      </c>
      <c r="O140" s="1">
        <f t="shared" si="17"/>
        <v>0.50844743625358457</v>
      </c>
      <c r="P140" s="3">
        <f t="shared" si="18"/>
        <v>1.6111727008821474E-14</v>
      </c>
      <c r="Q140" s="3"/>
      <c r="R140" s="11">
        <f t="shared" si="22"/>
        <v>7.2325550824034945E-3</v>
      </c>
      <c r="S140" s="3">
        <f t="shared" si="23"/>
        <v>2.291858405710033E-16</v>
      </c>
      <c r="T140" s="3"/>
      <c r="U140" s="9">
        <f t="shared" si="19"/>
        <v>4.2276176695045232E-4</v>
      </c>
      <c r="V140" s="3">
        <f t="shared" si="20"/>
        <v>1.3396511995539976E-17</v>
      </c>
    </row>
    <row r="141" spans="1:22" x14ac:dyDescent="0.2">
      <c r="A141" t="s">
        <v>590</v>
      </c>
      <c r="B141" s="1" t="str">
        <f>VLOOKUP(REPLACE(A141,FIND("dist",A141),4,"fit")&amp;"*",'[413]t (Cherniak)'!$A:$A,1,0)</f>
        <v>CGI008-qtz12-CL-fit-2-offset</v>
      </c>
      <c r="C141">
        <v>1700</v>
      </c>
      <c r="D141">
        <v>1024</v>
      </c>
      <c r="E141" s="1">
        <f t="shared" si="16"/>
        <v>1.66015625</v>
      </c>
      <c r="F141">
        <f>'[553]CGI008-qtz12-CL-dist-2'!$B$4</f>
        <v>113.358</v>
      </c>
      <c r="G141" s="1">
        <f t="shared" si="21"/>
        <v>188.19199218750001</v>
      </c>
      <c r="H141" s="1"/>
      <c r="I141" s="1" t="str">
        <f>VLOOKUP($B141, '[413]t (Cherniak) Category'!$1:$1048576, MATCH(I$1, '[413]t (Cherniak) Category'!$1:$1, 0), 0)</f>
        <v>Interior</v>
      </c>
      <c r="J141" s="1"/>
      <c r="K141" s="4">
        <f>VLOOKUP($B141, '[413]t (Cherniak)'!$1:$1048576, MATCH(LEFT(K$1,FIND(" (",K$1)-1), '[413]t (Cherniak)'!$1:$1, 0), 0)</f>
        <v>11.284681248950685</v>
      </c>
      <c r="L141" s="4">
        <f>'D(Ti_Audétat23) Times'!Z141</f>
        <v>793.31124126899226</v>
      </c>
      <c r="M141" s="4">
        <f>VLOOKUP($B141, '[413]t (J)'!$1:$1048576, MATCH(LEFT(M$1,FIND(" (",M$1)-1),'[413]t (J)'!$1:$1, 0), 0)</f>
        <v>13571.868836096355</v>
      </c>
      <c r="O141" s="1">
        <f t="shared" si="17"/>
        <v>16.67676632027149</v>
      </c>
      <c r="P141" s="3">
        <f t="shared" si="18"/>
        <v>5.2845483561080339E-13</v>
      </c>
      <c r="Q141" s="3"/>
      <c r="R141" s="11">
        <f t="shared" si="22"/>
        <v>0.23722340286829333</v>
      </c>
      <c r="S141" s="3">
        <f t="shared" si="23"/>
        <v>7.5171560216332466E-15</v>
      </c>
      <c r="T141" s="3"/>
      <c r="U141" s="9">
        <f t="shared" si="19"/>
        <v>1.3866328540324239E-2</v>
      </c>
      <c r="V141" s="3">
        <f t="shared" si="20"/>
        <v>4.3939743644397036E-16</v>
      </c>
    </row>
    <row r="142" spans="1:22" x14ac:dyDescent="0.2">
      <c r="A142" t="s">
        <v>591</v>
      </c>
      <c r="B142" s="1" t="str">
        <f>VLOOKUP(REPLACE(A142,FIND("dist",A142),4,"fit")&amp;"*",'[413]t (Cherniak)'!$A:$A,1,0)</f>
        <v>CGI008-qtz12-CL-fit-3-offset</v>
      </c>
      <c r="C142">
        <v>1700</v>
      </c>
      <c r="D142">
        <v>1024</v>
      </c>
      <c r="E142" s="1">
        <f t="shared" si="16"/>
        <v>1.66015625</v>
      </c>
      <c r="F142">
        <f>'[554]CGI008-qtz12-CL-dist-3'!$B$4</f>
        <v>46.043500000000002</v>
      </c>
      <c r="G142" s="1">
        <f t="shared" si="21"/>
        <v>76.439404296874997</v>
      </c>
      <c r="H142" s="1"/>
      <c r="I142" s="1" t="str">
        <f>VLOOKUP($B142, '[413]t (Cherniak) Category'!$1:$1048576, MATCH(I$1, '[413]t (Cherniak) Category'!$1:$1, 0), 0)</f>
        <v>Rim</v>
      </c>
      <c r="J142" s="1"/>
      <c r="K142" s="4">
        <f>VLOOKUP($B142, '[413]t (Cherniak)'!$1:$1048576, MATCH(LEFT(K$1,FIND(" (",K$1)-1), '[413]t (Cherniak)'!$1:$1, 0), 0)</f>
        <v>304.67507362215139</v>
      </c>
      <c r="L142" s="4">
        <f>'D(Ti_Audétat23) Times'!Z142</f>
        <v>21418.607713123078</v>
      </c>
      <c r="M142" s="4">
        <f>VLOOKUP($B142, '[413]t (J)'!$1:$1048576, MATCH(LEFT(M$1,FIND(" (",M$1)-1),'[413]t (J)'!$1:$1, 0), 0)</f>
        <v>366426.84410889639</v>
      </c>
      <c r="O142" s="1">
        <f t="shared" si="17"/>
        <v>0.25088827710163381</v>
      </c>
      <c r="P142" s="3">
        <f t="shared" si="18"/>
        <v>7.9501697563070009E-15</v>
      </c>
      <c r="Q142" s="3"/>
      <c r="R142" s="11">
        <f t="shared" si="22"/>
        <v>3.5688316122453163E-3</v>
      </c>
      <c r="S142" s="3">
        <f t="shared" si="23"/>
        <v>1.1308944952231209E-16</v>
      </c>
      <c r="T142" s="3"/>
      <c r="U142" s="9">
        <f t="shared" si="19"/>
        <v>2.0860754479592219E-4</v>
      </c>
      <c r="V142" s="3">
        <f t="shared" si="20"/>
        <v>6.6103741981621601E-18</v>
      </c>
    </row>
    <row r="143" spans="1:22" x14ac:dyDescent="0.2">
      <c r="A143" t="s">
        <v>592</v>
      </c>
      <c r="B143" s="1" t="str">
        <f>VLOOKUP(REPLACE(A143,FIND("dist",A143),4,"fit")&amp;"*",'[413]t (Cherniak)'!$A:$A,1,0)</f>
        <v>CGI009-qtz01-CL-fit-1-offset</v>
      </c>
      <c r="C143">
        <v>1150</v>
      </c>
      <c r="D143">
        <v>1024</v>
      </c>
      <c r="E143" s="1">
        <f t="shared" si="16"/>
        <v>1.123046875</v>
      </c>
      <c r="F143">
        <f>'[555]CGI009-qtz01-CL-dist-1'!$B$4</f>
        <v>420.24900000000002</v>
      </c>
      <c r="G143" s="1">
        <f t="shared" si="21"/>
        <v>471.95932617187503</v>
      </c>
      <c r="H143" s="1"/>
      <c r="I143" s="1" t="str">
        <f>VLOOKUP($B143, '[413]t (Cherniak) Category'!$1:$1048576, MATCH(I$1, '[413]t (Cherniak) Category'!$1:$1, 0), 0)</f>
        <v>Core</v>
      </c>
      <c r="J143" s="1"/>
      <c r="K143" s="4">
        <f>VLOOKUP($B143, '[413]t (Cherniak)'!$1:$1048576, MATCH(LEFT(K$1,FIND(" (",K$1)-1), '[413]t (Cherniak)'!$1:$1, 0), 0)</f>
        <v>101.45404361165001</v>
      </c>
      <c r="L143" s="4">
        <f>'D(Ti_Audétat23) Times'!Z143</f>
        <v>7132.2026288337092</v>
      </c>
      <c r="M143" s="4">
        <f>VLOOKUP($B143, '[413]t (J)'!$1:$1048576, MATCH(LEFT(M$1,FIND(" (",M$1)-1),'[413]t (J)'!$1:$1, 0), 0)</f>
        <v>122016.82461495734</v>
      </c>
      <c r="O143" s="1">
        <f t="shared" si="17"/>
        <v>4.6519518529834105</v>
      </c>
      <c r="P143" s="3">
        <f t="shared" si="18"/>
        <v>1.4741145882397299E-13</v>
      </c>
      <c r="Q143" s="3"/>
      <c r="R143" s="11">
        <f t="shared" si="22"/>
        <v>6.6173011443037486E-2</v>
      </c>
      <c r="S143" s="3">
        <f t="shared" si="23"/>
        <v>2.0968961975257142E-15</v>
      </c>
      <c r="T143" s="3"/>
      <c r="U143" s="9">
        <f t="shared" si="19"/>
        <v>3.8679856459239497E-3</v>
      </c>
      <c r="V143" s="3">
        <f t="shared" si="20"/>
        <v>1.225690688114416E-16</v>
      </c>
    </row>
    <row r="144" spans="1:22" x14ac:dyDescent="0.2">
      <c r="A144" t="s">
        <v>593</v>
      </c>
      <c r="B144" s="1" t="str">
        <f>VLOOKUP(REPLACE(A144,FIND("dist",A144),4,"fit")&amp;"*",'[413]t (Cherniak)'!$A:$A,1,0)</f>
        <v>CGI009-qtz01-CL-fit-2-offset</v>
      </c>
      <c r="C144">
        <v>1150</v>
      </c>
      <c r="D144">
        <v>1024</v>
      </c>
      <c r="E144" s="1">
        <f t="shared" si="16"/>
        <v>1.123046875</v>
      </c>
      <c r="F144">
        <f>'[556]CGI009-qtz01-CL-dist-2'!$B$4</f>
        <v>337.654</v>
      </c>
      <c r="G144" s="1">
        <f t="shared" si="21"/>
        <v>379.20126953124998</v>
      </c>
      <c r="H144" s="1"/>
      <c r="I144" s="1" t="str">
        <f>VLOOKUP($B144, '[413]t (Cherniak) Category'!$1:$1048576, MATCH(I$1, '[413]t (Cherniak) Category'!$1:$1, 0), 0)</f>
        <v>Core</v>
      </c>
      <c r="J144" s="1"/>
      <c r="K144" s="4">
        <f>VLOOKUP($B144, '[413]t (Cherniak)'!$1:$1048576, MATCH(LEFT(K$1,FIND(" (",K$1)-1), '[413]t (Cherniak)'!$1:$1, 0), 0)</f>
        <v>160.76565733972967</v>
      </c>
      <c r="L144" s="4">
        <f>'D(Ti_Audétat23) Times'!Z144</f>
        <v>11301.799347630273</v>
      </c>
      <c r="M144" s="4">
        <f>VLOOKUP($B144, '[413]t (J)'!$1:$1048576, MATCH(LEFT(M$1,FIND(" (",M$1)-1),'[413]t (J)'!$1:$1, 0), 0)</f>
        <v>193349.76031923873</v>
      </c>
      <c r="O144" s="1">
        <f t="shared" si="17"/>
        <v>2.3587206111434771</v>
      </c>
      <c r="P144" s="3">
        <f t="shared" si="18"/>
        <v>7.4743345854674538E-14</v>
      </c>
      <c r="Q144" s="3"/>
      <c r="R144" s="11">
        <f t="shared" si="22"/>
        <v>3.355229179597493E-2</v>
      </c>
      <c r="S144" s="3">
        <f t="shared" si="23"/>
        <v>1.0632079687927767E-15</v>
      </c>
      <c r="T144" s="3"/>
      <c r="U144" s="9">
        <f t="shared" si="19"/>
        <v>1.9612192376403923E-3</v>
      </c>
      <c r="V144" s="3">
        <f t="shared" si="20"/>
        <v>6.2147287424911663E-17</v>
      </c>
    </row>
    <row r="145" spans="1:22" x14ac:dyDescent="0.2">
      <c r="A145" t="s">
        <v>594</v>
      </c>
      <c r="B145" s="1" t="str">
        <f>VLOOKUP(REPLACE(A145,FIND("dist",A145),4,"fit")&amp;"*",'[413]t (Cherniak)'!$A:$A,1,0)</f>
        <v>CGI009-qtz01-CL-fit-3-offset</v>
      </c>
      <c r="C145">
        <v>1150</v>
      </c>
      <c r="D145">
        <v>1024</v>
      </c>
      <c r="E145" s="1">
        <f t="shared" si="16"/>
        <v>1.123046875</v>
      </c>
      <c r="F145">
        <f>'[557]CGI009-qtz01-CL-dist-3'!$B$4</f>
        <v>242.244</v>
      </c>
      <c r="G145" s="1">
        <f t="shared" si="21"/>
        <v>272.05136718749998</v>
      </c>
      <c r="H145" s="1"/>
      <c r="I145" s="1" t="str">
        <f>VLOOKUP($B145, '[413]t (Cherniak) Category'!$1:$1048576, MATCH(I$1, '[413]t (Cherniak) Category'!$1:$1, 0), 0)</f>
        <v>Core</v>
      </c>
      <c r="J145" s="1"/>
      <c r="K145" s="4">
        <f>VLOOKUP($B145, '[413]t (Cherniak)'!$1:$1048576, MATCH(LEFT(K$1,FIND(" (",K$1)-1), '[413]t (Cherniak)'!$1:$1, 0), 0)</f>
        <v>911.66494333925709</v>
      </c>
      <c r="L145" s="4">
        <f>'D(Ti_Audétat23) Times'!Z145</f>
        <v>64089.896016260282</v>
      </c>
      <c r="M145" s="4">
        <f>VLOOKUP($B145, '[413]t (J)'!$1:$1048576, MATCH(LEFT(M$1,FIND(" (",M$1)-1),'[413]t (J)'!$1:$1, 0), 0)</f>
        <v>1096441.8719951108</v>
      </c>
      <c r="O145" s="1">
        <f t="shared" si="17"/>
        <v>0.29841157014442943</v>
      </c>
      <c r="P145" s="3">
        <f t="shared" si="18"/>
        <v>9.4560920394589391E-15</v>
      </c>
      <c r="Q145" s="3"/>
      <c r="R145" s="11">
        <f t="shared" si="22"/>
        <v>4.2448402025566977E-3</v>
      </c>
      <c r="S145" s="3">
        <f t="shared" si="23"/>
        <v>1.3451086909513708E-16</v>
      </c>
      <c r="T145" s="3"/>
      <c r="U145" s="9">
        <f t="shared" si="19"/>
        <v>2.4812201552688705E-4</v>
      </c>
      <c r="V145" s="3">
        <f t="shared" si="20"/>
        <v>7.8625122166098507E-18</v>
      </c>
    </row>
    <row r="146" spans="1:22" x14ac:dyDescent="0.2">
      <c r="A146" t="s">
        <v>595</v>
      </c>
      <c r="B146" s="1" t="str">
        <f>VLOOKUP(REPLACE(A146,FIND("dist",A146),4,"fit")&amp;"*",'[413]t (Cherniak)'!$A:$A,1,0)</f>
        <v>CGI009-qtz01-CL-fit-4-offset</v>
      </c>
      <c r="C146">
        <v>1150</v>
      </c>
      <c r="D146">
        <v>1024</v>
      </c>
      <c r="E146" s="1">
        <f t="shared" si="16"/>
        <v>1.123046875</v>
      </c>
      <c r="F146">
        <f>'[558]CGI009-qtz01-CL-dist-4'!$B$4</f>
        <v>139.38800000000001</v>
      </c>
      <c r="G146" s="1">
        <f t="shared" si="21"/>
        <v>156.53925781250001</v>
      </c>
      <c r="H146" s="1"/>
      <c r="I146" s="1" t="str">
        <f>VLOOKUP($B146, '[413]t (Cherniak) Category'!$1:$1048576, MATCH(I$1, '[413]t (Cherniak) Category'!$1:$1, 0), 0)</f>
        <v>Interior</v>
      </c>
      <c r="J146" s="1"/>
      <c r="K146" s="4">
        <f>VLOOKUP($B146, '[413]t (Cherniak)'!$1:$1048576, MATCH(LEFT(K$1,FIND(" (",K$1)-1), '[413]t (Cherniak)'!$1:$1, 0), 0)</f>
        <v>128.72550175368696</v>
      </c>
      <c r="L146" s="4">
        <f>'D(Ti_Audétat23) Times'!Z146</f>
        <v>9049.3816640755267</v>
      </c>
      <c r="M146" s="4">
        <f>VLOOKUP($B146, '[413]t (J)'!$1:$1048576, MATCH(LEFT(M$1,FIND(" (",M$1)-1),'[413]t (J)'!$1:$1, 0), 0)</f>
        <v>154815.68217305042</v>
      </c>
      <c r="O146" s="1">
        <f t="shared" si="17"/>
        <v>1.2160702866168196</v>
      </c>
      <c r="P146" s="3">
        <f t="shared" si="18"/>
        <v>3.8534942030345132E-14</v>
      </c>
      <c r="Q146" s="3"/>
      <c r="R146" s="11">
        <f t="shared" si="22"/>
        <v>1.7298337458119782E-2</v>
      </c>
      <c r="S146" s="3">
        <f t="shared" si="23"/>
        <v>5.4815123640960591E-16</v>
      </c>
      <c r="T146" s="3"/>
      <c r="U146" s="9">
        <f t="shared" si="19"/>
        <v>1.0111330817088866E-3</v>
      </c>
      <c r="V146" s="3">
        <f t="shared" si="20"/>
        <v>3.2040873884860907E-17</v>
      </c>
    </row>
    <row r="147" spans="1:22" x14ac:dyDescent="0.2">
      <c r="A147" t="s">
        <v>596</v>
      </c>
      <c r="B147" s="1" t="str">
        <f>VLOOKUP(REPLACE(A147,FIND("dist",A147),4,"fit")&amp;"*",'[413]t (Cherniak)'!$A:$A,1,0)</f>
        <v>CGI009-qtz01-CL-fit-5-offset</v>
      </c>
      <c r="C147">
        <v>1150</v>
      </c>
      <c r="D147">
        <v>1024</v>
      </c>
      <c r="E147" s="1">
        <f t="shared" si="16"/>
        <v>1.123046875</v>
      </c>
      <c r="F147">
        <f>'[559]CGI009-qtz01-CL-dist-5'!$B$4</f>
        <v>57.801400000000001</v>
      </c>
      <c r="G147" s="1">
        <f t="shared" si="21"/>
        <v>64.913681640625001</v>
      </c>
      <c r="H147" s="1"/>
      <c r="I147" s="1" t="str">
        <f>VLOOKUP($B147, '[413]t (Cherniak) Category'!$1:$1048576, MATCH(I$1, '[413]t (Cherniak) Category'!$1:$1, 0), 0)</f>
        <v>Interior</v>
      </c>
      <c r="J147" s="1"/>
      <c r="K147" s="4">
        <f>VLOOKUP($B147, '[413]t (Cherniak)'!$1:$1048576, MATCH(LEFT(K$1,FIND(" (",K$1)-1), '[413]t (Cherniak)'!$1:$1, 0), 0)</f>
        <v>479.05248297501373</v>
      </c>
      <c r="L147" s="4">
        <f>'D(Ti_Audétat23) Times'!Z147</f>
        <v>33677.310995136795</v>
      </c>
      <c r="M147" s="4">
        <f>VLOOKUP($B147, '[413]t (J)'!$1:$1048576, MATCH(LEFT(M$1,FIND(" (",M$1)-1),'[413]t (J)'!$1:$1, 0), 0)</f>
        <v>576147.19646137359</v>
      </c>
      <c r="O147" s="1">
        <f t="shared" si="17"/>
        <v>0.13550432144198019</v>
      </c>
      <c r="P147" s="3">
        <f t="shared" si="18"/>
        <v>4.2938728370338735E-15</v>
      </c>
      <c r="Q147" s="3"/>
      <c r="R147" s="11">
        <f t="shared" si="22"/>
        <v>1.927519737249774E-3</v>
      </c>
      <c r="S147" s="3">
        <f t="shared" si="23"/>
        <v>6.1079414697244841E-17</v>
      </c>
      <c r="T147" s="3"/>
      <c r="U147" s="9">
        <f t="shared" si="19"/>
        <v>1.126685715721902E-4</v>
      </c>
      <c r="V147" s="3">
        <f t="shared" si="20"/>
        <v>3.5702515898607689E-18</v>
      </c>
    </row>
    <row r="148" spans="1:22" x14ac:dyDescent="0.2">
      <c r="A148" t="s">
        <v>597</v>
      </c>
      <c r="B148" s="1" t="str">
        <f>VLOOKUP(REPLACE(A148,FIND("dist",A148),4,"fit")&amp;"*",'[413]t (Cherniak)'!$A:$A,1,0)</f>
        <v>CGI009-qtz02-CL-fit-1-offset</v>
      </c>
      <c r="C148">
        <v>1750</v>
      </c>
      <c r="D148">
        <v>1024</v>
      </c>
      <c r="E148" s="1">
        <f t="shared" si="16"/>
        <v>1.708984375</v>
      </c>
      <c r="F148">
        <f>'[560]CGI009-qtz02-CL-dist-1'!$B$4</f>
        <v>219.34700000000001</v>
      </c>
      <c r="G148" s="1">
        <f t="shared" si="21"/>
        <v>374.860595703125</v>
      </c>
      <c r="H148" s="1"/>
      <c r="I148" s="1" t="str">
        <f>VLOOKUP($B148, '[413]t (Cherniak) Category'!$1:$1048576, MATCH(I$1, '[413]t (Cherniak) Category'!$1:$1, 0), 0)</f>
        <v>Interior</v>
      </c>
      <c r="J148" s="1"/>
      <c r="K148" s="4">
        <f>VLOOKUP($B148, '[413]t (Cherniak)'!$1:$1048576, MATCH(LEFT(K$1,FIND(" (",K$1)-1), '[413]t (Cherniak)'!$1:$1, 0), 0)</f>
        <v>3754.3082971000108</v>
      </c>
      <c r="L148" s="4">
        <f>'D(Ti_Audétat23) Times'!Z148</f>
        <v>263927.2576312981</v>
      </c>
      <c r="M148" s="4">
        <f>VLOOKUP($B148, '[413]t (J)'!$1:$1048576, MATCH(LEFT(M$1,FIND(" (",M$1)-1),'[413]t (J)'!$1:$1, 0), 0)</f>
        <v>4515234.2945661424</v>
      </c>
      <c r="O148" s="1">
        <f t="shared" si="17"/>
        <v>9.98481120990206E-2</v>
      </c>
      <c r="P148" s="3">
        <f t="shared" si="18"/>
        <v>3.163995744258771E-15</v>
      </c>
      <c r="Q148" s="3"/>
      <c r="R148" s="11">
        <f t="shared" si="22"/>
        <v>1.4203178522272941E-3</v>
      </c>
      <c r="S148" s="3">
        <f t="shared" si="23"/>
        <v>4.5007156825211491E-17</v>
      </c>
      <c r="T148" s="3"/>
      <c r="U148" s="9">
        <f t="shared" si="19"/>
        <v>8.302129441084617E-5</v>
      </c>
      <c r="V148" s="3">
        <f t="shared" si="20"/>
        <v>2.6307860677252442E-18</v>
      </c>
    </row>
    <row r="149" spans="1:22" x14ac:dyDescent="0.2">
      <c r="A149" t="s">
        <v>598</v>
      </c>
      <c r="B149" s="1" t="str">
        <f>VLOOKUP(REPLACE(A149,FIND("dist",A149),4,"fit")&amp;"*",'[413]t (Cherniak)'!$A:$A,1,0)</f>
        <v>CGI009-qtz02-CL-fit-2-offset</v>
      </c>
      <c r="C149">
        <v>1750</v>
      </c>
      <c r="D149">
        <v>1024</v>
      </c>
      <c r="E149" s="1">
        <f t="shared" si="16"/>
        <v>1.708984375</v>
      </c>
      <c r="F149">
        <f>'[561]CGI009-qtz02-CL-dist-2'!$B$4</f>
        <v>82.8553</v>
      </c>
      <c r="G149" s="1">
        <f t="shared" si="21"/>
        <v>141.59841308593749</v>
      </c>
      <c r="H149" s="1"/>
      <c r="I149" s="1" t="str">
        <f>VLOOKUP($B149, '[413]t (Cherniak) Category'!$1:$1048576, MATCH(I$1, '[413]t (Cherniak) Category'!$1:$1, 0), 0)</f>
        <v>Interior</v>
      </c>
      <c r="J149" s="1"/>
      <c r="K149" s="4">
        <f>VLOOKUP($B149, '[413]t (Cherniak)'!$1:$1048576, MATCH(LEFT(K$1,FIND(" (",K$1)-1), '[413]t (Cherniak)'!$1:$1, 0), 0)</f>
        <v>379.6193964085378</v>
      </c>
      <c r="L149" s="4">
        <f>'D(Ti_Audétat23) Times'!Z149</f>
        <v>26687.18131516971</v>
      </c>
      <c r="M149" s="4">
        <f>VLOOKUP($B149, '[413]t (J)'!$1:$1048576, MATCH(LEFT(M$1,FIND(" (",M$1)-1),'[413]t (J)'!$1:$1, 0), 0)</f>
        <v>456560.93796834705</v>
      </c>
      <c r="O149" s="1">
        <f t="shared" si="17"/>
        <v>0.37300099632831324</v>
      </c>
      <c r="P149" s="3">
        <f t="shared" si="18"/>
        <v>1.181968832637188E-14</v>
      </c>
      <c r="Q149" s="3"/>
      <c r="R149" s="11">
        <f t="shared" si="22"/>
        <v>5.3058586972408797E-3</v>
      </c>
      <c r="S149" s="3">
        <f t="shared" si="23"/>
        <v>1.6813251632699825E-16</v>
      </c>
      <c r="T149" s="3"/>
      <c r="U149" s="9">
        <f t="shared" si="19"/>
        <v>3.1014132246187556E-4</v>
      </c>
      <c r="V149" s="3">
        <f t="shared" si="20"/>
        <v>9.8277854609309807E-18</v>
      </c>
    </row>
    <row r="150" spans="1:22" x14ac:dyDescent="0.2">
      <c r="A150" t="s">
        <v>599</v>
      </c>
      <c r="B150" s="1" t="str">
        <f>VLOOKUP(REPLACE(A150,FIND("dist",A150),4,"fit")&amp;"*",'[413]t (Cherniak)'!$A:$A,1,0)</f>
        <v>CGI009-qtz02-CL-fit-3-offset</v>
      </c>
      <c r="C150">
        <v>1750</v>
      </c>
      <c r="D150">
        <v>1024</v>
      </c>
      <c r="E150" s="1">
        <f t="shared" si="16"/>
        <v>1.708984375</v>
      </c>
      <c r="F150">
        <f>'[562]CGI009-qtz02-CL-dist-3'!$B$4</f>
        <v>40.706299999999999</v>
      </c>
      <c r="G150" s="1">
        <f t="shared" si="21"/>
        <v>69.566430664062494</v>
      </c>
      <c r="H150" s="1"/>
      <c r="I150" s="1" t="str">
        <f>VLOOKUP($B150, '[413]t (Cherniak) Category'!$1:$1048576, MATCH(I$1, '[413]t (Cherniak) Category'!$1:$1, 0), 0)</f>
        <v>Interior</v>
      </c>
      <c r="J150" s="1"/>
      <c r="K150" s="4">
        <f>VLOOKUP($B150, '[413]t (Cherniak)'!$1:$1048576, MATCH(LEFT(K$1,FIND(" (",K$1)-1), '[413]t (Cherniak)'!$1:$1, 0), 0)</f>
        <v>92.969950592184375</v>
      </c>
      <c r="L150" s="4">
        <f>'D(Ti_Audétat23) Times'!Z150</f>
        <v>6535.7722808396347</v>
      </c>
      <c r="M150" s="4">
        <f>VLOOKUP($B150, '[413]t (J)'!$1:$1048576, MATCH(LEFT(M$1,FIND(" (",M$1)-1),'[413]t (J)'!$1:$1, 0), 0)</f>
        <v>111813.16931329474</v>
      </c>
      <c r="O150" s="1">
        <f t="shared" si="17"/>
        <v>0.74826791044794505</v>
      </c>
      <c r="P150" s="3">
        <f t="shared" si="18"/>
        <v>2.3711179254694434E-14</v>
      </c>
      <c r="Q150" s="3"/>
      <c r="R150" s="11">
        <f t="shared" si="22"/>
        <v>1.064394958618807E-2</v>
      </c>
      <c r="S150" s="3">
        <f t="shared" si="23"/>
        <v>3.3728640917522468E-16</v>
      </c>
      <c r="T150" s="3"/>
      <c r="U150" s="9">
        <f t="shared" si="19"/>
        <v>6.2216670085740028E-4</v>
      </c>
      <c r="V150" s="3">
        <f t="shared" si="20"/>
        <v>1.971527305173398E-17</v>
      </c>
    </row>
    <row r="151" spans="1:22" x14ac:dyDescent="0.2">
      <c r="A151" t="s">
        <v>600</v>
      </c>
      <c r="B151" s="1" t="str">
        <f>VLOOKUP(REPLACE(A151,FIND("dist",A151),4,"fit")&amp;"*",'[413]t (Cherniak)'!$A:$A,1,0)</f>
        <v>CGI009-qtz03-CL-fit-1-offset</v>
      </c>
      <c r="C151">
        <v>1750</v>
      </c>
      <c r="D151">
        <v>1024</v>
      </c>
      <c r="E151" s="1">
        <f t="shared" si="16"/>
        <v>1.708984375</v>
      </c>
      <c r="F151">
        <f>'[563]CGI009-qtz03-CL-dist-1'!$B$4</f>
        <v>742.76499999999999</v>
      </c>
      <c r="G151" s="1">
        <f t="shared" si="21"/>
        <v>1269.373779296875</v>
      </c>
      <c r="H151" s="1"/>
      <c r="I151" s="1" t="str">
        <f>VLOOKUP($B151, '[413]t (Cherniak) Category'!$1:$1048576, MATCH(I$1, '[413]t (Cherniak) Category'!$1:$1, 0), 0)</f>
        <v>Core</v>
      </c>
      <c r="J151" s="1"/>
      <c r="K151" s="4">
        <f>VLOOKUP($B151, '[413]t (Cherniak)'!$1:$1048576, MATCH(LEFT(K$1,FIND(" (",K$1)-1), '[413]t (Cherniak)'!$1:$1, 0), 0)</f>
        <v>398.7317645146141</v>
      </c>
      <c r="L151" s="4">
        <f>'D(Ti_Audétat23) Times'!Z151</f>
        <v>28030.777658861844</v>
      </c>
      <c r="M151" s="4">
        <f>VLOOKUP($B151, '[413]t (J)'!$1:$1048576, MATCH(LEFT(M$1,FIND(" (",M$1)-1),'[413]t (J)'!$1:$1, 0), 0)</f>
        <v>479547.01505466079</v>
      </c>
      <c r="O151" s="1">
        <f t="shared" si="17"/>
        <v>3.1835281065257357</v>
      </c>
      <c r="P151" s="3">
        <f t="shared" si="18"/>
        <v>1.0087991819801682E-13</v>
      </c>
      <c r="Q151" s="3"/>
      <c r="R151" s="11">
        <f t="shared" si="22"/>
        <v>4.5285000464322343E-2</v>
      </c>
      <c r="S151" s="3">
        <f t="shared" si="23"/>
        <v>1.434995071371788E-15</v>
      </c>
      <c r="T151" s="3"/>
      <c r="U151" s="9">
        <f t="shared" si="19"/>
        <v>2.6470267553478284E-3</v>
      </c>
      <c r="V151" s="3">
        <f t="shared" si="20"/>
        <v>8.38792162695461E-17</v>
      </c>
    </row>
    <row r="152" spans="1:22" x14ac:dyDescent="0.2">
      <c r="A152" t="s">
        <v>601</v>
      </c>
      <c r="B152" s="1" t="str">
        <f>VLOOKUP(REPLACE(A152,FIND("dist",A152),4,"fit")&amp;"*",'[413]t (Cherniak)'!$A:$A,1,0)</f>
        <v>CGI009-qtz03-CL-fit-2-offset</v>
      </c>
      <c r="C152">
        <v>1750</v>
      </c>
      <c r="D152">
        <v>1024</v>
      </c>
      <c r="E152" s="1">
        <f t="shared" si="16"/>
        <v>1.708984375</v>
      </c>
      <c r="F152">
        <f>'[564]CGI009-qtz03-CL-dist-2'!$B$4</f>
        <v>518.745</v>
      </c>
      <c r="G152" s="1">
        <f t="shared" si="21"/>
        <v>886.527099609375</v>
      </c>
      <c r="H152" s="1"/>
      <c r="I152" s="1" t="str">
        <f>VLOOKUP($B152, '[413]t (Cherniak) Category'!$1:$1048576, MATCH(I$1, '[413]t (Cherniak) Category'!$1:$1, 0), 0)</f>
        <v>Core</v>
      </c>
      <c r="J152" s="1"/>
      <c r="K152" s="4">
        <f>VLOOKUP($B152, '[413]t (Cherniak)'!$1:$1048576, MATCH(LEFT(K$1,FIND(" (",K$1)-1), '[413]t (Cherniak)'!$1:$1, 0), 0)</f>
        <v>331.08041970608514</v>
      </c>
      <c r="L152" s="4">
        <f>'D(Ti_Audétat23) Times'!Z152</f>
        <v>23274.899212710683</v>
      </c>
      <c r="M152" s="4">
        <f>VLOOKUP($B152, '[413]t (J)'!$1:$1048576, MATCH(LEFT(M$1,FIND(" (",M$1)-1),'[413]t (J)'!$1:$1, 0), 0)</f>
        <v>398184.04537288449</v>
      </c>
      <c r="O152" s="1">
        <f t="shared" si="17"/>
        <v>2.6776790376077955</v>
      </c>
      <c r="P152" s="3">
        <f t="shared" si="18"/>
        <v>8.4850528481500356E-14</v>
      </c>
      <c r="Q152" s="3"/>
      <c r="R152" s="11">
        <f t="shared" si="22"/>
        <v>3.8089406596666708E-2</v>
      </c>
      <c r="S152" s="3">
        <f t="shared" si="23"/>
        <v>1.2069804610194282E-15</v>
      </c>
      <c r="T152" s="3"/>
      <c r="U152" s="9">
        <f t="shared" si="19"/>
        <v>2.2264254681002489E-3</v>
      </c>
      <c r="V152" s="3">
        <f t="shared" si="20"/>
        <v>7.0551165744551199E-17</v>
      </c>
    </row>
    <row r="153" spans="1:22" x14ac:dyDescent="0.2">
      <c r="A153" t="s">
        <v>602</v>
      </c>
      <c r="B153" s="1" t="str">
        <f>VLOOKUP(REPLACE(A153,FIND("dist",A153),4,"fit")&amp;"*",'[413]t (Cherniak)'!$A:$A,1,0)</f>
        <v>CGI009-qtz03-CL-fit-3-offset</v>
      </c>
      <c r="C153">
        <v>1750</v>
      </c>
      <c r="D153">
        <v>1024</v>
      </c>
      <c r="E153" s="1">
        <f t="shared" si="16"/>
        <v>1.708984375</v>
      </c>
      <c r="F153">
        <f>'[565]CGI009-qtz03-CL-dist-3'!$B$4</f>
        <v>435.43700000000001</v>
      </c>
      <c r="G153" s="1">
        <f t="shared" si="21"/>
        <v>744.155029296875</v>
      </c>
      <c r="H153" s="1"/>
      <c r="I153" s="1" t="str">
        <f>VLOOKUP($B153, '[413]t (Cherniak) Category'!$1:$1048576, MATCH(I$1, '[413]t (Cherniak) Category'!$1:$1, 0), 0)</f>
        <v>Interior</v>
      </c>
      <c r="J153" s="1"/>
      <c r="K153" s="4">
        <f>VLOOKUP($B153, '[413]t (Cherniak)'!$1:$1048576, MATCH(LEFT(K$1,FIND(" (",K$1)-1), '[413]t (Cherniak)'!$1:$1, 0), 0)</f>
        <v>132.83029799887868</v>
      </c>
      <c r="L153" s="4">
        <f>'D(Ti_Audétat23) Times'!Z153</f>
        <v>9337.9481669824781</v>
      </c>
      <c r="M153" s="4">
        <f>VLOOKUP($B153, '[413]t (J)'!$1:$1048576, MATCH(LEFT(M$1,FIND(" (",M$1)-1),'[413]t (J)'!$1:$1, 0), 0)</f>
        <v>159752.44157366024</v>
      </c>
      <c r="O153" s="1">
        <f t="shared" si="17"/>
        <v>5.6022988768959694</v>
      </c>
      <c r="P153" s="3">
        <f t="shared" si="18"/>
        <v>1.7752613877151523E-13</v>
      </c>
      <c r="Q153" s="3"/>
      <c r="R153" s="11">
        <f t="shared" si="22"/>
        <v>7.969149281938516E-2</v>
      </c>
      <c r="S153" s="3">
        <f t="shared" si="23"/>
        <v>2.5252710224917346E-15</v>
      </c>
      <c r="T153" s="3"/>
      <c r="U153" s="9">
        <f t="shared" si="19"/>
        <v>4.6581762504941289E-3</v>
      </c>
      <c r="V153" s="3">
        <f t="shared" si="20"/>
        <v>1.4760869807888207E-16</v>
      </c>
    </row>
    <row r="154" spans="1:22" x14ac:dyDescent="0.2">
      <c r="A154" t="s">
        <v>603</v>
      </c>
      <c r="B154" s="1" t="str">
        <f>VLOOKUP(REPLACE(A154,FIND("dist",A154),4,"fit")&amp;"*",'[413]t (Cherniak)'!$A:$A,1,0)</f>
        <v>CGI009-qtz03-CL-fit-4-offset</v>
      </c>
      <c r="C154">
        <v>1750</v>
      </c>
      <c r="D154">
        <v>1024</v>
      </c>
      <c r="E154" s="1">
        <f t="shared" si="16"/>
        <v>1.708984375</v>
      </c>
      <c r="F154">
        <f>'[566]CGI009-qtz03-CL-dist-4'!$B$4</f>
        <v>223.30500000000001</v>
      </c>
      <c r="G154" s="1">
        <f t="shared" si="21"/>
        <v>381.624755859375</v>
      </c>
      <c r="H154" s="1"/>
      <c r="I154" s="1" t="str">
        <f>VLOOKUP($B154, '[413]t (Cherniak) Category'!$1:$1048576, MATCH(I$1, '[413]t (Cherniak) Category'!$1:$1, 0), 0)</f>
        <v>Interior</v>
      </c>
      <c r="J154" s="1"/>
      <c r="K154" s="4">
        <f>VLOOKUP($B154, '[413]t (Cherniak)'!$1:$1048576, MATCH(LEFT(K$1,FIND(" (",K$1)-1), '[413]t (Cherniak)'!$1:$1, 0), 0)</f>
        <v>161.86249173243982</v>
      </c>
      <c r="L154" s="4">
        <f>'D(Ti_Audétat23) Times'!Z154</f>
        <v>11378.90662557207</v>
      </c>
      <c r="M154" s="4">
        <f>VLOOKUP($B154, '[413]t (J)'!$1:$1048576, MATCH(LEFT(M$1,FIND(" (",M$1)-1),'[413]t (J)'!$1:$1, 0), 0)</f>
        <v>194668.90192230049</v>
      </c>
      <c r="O154" s="1">
        <f t="shared" si="17"/>
        <v>2.357709632261217</v>
      </c>
      <c r="P154" s="3">
        <f t="shared" si="18"/>
        <v>7.4711309867075343E-14</v>
      </c>
      <c r="Q154" s="3"/>
      <c r="R154" s="11">
        <f t="shared" si="22"/>
        <v>3.3537910839494998E-2</v>
      </c>
      <c r="S154" s="3">
        <f t="shared" si="23"/>
        <v>1.0627522637809909E-15</v>
      </c>
      <c r="T154" s="3"/>
      <c r="U154" s="9">
        <f t="shared" si="19"/>
        <v>1.9603786331095423E-3</v>
      </c>
      <c r="V154" s="3">
        <f t="shared" si="20"/>
        <v>6.212065027472121E-17</v>
      </c>
    </row>
    <row r="155" spans="1:22" x14ac:dyDescent="0.2">
      <c r="A155" t="s">
        <v>604</v>
      </c>
      <c r="B155" s="1" t="str">
        <f>VLOOKUP(REPLACE(A155,FIND("dist",A155),4,"fit")&amp;"*",'[413]t (Cherniak)'!$A:$A,1,0)</f>
        <v>CGI009-qtz03-CL-fit-5-offset</v>
      </c>
      <c r="C155">
        <v>1750</v>
      </c>
      <c r="D155">
        <v>1024</v>
      </c>
      <c r="E155" s="1">
        <f t="shared" si="16"/>
        <v>1.708984375</v>
      </c>
      <c r="F155">
        <f>'[567]CGI009-qtz03-CL-dist-5'!$B$4</f>
        <v>151.19900000000001</v>
      </c>
      <c r="G155" s="1">
        <f t="shared" si="21"/>
        <v>258.396728515625</v>
      </c>
      <c r="H155" s="1"/>
      <c r="I155" s="1" t="str">
        <f>VLOOKUP($B155, '[413]t (Cherniak) Category'!$1:$1048576, MATCH(I$1, '[413]t (Cherniak) Category'!$1:$1, 0), 0)</f>
        <v>Interior</v>
      </c>
      <c r="J155" s="1"/>
      <c r="K155" s="4">
        <f>VLOOKUP($B155, '[413]t (Cherniak)'!$1:$1048576, MATCH(LEFT(K$1,FIND(" (",K$1)-1), '[413]t (Cherniak)'!$1:$1, 0), 0)</f>
        <v>447.10943094988141</v>
      </c>
      <c r="L155" s="4">
        <f>'D(Ti_Audétat23) Times'!Z155</f>
        <v>31431.719675990407</v>
      </c>
      <c r="M155" s="4">
        <f>VLOOKUP($B155, '[413]t (J)'!$1:$1048576, MATCH(LEFT(M$1,FIND(" (",M$1)-1),'[413]t (J)'!$1:$1, 0), 0)</f>
        <v>537729.90289803001</v>
      </c>
      <c r="O155" s="1">
        <f t="shared" si="17"/>
        <v>0.57792726037261755</v>
      </c>
      <c r="P155" s="3">
        <f t="shared" si="18"/>
        <v>1.831340977680868E-14</v>
      </c>
      <c r="Q155" s="3"/>
      <c r="R155" s="11">
        <f t="shared" si="22"/>
        <v>8.2208905901195485E-3</v>
      </c>
      <c r="S155" s="3">
        <f t="shared" si="23"/>
        <v>2.6050430292923249E-16</v>
      </c>
      <c r="T155" s="3"/>
      <c r="U155" s="9">
        <f t="shared" si="19"/>
        <v>4.8053256313816141E-4</v>
      </c>
      <c r="V155" s="3">
        <f t="shared" si="20"/>
        <v>1.5227158058222471E-17</v>
      </c>
    </row>
    <row r="156" spans="1:22" x14ac:dyDescent="0.2">
      <c r="A156" t="s">
        <v>605</v>
      </c>
      <c r="B156" s="1" t="str">
        <f>VLOOKUP(REPLACE(A156,FIND("dist",A156),4,"fit")&amp;"*",'[413]t (Cherniak)'!$A:$A,1,0)</f>
        <v>CGI009-qtz04-CL-fit-1-offset</v>
      </c>
      <c r="C156">
        <v>1400</v>
      </c>
      <c r="D156">
        <v>1024</v>
      </c>
      <c r="E156" s="1">
        <f t="shared" si="16"/>
        <v>1.3671875</v>
      </c>
      <c r="F156">
        <f>'[568]CGI009-qtz04-CL-dist-1'!$B$4</f>
        <v>488.38200000000001</v>
      </c>
      <c r="G156" s="1">
        <f t="shared" si="21"/>
        <v>667.70976562500005</v>
      </c>
      <c r="H156" s="1"/>
      <c r="I156" s="1" t="str">
        <f>VLOOKUP($B156, '[413]t (Cherniak) Category'!$1:$1048576, MATCH(I$1, '[413]t (Cherniak) Category'!$1:$1, 0), 0)</f>
        <v>Core</v>
      </c>
      <c r="J156" s="1"/>
      <c r="K156" s="4">
        <f>VLOOKUP($B156, '[413]t (Cherniak)'!$1:$1048576, MATCH(LEFT(K$1,FIND(" (",K$1)-1), '[413]t (Cherniak)'!$1:$1, 0), 0)</f>
        <v>460.77870326982998</v>
      </c>
      <c r="L156" s="4">
        <f>'D(Ti_Audétat23) Times'!Z156</f>
        <v>32392.667278510467</v>
      </c>
      <c r="M156" s="4">
        <f>VLOOKUP($B156, '[413]t (J)'!$1:$1048576, MATCH(LEFT(M$1,FIND(" (",M$1)-1),'[413]t (J)'!$1:$1, 0), 0)</f>
        <v>554169.67349664343</v>
      </c>
      <c r="O156" s="1">
        <f t="shared" si="17"/>
        <v>1.4490899012621947</v>
      </c>
      <c r="P156" s="3">
        <f t="shared" si="18"/>
        <v>4.591888804161897E-14</v>
      </c>
      <c r="Q156" s="3"/>
      <c r="R156" s="11">
        <f t="shared" si="22"/>
        <v>2.0612991202115783E-2</v>
      </c>
      <c r="S156" s="3">
        <f t="shared" si="23"/>
        <v>6.5318627532245109E-16</v>
      </c>
      <c r="T156" s="3"/>
      <c r="U156" s="9">
        <f t="shared" si="19"/>
        <v>1.2048832651053475E-3</v>
      </c>
      <c r="V156" s="3">
        <f t="shared" si="20"/>
        <v>3.8180446710312176E-17</v>
      </c>
    </row>
    <row r="157" spans="1:22" x14ac:dyDescent="0.2">
      <c r="A157" t="s">
        <v>606</v>
      </c>
      <c r="B157" s="1" t="str">
        <f>VLOOKUP(REPLACE(A157,FIND("dist",A157),4,"fit")&amp;"*",'[413]t (Cherniak)'!$A:$A,1,0)</f>
        <v>CGI009-qtz04-CL-fit-2-offset</v>
      </c>
      <c r="C157">
        <v>1400</v>
      </c>
      <c r="D157">
        <v>1024</v>
      </c>
      <c r="E157" s="1">
        <f t="shared" si="16"/>
        <v>1.3671875</v>
      </c>
      <c r="F157">
        <f>'[569]CGI009-qtz04-CL-dist-2'!$B$4</f>
        <v>336.53800000000001</v>
      </c>
      <c r="G157" s="1">
        <f t="shared" si="21"/>
        <v>460.11054687500001</v>
      </c>
      <c r="H157" s="1"/>
      <c r="I157" s="1" t="str">
        <f>VLOOKUP($B157, '[413]t (Cherniak) Category'!$1:$1048576, MATCH(I$1, '[413]t (Cherniak) Category'!$1:$1, 0), 0)</f>
        <v>Interior</v>
      </c>
      <c r="J157" s="1"/>
      <c r="K157" s="4">
        <f>VLOOKUP($B157, '[413]t (Cherniak)'!$1:$1048576, MATCH(LEFT(K$1,FIND(" (",K$1)-1), '[413]t (Cherniak)'!$1:$1, 0), 0)</f>
        <v>308.49371831873549</v>
      </c>
      <c r="L157" s="4">
        <f>'D(Ti_Audétat23) Times'!Z157</f>
        <v>21687.057809087826</v>
      </c>
      <c r="M157" s="4">
        <f>VLOOKUP($B157, '[413]t (J)'!$1:$1048576, MATCH(LEFT(M$1,FIND(" (",M$1)-1),'[413]t (J)'!$1:$1, 0), 0)</f>
        <v>371019.45455223648</v>
      </c>
      <c r="O157" s="1">
        <f t="shared" si="17"/>
        <v>1.4914746056502004</v>
      </c>
      <c r="P157" s="3">
        <f t="shared" si="18"/>
        <v>4.7261978276237748E-14</v>
      </c>
      <c r="Q157" s="3"/>
      <c r="R157" s="11">
        <f t="shared" si="22"/>
        <v>2.1215904477471053E-2</v>
      </c>
      <c r="S157" s="3">
        <f t="shared" si="23"/>
        <v>6.722914441361527E-16</v>
      </c>
      <c r="T157" s="3"/>
      <c r="U157" s="9">
        <f t="shared" si="19"/>
        <v>1.24012512343937E-3</v>
      </c>
      <c r="V157" s="3">
        <f t="shared" si="20"/>
        <v>3.9297193811930245E-17</v>
      </c>
    </row>
    <row r="158" spans="1:22" x14ac:dyDescent="0.2">
      <c r="A158" t="s">
        <v>607</v>
      </c>
      <c r="B158" s="1" t="str">
        <f>VLOOKUP(REPLACE(A158,FIND("dist",A158),4,"fit")&amp;"*",'[413]t (Cherniak)'!$A:$A,1,0)</f>
        <v>CGI009-qtz04-CL-fit-3-offset</v>
      </c>
      <c r="C158">
        <v>1400</v>
      </c>
      <c r="D158">
        <v>1024</v>
      </c>
      <c r="E158" s="1">
        <f t="shared" si="16"/>
        <v>1.3671875</v>
      </c>
      <c r="F158">
        <f>'[570]CGI009-qtz04-CL-dist-3'!$B$4</f>
        <v>155.36099999999999</v>
      </c>
      <c r="G158" s="1">
        <f t="shared" si="21"/>
        <v>212.40761718749999</v>
      </c>
      <c r="H158" s="1"/>
      <c r="I158" s="1" t="str">
        <f>VLOOKUP($B158, '[413]t (Cherniak) Category'!$1:$1048576, MATCH(I$1, '[413]t (Cherniak) Category'!$1:$1, 0), 0)</f>
        <v>Interior</v>
      </c>
      <c r="J158" s="1"/>
      <c r="K158" s="4">
        <f>VLOOKUP($B158, '[413]t (Cherniak)'!$1:$1048576, MATCH(LEFT(K$1,FIND(" (",K$1)-1), '[413]t (Cherniak)'!$1:$1, 0), 0)</f>
        <v>157.2550032222988</v>
      </c>
      <c r="L158" s="4">
        <f>'D(Ti_Audétat23) Times'!Z158</f>
        <v>11055.000938873785</v>
      </c>
      <c r="M158" s="4">
        <f>VLOOKUP($B158, '[413]t (J)'!$1:$1048576, MATCH(LEFT(M$1,FIND(" (",M$1)-1),'[413]t (J)'!$1:$1, 0), 0)</f>
        <v>189127.56421466518</v>
      </c>
      <c r="O158" s="1">
        <f t="shared" si="17"/>
        <v>1.3507208854095176</v>
      </c>
      <c r="P158" s="3">
        <f t="shared" si="18"/>
        <v>4.2801762029099725E-14</v>
      </c>
      <c r="Q158" s="3"/>
      <c r="R158" s="11">
        <f t="shared" si="22"/>
        <v>1.9213713174875476E-2</v>
      </c>
      <c r="S158" s="3">
        <f t="shared" si="23"/>
        <v>6.0884583031901898E-16</v>
      </c>
      <c r="T158" s="3"/>
      <c r="U158" s="9">
        <f t="shared" si="19"/>
        <v>1.1230918035110486E-3</v>
      </c>
      <c r="V158" s="3">
        <f t="shared" si="20"/>
        <v>3.5588631692874255E-17</v>
      </c>
    </row>
    <row r="159" spans="1:22" x14ac:dyDescent="0.2">
      <c r="A159" t="s">
        <v>608</v>
      </c>
      <c r="B159" s="1" t="str">
        <f>VLOOKUP(REPLACE(A159,FIND("dist",A159),4,"fit")&amp;"*",'[413]t (Cherniak)'!$A:$A,1,0)</f>
        <v>CGI009-qtz04-CL-fit-4-offset</v>
      </c>
      <c r="C159">
        <v>1400</v>
      </c>
      <c r="D159">
        <v>1024</v>
      </c>
      <c r="E159" s="1">
        <f t="shared" si="16"/>
        <v>1.3671875</v>
      </c>
      <c r="F159">
        <f>'[571]CGI009-qtz04-CL-dist-4'!$B$4</f>
        <v>44.911000000000001</v>
      </c>
      <c r="G159" s="1">
        <f t="shared" si="21"/>
        <v>61.401757812500001</v>
      </c>
      <c r="H159" s="1"/>
      <c r="I159" s="1" t="str">
        <f>VLOOKUP($B159, '[413]t (Cherniak) Category'!$1:$1048576, MATCH(I$1, '[413]t (Cherniak) Category'!$1:$1, 0), 0)</f>
        <v>Interior</v>
      </c>
      <c r="J159" s="1"/>
      <c r="K159" s="4">
        <f>VLOOKUP($B159, '[413]t (Cherniak)'!$1:$1048576, MATCH(LEFT(K$1,FIND(" (",K$1)-1), '[413]t (Cherniak)'!$1:$1, 0), 0)</f>
        <v>65.374008924472875</v>
      </c>
      <c r="L159" s="4">
        <f>'D(Ti_Audétat23) Times'!Z159</f>
        <v>4595.7821069537231</v>
      </c>
      <c r="M159" s="4">
        <f>VLOOKUP($B159, '[413]t (J)'!$1:$1048576, MATCH(LEFT(M$1,FIND(" (",M$1)-1),'[413]t (J)'!$1:$1, 0), 0)</f>
        <v>78624.061667248228</v>
      </c>
      <c r="O159" s="1">
        <f t="shared" si="17"/>
        <v>0.93923806758490136</v>
      </c>
      <c r="P159" s="3">
        <f t="shared" si="18"/>
        <v>2.9762658363909215E-14</v>
      </c>
      <c r="Q159" s="3"/>
      <c r="R159" s="11">
        <f t="shared" si="22"/>
        <v>1.3360458869360901E-2</v>
      </c>
      <c r="S159" s="3">
        <f t="shared" si="23"/>
        <v>4.2336739388803019E-16</v>
      </c>
      <c r="T159" s="3"/>
      <c r="U159" s="9">
        <f t="shared" si="19"/>
        <v>7.8095377560579045E-4</v>
      </c>
      <c r="V159" s="3">
        <f t="shared" si="20"/>
        <v>2.4746931820093746E-17</v>
      </c>
    </row>
    <row r="160" spans="1:22" x14ac:dyDescent="0.2">
      <c r="A160" t="s">
        <v>609</v>
      </c>
      <c r="B160" s="1" t="str">
        <f>VLOOKUP(REPLACE(A160,FIND("dist",A160),4,"fit")&amp;"*",'[413]t (Cherniak)'!$A:$A,1,0)</f>
        <v>CGI009-qtz05-CL-fit-1-offset</v>
      </c>
      <c r="C160">
        <v>1500</v>
      </c>
      <c r="D160">
        <v>1024</v>
      </c>
      <c r="E160" s="1">
        <f t="shared" si="16"/>
        <v>1.46484375</v>
      </c>
      <c r="F160">
        <f>'[572]CGI009-qtz05-CL-dist-1'!$B$4</f>
        <v>715.06399999999996</v>
      </c>
      <c r="G160" s="1">
        <f t="shared" si="21"/>
        <v>1047.45703125</v>
      </c>
      <c r="H160" s="1"/>
      <c r="I160" s="1" t="str">
        <f>VLOOKUP($B160, '[413]t (Cherniak) Category'!$1:$1048576, MATCH(I$1, '[413]t (Cherniak) Category'!$1:$1, 0), 0)</f>
        <v>Interior</v>
      </c>
      <c r="J160" s="1"/>
      <c r="K160" s="4">
        <f>VLOOKUP($B160, '[413]t (Cherniak)'!$1:$1048576, MATCH(LEFT(K$1,FIND(" (",K$1)-1), '[413]t (Cherniak)'!$1:$1, 0), 0)</f>
        <v>400.43054585781982</v>
      </c>
      <c r="L160" s="4">
        <f>'D(Ti_Audétat23) Times'!Z160</f>
        <v>28150.201708712473</v>
      </c>
      <c r="M160" s="4">
        <f>VLOOKUP($B160, '[413]t (J)'!$1:$1048576, MATCH(LEFT(M$1,FIND(" (",M$1)-1),'[413]t (J)'!$1:$1, 0), 0)</f>
        <v>481590.10666376934</v>
      </c>
      <c r="O160" s="1">
        <f t="shared" si="17"/>
        <v>2.6158269944319352</v>
      </c>
      <c r="P160" s="3">
        <f t="shared" si="18"/>
        <v>8.2890555505866568E-14</v>
      </c>
      <c r="Q160" s="3"/>
      <c r="R160" s="11">
        <f t="shared" si="22"/>
        <v>3.7209574627161998E-2</v>
      </c>
      <c r="S160" s="3">
        <f t="shared" si="23"/>
        <v>1.1791002683081729E-15</v>
      </c>
      <c r="T160" s="3"/>
      <c r="U160" s="9">
        <f t="shared" si="19"/>
        <v>2.1749969875965512E-3</v>
      </c>
      <c r="V160" s="3">
        <f t="shared" si="20"/>
        <v>6.8921495538207941E-17</v>
      </c>
    </row>
    <row r="161" spans="1:22" x14ac:dyDescent="0.2">
      <c r="A161" t="s">
        <v>610</v>
      </c>
      <c r="B161" s="1" t="str">
        <f>VLOOKUP(REPLACE(A161,FIND("dist",A161),4,"fit")&amp;"*",'[413]t (Cherniak)'!$A:$A,1,0)</f>
        <v>CGI009-qtz05-CL-fit-2-offset</v>
      </c>
      <c r="C161">
        <v>1500</v>
      </c>
      <c r="D161">
        <v>1024</v>
      </c>
      <c r="E161" s="1">
        <f t="shared" si="16"/>
        <v>1.46484375</v>
      </c>
      <c r="F161">
        <f>'[573]CGI009-qtz05-CL-dist-2'!$B$4</f>
        <v>432.447</v>
      </c>
      <c r="G161" s="1">
        <f t="shared" si="21"/>
        <v>633.46728515625</v>
      </c>
      <c r="H161" s="1"/>
      <c r="I161" s="1" t="str">
        <f>VLOOKUP($B161, '[413]t (Cherniak) Category'!$1:$1048576, MATCH(I$1, '[413]t (Cherniak) Category'!$1:$1, 0), 0)</f>
        <v>Interior</v>
      </c>
      <c r="J161" s="1"/>
      <c r="K161" s="4">
        <f>VLOOKUP($B161, '[413]t (Cherniak)'!$1:$1048576, MATCH(LEFT(K$1,FIND(" (",K$1)-1), '[413]t (Cherniak)'!$1:$1, 0), 0)</f>
        <v>352.26784880842922</v>
      </c>
      <c r="L161" s="4">
        <f>'D(Ti_Audétat23) Times'!Z161</f>
        <v>24764.372004159028</v>
      </c>
      <c r="M161" s="4">
        <f>VLOOKUP($B161, '[413]t (J)'!$1:$1048576, MATCH(LEFT(M$1,FIND(" (",M$1)-1),'[413]t (J)'!$1:$1, 0), 0)</f>
        <v>423665.75836126361</v>
      </c>
      <c r="O161" s="1">
        <f t="shared" si="17"/>
        <v>1.7982546159094497</v>
      </c>
      <c r="P161" s="3">
        <f t="shared" si="18"/>
        <v>5.6983250180921534E-14</v>
      </c>
      <c r="Q161" s="3"/>
      <c r="R161" s="11">
        <f t="shared" si="22"/>
        <v>2.557978393515745E-2</v>
      </c>
      <c r="S161" s="3">
        <f t="shared" si="23"/>
        <v>8.1057443960115623E-16</v>
      </c>
      <c r="T161" s="3"/>
      <c r="U161" s="9">
        <f t="shared" si="19"/>
        <v>1.495205294868524E-3</v>
      </c>
      <c r="V161" s="3">
        <f t="shared" si="20"/>
        <v>4.7380196683794834E-17</v>
      </c>
    </row>
    <row r="162" spans="1:22" x14ac:dyDescent="0.2">
      <c r="A162" t="s">
        <v>611</v>
      </c>
      <c r="B162" s="1" t="str">
        <f>VLOOKUP(REPLACE(A162,FIND("dist",A162),4,"fit")&amp;"*",'[413]t (Cherniak)'!$A:$A,1,0)</f>
        <v>CGI009-qtz05-CL-fit-3-offset</v>
      </c>
      <c r="C162">
        <v>1500</v>
      </c>
      <c r="D162">
        <v>1024</v>
      </c>
      <c r="E162" s="1">
        <f t="shared" si="16"/>
        <v>1.46484375</v>
      </c>
      <c r="F162">
        <f>'[574]CGI009-qtz05-CL-dist-3'!$B$4</f>
        <v>326.33699999999999</v>
      </c>
      <c r="G162" s="1">
        <f t="shared" si="21"/>
        <v>478.03271484375</v>
      </c>
      <c r="H162" s="1"/>
      <c r="I162" s="1" t="str">
        <f>VLOOKUP($B162, '[413]t (Cherniak) Category'!$1:$1048576, MATCH(I$1, '[413]t (Cherniak) Category'!$1:$1, 0), 0)</f>
        <v>Interior</v>
      </c>
      <c r="J162" s="1"/>
      <c r="K162" s="4">
        <f>VLOOKUP($B162, '[413]t (Cherniak)'!$1:$1048576, MATCH(LEFT(K$1,FIND(" (",K$1)-1), '[413]t (Cherniak)'!$1:$1, 0), 0)</f>
        <v>273.76861426936028</v>
      </c>
      <c r="L162" s="4">
        <f>'D(Ti_Audétat23) Times'!Z162</f>
        <v>19245.888688855361</v>
      </c>
      <c r="M162" s="4">
        <f>VLOOKUP($B162, '[413]t (J)'!$1:$1048576, MATCH(LEFT(M$1,FIND(" (",M$1)-1),'[413]t (J)'!$1:$1, 0), 0)</f>
        <v>329256.24059156381</v>
      </c>
      <c r="O162" s="1">
        <f t="shared" si="17"/>
        <v>1.7461194962743785</v>
      </c>
      <c r="P162" s="3">
        <f t="shared" si="18"/>
        <v>5.5331187931730497E-14</v>
      </c>
      <c r="Q162" s="3"/>
      <c r="R162" s="11">
        <f t="shared" si="22"/>
        <v>2.4838173106579511E-2</v>
      </c>
      <c r="S162" s="3">
        <f t="shared" si="23"/>
        <v>7.8707421054134379E-16</v>
      </c>
      <c r="T162" s="3"/>
      <c r="U162" s="9">
        <f t="shared" si="19"/>
        <v>1.4518562016771024E-3</v>
      </c>
      <c r="V162" s="3">
        <f t="shared" si="20"/>
        <v>4.6006546812086543E-17</v>
      </c>
    </row>
    <row r="163" spans="1:22" x14ac:dyDescent="0.2">
      <c r="A163" t="s">
        <v>612</v>
      </c>
      <c r="B163" s="1" t="str">
        <f>VLOOKUP(REPLACE(A163,FIND("dist",A163),4,"fit")&amp;"*",'[413]t (Cherniak)'!$A:$A,1,0)</f>
        <v>CGI009-qtz05-CL-fit-4-offset</v>
      </c>
      <c r="C163">
        <v>1500</v>
      </c>
      <c r="D163">
        <v>1024</v>
      </c>
      <c r="E163" s="1">
        <f t="shared" si="16"/>
        <v>1.46484375</v>
      </c>
      <c r="F163">
        <f>'[575]CGI009-qtz05-CL-dist-4'!$B$4</f>
        <v>191.37899999999999</v>
      </c>
      <c r="G163" s="1">
        <f t="shared" si="21"/>
        <v>280.34033203125</v>
      </c>
      <c r="H163" s="1"/>
      <c r="I163" s="1" t="str">
        <f>VLOOKUP($B163, '[413]t (Cherniak) Category'!$1:$1048576, MATCH(I$1, '[413]t (Cherniak) Category'!$1:$1, 0), 0)</f>
        <v>Interior</v>
      </c>
      <c r="J163" s="1"/>
      <c r="K163" s="4">
        <f>VLOOKUP($B163, '[413]t (Cherniak)'!$1:$1048576, MATCH(LEFT(K$1,FIND(" (",K$1)-1), '[413]t (Cherniak)'!$1:$1, 0), 0)</f>
        <v>48.038948068277094</v>
      </c>
      <c r="L163" s="4">
        <f>'D(Ti_Audétat23) Times'!Z163</f>
        <v>3377.1301714742922</v>
      </c>
      <c r="M163" s="4">
        <f>VLOOKUP($B163, '[413]t (J)'!$1:$1048576, MATCH(LEFT(M$1,FIND(" (",M$1)-1),'[413]t (J)'!$1:$1, 0), 0)</f>
        <v>57775.517785876829</v>
      </c>
      <c r="O163" s="1">
        <f t="shared" si="17"/>
        <v>5.8356884008535355</v>
      </c>
      <c r="P163" s="3">
        <f t="shared" si="18"/>
        <v>1.8492180650155701E-13</v>
      </c>
      <c r="Q163" s="3"/>
      <c r="R163" s="11">
        <f t="shared" si="22"/>
        <v>8.301140844353859E-2</v>
      </c>
      <c r="S163" s="3">
        <f t="shared" si="23"/>
        <v>2.6304728003250748E-15</v>
      </c>
      <c r="T163" s="3"/>
      <c r="U163" s="9">
        <f t="shared" si="19"/>
        <v>4.8522340045523389E-3</v>
      </c>
      <c r="V163" s="3">
        <f t="shared" si="20"/>
        <v>1.5375801723047186E-16</v>
      </c>
    </row>
    <row r="164" spans="1:22" x14ac:dyDescent="0.2">
      <c r="A164" t="s">
        <v>613</v>
      </c>
      <c r="B164" s="1" t="str">
        <f>VLOOKUP(REPLACE(A164,FIND("dist",A164),4,"fit")&amp;"*",'[413]t (Cherniak)'!$A:$A,1,0)</f>
        <v>CGI009-qtz05-CL-fit-5-offset</v>
      </c>
      <c r="C164">
        <v>1500</v>
      </c>
      <c r="D164">
        <v>1024</v>
      </c>
      <c r="E164" s="1">
        <f t="shared" si="16"/>
        <v>1.46484375</v>
      </c>
      <c r="F164">
        <f>'[576]CGI009-qtz05-CL-dist-5'!$B$4</f>
        <v>36.674199999999999</v>
      </c>
      <c r="G164" s="1">
        <f t="shared" si="21"/>
        <v>53.721972656249996</v>
      </c>
      <c r="H164" s="1"/>
      <c r="I164" s="1" t="str">
        <f>VLOOKUP($B164, '[413]t (Cherniak) Category'!$1:$1048576, MATCH(I$1, '[413]t (Cherniak) Category'!$1:$1, 0), 0)</f>
        <v>Interior</v>
      </c>
      <c r="J164" s="1"/>
      <c r="K164" s="4">
        <f>VLOOKUP($B164, '[413]t (Cherniak)'!$1:$1048576, MATCH(LEFT(K$1,FIND(" (",K$1)-1), '[413]t (Cherniak)'!$1:$1, 0), 0)</f>
        <v>93.441798263452966</v>
      </c>
      <c r="L164" s="4">
        <f>'D(Ti_Audétat23) Times'!Z164</f>
        <v>6568.9430947532992</v>
      </c>
      <c r="M164" s="4">
        <f>VLOOKUP($B164, '[413]t (J)'!$1:$1048576, MATCH(LEFT(M$1,FIND(" (",M$1)-1),'[413]t (J)'!$1:$1, 0), 0)</f>
        <v>112380.65142145532</v>
      </c>
      <c r="O164" s="1">
        <f t="shared" si="17"/>
        <v>0.57492443055070974</v>
      </c>
      <c r="P164" s="3">
        <f t="shared" si="18"/>
        <v>1.8218255841721476E-14</v>
      </c>
      <c r="Q164" s="3"/>
      <c r="R164" s="11">
        <f t="shared" si="22"/>
        <v>8.1781759837679883E-3</v>
      </c>
      <c r="S164" s="3">
        <f t="shared" si="23"/>
        <v>2.5915075873222262E-16</v>
      </c>
      <c r="T164" s="3"/>
      <c r="U164" s="9">
        <f t="shared" si="19"/>
        <v>4.7803578264357335E-4</v>
      </c>
      <c r="V164" s="3">
        <f t="shared" si="20"/>
        <v>1.5148039858657609E-17</v>
      </c>
    </row>
    <row r="165" spans="1:22" x14ac:dyDescent="0.2">
      <c r="A165" t="s">
        <v>614</v>
      </c>
      <c r="B165" s="1" t="str">
        <f>VLOOKUP(REPLACE(A165,FIND("dist",A165),4,"fit")&amp;"*",'[413]t (Cherniak)'!$A:$A,1,0)</f>
        <v>CGI009-qtz06-CL-fit-1-offset</v>
      </c>
      <c r="C165">
        <v>2000</v>
      </c>
      <c r="D165">
        <v>1024</v>
      </c>
      <c r="E165" s="1">
        <f t="shared" si="16"/>
        <v>1.953125</v>
      </c>
      <c r="F165">
        <f>'[577]CGI009-qtz06-CL-dist-1'!$B$4</f>
        <v>633.76700000000005</v>
      </c>
      <c r="G165" s="1">
        <f t="shared" si="21"/>
        <v>1237.826171875</v>
      </c>
      <c r="H165" s="1"/>
      <c r="I165" s="1" t="str">
        <f>VLOOKUP($B165, '[413]t (Cherniak) Category'!$1:$1048576, MATCH(I$1, '[413]t (Cherniak) Category'!$1:$1, 0), 0)</f>
        <v>Core</v>
      </c>
      <c r="J165" s="1"/>
      <c r="K165" s="4">
        <f>VLOOKUP($B165, '[413]t (Cherniak)'!$1:$1048576, MATCH(LEFT(K$1,FIND(" (",K$1)-1), '[413]t (Cherniak)'!$1:$1, 0), 0)</f>
        <v>1381.2326871240202</v>
      </c>
      <c r="L165" s="4">
        <f>'D(Ti_Audétat23) Times'!Z165</f>
        <v>97100.431401688998</v>
      </c>
      <c r="M165" s="4">
        <f>VLOOKUP($B165, '[413]t (J)'!$1:$1048576, MATCH(LEFT(M$1,FIND(" (",M$1)-1),'[413]t (J)'!$1:$1, 0), 0)</f>
        <v>1661181.9552740334</v>
      </c>
      <c r="O165" s="1">
        <f t="shared" si="17"/>
        <v>0.89617497718822536</v>
      </c>
      <c r="P165" s="3">
        <f t="shared" si="18"/>
        <v>2.8398071373875875E-14</v>
      </c>
      <c r="Q165" s="3"/>
      <c r="R165" s="11">
        <f t="shared" si="22"/>
        <v>1.27478956993951E-2</v>
      </c>
      <c r="S165" s="3">
        <f t="shared" si="23"/>
        <v>4.0395643836651387E-16</v>
      </c>
      <c r="T165" s="3"/>
      <c r="U165" s="9">
        <f t="shared" si="19"/>
        <v>7.4514785568496292E-4</v>
      </c>
      <c r="V165" s="3">
        <f t="shared" si="20"/>
        <v>2.3612310685380477E-17</v>
      </c>
    </row>
    <row r="166" spans="1:22" x14ac:dyDescent="0.2">
      <c r="A166" t="s">
        <v>615</v>
      </c>
      <c r="B166" s="1" t="str">
        <f>VLOOKUP(REPLACE(A166,FIND("dist",A166),4,"fit")&amp;"*",'[413]t (Cherniak)'!$A:$A,1,0)</f>
        <v>CGI009-qtz06-CL-fit-2-offset</v>
      </c>
      <c r="C166">
        <v>2000</v>
      </c>
      <c r="D166">
        <v>1024</v>
      </c>
      <c r="E166" s="1">
        <f t="shared" si="16"/>
        <v>1.953125</v>
      </c>
      <c r="F166">
        <f>'[578]CGI009-qtz06-CL-dist-2'!$B$4</f>
        <v>403.21</v>
      </c>
      <c r="G166" s="1">
        <f t="shared" si="21"/>
        <v>787.51953125</v>
      </c>
      <c r="H166" s="1"/>
      <c r="I166" s="1" t="str">
        <f>VLOOKUP($B166, '[413]t (Cherniak) Category'!$1:$1048576, MATCH(I$1, '[413]t (Cherniak) Category'!$1:$1, 0), 0)</f>
        <v>Interior</v>
      </c>
      <c r="J166" s="1"/>
      <c r="K166" s="4">
        <f>VLOOKUP($B166, '[413]t (Cherniak)'!$1:$1048576, MATCH(LEFT(K$1,FIND(" (",K$1)-1), '[413]t (Cherniak)'!$1:$1, 0), 0)</f>
        <v>395.63734721645574</v>
      </c>
      <c r="L166" s="4">
        <f>'D(Ti_Audétat23) Times'!Z166</f>
        <v>27813.240630243115</v>
      </c>
      <c r="M166" s="4">
        <f>VLOOKUP($B166, '[413]t (J)'!$1:$1048576, MATCH(LEFT(M$1,FIND(" (",M$1)-1),'[413]t (J)'!$1:$1, 0), 0)</f>
        <v>475825.41895741539</v>
      </c>
      <c r="O166" s="1">
        <f t="shared" si="17"/>
        <v>1.9905085725366138</v>
      </c>
      <c r="P166" s="3">
        <f t="shared" si="18"/>
        <v>6.307541044111764E-14</v>
      </c>
      <c r="Q166" s="3"/>
      <c r="R166" s="11">
        <f t="shared" si="22"/>
        <v>2.83145549890968E-2</v>
      </c>
      <c r="S166" s="3">
        <f t="shared" si="23"/>
        <v>8.9723410490965081E-16</v>
      </c>
      <c r="T166" s="3"/>
      <c r="U166" s="9">
        <f t="shared" si="19"/>
        <v>1.6550598178961097E-3</v>
      </c>
      <c r="V166" s="3">
        <f t="shared" si="20"/>
        <v>5.2445680846962682E-17</v>
      </c>
    </row>
    <row r="167" spans="1:22" x14ac:dyDescent="0.2">
      <c r="A167" t="s">
        <v>616</v>
      </c>
      <c r="B167" s="1" t="str">
        <f>VLOOKUP(REPLACE(A167,FIND("dist",A167),4,"fit")&amp;"*",'[413]t (Cherniak)'!$A:$A,1,0)</f>
        <v>CGI009-qtz06-CL-fit-3-offset</v>
      </c>
      <c r="C167">
        <v>2000</v>
      </c>
      <c r="D167">
        <v>1024</v>
      </c>
      <c r="E167" s="1">
        <f t="shared" si="16"/>
        <v>1.953125</v>
      </c>
      <c r="F167">
        <f>'[579]CGI009-qtz06-CL-dist-3'!$B$4</f>
        <v>319.95299999999997</v>
      </c>
      <c r="G167" s="1">
        <f t="shared" si="21"/>
        <v>624.908203125</v>
      </c>
      <c r="H167" s="1"/>
      <c r="I167" s="1" t="str">
        <f>VLOOKUP($B167, '[413]t (Cherniak) Category'!$1:$1048576, MATCH(I$1, '[413]t (Cherniak) Category'!$1:$1, 0), 0)</f>
        <v>Interior</v>
      </c>
      <c r="J167" s="1"/>
      <c r="K167" s="4">
        <f>VLOOKUP($B167, '[413]t (Cherniak)'!$1:$1048576, MATCH(LEFT(K$1,FIND(" (",K$1)-1), '[413]t (Cherniak)'!$1:$1, 0), 0)</f>
        <v>487.3667759970179</v>
      </c>
      <c r="L167" s="4">
        <f>'D(Ti_Audétat23) Times'!Z167</f>
        <v>34261.804431154189</v>
      </c>
      <c r="M167" s="4">
        <f>VLOOKUP($B167, '[413]t (J)'!$1:$1048576, MATCH(LEFT(M$1,FIND(" (",M$1)-1),'[413]t (J)'!$1:$1, 0), 0)</f>
        <v>586146.63657582109</v>
      </c>
      <c r="O167" s="1">
        <f t="shared" si="17"/>
        <v>1.2822133840506675</v>
      </c>
      <c r="P167" s="3">
        <f t="shared" si="18"/>
        <v>4.0630890310120776E-14</v>
      </c>
      <c r="Q167" s="3"/>
      <c r="R167" s="11">
        <f t="shared" si="22"/>
        <v>1.8239208748642911E-2</v>
      </c>
      <c r="S167" s="3">
        <f t="shared" si="23"/>
        <v>5.7796564848540165E-16</v>
      </c>
      <c r="T167" s="3"/>
      <c r="U167" s="9">
        <f t="shared" si="19"/>
        <v>1.0661294702220216E-3</v>
      </c>
      <c r="V167" s="3">
        <f t="shared" si="20"/>
        <v>3.3783604273519585E-17</v>
      </c>
    </row>
    <row r="168" spans="1:22" x14ac:dyDescent="0.2">
      <c r="A168" t="s">
        <v>617</v>
      </c>
      <c r="B168" s="1" t="str">
        <f>VLOOKUP(REPLACE(A168,FIND("dist",A168),4,"fit")&amp;"*",'[413]t (Cherniak)'!$A:$A,1,0)</f>
        <v>CGI009-qtz06-CL-fit-4-offset</v>
      </c>
      <c r="C168">
        <v>2000</v>
      </c>
      <c r="D168">
        <v>1024</v>
      </c>
      <c r="E168" s="1">
        <f t="shared" si="16"/>
        <v>1.953125</v>
      </c>
      <c r="F168">
        <f>'[580]CGI009-qtz06-CL-dist-4'!$B$4</f>
        <v>219.49299999999999</v>
      </c>
      <c r="G168" s="1">
        <f t="shared" si="21"/>
        <v>428.697265625</v>
      </c>
      <c r="H168" s="1"/>
      <c r="I168" s="1" t="str">
        <f>VLOOKUP($B168, '[413]t (Cherniak) Category'!$1:$1048576, MATCH(I$1, '[413]t (Cherniak) Category'!$1:$1, 0), 0)</f>
        <v>Interior</v>
      </c>
      <c r="J168" s="1"/>
      <c r="K168" s="4">
        <f>VLOOKUP($B168, '[413]t (Cherniak)'!$1:$1048576, MATCH(LEFT(K$1,FIND(" (",K$1)-1), '[413]t (Cherniak)'!$1:$1, 0), 0)</f>
        <v>77.516181927377104</v>
      </c>
      <c r="L168" s="4">
        <f>'D(Ti_Audétat23) Times'!Z168</f>
        <v>5449.3748779088182</v>
      </c>
      <c r="M168" s="4">
        <f>VLOOKUP($B168, '[413]t (J)'!$1:$1048576, MATCH(LEFT(M$1,FIND(" (",M$1)-1),'[413]t (J)'!$1:$1, 0), 0)</f>
        <v>93227.219323644589</v>
      </c>
      <c r="O168" s="1">
        <f t="shared" si="17"/>
        <v>5.5304228738540724</v>
      </c>
      <c r="P168" s="3">
        <f t="shared" si="18"/>
        <v>1.7524852567540218E-13</v>
      </c>
      <c r="Q168" s="3"/>
      <c r="R168" s="11">
        <f t="shared" si="22"/>
        <v>7.8669072183470579E-2</v>
      </c>
      <c r="S168" s="3">
        <f t="shared" si="23"/>
        <v>2.4928724675979976E-15</v>
      </c>
      <c r="T168" s="3"/>
      <c r="U168" s="9">
        <f t="shared" si="19"/>
        <v>4.5984130893870004E-3</v>
      </c>
      <c r="V168" s="3">
        <f t="shared" si="20"/>
        <v>1.4571491778167544E-16</v>
      </c>
    </row>
    <row r="169" spans="1:22" x14ac:dyDescent="0.2">
      <c r="A169" t="s">
        <v>618</v>
      </c>
      <c r="B169" s="1" t="str">
        <f>VLOOKUP(REPLACE(A169,FIND("dist",A169),4,"fit")&amp;"*",'[413]t (Cherniak)'!$A:$A,1,0)</f>
        <v>CGI009-qtz06-CL-fit-5-offset</v>
      </c>
      <c r="C169">
        <v>2000</v>
      </c>
      <c r="D169">
        <v>1024</v>
      </c>
      <c r="E169" s="1">
        <f t="shared" si="16"/>
        <v>1.953125</v>
      </c>
      <c r="F169">
        <f>'[581]CGI009-qtz06-CL-dist-5'!$B$4</f>
        <v>29.410900000000002</v>
      </c>
      <c r="G169" s="1">
        <f t="shared" si="21"/>
        <v>57.443164062500003</v>
      </c>
      <c r="H169" s="1"/>
      <c r="I169" s="1" t="str">
        <f>VLOOKUP($B169, '[413]t (Cherniak) Category'!$1:$1048576, MATCH(I$1, '[413]t (Cherniak) Category'!$1:$1, 0), 0)</f>
        <v>Rim</v>
      </c>
      <c r="J169" s="1"/>
      <c r="K169" s="4">
        <f>VLOOKUP($B169, '[413]t (Cherniak)'!$1:$1048576, MATCH(LEFT(K$1,FIND(" (",K$1)-1), '[413]t (Cherniak)'!$1:$1, 0), 0)</f>
        <v>191.52809919517156</v>
      </c>
      <c r="L169" s="4">
        <f>'D(Ti_Audétat23) Times'!Z169</f>
        <v>13464.393965451229</v>
      </c>
      <c r="M169" s="4">
        <f>VLOOKUP($B169, '[413]t (J)'!$1:$1048576, MATCH(LEFT(M$1,FIND(" (",M$1)-1),'[413]t (J)'!$1:$1, 0), 0)</f>
        <v>230347.15676576394</v>
      </c>
      <c r="O169" s="1">
        <f t="shared" si="17"/>
        <v>0.29992029526677488</v>
      </c>
      <c r="P169" s="3">
        <f t="shared" si="18"/>
        <v>9.5039006536230539E-15</v>
      </c>
      <c r="Q169" s="3"/>
      <c r="R169" s="11">
        <f t="shared" si="22"/>
        <v>4.2663014919123339E-3</v>
      </c>
      <c r="S169" s="3">
        <f t="shared" si="23"/>
        <v>1.3519093631684074E-16</v>
      </c>
      <c r="T169" s="3"/>
      <c r="U169" s="9">
        <f t="shared" si="19"/>
        <v>2.4937648403845059E-4</v>
      </c>
      <c r="V169" s="3">
        <f t="shared" si="20"/>
        <v>7.9022639249642107E-18</v>
      </c>
    </row>
    <row r="170" spans="1:22" x14ac:dyDescent="0.2">
      <c r="A170" t="s">
        <v>619</v>
      </c>
      <c r="B170" s="1" t="str">
        <f>VLOOKUP(REPLACE(A170,FIND("dist",A170),4,"fit")&amp;"*",'[413]t (Cherniak)'!$A:$A,1,0)</f>
        <v>CGI009-qtz07-CL-fit-1-offset</v>
      </c>
      <c r="C170">
        <v>1200</v>
      </c>
      <c r="D170">
        <v>1024</v>
      </c>
      <c r="E170" s="1">
        <f t="shared" si="16"/>
        <v>1.171875</v>
      </c>
      <c r="F170">
        <f>'[582]CGI009-qtz07-CL-dist-1'!$B$4</f>
        <v>354.00099999999998</v>
      </c>
      <c r="G170" s="1">
        <f t="shared" si="21"/>
        <v>414.84492187499995</v>
      </c>
      <c r="H170" s="1"/>
      <c r="I170" s="1" t="str">
        <f>VLOOKUP($B170, '[413]t (Cherniak) Category'!$1:$1048576, MATCH(I$1, '[413]t (Cherniak) Category'!$1:$1, 0), 0)</f>
        <v>Interior</v>
      </c>
      <c r="J170" s="1"/>
      <c r="K170" s="4">
        <f>VLOOKUP($B170, '[413]t (Cherniak)'!$1:$1048576, MATCH(LEFT(K$1,FIND(" (",K$1)-1), '[413]t (Cherniak)'!$1:$1, 0), 0)</f>
        <v>185.31793591807121</v>
      </c>
      <c r="L170" s="4">
        <f>'D(Ti_Audétat23) Times'!Z170</f>
        <v>13027.820505452286</v>
      </c>
      <c r="M170" s="4">
        <f>VLOOKUP($B170, '[413]t (J)'!$1:$1048576, MATCH(LEFT(M$1,FIND(" (",M$1)-1),'[413]t (J)'!$1:$1, 0), 0)</f>
        <v>222878.31297760777</v>
      </c>
      <c r="O170" s="1">
        <f t="shared" si="17"/>
        <v>2.2385578590644473</v>
      </c>
      <c r="P170" s="3">
        <f t="shared" si="18"/>
        <v>7.0935618014818852E-14</v>
      </c>
      <c r="Q170" s="3"/>
      <c r="R170" s="11">
        <f t="shared" si="22"/>
        <v>3.1843002572946318E-2</v>
      </c>
      <c r="S170" s="3">
        <f t="shared" si="23"/>
        <v>1.0090438617938727E-15</v>
      </c>
      <c r="T170" s="3"/>
      <c r="U170" s="9">
        <f t="shared" si="19"/>
        <v>1.8613068105764008E-3</v>
      </c>
      <c r="V170" s="3">
        <f t="shared" si="20"/>
        <v>5.898125366239513E-17</v>
      </c>
    </row>
    <row r="171" spans="1:22" x14ac:dyDescent="0.2">
      <c r="A171" t="s">
        <v>620</v>
      </c>
      <c r="B171" s="1" t="str">
        <f>VLOOKUP(REPLACE(A171,FIND("dist",A171),4,"fit")&amp;"*",'[413]t (Cherniak)'!$A:$A,1,0)</f>
        <v>CGI009-qtz07-CL-fit-2-offset</v>
      </c>
      <c r="C171">
        <v>1200</v>
      </c>
      <c r="D171">
        <v>1024</v>
      </c>
      <c r="E171" s="1">
        <f t="shared" si="16"/>
        <v>1.171875</v>
      </c>
      <c r="F171">
        <f>'[583]CGI009-qtz07-CL-dist-2'!$B$4</f>
        <v>96.020799999999994</v>
      </c>
      <c r="G171" s="1">
        <f t="shared" si="21"/>
        <v>112.52437499999999</v>
      </c>
      <c r="H171" s="1"/>
      <c r="I171" s="1" t="str">
        <f>VLOOKUP($B171, '[413]t (Cherniak) Category'!$1:$1048576, MATCH(I$1, '[413]t (Cherniak) Category'!$1:$1, 0), 0)</f>
        <v>Interior</v>
      </c>
      <c r="J171" s="1"/>
      <c r="K171" s="4">
        <f>VLOOKUP($B171, '[413]t (Cherniak)'!$1:$1048576, MATCH(LEFT(K$1,FIND(" (",K$1)-1), '[413]t (Cherniak)'!$1:$1, 0), 0)</f>
        <v>39.193620325308103</v>
      </c>
      <c r="L171" s="4">
        <f>'D(Ti_Audétat23) Times'!Z171</f>
        <v>2755.3050816554482</v>
      </c>
      <c r="M171" s="4">
        <f>VLOOKUP($B171, '[413]t (J)'!$1:$1048576, MATCH(LEFT(M$1,FIND(" (",M$1)-1),'[413]t (J)'!$1:$1, 0), 0)</f>
        <v>47137.41243832685</v>
      </c>
      <c r="O171" s="1">
        <f t="shared" si="17"/>
        <v>2.8709870143672531</v>
      </c>
      <c r="P171" s="3">
        <f t="shared" si="18"/>
        <v>9.0976088624206315E-14</v>
      </c>
      <c r="Q171" s="3"/>
      <c r="R171" s="11">
        <f t="shared" si="22"/>
        <v>4.0839170859581497E-2</v>
      </c>
      <c r="S171" s="3">
        <f t="shared" si="23"/>
        <v>1.2941152324505505E-15</v>
      </c>
      <c r="T171" s="3"/>
      <c r="U171" s="9">
        <f t="shared" si="19"/>
        <v>2.3871563834188701E-3</v>
      </c>
      <c r="V171" s="3">
        <f t="shared" si="20"/>
        <v>7.564442110359692E-17</v>
      </c>
    </row>
    <row r="172" spans="1:22" x14ac:dyDescent="0.2">
      <c r="A172" t="s">
        <v>621</v>
      </c>
      <c r="B172" s="1" t="str">
        <f>VLOOKUP(REPLACE(A172,FIND("dist",A172),4,"fit")&amp;"*",'[413]t (Cherniak)'!$A:$A,1,0)</f>
        <v>CGI009-qtz07-CL-fit-3-offset</v>
      </c>
      <c r="C172">
        <v>1200</v>
      </c>
      <c r="D172">
        <v>1024</v>
      </c>
      <c r="E172" s="1">
        <f t="shared" si="16"/>
        <v>1.171875</v>
      </c>
      <c r="F172">
        <f>'[584]CGI009-qtz07-CL-dist-3'!$B$4</f>
        <v>81.394099999999995</v>
      </c>
      <c r="G172" s="1">
        <f t="shared" si="21"/>
        <v>95.383710937499998</v>
      </c>
      <c r="H172" s="1"/>
      <c r="I172" s="1" t="str">
        <f>VLOOKUP($B172, '[413]t (Cherniak) Category'!$1:$1048576, MATCH(I$1, '[413]t (Cherniak) Category'!$1:$1, 0), 0)</f>
        <v>Interior</v>
      </c>
      <c r="J172" s="1"/>
      <c r="K172" s="4">
        <f>VLOOKUP($B172, '[413]t (Cherniak)'!$1:$1048576, MATCH(LEFT(K$1,FIND(" (",K$1)-1), '[413]t (Cherniak)'!$1:$1, 0), 0)</f>
        <v>64.824173792986969</v>
      </c>
      <c r="L172" s="4">
        <f>'D(Ti_Audétat23) Times'!Z172</f>
        <v>4557.1287873756501</v>
      </c>
      <c r="M172" s="4">
        <f>VLOOKUP($B172, '[413]t (J)'!$1:$1048576, MATCH(LEFT(M$1,FIND(" (",M$1)-1),'[413]t (J)'!$1:$1, 0), 0)</f>
        <v>77962.7855424398</v>
      </c>
      <c r="O172" s="1">
        <f t="shared" si="17"/>
        <v>1.4714219303759044</v>
      </c>
      <c r="P172" s="3">
        <f t="shared" si="18"/>
        <v>4.6626547341239653E-14</v>
      </c>
      <c r="Q172" s="3"/>
      <c r="R172" s="11">
        <f t="shared" si="22"/>
        <v>2.0930659498089227E-2</v>
      </c>
      <c r="S172" s="3">
        <f t="shared" si="23"/>
        <v>6.6325257618099046E-16</v>
      </c>
      <c r="T172" s="3"/>
      <c r="U172" s="9">
        <f t="shared" si="19"/>
        <v>1.2234518081139744E-3</v>
      </c>
      <c r="V172" s="3">
        <f t="shared" si="20"/>
        <v>3.8768848331748115E-17</v>
      </c>
    </row>
    <row r="173" spans="1:22" x14ac:dyDescent="0.2">
      <c r="A173" t="s">
        <v>622</v>
      </c>
      <c r="B173" s="1" t="str">
        <f>VLOOKUP(REPLACE(A173,FIND("dist",A173),4,"fit")&amp;"*",'[413]t (Cherniak)'!$A:$A,1,0)</f>
        <v>CGI009-qtz07-CL-fit-4-offset</v>
      </c>
      <c r="C173">
        <v>1200</v>
      </c>
      <c r="D173">
        <v>1024</v>
      </c>
      <c r="E173" s="1">
        <f t="shared" si="16"/>
        <v>1.171875</v>
      </c>
      <c r="F173">
        <f>'[585]CGI009-qtz07-CL-dist-4'!$B$4</f>
        <v>42.106999999999999</v>
      </c>
      <c r="G173" s="1">
        <f t="shared" si="21"/>
        <v>49.344140625000001</v>
      </c>
      <c r="H173" s="1"/>
      <c r="I173" s="1" t="str">
        <f>VLOOKUP($B173, '[413]t (Cherniak) Category'!$1:$1048576, MATCH(I$1, '[413]t (Cherniak) Category'!$1:$1, 0), 0)</f>
        <v>Rim</v>
      </c>
      <c r="J173" s="1"/>
      <c r="K173" s="4">
        <f>VLOOKUP($B173, '[413]t (Cherniak)'!$1:$1048576, MATCH(LEFT(K$1,FIND(" (",K$1)-1), '[413]t (Cherniak)'!$1:$1, 0), 0)</f>
        <v>36.084299105782755</v>
      </c>
      <c r="L173" s="4">
        <f>'D(Ti_Audétat23) Times'!Z173</f>
        <v>2536.7203098086552</v>
      </c>
      <c r="M173" s="4">
        <f>VLOOKUP($B173, '[413]t (J)'!$1:$1048576, MATCH(LEFT(M$1,FIND(" (",M$1)-1),'[413]t (J)'!$1:$1, 0), 0)</f>
        <v>43397.891681848843</v>
      </c>
      <c r="O173" s="1">
        <f t="shared" si="17"/>
        <v>1.3674684515929054</v>
      </c>
      <c r="P173" s="3">
        <f t="shared" si="18"/>
        <v>4.3332460376990185E-14</v>
      </c>
      <c r="Q173" s="3"/>
      <c r="R173" s="11">
        <f t="shared" si="22"/>
        <v>1.9451943690521417E-2</v>
      </c>
      <c r="S173" s="3">
        <f t="shared" si="23"/>
        <v>6.1639489981878903E-16</v>
      </c>
      <c r="T173" s="3"/>
      <c r="U173" s="9">
        <f t="shared" si="19"/>
        <v>1.1370170004281147E-3</v>
      </c>
      <c r="V173" s="3">
        <f t="shared" si="20"/>
        <v>3.6029894555609887E-17</v>
      </c>
    </row>
    <row r="174" spans="1:22" x14ac:dyDescent="0.2">
      <c r="A174" t="s">
        <v>623</v>
      </c>
      <c r="B174" s="1" t="str">
        <f>VLOOKUP(REPLACE(A174,FIND("dist",A174),4,"fit")&amp;"*",'[413]t (Cherniak)'!$A:$A,1,0)</f>
        <v>CGI009-qtz08-CL-fit-1-offset</v>
      </c>
      <c r="C174">
        <v>2300</v>
      </c>
      <c r="D174">
        <v>1024</v>
      </c>
      <c r="E174" s="1">
        <f t="shared" si="16"/>
        <v>2.24609375</v>
      </c>
      <c r="F174">
        <f>'[586]CGI009-qtz08-CL-dist-1'!$B$4</f>
        <v>553.71900000000005</v>
      </c>
      <c r="G174" s="1">
        <f t="shared" si="21"/>
        <v>1243.7047851562502</v>
      </c>
      <c r="H174" s="1"/>
      <c r="I174" s="1" t="str">
        <f>VLOOKUP($B174, '[413]t (Cherniak) Category'!$1:$1048576, MATCH(I$1, '[413]t (Cherniak) Category'!$1:$1, 0), 0)</f>
        <v>Core</v>
      </c>
      <c r="J174" s="1"/>
      <c r="K174" s="4">
        <f>VLOOKUP($B174, '[413]t (Cherniak)'!$1:$1048576, MATCH(LEFT(K$1,FIND(" (",K$1)-1), '[413]t (Cherniak)'!$1:$1, 0), 0)</f>
        <v>656.23948645043242</v>
      </c>
      <c r="L174" s="4">
        <f>'D(Ti_Audétat23) Times'!Z174</f>
        <v>46133.528283231499</v>
      </c>
      <c r="M174" s="4">
        <f>VLOOKUP($B174, '[413]t (J)'!$1:$1048576, MATCH(LEFT(M$1,FIND(" (",M$1)-1),'[413]t (J)'!$1:$1, 0), 0)</f>
        <v>789246.5935624605</v>
      </c>
      <c r="O174" s="1">
        <f t="shared" si="17"/>
        <v>1.8951995587516215</v>
      </c>
      <c r="P174" s="3">
        <f t="shared" si="18"/>
        <v>6.0055250042830296E-14</v>
      </c>
      <c r="Q174" s="3"/>
      <c r="R174" s="11">
        <f t="shared" si="22"/>
        <v>2.6958804831069227E-2</v>
      </c>
      <c r="S174" s="3">
        <f t="shared" si="23"/>
        <v>8.5427297484818947E-16</v>
      </c>
      <c r="T174" s="3"/>
      <c r="U174" s="9">
        <f t="shared" si="19"/>
        <v>1.5758126741383573E-3</v>
      </c>
      <c r="V174" s="3">
        <f t="shared" si="20"/>
        <v>4.9934490396556054E-17</v>
      </c>
    </row>
    <row r="175" spans="1:22" x14ac:dyDescent="0.2">
      <c r="A175" t="s">
        <v>624</v>
      </c>
      <c r="B175" s="1" t="str">
        <f>VLOOKUP(REPLACE(A175,FIND("dist",A175),4,"fit")&amp;"*",'[413]t (Cherniak)'!$A:$A,1,0)</f>
        <v>CGI009-qtz08-CL-fit-2-offset</v>
      </c>
      <c r="C175">
        <v>2300</v>
      </c>
      <c r="D175">
        <v>1024</v>
      </c>
      <c r="E175" s="1">
        <f t="shared" si="16"/>
        <v>2.24609375</v>
      </c>
      <c r="F175">
        <f>'[587]CGI009-qtz08-CL-dist-2'!$B$4</f>
        <v>459.69799999999998</v>
      </c>
      <c r="G175" s="1">
        <f t="shared" si="21"/>
        <v>1032.5248046874999</v>
      </c>
      <c r="H175" s="1"/>
      <c r="I175" s="1" t="str">
        <f>VLOOKUP($B175, '[413]t (Cherniak) Category'!$1:$1048576, MATCH(I$1, '[413]t (Cherniak) Category'!$1:$1, 0), 0)</f>
        <v>Core</v>
      </c>
      <c r="J175" s="1"/>
      <c r="K175" s="4">
        <f>VLOOKUP($B175, '[413]t (Cherniak)'!$1:$1048576, MATCH(LEFT(K$1,FIND(" (",K$1)-1), '[413]t (Cherniak)'!$1:$1, 0), 0)</f>
        <v>1513.4979391929023</v>
      </c>
      <c r="L175" s="4">
        <f>'D(Ti_Audétat23) Times'!Z175</f>
        <v>106398.65693245246</v>
      </c>
      <c r="M175" s="4">
        <f>VLOOKUP($B175, '[413]t (J)'!$1:$1048576, MATCH(LEFT(M$1,FIND(" (",M$1)-1),'[413]t (J)'!$1:$1, 0), 0)</f>
        <v>1820254.8269884211</v>
      </c>
      <c r="O175" s="1">
        <f t="shared" si="17"/>
        <v>0.68221090888178593</v>
      </c>
      <c r="P175" s="3">
        <f t="shared" si="18"/>
        <v>2.1617959188334535E-14</v>
      </c>
      <c r="Q175" s="3"/>
      <c r="R175" s="11">
        <f t="shared" si="22"/>
        <v>9.7043029908075035E-3</v>
      </c>
      <c r="S175" s="3">
        <f t="shared" si="23"/>
        <v>3.075108053466519E-16</v>
      </c>
      <c r="T175" s="3"/>
      <c r="U175" s="9">
        <f t="shared" si="19"/>
        <v>5.6724189897949264E-4</v>
      </c>
      <c r="V175" s="3">
        <f t="shared" si="20"/>
        <v>1.7974811106658703E-17</v>
      </c>
    </row>
    <row r="176" spans="1:22" x14ac:dyDescent="0.2">
      <c r="A176" t="s">
        <v>625</v>
      </c>
      <c r="B176" s="1" t="str">
        <f>VLOOKUP(REPLACE(A176,FIND("dist",A176),4,"fit")&amp;"*",'[413]t (Cherniak)'!$A:$A,1,0)</f>
        <v>CGI009-qtz08-CL-fit-3-offset</v>
      </c>
      <c r="C176">
        <v>2300</v>
      </c>
      <c r="D176">
        <v>1024</v>
      </c>
      <c r="E176" s="1">
        <f t="shared" si="16"/>
        <v>2.24609375</v>
      </c>
      <c r="F176">
        <f>'[588]CGI009-qtz08-CL-dist-3'!$B$4</f>
        <v>340.03699999999998</v>
      </c>
      <c r="G176" s="1">
        <f t="shared" si="21"/>
        <v>763.75498046874998</v>
      </c>
      <c r="H176" s="1"/>
      <c r="I176" s="1" t="str">
        <f>VLOOKUP($B176, '[413]t (Cherniak) Category'!$1:$1048576, MATCH(I$1, '[413]t (Cherniak) Category'!$1:$1, 0), 0)</f>
        <v>Interior</v>
      </c>
      <c r="J176" s="1"/>
      <c r="K176" s="4">
        <f>VLOOKUP($B176, '[413]t (Cherniak)'!$1:$1048576, MATCH(LEFT(K$1,FIND(" (",K$1)-1), '[413]t (Cherniak)'!$1:$1, 0), 0)</f>
        <v>1174.6919119685383</v>
      </c>
      <c r="L176" s="4">
        <f>'D(Ti_Audétat23) Times'!Z176</f>
        <v>82580.64877809996</v>
      </c>
      <c r="M176" s="4">
        <f>VLOOKUP($B176, '[413]t (J)'!$1:$1048576, MATCH(LEFT(M$1,FIND(" (",M$1)-1),'[413]t (J)'!$1:$1, 0), 0)</f>
        <v>1412779.3422204726</v>
      </c>
      <c r="O176" s="1">
        <f t="shared" si="17"/>
        <v>0.6501747161848217</v>
      </c>
      <c r="P176" s="3">
        <f t="shared" si="18"/>
        <v>2.0602793500925978E-14</v>
      </c>
      <c r="Q176" s="3"/>
      <c r="R176" s="11">
        <f t="shared" si="22"/>
        <v>9.2485950615502372E-3</v>
      </c>
      <c r="S176" s="3">
        <f t="shared" si="23"/>
        <v>2.9307029246679837E-16</v>
      </c>
      <c r="T176" s="3"/>
      <c r="U176" s="9">
        <f t="shared" si="19"/>
        <v>5.4060457825519468E-4</v>
      </c>
      <c r="V176" s="3">
        <f t="shared" si="20"/>
        <v>1.7130725348416695E-17</v>
      </c>
    </row>
    <row r="177" spans="1:22" x14ac:dyDescent="0.2">
      <c r="A177" t="s">
        <v>626</v>
      </c>
      <c r="B177" s="1" t="str">
        <f>VLOOKUP(REPLACE(A177,FIND("dist",A177),4,"fit")&amp;"*",'[413]t (Cherniak)'!$A:$A,1,0)</f>
        <v>CGI009-qtz08-CL-fit-4-offset</v>
      </c>
      <c r="C177">
        <v>2300</v>
      </c>
      <c r="D177">
        <v>1024</v>
      </c>
      <c r="E177" s="1">
        <f t="shared" si="16"/>
        <v>2.24609375</v>
      </c>
      <c r="F177">
        <f>'[589]CGI009-qtz08-CL-dist-4'!$B$4</f>
        <v>120.30800000000001</v>
      </c>
      <c r="G177" s="1">
        <f t="shared" si="21"/>
        <v>270.22304687500002</v>
      </c>
      <c r="H177" s="1"/>
      <c r="I177" s="1" t="str">
        <f>VLOOKUP($B177, '[413]t (Cherniak) Category'!$1:$1048576, MATCH(I$1, '[413]t (Cherniak) Category'!$1:$1, 0), 0)</f>
        <v>Interior</v>
      </c>
      <c r="J177" s="1"/>
      <c r="K177" s="4">
        <f>VLOOKUP($B177, '[413]t (Cherniak)'!$1:$1048576, MATCH(LEFT(K$1,FIND(" (",K$1)-1), '[413]t (Cherniak)'!$1:$1, 0), 0)</f>
        <v>340.36618116297751</v>
      </c>
      <c r="L177" s="4">
        <f>'D(Ti_Audétat23) Times'!Z177</f>
        <v>23927.686720393282</v>
      </c>
      <c r="M177" s="4">
        <f>VLOOKUP($B177, '[413]t (J)'!$1:$1048576, MATCH(LEFT(M$1,FIND(" (",M$1)-1),'[413]t (J)'!$1:$1, 0), 0)</f>
        <v>409351.85186701483</v>
      </c>
      <c r="O177" s="1">
        <f t="shared" si="17"/>
        <v>0.79391861421628473</v>
      </c>
      <c r="P177" s="3">
        <f t="shared" si="18"/>
        <v>2.5157762764477804E-14</v>
      </c>
      <c r="Q177" s="3"/>
      <c r="R177" s="11">
        <f t="shared" si="22"/>
        <v>1.1293320998084288E-2</v>
      </c>
      <c r="S177" s="3">
        <f t="shared" si="23"/>
        <v>3.5786374749931194E-16</v>
      </c>
      <c r="T177" s="3"/>
      <c r="U177" s="9">
        <f t="shared" si="19"/>
        <v>6.6012415881970099E-4</v>
      </c>
      <c r="V177" s="3">
        <f t="shared" si="20"/>
        <v>2.0918072312840678E-17</v>
      </c>
    </row>
    <row r="178" spans="1:22" x14ac:dyDescent="0.2">
      <c r="A178" t="s">
        <v>627</v>
      </c>
      <c r="B178" s="1" t="str">
        <f>VLOOKUP(REPLACE(A178,FIND("dist",A178),4,"fit")&amp;"*",'[413]t (Cherniak)'!$A:$A,1,0)</f>
        <v>CGI009-qtz08-CL-fit-5-offset</v>
      </c>
      <c r="C178">
        <v>2300</v>
      </c>
      <c r="D178">
        <v>1024</v>
      </c>
      <c r="E178" s="1">
        <f t="shared" si="16"/>
        <v>2.24609375</v>
      </c>
      <c r="F178">
        <f>'[590]CGI009-qtz08-CL-dist-5'!$B$4</f>
        <v>29.832899999999999</v>
      </c>
      <c r="G178" s="1">
        <f t="shared" si="21"/>
        <v>67.007490234374998</v>
      </c>
      <c r="H178" s="1"/>
      <c r="I178" s="1" t="str">
        <f>VLOOKUP($B178, '[413]t (Cherniak) Category'!$1:$1048576, MATCH(I$1, '[413]t (Cherniak) Category'!$1:$1, 0), 0)</f>
        <v>Interior</v>
      </c>
      <c r="J178" s="1"/>
      <c r="K178" s="4">
        <f>VLOOKUP($B178, '[413]t (Cherniak)'!$1:$1048576, MATCH(LEFT(K$1,FIND(" (",K$1)-1), '[413]t (Cherniak)'!$1:$1, 0), 0)</f>
        <v>256.77231026527193</v>
      </c>
      <c r="L178" s="4">
        <f>'D(Ti_Audétat23) Times'!Z178</f>
        <v>18051.051304527628</v>
      </c>
      <c r="M178" s="4">
        <f>VLOOKUP($B178, '[413]t (J)'!$1:$1048576, MATCH(LEFT(M$1,FIND(" (",M$1)-1),'[413]t (J)'!$1:$1, 0), 0)</f>
        <v>308815.11305299413</v>
      </c>
      <c r="O178" s="1">
        <f t="shared" si="17"/>
        <v>0.26096073274080622</v>
      </c>
      <c r="P178" s="3">
        <f t="shared" si="18"/>
        <v>8.2693466151040073E-15</v>
      </c>
      <c r="Q178" s="3"/>
      <c r="R178" s="11">
        <f t="shared" si="22"/>
        <v>3.712110120564997E-3</v>
      </c>
      <c r="S178" s="3">
        <f t="shared" si="23"/>
        <v>1.176296714758092E-16</v>
      </c>
      <c r="T178" s="3"/>
      <c r="U178" s="9">
        <f t="shared" si="19"/>
        <v>2.1698254846379942E-4</v>
      </c>
      <c r="V178" s="3">
        <f t="shared" si="20"/>
        <v>6.8757620498326678E-18</v>
      </c>
    </row>
    <row r="179" spans="1:22" x14ac:dyDescent="0.2">
      <c r="A179" t="s">
        <v>628</v>
      </c>
      <c r="B179" s="1" t="str">
        <f>VLOOKUP(REPLACE(A179,FIND("dist",A179),4,"fit")&amp;"*",'[413]t (Cherniak)'!$A:$A,1,0)</f>
        <v>CGI009-qtz09-CL-fit-1-offset</v>
      </c>
      <c r="C179">
        <v>2100</v>
      </c>
      <c r="D179">
        <v>1024</v>
      </c>
      <c r="E179" s="1">
        <f t="shared" si="16"/>
        <v>2.05078125</v>
      </c>
      <c r="F179">
        <f>'[591]CGI009-qtz09-CL-dist-1'!$B$4</f>
        <v>577.03099999999995</v>
      </c>
      <c r="G179" s="1">
        <f t="shared" si="21"/>
        <v>1183.3643554687499</v>
      </c>
      <c r="H179" s="1"/>
      <c r="I179" s="1" t="str">
        <f>VLOOKUP($B179, '[413]t (Cherniak) Category'!$1:$1048576, MATCH(I$1, '[413]t (Cherniak) Category'!$1:$1, 0), 0)</f>
        <v>Core</v>
      </c>
      <c r="J179" s="1"/>
      <c r="K179" s="4">
        <f>VLOOKUP($B179, '[413]t (Cherniak)'!$1:$1048576, MATCH(LEFT(K$1,FIND(" (",K$1)-1), '[413]t (Cherniak)'!$1:$1, 0), 0)</f>
        <v>961.40187810592874</v>
      </c>
      <c r="L179" s="4">
        <f>'D(Ti_Audétat23) Times'!Z179</f>
        <v>67586.394374185285</v>
      </c>
      <c r="M179" s="4">
        <f>VLOOKUP($B179, '[413]t (J)'!$1:$1048576, MATCH(LEFT(M$1,FIND(" (",M$1)-1),'[413]t (J)'!$1:$1, 0), 0)</f>
        <v>1156259.5256860838</v>
      </c>
      <c r="O179" s="1">
        <f t="shared" si="17"/>
        <v>1.2308737713307909</v>
      </c>
      <c r="P179" s="3">
        <f t="shared" si="18"/>
        <v>3.900403615391509E-14</v>
      </c>
      <c r="Q179" s="3"/>
      <c r="R179" s="11">
        <f t="shared" si="22"/>
        <v>1.7508913834301795E-2</v>
      </c>
      <c r="S179" s="3">
        <f t="shared" si="23"/>
        <v>5.5482399910962165E-16</v>
      </c>
      <c r="T179" s="3"/>
      <c r="U179" s="9">
        <f t="shared" si="19"/>
        <v>1.0234418218233341E-3</v>
      </c>
      <c r="V179" s="3">
        <f t="shared" si="20"/>
        <v>3.2430914322487581E-17</v>
      </c>
    </row>
    <row r="180" spans="1:22" x14ac:dyDescent="0.2">
      <c r="A180" t="s">
        <v>629</v>
      </c>
      <c r="B180" s="1" t="str">
        <f>VLOOKUP(REPLACE(A180,FIND("dist",A180),4,"fit")&amp;"*",'[413]t (Cherniak)'!$A:$A,1,0)</f>
        <v>CGI009-qtz09-CL-fit-2-offset</v>
      </c>
      <c r="C180">
        <v>2100</v>
      </c>
      <c r="D180">
        <v>1024</v>
      </c>
      <c r="E180" s="1">
        <f t="shared" si="16"/>
        <v>2.05078125</v>
      </c>
      <c r="F180">
        <f>'[592]CGI009-qtz09-CL-dist-2'!$B$4</f>
        <v>316.661</v>
      </c>
      <c r="G180" s="1">
        <f t="shared" si="21"/>
        <v>649.40244140624998</v>
      </c>
      <c r="H180" s="1"/>
      <c r="I180" s="1" t="str">
        <f>VLOOKUP($B180, '[413]t (Cherniak) Category'!$1:$1048576, MATCH(I$1, '[413]t (Cherniak) Category'!$1:$1, 0), 0)</f>
        <v>Interior</v>
      </c>
      <c r="J180" s="1"/>
      <c r="K180" s="4">
        <f>VLOOKUP($B180, '[413]t (Cherniak)'!$1:$1048576, MATCH(LEFT(K$1,FIND(" (",K$1)-1), '[413]t (Cherniak)'!$1:$1, 0), 0)</f>
        <v>1080.7901084845648</v>
      </c>
      <c r="L180" s="4">
        <f>'D(Ti_Audétat23) Times'!Z180</f>
        <v>75979.367391778578</v>
      </c>
      <c r="M180" s="4">
        <f>VLOOKUP($B180, '[413]t (J)'!$1:$1048576, MATCH(LEFT(M$1,FIND(" (",M$1)-1),'[413]t (J)'!$1:$1, 0), 0)</f>
        <v>1299845.4513783285</v>
      </c>
      <c r="O180" s="1">
        <f t="shared" si="17"/>
        <v>0.60085897928582344</v>
      </c>
      <c r="P180" s="3">
        <f t="shared" si="18"/>
        <v>1.9040072099456973E-14</v>
      </c>
      <c r="Q180" s="3"/>
      <c r="R180" s="11">
        <f t="shared" si="22"/>
        <v>8.547089344106848E-3</v>
      </c>
      <c r="S180" s="3">
        <f t="shared" si="23"/>
        <v>2.7084091769040885E-16</v>
      </c>
      <c r="T180" s="3"/>
      <c r="U180" s="9">
        <f t="shared" si="19"/>
        <v>4.9959973373575866E-4</v>
      </c>
      <c r="V180" s="3">
        <f t="shared" si="20"/>
        <v>1.58313602344842E-17</v>
      </c>
    </row>
    <row r="181" spans="1:22" x14ac:dyDescent="0.2">
      <c r="A181" t="s">
        <v>630</v>
      </c>
      <c r="B181" s="1" t="str">
        <f>VLOOKUP(REPLACE(A181,FIND("dist",A181),4,"fit")&amp;"*",'[413]t (Cherniak)'!$A:$A,1,0)</f>
        <v>CGI009-qtz09-CL-fit-3-offset</v>
      </c>
      <c r="C181">
        <v>2100</v>
      </c>
      <c r="D181">
        <v>1024</v>
      </c>
      <c r="E181" s="1">
        <f t="shared" si="16"/>
        <v>2.05078125</v>
      </c>
      <c r="F181">
        <f>'[593]CGI009-qtz09-CL-dist-3'!$B$4</f>
        <v>109.128</v>
      </c>
      <c r="G181" s="1">
        <f t="shared" si="21"/>
        <v>223.79765624999999</v>
      </c>
      <c r="H181" s="1"/>
      <c r="I181" s="1" t="str">
        <f>VLOOKUP($B181, '[413]t (Cherniak) Category'!$1:$1048576, MATCH(I$1, '[413]t (Cherniak) Category'!$1:$1, 0), 0)</f>
        <v>Interior</v>
      </c>
      <c r="J181" s="1"/>
      <c r="K181" s="4">
        <f>VLOOKUP($B181, '[413]t (Cherniak)'!$1:$1048576, MATCH(LEFT(K$1,FIND(" (",K$1)-1), '[413]t (Cherniak)'!$1:$1, 0), 0)</f>
        <v>287.09322374879844</v>
      </c>
      <c r="L181" s="4">
        <f>'D(Ti_Audétat23) Times'!Z181</f>
        <v>20182.606550207496</v>
      </c>
      <c r="M181" s="4">
        <f>VLOOKUP($B181, '[413]t (J)'!$1:$1048576, MATCH(LEFT(M$1,FIND(" (",M$1)-1),'[413]t (J)'!$1:$1, 0), 0)</f>
        <v>345281.49182885111</v>
      </c>
      <c r="O181" s="1">
        <f t="shared" si="17"/>
        <v>0.77952956648610783</v>
      </c>
      <c r="P181" s="3">
        <f t="shared" si="18"/>
        <v>2.4701801356443704E-14</v>
      </c>
      <c r="Q181" s="3"/>
      <c r="R181" s="11">
        <f t="shared" si="22"/>
        <v>1.1088639898581342E-2</v>
      </c>
      <c r="S181" s="3">
        <f t="shared" si="23"/>
        <v>3.5137779484439063E-16</v>
      </c>
      <c r="T181" s="3"/>
      <c r="U181" s="9">
        <f t="shared" si="19"/>
        <v>6.4816001305083521E-4</v>
      </c>
      <c r="V181" s="3">
        <f t="shared" si="20"/>
        <v>2.0538951411097015E-17</v>
      </c>
    </row>
    <row r="182" spans="1:22" x14ac:dyDescent="0.2">
      <c r="A182" t="s">
        <v>631</v>
      </c>
      <c r="B182" s="1" t="str">
        <f>VLOOKUP(REPLACE(A182,FIND("dist",A182),4,"fit")&amp;"*",'[413]t (Cherniak)'!$A:$A,1,0)</f>
        <v>CGI009-qtz09-CL-fit-4-offset</v>
      </c>
      <c r="C182">
        <v>2100</v>
      </c>
      <c r="D182">
        <v>1024</v>
      </c>
      <c r="E182" s="1">
        <f t="shared" si="16"/>
        <v>2.05078125</v>
      </c>
      <c r="F182">
        <f>'[594]CGI009-qtz09-CL-dist-4'!$B$4</f>
        <v>63.812199999999997</v>
      </c>
      <c r="G182" s="1">
        <f t="shared" si="21"/>
        <v>130.86486328125</v>
      </c>
      <c r="H182" s="1"/>
      <c r="I182" s="1" t="str">
        <f>VLOOKUP($B182, '[413]t (Cherniak) Category'!$1:$1048576, MATCH(I$1, '[413]t (Cherniak) Category'!$1:$1, 0), 0)</f>
        <v>Interior</v>
      </c>
      <c r="J182" s="1"/>
      <c r="K182" s="4">
        <f>VLOOKUP($B182, '[413]t (Cherniak)'!$1:$1048576, MATCH(LEFT(K$1,FIND(" (",K$1)-1), '[413]t (Cherniak)'!$1:$1, 0), 0)</f>
        <v>58.086438499213713</v>
      </c>
      <c r="L182" s="4">
        <f>'D(Ti_Audétat23) Times'!Z182</f>
        <v>4083.4671011191431</v>
      </c>
      <c r="M182" s="4">
        <f>VLOOKUP($B182, '[413]t (J)'!$1:$1048576, MATCH(LEFT(M$1,FIND(" (",M$1)-1),'[413]t (J)'!$1:$1, 0), 0)</f>
        <v>69859.44104895393</v>
      </c>
      <c r="O182" s="1">
        <f t="shared" si="17"/>
        <v>2.2529331572467028</v>
      </c>
      <c r="P182" s="3">
        <f t="shared" si="18"/>
        <v>7.139114372597101E-14</v>
      </c>
      <c r="Q182" s="3"/>
      <c r="R182" s="11">
        <f t="shared" si="22"/>
        <v>3.2047488088096578E-2</v>
      </c>
      <c r="S182" s="3">
        <f t="shared" si="23"/>
        <v>1.0155236167546512E-15</v>
      </c>
      <c r="T182" s="3"/>
      <c r="U182" s="9">
        <f t="shared" si="19"/>
        <v>1.8732595239281484E-3</v>
      </c>
      <c r="V182" s="3">
        <f t="shared" si="20"/>
        <v>5.9360012292701223E-17</v>
      </c>
    </row>
    <row r="183" spans="1:22" x14ac:dyDescent="0.2">
      <c r="A183" t="s">
        <v>632</v>
      </c>
      <c r="B183" s="1" t="str">
        <f>VLOOKUP(REPLACE(A183,FIND("dist",A183),4,"fit")&amp;"*",'[413]t (Cherniak)'!$A:$A,1,0)</f>
        <v>CGI009-qtz10-CL-fit-1-offset</v>
      </c>
      <c r="C183">
        <v>1900</v>
      </c>
      <c r="D183">
        <v>1024</v>
      </c>
      <c r="E183" s="1">
        <f t="shared" si="16"/>
        <v>1.85546875</v>
      </c>
      <c r="F183">
        <f>'[595]CGI009-qtz10-CL-dist-1'!$B$4</f>
        <v>598.40499999999997</v>
      </c>
      <c r="G183" s="1">
        <f t="shared" si="21"/>
        <v>1110.32177734375</v>
      </c>
      <c r="H183" s="1"/>
      <c r="I183" s="1" t="str">
        <f>VLOOKUP($B183, '[413]t (Cherniak) Category'!$1:$1048576, MATCH(I$1, '[413]t (Cherniak) Category'!$1:$1, 0), 0)</f>
        <v>Core</v>
      </c>
      <c r="J183" s="1"/>
      <c r="K183" s="4">
        <f>VLOOKUP($B183, '[413]t (Cherniak)'!$1:$1048576, MATCH(LEFT(K$1,FIND(" (",K$1)-1), '[413]t (Cherniak)'!$1:$1, 0), 0)</f>
        <v>1019.6609908592916</v>
      </c>
      <c r="L183" s="4">
        <f>'D(Ti_Audétat23) Times'!Z183</f>
        <v>71682.000447054903</v>
      </c>
      <c r="M183" s="4">
        <f>VLOOKUP($B183, '[413]t (J)'!$1:$1048576, MATCH(LEFT(M$1,FIND(" (",M$1)-1),'[413]t (J)'!$1:$1, 0), 0)</f>
        <v>1226326.6387354231</v>
      </c>
      <c r="O183" s="1">
        <f t="shared" si="17"/>
        <v>1.0889126751902674</v>
      </c>
      <c r="P183" s="3">
        <f t="shared" si="18"/>
        <v>3.4505560473238377E-14</v>
      </c>
      <c r="Q183" s="3"/>
      <c r="R183" s="11">
        <f t="shared" si="22"/>
        <v>1.5489547870024158E-2</v>
      </c>
      <c r="S183" s="3">
        <f t="shared" si="23"/>
        <v>4.9083415310493056E-16</v>
      </c>
      <c r="T183" s="3"/>
      <c r="U183" s="9">
        <f t="shared" si="19"/>
        <v>9.0540459798598501E-4</v>
      </c>
      <c r="V183" s="3">
        <f t="shared" si="20"/>
        <v>2.8690540408205473E-17</v>
      </c>
    </row>
    <row r="184" spans="1:22" x14ac:dyDescent="0.2">
      <c r="A184" t="s">
        <v>633</v>
      </c>
      <c r="B184" s="1" t="str">
        <f>VLOOKUP(REPLACE(A184,FIND("dist",A184),4,"fit")&amp;"*",'[413]t (Cherniak)'!$A:$A,1,0)</f>
        <v>CGI009-qtz10-CL-fit-2-offset</v>
      </c>
      <c r="C184">
        <v>1900</v>
      </c>
      <c r="D184">
        <v>1024</v>
      </c>
      <c r="E184" s="1">
        <f t="shared" si="16"/>
        <v>1.85546875</v>
      </c>
      <c r="F184">
        <f>'[596]CGI009-qtz10-CL-dist-2'!$B$4</f>
        <v>332.94</v>
      </c>
      <c r="G184" s="1">
        <f t="shared" si="21"/>
        <v>617.759765625</v>
      </c>
      <c r="H184" s="1"/>
      <c r="I184" s="1" t="str">
        <f>VLOOKUP($B184, '[413]t (Cherniak) Category'!$1:$1048576, MATCH(I$1, '[413]t (Cherniak) Category'!$1:$1, 0), 0)</f>
        <v>Core</v>
      </c>
      <c r="J184" s="1"/>
      <c r="K184" s="4">
        <f>VLOOKUP($B184, '[413]t (Cherniak)'!$1:$1048576, MATCH(LEFT(K$1,FIND(" (",K$1)-1), '[413]t (Cherniak)'!$1:$1, 0), 0)</f>
        <v>378.69487631906918</v>
      </c>
      <c r="L184" s="4">
        <f>'D(Ti_Audétat23) Times'!Z184</f>
        <v>26622.187704488624</v>
      </c>
      <c r="M184" s="4">
        <f>VLOOKUP($B184, '[413]t (J)'!$1:$1048576, MATCH(LEFT(M$1,FIND(" (",M$1)-1),'[413]t (J)'!$1:$1, 0), 0)</f>
        <v>455449.03545964567</v>
      </c>
      <c r="O184" s="1">
        <f t="shared" si="17"/>
        <v>1.6312863052958415</v>
      </c>
      <c r="P184" s="3">
        <f t="shared" si="18"/>
        <v>5.1692343692037462E-14</v>
      </c>
      <c r="Q184" s="3"/>
      <c r="R184" s="11">
        <f t="shared" si="22"/>
        <v>2.320469574034454E-2</v>
      </c>
      <c r="S184" s="3">
        <f t="shared" si="23"/>
        <v>7.3531243631786123E-16</v>
      </c>
      <c r="T184" s="3"/>
      <c r="U184" s="9">
        <f t="shared" si="19"/>
        <v>1.3563751759876888E-3</v>
      </c>
      <c r="V184" s="3">
        <f t="shared" si="20"/>
        <v>4.298093568546685E-17</v>
      </c>
    </row>
    <row r="185" spans="1:22" x14ac:dyDescent="0.2">
      <c r="A185" t="s">
        <v>634</v>
      </c>
      <c r="B185" s="1" t="str">
        <f>VLOOKUP(REPLACE(A185,FIND("dist",A185),4,"fit")&amp;"*",'[413]t (Cherniak)'!$A:$A,1,0)</f>
        <v>CGI009-qtz10-CL-fit-3-offset</v>
      </c>
      <c r="C185">
        <v>1900</v>
      </c>
      <c r="D185">
        <v>1024</v>
      </c>
      <c r="E185" s="1">
        <f t="shared" si="16"/>
        <v>1.85546875</v>
      </c>
      <c r="F185">
        <f>'[597]CGI009-qtz10-CL-dist-3'!$B$4</f>
        <v>293.82499999999999</v>
      </c>
      <c r="G185" s="1">
        <f t="shared" si="21"/>
        <v>545.18310546875</v>
      </c>
      <c r="H185" s="1"/>
      <c r="I185" s="1" t="str">
        <f>VLOOKUP($B185, '[413]t (Cherniak) Category'!$1:$1048576, MATCH(I$1, '[413]t (Cherniak) Category'!$1:$1, 0), 0)</f>
        <v>Interior</v>
      </c>
      <c r="J185" s="1"/>
      <c r="K185" s="4">
        <f>VLOOKUP($B185, '[413]t (Cherniak)'!$1:$1048576, MATCH(LEFT(K$1,FIND(" (",K$1)-1), '[413]t (Cherniak)'!$1:$1, 0), 0)</f>
        <v>296.74847780572719</v>
      </c>
      <c r="L185" s="4">
        <f>'D(Ti_Audétat23) Times'!Z185</f>
        <v>20861.369327080956</v>
      </c>
      <c r="M185" s="4">
        <f>VLOOKUP($B185, '[413]t (J)'!$1:$1048576, MATCH(LEFT(M$1,FIND(" (",M$1)-1),'[413]t (J)'!$1:$1, 0), 0)</f>
        <v>356893.6799579584</v>
      </c>
      <c r="O185" s="1">
        <f t="shared" si="17"/>
        <v>1.8371892233451184</v>
      </c>
      <c r="P185" s="3">
        <f t="shared" si="18"/>
        <v>5.8217013440347753E-14</v>
      </c>
      <c r="Q185" s="3"/>
      <c r="R185" s="11">
        <f t="shared" si="22"/>
        <v>2.6133620325729363E-2</v>
      </c>
      <c r="S185" s="3">
        <f t="shared" si="23"/>
        <v>8.2812445578020387E-16</v>
      </c>
      <c r="T185" s="3"/>
      <c r="U185" s="9">
        <f t="shared" si="19"/>
        <v>1.5275784808881229E-3</v>
      </c>
      <c r="V185" s="3">
        <f t="shared" si="20"/>
        <v>4.8406041045203776E-17</v>
      </c>
    </row>
    <row r="186" spans="1:22" x14ac:dyDescent="0.2">
      <c r="A186" t="s">
        <v>635</v>
      </c>
      <c r="B186" s="1" t="str">
        <f>VLOOKUP(REPLACE(A186,FIND("dist",A186),4,"fit")&amp;"*",'[413]t (Cherniak)'!$A:$A,1,0)</f>
        <v>CGI009-qtz10-CL-fit-4-offset</v>
      </c>
      <c r="C186">
        <v>1900</v>
      </c>
      <c r="D186">
        <v>1024</v>
      </c>
      <c r="E186" s="1">
        <f t="shared" si="16"/>
        <v>1.85546875</v>
      </c>
      <c r="F186">
        <f>'[598]CGI009-qtz10-CL-dist-4'!$B$4</f>
        <v>130.38399999999999</v>
      </c>
      <c r="G186" s="1">
        <f t="shared" si="21"/>
        <v>241.92343749999998</v>
      </c>
      <c r="H186" s="1"/>
      <c r="I186" s="1" t="str">
        <f>VLOOKUP($B186, '[413]t (Cherniak) Category'!$1:$1048576, MATCH(I$1, '[413]t (Cherniak) Category'!$1:$1, 0), 0)</f>
        <v>Interior</v>
      </c>
      <c r="J186" s="1"/>
      <c r="K186" s="4">
        <f>VLOOKUP($B186, '[413]t (Cherniak)'!$1:$1048576, MATCH(LEFT(K$1,FIND(" (",K$1)-1), '[413]t (Cherniak)'!$1:$1, 0), 0)</f>
        <v>132.26481629327202</v>
      </c>
      <c r="L186" s="4">
        <f>'D(Ti_Audétat23) Times'!Z186</f>
        <v>9298.1948958095363</v>
      </c>
      <c r="M186" s="4">
        <f>VLOOKUP($B186, '[413]t (J)'!$1:$1048576, MATCH(LEFT(M$1,FIND(" (",M$1)-1),'[413]t (J)'!$1:$1, 0), 0)</f>
        <v>159072.34761545301</v>
      </c>
      <c r="O186" s="1">
        <f t="shared" si="17"/>
        <v>1.8290838355952566</v>
      </c>
      <c r="P186" s="3">
        <f t="shared" si="18"/>
        <v>5.7960169201563378E-14</v>
      </c>
      <c r="Q186" s="3"/>
      <c r="R186" s="11">
        <f t="shared" si="22"/>
        <v>2.6018322933737258E-2</v>
      </c>
      <c r="S186" s="3">
        <f t="shared" si="23"/>
        <v>8.2447090189802951E-16</v>
      </c>
      <c r="T186" s="3"/>
      <c r="U186" s="9">
        <f t="shared" si="19"/>
        <v>1.5208390466760072E-3</v>
      </c>
      <c r="V186" s="3">
        <f t="shared" si="20"/>
        <v>4.819248126207339E-17</v>
      </c>
    </row>
    <row r="187" spans="1:22" x14ac:dyDescent="0.2">
      <c r="A187" t="s">
        <v>636</v>
      </c>
      <c r="B187" s="1" t="str">
        <f>VLOOKUP(REPLACE(A187,FIND("dist",A187),4,"fit")&amp;"*",'[413]t (Cherniak)'!$A:$A,1,0)</f>
        <v>CGI009-qtz10-CL-fit-5-offset</v>
      </c>
      <c r="C187">
        <v>1900</v>
      </c>
      <c r="D187">
        <v>1024</v>
      </c>
      <c r="E187" s="1">
        <f t="shared" si="16"/>
        <v>1.85546875</v>
      </c>
      <c r="F187">
        <f>'[599]CGI009-qtz10-CL-dist-5'!$B$4</f>
        <v>51.156599999999997</v>
      </c>
      <c r="G187" s="1">
        <f t="shared" si="21"/>
        <v>94.919472656249994</v>
      </c>
      <c r="H187" s="1"/>
      <c r="I187" s="1" t="str">
        <f>VLOOKUP($B187, '[413]t (Cherniak) Category'!$1:$1048576, MATCH(I$1, '[413]t (Cherniak) Category'!$1:$1, 0), 0)</f>
        <v>Rim</v>
      </c>
      <c r="J187" s="1"/>
      <c r="K187" s="4">
        <f>VLOOKUP($B187, '[413]t (Cherniak)'!$1:$1048576, MATCH(LEFT(K$1,FIND(" (",K$1)-1), '[413]t (Cherniak)'!$1:$1, 0), 0)</f>
        <v>10.037448763234634</v>
      </c>
      <c r="L187" s="4">
        <f>'D(Ti_Audétat23) Times'!Z187</f>
        <v>705.63100205209685</v>
      </c>
      <c r="M187" s="4">
        <f>VLOOKUP($B187, '[413]t (J)'!$1:$1048576, MATCH(LEFT(M$1,FIND(" (",M$1)-1),'[413]t (J)'!$1:$1, 0), 0)</f>
        <v>12071.846342698003</v>
      </c>
      <c r="O187" s="1">
        <f t="shared" si="17"/>
        <v>9.4565337164083889</v>
      </c>
      <c r="P187" s="3">
        <f t="shared" si="18"/>
        <v>2.9965947082187458E-13</v>
      </c>
      <c r="Q187" s="3"/>
      <c r="R187" s="11">
        <f t="shared" si="22"/>
        <v>0.13451715185445051</v>
      </c>
      <c r="S187" s="3">
        <f t="shared" si="23"/>
        <v>4.2625913204568943E-15</v>
      </c>
      <c r="T187" s="3"/>
      <c r="U187" s="9">
        <f t="shared" si="19"/>
        <v>7.8628794603291738E-3</v>
      </c>
      <c r="V187" s="3">
        <f t="shared" si="20"/>
        <v>2.491596148100354E-16</v>
      </c>
    </row>
    <row r="188" spans="1:22" x14ac:dyDescent="0.2">
      <c r="A188" t="s">
        <v>637</v>
      </c>
      <c r="B188" s="1" t="str">
        <f>VLOOKUP(REPLACE(A188,FIND("dist",A188),4,"fit")&amp;"*",'[413]t (Cherniak)'!$A:$A,1,0)</f>
        <v>CGI009-qtz11-CL-fit-1-offset</v>
      </c>
      <c r="C188">
        <v>1700</v>
      </c>
      <c r="D188">
        <v>1024</v>
      </c>
      <c r="E188" s="1">
        <f t="shared" si="16"/>
        <v>1.66015625</v>
      </c>
      <c r="F188">
        <f>'[600]CGI009-qtz11-CL-dist-1'!$B$4</f>
        <v>443.38400000000001</v>
      </c>
      <c r="G188" s="1">
        <f t="shared" si="21"/>
        <v>736.08671875000005</v>
      </c>
      <c r="H188" s="1"/>
      <c r="I188" s="1" t="str">
        <f>VLOOKUP($B188, '[413]t (Cherniak) Category'!$1:$1048576, MATCH(I$1, '[413]t (Cherniak) Category'!$1:$1, 0), 0)</f>
        <v>Core</v>
      </c>
      <c r="J188" s="1"/>
      <c r="K188" s="4">
        <f>VLOOKUP($B188, '[413]t (Cherniak)'!$1:$1048576, MATCH(LEFT(K$1,FIND(" (",K$1)-1), '[413]t (Cherniak)'!$1:$1, 0), 0)</f>
        <v>159.384730766677</v>
      </c>
      <c r="L188" s="4">
        <f>'D(Ti_Audétat23) Times'!Z188</f>
        <v>11204.7204359976</v>
      </c>
      <c r="M188" s="4">
        <f>VLOOKUP($B188, '[413]t (J)'!$1:$1048576, MATCH(LEFT(M$1,FIND(" (",M$1)-1),'[413]t (J)'!$1:$1, 0), 0)</f>
        <v>191688.94652146366</v>
      </c>
      <c r="O188" s="1">
        <f t="shared" si="17"/>
        <v>4.618301359291161</v>
      </c>
      <c r="P188" s="3">
        <f t="shared" si="18"/>
        <v>1.4634513902486757E-13</v>
      </c>
      <c r="Q188" s="3"/>
      <c r="R188" s="11">
        <f t="shared" si="22"/>
        <v>6.5694340430410156E-2</v>
      </c>
      <c r="S188" s="3">
        <f t="shared" si="23"/>
        <v>2.0817280284435494E-15</v>
      </c>
      <c r="T188" s="3"/>
      <c r="U188" s="9">
        <f t="shared" si="19"/>
        <v>3.8400060728988328E-3</v>
      </c>
      <c r="V188" s="3">
        <f t="shared" si="20"/>
        <v>1.2168244964442266E-16</v>
      </c>
    </row>
    <row r="189" spans="1:22" x14ac:dyDescent="0.2">
      <c r="A189" t="s">
        <v>638</v>
      </c>
      <c r="B189" s="1" t="str">
        <f>VLOOKUP(REPLACE(A189,FIND("dist",A189),4,"fit")&amp;"*",'[413]t (Cherniak)'!$A:$A,1,0)</f>
        <v>CGI009-qtz11-CL-fit-2-offset</v>
      </c>
      <c r="C189">
        <v>1700</v>
      </c>
      <c r="D189">
        <v>1024</v>
      </c>
      <c r="E189" s="1">
        <f t="shared" si="16"/>
        <v>1.66015625</v>
      </c>
      <c r="F189">
        <f>'[601]CGI009-qtz11-CL-dist-2'!$B$4</f>
        <v>354.572</v>
      </c>
      <c r="G189" s="1">
        <f t="shared" si="21"/>
        <v>588.64492187500002</v>
      </c>
      <c r="H189" s="1"/>
      <c r="I189" s="1" t="str">
        <f>VLOOKUP($B189, '[413]t (Cherniak) Category'!$1:$1048576, MATCH(I$1, '[413]t (Cherniak) Category'!$1:$1, 0), 0)</f>
        <v>Core</v>
      </c>
      <c r="J189" s="1"/>
      <c r="K189" s="4">
        <f>VLOOKUP($B189, '[413]t (Cherniak)'!$1:$1048576, MATCH(LEFT(K$1,FIND(" (",K$1)-1), '[413]t (Cherniak)'!$1:$1, 0), 0)</f>
        <v>163.57447722376585</v>
      </c>
      <c r="L189" s="4">
        <f>'D(Ti_Audétat23) Times'!Z189</f>
        <v>11499.258924870257</v>
      </c>
      <c r="M189" s="4">
        <f>VLOOKUP($B189, '[413]t (J)'!$1:$1048576, MATCH(LEFT(M$1,FIND(" (",M$1)-1),'[413]t (J)'!$1:$1, 0), 0)</f>
        <v>196727.87390608934</v>
      </c>
      <c r="O189" s="1">
        <f t="shared" si="17"/>
        <v>3.5986355076027432</v>
      </c>
      <c r="P189" s="3">
        <f t="shared" si="18"/>
        <v>1.1403387797559836E-13</v>
      </c>
      <c r="Q189" s="3"/>
      <c r="R189" s="11">
        <f t="shared" si="22"/>
        <v>5.1189813684592855E-2</v>
      </c>
      <c r="S189" s="3">
        <f t="shared" si="23"/>
        <v>1.6221073112211592E-15</v>
      </c>
      <c r="T189" s="3"/>
      <c r="U189" s="9">
        <f t="shared" si="19"/>
        <v>2.9921785367130918E-3</v>
      </c>
      <c r="V189" s="3">
        <f t="shared" si="20"/>
        <v>9.48164162266171E-17</v>
      </c>
    </row>
    <row r="190" spans="1:22" x14ac:dyDescent="0.2">
      <c r="A190" t="s">
        <v>639</v>
      </c>
      <c r="B190" s="1" t="str">
        <f>VLOOKUP(REPLACE(A190,FIND("dist",A190),4,"fit")&amp;"*",'[413]t (Cherniak)'!$A:$A,1,0)</f>
        <v>CGI009-qtz11-CL-fit-3-offset</v>
      </c>
      <c r="C190">
        <v>1700</v>
      </c>
      <c r="D190">
        <v>1024</v>
      </c>
      <c r="E190" s="1">
        <f t="shared" si="16"/>
        <v>1.66015625</v>
      </c>
      <c r="F190">
        <f>'[602]CGI009-qtz11-CL-dist-3'!$B$4</f>
        <v>187.00299999999999</v>
      </c>
      <c r="G190" s="1">
        <f t="shared" si="21"/>
        <v>310.45419921874998</v>
      </c>
      <c r="H190" s="1"/>
      <c r="I190" s="1" t="str">
        <f>VLOOKUP($B190, '[413]t (Cherniak) Category'!$1:$1048576, MATCH(I$1, '[413]t (Cherniak) Category'!$1:$1, 0), 0)</f>
        <v>Interior</v>
      </c>
      <c r="J190" s="1"/>
      <c r="K190" s="4">
        <f>VLOOKUP($B190, '[413]t (Cherniak)'!$1:$1048576, MATCH(LEFT(K$1,FIND(" (",K$1)-1), '[413]t (Cherniak)'!$1:$1, 0), 0)</f>
        <v>375.01232561874849</v>
      </c>
      <c r="L190" s="4">
        <f>'D(Ti_Audétat23) Times'!Z190</f>
        <v>26363.304994143658</v>
      </c>
      <c r="M190" s="4">
        <f>VLOOKUP($B190, '[413]t (J)'!$1:$1048576, MATCH(LEFT(M$1,FIND(" (",M$1)-1),'[413]t (J)'!$1:$1, 0), 0)</f>
        <v>451020.10264493513</v>
      </c>
      <c r="O190" s="1">
        <f t="shared" si="17"/>
        <v>0.82785065452587092</v>
      </c>
      <c r="P190" s="3">
        <f t="shared" si="18"/>
        <v>2.6233004237517137E-14</v>
      </c>
      <c r="Q190" s="3"/>
      <c r="R190" s="11">
        <f t="shared" si="22"/>
        <v>1.1775996950599108E-2</v>
      </c>
      <c r="S190" s="3">
        <f t="shared" si="23"/>
        <v>3.7315882546832162E-16</v>
      </c>
      <c r="T190" s="3"/>
      <c r="U190" s="9">
        <f t="shared" si="19"/>
        <v>6.8833783105928326E-4</v>
      </c>
      <c r="V190" s="3">
        <f t="shared" si="20"/>
        <v>2.1812109636324793E-17</v>
      </c>
    </row>
    <row r="191" spans="1:22" x14ac:dyDescent="0.2">
      <c r="A191" t="s">
        <v>640</v>
      </c>
      <c r="B191" s="1" t="str">
        <f>VLOOKUP(REPLACE(A191,FIND("dist",A191),4,"fit")&amp;"*",'[413]t (Cherniak)'!$A:$A,1,0)</f>
        <v>CGI009-qtz11-CL-fit-4-offset</v>
      </c>
      <c r="C191">
        <v>1700</v>
      </c>
      <c r="D191">
        <v>1024</v>
      </c>
      <c r="E191" s="1">
        <f t="shared" si="16"/>
        <v>1.66015625</v>
      </c>
      <c r="F191">
        <f>'[603]CGI009-qtz11-CL-dist-4'!$B$4</f>
        <v>170.417</v>
      </c>
      <c r="G191" s="1">
        <f t="shared" si="21"/>
        <v>282.91884765625002</v>
      </c>
      <c r="H191" s="1"/>
      <c r="I191" s="1" t="str">
        <f>VLOOKUP($B191, '[413]t (Cherniak) Category'!$1:$1048576, MATCH(I$1, '[413]t (Cherniak) Category'!$1:$1, 0), 0)</f>
        <v>Interior</v>
      </c>
      <c r="J191" s="1"/>
      <c r="K191" s="4">
        <f>VLOOKUP($B191, '[413]t (Cherniak)'!$1:$1048576, MATCH(LEFT(K$1,FIND(" (",K$1)-1), '[413]t (Cherniak)'!$1:$1, 0), 0)</f>
        <v>173.24812464976807</v>
      </c>
      <c r="L191" s="4">
        <f>'D(Ti_Audétat23) Times'!Z191</f>
        <v>12179.31475257332</v>
      </c>
      <c r="M191" s="4">
        <f>VLOOKUP($B191, '[413]t (J)'!$1:$1048576, MATCH(LEFT(M$1,FIND(" (",M$1)-1),'[413]t (J)'!$1:$1, 0), 0)</f>
        <v>208362.18338599167</v>
      </c>
      <c r="O191" s="1">
        <f t="shared" si="17"/>
        <v>1.6330268984336089</v>
      </c>
      <c r="P191" s="3">
        <f t="shared" si="18"/>
        <v>5.1747499760235531E-14</v>
      </c>
      <c r="Q191" s="3"/>
      <c r="R191" s="11">
        <f t="shared" si="22"/>
        <v>2.3229455302193679E-2</v>
      </c>
      <c r="S191" s="3">
        <f t="shared" si="23"/>
        <v>7.3609701948797367E-16</v>
      </c>
      <c r="T191" s="3"/>
      <c r="U191" s="9">
        <f t="shared" si="19"/>
        <v>1.3578224371556995E-3</v>
      </c>
      <c r="V191" s="3">
        <f t="shared" si="20"/>
        <v>4.3026796624448609E-17</v>
      </c>
    </row>
    <row r="192" spans="1:22" x14ac:dyDescent="0.2">
      <c r="A192" t="s">
        <v>641</v>
      </c>
      <c r="B192" s="1" t="str">
        <f>VLOOKUP(REPLACE(A192,FIND("dist",A192),4,"fit")&amp;"*",'[413]t (Cherniak)'!$A:$A,1,0)</f>
        <v>CGI009-qtz11-CL-fit-5-offset</v>
      </c>
      <c r="C192">
        <v>1700</v>
      </c>
      <c r="D192">
        <v>1024</v>
      </c>
      <c r="E192" s="1">
        <f t="shared" si="16"/>
        <v>1.66015625</v>
      </c>
      <c r="F192">
        <f>'[604]CGI009-qtz11-CL-dist-5'!$B$4</f>
        <v>60.440100000000001</v>
      </c>
      <c r="G192" s="1">
        <f t="shared" si="21"/>
        <v>100.340009765625</v>
      </c>
      <c r="H192" s="1"/>
      <c r="I192" s="1" t="str">
        <f>VLOOKUP($B192, '[413]t (Cherniak) Category'!$1:$1048576, MATCH(I$1, '[413]t (Cherniak) Category'!$1:$1, 0), 0)</f>
        <v>Rim</v>
      </c>
      <c r="J192" s="1"/>
      <c r="K192" s="4">
        <f>VLOOKUP($B192, '[413]t (Cherniak)'!$1:$1048576, MATCH(LEFT(K$1,FIND(" (",K$1)-1), '[413]t (Cherniak)'!$1:$1, 0), 0)</f>
        <v>55.00672964457933</v>
      </c>
      <c r="L192" s="4">
        <f>'D(Ti_Audétat23) Times'!Z192</f>
        <v>3866.9640736681654</v>
      </c>
      <c r="M192" s="4">
        <f>VLOOKUP($B192, '[413]t (J)'!$1:$1048576, MATCH(LEFT(M$1,FIND(" (",M$1)-1),'[413]t (J)'!$1:$1, 0), 0)</f>
        <v>66155.53451350359</v>
      </c>
      <c r="O192" s="1">
        <f t="shared" si="17"/>
        <v>1.8241406172292423</v>
      </c>
      <c r="P192" s="3">
        <f t="shared" si="18"/>
        <v>5.7803528063897203E-14</v>
      </c>
      <c r="Q192" s="3"/>
      <c r="R192" s="11">
        <f t="shared" si="22"/>
        <v>2.5948006718987542E-2</v>
      </c>
      <c r="S192" s="3">
        <f t="shared" si="23"/>
        <v>8.2224271551029038E-16</v>
      </c>
      <c r="T192" s="3"/>
      <c r="U192" s="9">
        <f t="shared" si="19"/>
        <v>1.5167288799570308E-3</v>
      </c>
      <c r="V192" s="3">
        <f t="shared" si="20"/>
        <v>4.8062237938152165E-17</v>
      </c>
    </row>
    <row r="193" spans="1:22" x14ac:dyDescent="0.2">
      <c r="A193" t="s">
        <v>642</v>
      </c>
      <c r="B193" s="1" t="str">
        <f>VLOOKUP(REPLACE(A193,FIND("dist",A193),4,"fit")&amp;"*",'[413]t (Cherniak)'!$A:$A,1,0)</f>
        <v>CGI009-qtz12-CL-fit-1-offset</v>
      </c>
      <c r="C193">
        <v>2000</v>
      </c>
      <c r="D193">
        <v>1024</v>
      </c>
      <c r="E193" s="1">
        <f t="shared" si="16"/>
        <v>1.953125</v>
      </c>
      <c r="F193">
        <f>'[605]CGI009-qtz12-CL-dist-1'!$B$4</f>
        <v>605.97900000000004</v>
      </c>
      <c r="G193" s="1">
        <f t="shared" si="21"/>
        <v>1183.552734375</v>
      </c>
      <c r="H193" s="1"/>
      <c r="I193" s="1" t="str">
        <f>VLOOKUP($B193, '[413]t (Cherniak) Category'!$1:$1048576, MATCH(I$1, '[413]t (Cherniak) Category'!$1:$1, 0), 0)</f>
        <v>Core</v>
      </c>
      <c r="J193" s="1"/>
      <c r="K193" s="4">
        <f>VLOOKUP($B193, '[413]t (Cherniak)'!$1:$1048576, MATCH(LEFT(K$1,FIND(" (",K$1)-1), '[413]t (Cherniak)'!$1:$1, 0), 0)</f>
        <v>1347.2726949794214</v>
      </c>
      <c r="L193" s="4">
        <f>'D(Ti_Audétat23) Times'!Z193</f>
        <v>94713.049522894493</v>
      </c>
      <c r="M193" s="4">
        <f>VLOOKUP($B193, '[413]t (J)'!$1:$1048576, MATCH(LEFT(M$1,FIND(" (",M$1)-1),'[413]t (J)'!$1:$1, 0), 0)</f>
        <v>1620338.9266679559</v>
      </c>
      <c r="O193" s="1">
        <f t="shared" si="17"/>
        <v>0.87848045817708631</v>
      </c>
      <c r="P193" s="3">
        <f t="shared" si="18"/>
        <v>2.7837365901623894E-14</v>
      </c>
      <c r="Q193" s="3"/>
      <c r="R193" s="11">
        <f t="shared" si="22"/>
        <v>1.2496194984080899E-2</v>
      </c>
      <c r="S193" s="3">
        <f t="shared" si="23"/>
        <v>3.9598052399678363E-16</v>
      </c>
      <c r="T193" s="3"/>
      <c r="U193" s="9">
        <f t="shared" si="19"/>
        <v>7.3043529035548291E-4</v>
      </c>
      <c r="V193" s="3">
        <f t="shared" si="20"/>
        <v>2.3146097623250273E-17</v>
      </c>
    </row>
    <row r="194" spans="1:22" x14ac:dyDescent="0.2">
      <c r="A194" t="s">
        <v>643</v>
      </c>
      <c r="B194" s="1" t="str">
        <f>VLOOKUP(REPLACE(A194,FIND("dist",A194),4,"fit")&amp;"*",'[413]t (Cherniak)'!$A:$A,1,0)</f>
        <v>CGI009-qtz12-CL-fit-2-offset</v>
      </c>
      <c r="C194">
        <v>2000</v>
      </c>
      <c r="D194">
        <v>1024</v>
      </c>
      <c r="E194" s="1">
        <f t="shared" ref="E194:E257" si="24">C194/D194</f>
        <v>1.953125</v>
      </c>
      <c r="F194">
        <f>'[606]CGI009-qtz12-CL-dist-2'!$B$4</f>
        <v>343.577</v>
      </c>
      <c r="G194" s="1">
        <f t="shared" si="21"/>
        <v>671.048828125</v>
      </c>
      <c r="H194" s="1"/>
      <c r="I194" s="1" t="str">
        <f>VLOOKUP($B194, '[413]t (Cherniak) Category'!$1:$1048576, MATCH(I$1, '[413]t (Cherniak) Category'!$1:$1, 0), 0)</f>
        <v>Core</v>
      </c>
      <c r="J194" s="1"/>
      <c r="K194" s="4">
        <f>VLOOKUP($B194, '[413]t (Cherniak)'!$1:$1048576, MATCH(LEFT(K$1,FIND(" (",K$1)-1), '[413]t (Cherniak)'!$1:$1, 0), 0)</f>
        <v>274.39900792275131</v>
      </c>
      <c r="L194" s="4">
        <f>'D(Ti_Audétat23) Times'!Z194</f>
        <v>19290.205259312876</v>
      </c>
      <c r="M194" s="4">
        <f>VLOOKUP($B194, '[413]t (J)'!$1:$1048576, MATCH(LEFT(M$1,FIND(" (",M$1)-1),'[413]t (J)'!$1:$1, 0), 0)</f>
        <v>330014.40289940266</v>
      </c>
      <c r="O194" s="1">
        <f t="shared" ref="O194:O257" si="25">$G194/$K194</f>
        <v>2.4455220636727426</v>
      </c>
      <c r="P194" s="3">
        <f t="shared" ref="P194:P257" si="26">O194/(365.25*60*60*24)*(10^-6)</f>
        <v>7.7493917904807165E-14</v>
      </c>
      <c r="Q194" s="3"/>
      <c r="R194" s="11">
        <f t="shared" si="22"/>
        <v>3.4787023730658999E-2</v>
      </c>
      <c r="S194" s="3">
        <f t="shared" si="23"/>
        <v>1.1023342627658315E-15</v>
      </c>
      <c r="T194" s="3"/>
      <c r="U194" s="9">
        <f t="shared" ref="U194:U257" si="27">G194/M194</f>
        <v>2.0333925496262475E-3</v>
      </c>
      <c r="V194" s="3">
        <f t="shared" ref="V194:V257" si="28">U194/(365.25*60*60*24)*(10^-6)</f>
        <v>6.4434321672948753E-17</v>
      </c>
    </row>
    <row r="195" spans="1:22" x14ac:dyDescent="0.2">
      <c r="A195" t="s">
        <v>644</v>
      </c>
      <c r="B195" s="1" t="str">
        <f>VLOOKUP(REPLACE(A195,FIND("dist",A195),4,"fit")&amp;"*",'[413]t (Cherniak)'!$A:$A,1,0)</f>
        <v>CGI009-qtz12-CL-fit-3-offset</v>
      </c>
      <c r="C195">
        <v>2000</v>
      </c>
      <c r="D195">
        <v>1024</v>
      </c>
      <c r="E195" s="1">
        <f t="shared" si="24"/>
        <v>1.953125</v>
      </c>
      <c r="F195">
        <f>'[607]CGI009-qtz12-CL-dist-3'!$B$4</f>
        <v>233.94399999999999</v>
      </c>
      <c r="G195" s="1">
        <f t="shared" ref="G195:G258" si="29">F195*E195</f>
        <v>456.921875</v>
      </c>
      <c r="H195" s="1"/>
      <c r="I195" s="1" t="str">
        <f>VLOOKUP($B195, '[413]t (Cherniak) Category'!$1:$1048576, MATCH(I$1, '[413]t (Cherniak) Category'!$1:$1, 0), 0)</f>
        <v>Interior</v>
      </c>
      <c r="J195" s="1"/>
      <c r="K195" s="4">
        <f>VLOOKUP($B195, '[413]t (Cherniak)'!$1:$1048576, MATCH(LEFT(K$1,FIND(" (",K$1)-1), '[413]t (Cherniak)'!$1:$1, 0), 0)</f>
        <v>140.0773622075283</v>
      </c>
      <c r="L195" s="4">
        <f>'D(Ti_Audétat23) Times'!Z195</f>
        <v>9847.4155924318675</v>
      </c>
      <c r="M195" s="4">
        <f>VLOOKUP($B195, '[413]t (J)'!$1:$1048576, MATCH(LEFT(M$1,FIND(" (",M$1)-1),'[413]t (J)'!$1:$1, 0), 0)</f>
        <v>168468.346145241</v>
      </c>
      <c r="O195" s="1">
        <f t="shared" si="25"/>
        <v>3.2619251804803278</v>
      </c>
      <c r="P195" s="3">
        <f t="shared" si="26"/>
        <v>1.0336417156185285E-13</v>
      </c>
      <c r="Q195" s="3"/>
      <c r="R195" s="11">
        <f t="shared" ref="R195:R258" si="30">G195/L195</f>
        <v>4.6400181927039083E-2</v>
      </c>
      <c r="S195" s="3">
        <f t="shared" ref="S195:S258" si="31">R195/(365.25*60*60*24)*(10^-6)</f>
        <v>1.4703330394909335E-15</v>
      </c>
      <c r="T195" s="3"/>
      <c r="U195" s="9">
        <f t="shared" si="27"/>
        <v>2.7122120294697711E-3</v>
      </c>
      <c r="V195" s="3">
        <f t="shared" si="28"/>
        <v>8.5944812960103782E-17</v>
      </c>
    </row>
    <row r="196" spans="1:22" x14ac:dyDescent="0.2">
      <c r="A196" t="s">
        <v>645</v>
      </c>
      <c r="B196" s="1" t="str">
        <f>VLOOKUP(REPLACE(A196,FIND("dist",A196),4,"fit")&amp;"*",'[413]t (Cherniak)'!$A:$A,1,0)</f>
        <v>CGI009-qtz12-CL-fit-4-offset</v>
      </c>
      <c r="C196">
        <v>2000</v>
      </c>
      <c r="D196">
        <v>1024</v>
      </c>
      <c r="E196" s="1">
        <f t="shared" si="24"/>
        <v>1.953125</v>
      </c>
      <c r="F196">
        <f>'[608]CGI009-qtz12-CL-dist-4'!$B$4</f>
        <v>81.024699999999996</v>
      </c>
      <c r="G196" s="1">
        <f t="shared" si="29"/>
        <v>158.25136718749999</v>
      </c>
      <c r="H196" s="1"/>
      <c r="I196" s="1" t="str">
        <f>VLOOKUP($B196, '[413]t (Cherniak) Category'!$1:$1048576, MATCH(I$1, '[413]t (Cherniak) Category'!$1:$1, 0), 0)</f>
        <v>Interior</v>
      </c>
      <c r="J196" s="1"/>
      <c r="K196" s="4">
        <f>VLOOKUP($B196, '[413]t (Cherniak)'!$1:$1048576, MATCH(LEFT(K$1,FIND(" (",K$1)-1), '[413]t (Cherniak)'!$1:$1, 0), 0)</f>
        <v>105.9124181420629</v>
      </c>
      <c r="L196" s="4">
        <f>'D(Ti_Audétat23) Times'!Z196</f>
        <v>7445.6256272097417</v>
      </c>
      <c r="M196" s="4">
        <f>VLOOKUP($B196, '[413]t (J)'!$1:$1048576, MATCH(LEFT(M$1,FIND(" (",M$1)-1),'[413]t (J)'!$1:$1, 0), 0)</f>
        <v>127378.82581056778</v>
      </c>
      <c r="O196" s="1">
        <f t="shared" si="25"/>
        <v>1.4941719768425417</v>
      </c>
      <c r="P196" s="3">
        <f t="shared" si="26"/>
        <v>4.734745281144769E-14</v>
      </c>
      <c r="Q196" s="3"/>
      <c r="R196" s="11">
        <f t="shared" si="30"/>
        <v>2.1254274000720195E-2</v>
      </c>
      <c r="S196" s="3">
        <f t="shared" si="31"/>
        <v>6.7350730095825396E-16</v>
      </c>
      <c r="T196" s="3"/>
      <c r="U196" s="9">
        <f t="shared" si="27"/>
        <v>1.2423679224586707E-3</v>
      </c>
      <c r="V196" s="3">
        <f t="shared" si="28"/>
        <v>3.9368263824203065E-17</v>
      </c>
    </row>
    <row r="197" spans="1:22" x14ac:dyDescent="0.2">
      <c r="A197" t="s">
        <v>646</v>
      </c>
      <c r="B197" s="1" t="str">
        <f>VLOOKUP(REPLACE(A197,FIND("dist",A197),4,"fit")&amp;"*",'[413]t (Cherniak)'!$A:$A,1,0)</f>
        <v>CGI011-qtz01-CL-fit-1-offset</v>
      </c>
      <c r="C197">
        <v>2000</v>
      </c>
      <c r="D197">
        <v>1024</v>
      </c>
      <c r="E197" s="1">
        <f t="shared" si="24"/>
        <v>1.953125</v>
      </c>
      <c r="F197">
        <f>'[609]CGI011-qtz01-CL-dist-1'!$B$4</f>
        <v>357.74</v>
      </c>
      <c r="G197" s="1">
        <f t="shared" si="29"/>
        <v>698.7109375</v>
      </c>
      <c r="H197" s="1"/>
      <c r="I197" s="1" t="str">
        <f>VLOOKUP($B197, '[413]t (Cherniak) Category'!$1:$1048576, MATCH(I$1, '[413]t (Cherniak) Category'!$1:$1, 0), 0)</f>
        <v>Core</v>
      </c>
      <c r="J197" s="1"/>
      <c r="K197" s="4">
        <f>VLOOKUP($B197, '[413]t (Cherniak)'!$1:$1048576, MATCH(LEFT(K$1,FIND(" (",K$1)-1), '[413]t (Cherniak)'!$1:$1, 0), 0)</f>
        <v>833.94332831799773</v>
      </c>
      <c r="L197" s="4">
        <f>'D(Ti_Audétat23) Times'!Z197</f>
        <v>58626.079225539739</v>
      </c>
      <c r="M197" s="4">
        <f>VLOOKUP($B197, '[413]t (J)'!$1:$1048576, MATCH(LEFT(M$1,FIND(" (",M$1)-1),'[413]t (J)'!$1:$1, 0), 0)</f>
        <v>1002967.5822453501</v>
      </c>
      <c r="O197" s="1">
        <f t="shared" si="25"/>
        <v>0.83783983128595618</v>
      </c>
      <c r="P197" s="3">
        <f t="shared" si="26"/>
        <v>2.654954214788058E-14</v>
      </c>
      <c r="Q197" s="3"/>
      <c r="R197" s="11">
        <f t="shared" si="30"/>
        <v>1.191809083483132E-2</v>
      </c>
      <c r="S197" s="3">
        <f t="shared" si="31"/>
        <v>3.7766150894970845E-16</v>
      </c>
      <c r="T197" s="3"/>
      <c r="U197" s="9">
        <f t="shared" si="27"/>
        <v>6.9664359034994053E-4</v>
      </c>
      <c r="V197" s="3">
        <f t="shared" si="28"/>
        <v>2.2075303266089324E-17</v>
      </c>
    </row>
    <row r="198" spans="1:22" x14ac:dyDescent="0.2">
      <c r="A198" t="s">
        <v>647</v>
      </c>
      <c r="B198" s="1" t="str">
        <f>VLOOKUP(REPLACE(A198,FIND("dist",A198),4,"fit")&amp;"*",'[413]t (Cherniak)'!$A:$A,1,0)</f>
        <v>CGI011-qtz01-CL-fit-2-offset</v>
      </c>
      <c r="C198">
        <v>2000</v>
      </c>
      <c r="D198">
        <v>1024</v>
      </c>
      <c r="E198" s="1">
        <f t="shared" si="24"/>
        <v>1.953125</v>
      </c>
      <c r="F198">
        <f>'[610]CGI011-qtz01-CL-dist-2'!$B$4</f>
        <v>202.09399999999999</v>
      </c>
      <c r="G198" s="1">
        <f t="shared" si="29"/>
        <v>394.71484375</v>
      </c>
      <c r="H198" s="1"/>
      <c r="I198" s="1" t="str">
        <f>VLOOKUP($B198, '[413]t (Cherniak) Category'!$1:$1048576, MATCH(I$1, '[413]t (Cherniak) Category'!$1:$1, 0), 0)</f>
        <v>Core</v>
      </c>
      <c r="J198" s="1"/>
      <c r="K198" s="4">
        <f>VLOOKUP($B198, '[413]t (Cherniak)'!$1:$1048576, MATCH(LEFT(K$1,FIND(" (",K$1)-1), '[413]t (Cherniak)'!$1:$1, 0), 0)</f>
        <v>407.20948021397311</v>
      </c>
      <c r="L198" s="4">
        <f>'D(Ti_Audétat23) Times'!Z198</f>
        <v>28626.759682298216</v>
      </c>
      <c r="M198" s="4">
        <f>VLOOKUP($B198, '[413]t (J)'!$1:$1048576, MATCH(LEFT(M$1,FIND(" (",M$1)-1),'[413]t (J)'!$1:$1, 0), 0)</f>
        <v>489743.00047623517</v>
      </c>
      <c r="O198" s="1">
        <f t="shared" si="25"/>
        <v>0.96931644013442997</v>
      </c>
      <c r="P198" s="3">
        <f t="shared" si="26"/>
        <v>3.0715784474561753E-14</v>
      </c>
      <c r="Q198" s="3"/>
      <c r="R198" s="11">
        <f t="shared" si="30"/>
        <v>1.3788317229423553E-2</v>
      </c>
      <c r="S198" s="3">
        <f t="shared" si="31"/>
        <v>4.3692540717366192E-16</v>
      </c>
      <c r="T198" s="3"/>
      <c r="U198" s="9">
        <f t="shared" si="27"/>
        <v>8.0596321614841246E-4</v>
      </c>
      <c r="V198" s="3">
        <f t="shared" si="28"/>
        <v>2.553943316818809E-17</v>
      </c>
    </row>
    <row r="199" spans="1:22" x14ac:dyDescent="0.2">
      <c r="A199" t="s">
        <v>648</v>
      </c>
      <c r="B199" s="1" t="str">
        <f>VLOOKUP(REPLACE(A199,FIND("dist",A199),4,"fit")&amp;"*",'[413]t (Cherniak)'!$A:$A,1,0)</f>
        <v>CGI011-qtz01-CL-fit-3-offset</v>
      </c>
      <c r="C199">
        <v>2000</v>
      </c>
      <c r="D199">
        <v>1024</v>
      </c>
      <c r="E199" s="1">
        <f t="shared" si="24"/>
        <v>1.953125</v>
      </c>
      <c r="F199">
        <f>'[611]CGI011-qtz01-CL-dist-3'!$B$4</f>
        <v>148.297</v>
      </c>
      <c r="G199" s="1">
        <f t="shared" si="29"/>
        <v>289.642578125</v>
      </c>
      <c r="H199" s="1"/>
      <c r="I199" s="1" t="str">
        <f>VLOOKUP($B199, '[413]t (Cherniak) Category'!$1:$1048576, MATCH(I$1, '[413]t (Cherniak) Category'!$1:$1, 0), 0)</f>
        <v>Interior</v>
      </c>
      <c r="J199" s="1"/>
      <c r="K199" s="4">
        <f>VLOOKUP($B199, '[413]t (Cherniak)'!$1:$1048576, MATCH(LEFT(K$1,FIND(" (",K$1)-1), '[413]t (Cherniak)'!$1:$1, 0), 0)</f>
        <v>249.94909393910993</v>
      </c>
      <c r="L199" s="4">
        <f>'D(Ti_Audétat23) Times'!Z199</f>
        <v>17571.3803157119</v>
      </c>
      <c r="M199" s="4">
        <f>VLOOKUP($B199, '[413]t (J)'!$1:$1048576, MATCH(LEFT(M$1,FIND(" (",M$1)-1),'[413]t (J)'!$1:$1, 0), 0)</f>
        <v>300608.96216790879</v>
      </c>
      <c r="O199" s="1">
        <f t="shared" si="25"/>
        <v>1.1588062735508846</v>
      </c>
      <c r="P199" s="3">
        <f t="shared" si="26"/>
        <v>3.6720354955728084E-14</v>
      </c>
      <c r="Q199" s="3"/>
      <c r="R199" s="11">
        <f t="shared" si="30"/>
        <v>1.6483769227054329E-2</v>
      </c>
      <c r="S199" s="3">
        <f t="shared" si="31"/>
        <v>5.2233912677308576E-16</v>
      </c>
      <c r="T199" s="3"/>
      <c r="U199" s="9">
        <f t="shared" si="27"/>
        <v>9.6351943746512991E-4</v>
      </c>
      <c r="V199" s="3">
        <f t="shared" si="28"/>
        <v>3.0532088544918814E-17</v>
      </c>
    </row>
    <row r="200" spans="1:22" x14ac:dyDescent="0.2">
      <c r="A200" t="s">
        <v>649</v>
      </c>
      <c r="B200" s="1" t="str">
        <f>VLOOKUP(REPLACE(A200,FIND("dist",A200),4,"fit")&amp;"*",'[413]t (Cherniak)'!$A:$A,1,0)</f>
        <v>CGI011-qtz01-CL-fit-4-offset</v>
      </c>
      <c r="C200">
        <v>2000</v>
      </c>
      <c r="D200">
        <v>1024</v>
      </c>
      <c r="E200" s="1">
        <f t="shared" si="24"/>
        <v>1.953125</v>
      </c>
      <c r="F200">
        <f>'[612]CGI011-qtz01-CL-dist-4'!$B$4</f>
        <v>72.111000000000004</v>
      </c>
      <c r="G200" s="1">
        <f t="shared" si="29"/>
        <v>140.841796875</v>
      </c>
      <c r="H200" s="1"/>
      <c r="I200" s="1" t="str">
        <f>VLOOKUP($B200, '[413]t (Cherniak) Category'!$1:$1048576, MATCH(I$1, '[413]t (Cherniak) Category'!$1:$1, 0), 0)</f>
        <v>Interior</v>
      </c>
      <c r="J200" s="1"/>
      <c r="K200" s="4">
        <f>'[613]t (Cherniak)'!$Z$200</f>
        <v>1382.5593822999253</v>
      </c>
      <c r="L200" s="4">
        <f>'D(Ti_Audétat23) Times'!Z200</f>
        <v>97193.697854995407</v>
      </c>
      <c r="M200" s="4">
        <f>'[613]t (J)'!$Z$200</f>
        <v>1662777.546014759</v>
      </c>
      <c r="O200" s="1">
        <f t="shared" si="25"/>
        <v>0.10187034182987918</v>
      </c>
      <c r="P200" s="3">
        <f t="shared" si="26"/>
        <v>3.2280763375503578E-15</v>
      </c>
      <c r="Q200" s="3"/>
      <c r="R200" s="11">
        <f t="shared" si="30"/>
        <v>1.4490836338496328E-3</v>
      </c>
      <c r="S200" s="3">
        <f t="shared" si="31"/>
        <v>4.5918689439299335E-17</v>
      </c>
      <c r="T200" s="3"/>
      <c r="U200" s="9">
        <f t="shared" si="27"/>
        <v>8.470272960599017E-5</v>
      </c>
      <c r="V200" s="3">
        <f t="shared" si="28"/>
        <v>2.6840675338425665E-18</v>
      </c>
    </row>
    <row r="201" spans="1:22" x14ac:dyDescent="0.2">
      <c r="A201" t="s">
        <v>650</v>
      </c>
      <c r="B201" s="1" t="str">
        <f>VLOOKUP(REPLACE(A201,FIND("dist",A201),4,"fit")&amp;"*",'[413]t (Cherniak)'!$A:$A,1,0)</f>
        <v>CGI011-qtz01-CL-fit-5-offset</v>
      </c>
      <c r="C201">
        <v>2000</v>
      </c>
      <c r="D201">
        <v>1024</v>
      </c>
      <c r="E201" s="1">
        <f t="shared" si="24"/>
        <v>1.953125</v>
      </c>
      <c r="F201">
        <f>'[614]CGI011-qtz01-CL-dist-5'!$B$4</f>
        <v>35.170999999999999</v>
      </c>
      <c r="G201" s="1">
        <f t="shared" si="29"/>
        <v>68.693359375</v>
      </c>
      <c r="H201" s="1"/>
      <c r="I201" s="1" t="str">
        <f>VLOOKUP($B201, '[413]t (Cherniak) Category'!$1:$1048576, MATCH(I$1, '[413]t (Cherniak) Category'!$1:$1, 0), 0)</f>
        <v>Rim</v>
      </c>
      <c r="J201" s="1"/>
      <c r="K201" s="4">
        <f>VLOOKUP($B201, '[413]t (Cherniak)'!$1:$1048576, MATCH(LEFT(K$1,FIND(" (",K$1)-1), '[413]t (Cherniak)'!$1:$1, 0), 0)</f>
        <v>92.235248545000189</v>
      </c>
      <c r="L201" s="4">
        <f>'D(Ti_Audétat23) Times'!Z201</f>
        <v>6484.1228474035988</v>
      </c>
      <c r="M201" s="4">
        <f>VLOOKUP($B201, '[413]t (J)'!$1:$1048576, MATCH(LEFT(M$1,FIND(" (",M$1)-1),'[413]t (J)'!$1:$1, 0), 0)</f>
        <v>110929.55730884202</v>
      </c>
      <c r="O201" s="1">
        <f t="shared" si="25"/>
        <v>0.74476255508202538</v>
      </c>
      <c r="P201" s="3">
        <f t="shared" si="26"/>
        <v>2.3600101246039793E-14</v>
      </c>
      <c r="Q201" s="3"/>
      <c r="R201" s="11">
        <f t="shared" si="30"/>
        <v>1.0594086662393589E-2</v>
      </c>
      <c r="S201" s="3">
        <f t="shared" si="31"/>
        <v>3.357063484673609E-16</v>
      </c>
      <c r="T201" s="3"/>
      <c r="U201" s="9">
        <f t="shared" si="27"/>
        <v>6.1925208250627865E-4</v>
      </c>
      <c r="V201" s="3">
        <f t="shared" si="28"/>
        <v>1.962291436947926E-17</v>
      </c>
    </row>
    <row r="202" spans="1:22" x14ac:dyDescent="0.2">
      <c r="A202" t="s">
        <v>651</v>
      </c>
      <c r="B202" s="1" t="str">
        <f>VLOOKUP(REPLACE(A202,FIND("dist",A202),4,"fit")&amp;"*",'[413]t (Cherniak)'!$A:$A,1,0)</f>
        <v>CGI011-qtz02-CL-fit-1-offset</v>
      </c>
      <c r="C202">
        <v>1600</v>
      </c>
      <c r="D202">
        <v>1024</v>
      </c>
      <c r="E202" s="1">
        <f t="shared" si="24"/>
        <v>1.5625</v>
      </c>
      <c r="F202">
        <f>'[615]CGI011-qtz02-CL-dist-1'!$B$4</f>
        <v>930.85799999999995</v>
      </c>
      <c r="G202" s="1">
        <f t="shared" si="29"/>
        <v>1454.4656249999998</v>
      </c>
      <c r="H202" s="1"/>
      <c r="I202" s="1" t="str">
        <f>VLOOKUP($B202, '[413]t (Cherniak) Category'!$1:$1048576, MATCH(I$1, '[413]t (Cherniak) Category'!$1:$1, 0), 0)</f>
        <v>Core</v>
      </c>
      <c r="J202" s="1"/>
      <c r="K202" s="4">
        <f>VLOOKUP($B202, '[413]t (Cherniak)'!$1:$1048576, MATCH(LEFT(K$1,FIND(" (",K$1)-1), '[413]t (Cherniak)'!$1:$1, 0), 0)</f>
        <v>1054.7393705334305</v>
      </c>
      <c r="L202" s="4">
        <f>'D(Ti_Audétat23) Times'!Z202</f>
        <v>74148.00478577592</v>
      </c>
      <c r="M202" s="4">
        <f>VLOOKUP($B202, '[413]t (J)'!$1:$1048576, MATCH(LEFT(M$1,FIND(" (",M$1)-1),'[413]t (J)'!$1:$1, 0), 0)</f>
        <v>1268514.7304871925</v>
      </c>
      <c r="O202" s="1">
        <f t="shared" si="25"/>
        <v>1.3789810692895719</v>
      </c>
      <c r="P202" s="3">
        <f t="shared" si="26"/>
        <v>4.3697273217531491E-14</v>
      </c>
      <c r="Q202" s="3"/>
      <c r="R202" s="11">
        <f t="shared" si="30"/>
        <v>1.9615708193391809E-2</v>
      </c>
      <c r="S202" s="3">
        <f t="shared" si="31"/>
        <v>6.2158428376656672E-16</v>
      </c>
      <c r="T202" s="3"/>
      <c r="U202" s="9">
        <f t="shared" si="27"/>
        <v>1.1465894640745639E-3</v>
      </c>
      <c r="V202" s="3">
        <f t="shared" si="28"/>
        <v>3.6333227624235172E-17</v>
      </c>
    </row>
    <row r="203" spans="1:22" x14ac:dyDescent="0.2">
      <c r="A203" t="s">
        <v>652</v>
      </c>
      <c r="B203" s="1" t="str">
        <f>VLOOKUP(REPLACE(A203,FIND("dist",A203),4,"fit")&amp;"*",'[413]t (Cherniak)'!$A:$A,1,0)</f>
        <v>CGI011-qtz02-CL-fit-2-offset</v>
      </c>
      <c r="C203">
        <v>1600</v>
      </c>
      <c r="D203">
        <v>1024</v>
      </c>
      <c r="E203" s="1">
        <f t="shared" si="24"/>
        <v>1.5625</v>
      </c>
      <c r="F203">
        <f>'[616]CGI011-qtz02-CL-dist-2'!$B$4</f>
        <v>519.54200000000003</v>
      </c>
      <c r="G203" s="1">
        <f t="shared" si="29"/>
        <v>811.78437500000007</v>
      </c>
      <c r="H203" s="1"/>
      <c r="I203" s="1" t="str">
        <f>VLOOKUP($B203, '[413]t (Cherniak) Category'!$1:$1048576, MATCH(I$1, '[413]t (Cherniak) Category'!$1:$1, 0), 0)</f>
        <v>Core</v>
      </c>
      <c r="J203" s="1"/>
      <c r="K203" s="4">
        <f>VLOOKUP($B203, '[413]t (Cherniak)'!$1:$1048576, MATCH(LEFT(K$1,FIND(" (",K$1)-1), '[413]t (Cherniak)'!$1:$1, 0), 0)</f>
        <v>918.42547320916458</v>
      </c>
      <c r="L203" s="4">
        <f>'D(Ti_Audétat23) Times'!Z203</f>
        <v>64565.160157481019</v>
      </c>
      <c r="M203" s="4">
        <f>VLOOKUP($B203, '[413]t (J)'!$1:$1048576, MATCH(LEFT(M$1,FIND(" (",M$1)-1),'[413]t (J)'!$1:$1, 0), 0)</f>
        <v>1104572.6310863723</v>
      </c>
      <c r="O203" s="1">
        <f t="shared" si="25"/>
        <v>0.88388704220437297</v>
      </c>
      <c r="P203" s="3">
        <f t="shared" si="26"/>
        <v>2.8008690211054483E-14</v>
      </c>
      <c r="Q203" s="3"/>
      <c r="R203" s="11">
        <f t="shared" si="30"/>
        <v>1.2573102475390367E-2</v>
      </c>
      <c r="S203" s="3">
        <f t="shared" si="31"/>
        <v>3.984175753349547E-16</v>
      </c>
      <c r="T203" s="3"/>
      <c r="U203" s="9">
        <f t="shared" si="27"/>
        <v>7.3493073443399708E-4</v>
      </c>
      <c r="V203" s="3">
        <f t="shared" si="28"/>
        <v>2.328854964997329E-17</v>
      </c>
    </row>
    <row r="204" spans="1:22" x14ac:dyDescent="0.2">
      <c r="A204" t="s">
        <v>653</v>
      </c>
      <c r="B204" s="1" t="str">
        <f>VLOOKUP(REPLACE(A204,FIND("dist",A204),4,"fit")&amp;"*",'[413]t (Cherniak)'!$A:$A,1,0)</f>
        <v>CGI011-qtz02-CL-fit-3-offset</v>
      </c>
      <c r="C204">
        <v>1600</v>
      </c>
      <c r="D204">
        <v>1024</v>
      </c>
      <c r="E204" s="1">
        <f t="shared" si="24"/>
        <v>1.5625</v>
      </c>
      <c r="F204">
        <f>'[617]CGI011-qtz02-CL-dist-3'!$B$4</f>
        <v>335.72199999999998</v>
      </c>
      <c r="G204" s="1">
        <f t="shared" si="29"/>
        <v>524.56562499999995</v>
      </c>
      <c r="H204" s="1"/>
      <c r="I204" s="1" t="str">
        <f>VLOOKUP($B204, '[413]t (Cherniak) Category'!$1:$1048576, MATCH(I$1, '[413]t (Cherniak) Category'!$1:$1, 0), 0)</f>
        <v>Interior</v>
      </c>
      <c r="J204" s="1"/>
      <c r="K204" s="4">
        <f>VLOOKUP($B204, '[413]t (Cherniak)'!$1:$1048576, MATCH(LEFT(K$1,FIND(" (",K$1)-1), '[413]t (Cherniak)'!$1:$1, 0), 0)</f>
        <v>183.86514896144641</v>
      </c>
      <c r="L204" s="4">
        <f>'D(Ti_Audétat23) Times'!Z204</f>
        <v>12925.689820638605</v>
      </c>
      <c r="M204" s="4">
        <f>VLOOKUP($B204, '[413]t (J)'!$1:$1048576, MATCH(LEFT(M$1,FIND(" (",M$1)-1),'[413]t (J)'!$1:$1, 0), 0)</f>
        <v>221131.0740802807</v>
      </c>
      <c r="O204" s="1">
        <f t="shared" si="25"/>
        <v>2.8529910532963103</v>
      </c>
      <c r="P204" s="3">
        <f t="shared" si="26"/>
        <v>9.0405831029492432E-14</v>
      </c>
      <c r="Q204" s="3"/>
      <c r="R204" s="11">
        <f t="shared" si="30"/>
        <v>4.0583182196003161E-2</v>
      </c>
      <c r="S204" s="3">
        <f t="shared" si="31"/>
        <v>1.2860034411996842E-15</v>
      </c>
      <c r="T204" s="3"/>
      <c r="U204" s="9">
        <f t="shared" si="27"/>
        <v>2.3721931762948822E-3</v>
      </c>
      <c r="V204" s="3">
        <f t="shared" si="28"/>
        <v>7.5170265682272483E-17</v>
      </c>
    </row>
    <row r="205" spans="1:22" x14ac:dyDescent="0.2">
      <c r="A205" t="s">
        <v>654</v>
      </c>
      <c r="B205" s="1" t="str">
        <f>VLOOKUP(REPLACE(A205,FIND("dist",A205),4,"fit")&amp;"*",'[413]t (Cherniak)'!$A:$A,1,0)</f>
        <v>CGI011-qtz02-CL-fit-4-offset</v>
      </c>
      <c r="C205">
        <v>1600</v>
      </c>
      <c r="D205">
        <v>1024</v>
      </c>
      <c r="E205" s="1">
        <f t="shared" si="24"/>
        <v>1.5625</v>
      </c>
      <c r="F205">
        <f>'[618]CGI011-qtz02-CL-dist-4'!$B$4</f>
        <v>238.00200000000001</v>
      </c>
      <c r="G205" s="1">
        <f t="shared" si="29"/>
        <v>371.87812500000001</v>
      </c>
      <c r="H205" s="1"/>
      <c r="I205" s="1" t="str">
        <f>VLOOKUP($B205, '[413]t (Cherniak) Category'!$1:$1048576, MATCH(I$1, '[413]t (Cherniak) Category'!$1:$1, 0), 0)</f>
        <v>Interior</v>
      </c>
      <c r="J205" s="1"/>
      <c r="K205" s="4">
        <f>VLOOKUP($B205, '[413]t (Cherniak)'!$1:$1048576, MATCH(LEFT(K$1,FIND(" (",K$1)-1), '[413]t (Cherniak)'!$1:$1, 0), 0)</f>
        <v>197.66274392032989</v>
      </c>
      <c r="L205" s="4">
        <f>'D(Ti_Audétat23) Times'!Z205</f>
        <v>13895.658483632647</v>
      </c>
      <c r="M205" s="4">
        <f>VLOOKUP($B205, '[413]t (J)'!$1:$1048576, MATCH(LEFT(M$1,FIND(" (",M$1)-1),'[413]t (J)'!$1:$1, 0), 0)</f>
        <v>237725.1758457128</v>
      </c>
      <c r="O205" s="1">
        <f t="shared" si="25"/>
        <v>1.8813769232602049</v>
      </c>
      <c r="P205" s="3">
        <f t="shared" si="26"/>
        <v>5.9617237155556973E-14</v>
      </c>
      <c r="Q205" s="3"/>
      <c r="R205" s="11">
        <f t="shared" si="30"/>
        <v>2.6762180823458354E-2</v>
      </c>
      <c r="S205" s="3">
        <f t="shared" si="31"/>
        <v>8.4804233602866983E-16</v>
      </c>
      <c r="T205" s="3"/>
      <c r="U205" s="9">
        <f t="shared" si="27"/>
        <v>1.5643194864701855E-3</v>
      </c>
      <c r="V205" s="3">
        <f t="shared" si="28"/>
        <v>4.9570293256463904E-17</v>
      </c>
    </row>
    <row r="206" spans="1:22" x14ac:dyDescent="0.2">
      <c r="A206" t="s">
        <v>655</v>
      </c>
      <c r="B206" s="1" t="str">
        <f>VLOOKUP(REPLACE(A206,FIND("dist",A206),4,"fit")&amp;"*",'[413]t (Cherniak)'!$A:$A,1,0)</f>
        <v>CGI011-qtz02-CL-fit-5-offset</v>
      </c>
      <c r="C206">
        <v>1600</v>
      </c>
      <c r="D206">
        <v>1024</v>
      </c>
      <c r="E206" s="1">
        <f t="shared" si="24"/>
        <v>1.5625</v>
      </c>
      <c r="F206">
        <f>'[619]CGI011-qtz02-CL-dist-5'!$B$4</f>
        <v>140.28899999999999</v>
      </c>
      <c r="G206" s="1">
        <f t="shared" si="29"/>
        <v>219.20156249999997</v>
      </c>
      <c r="H206" s="1"/>
      <c r="I206" s="1" t="str">
        <f>VLOOKUP($B206, '[413]t (Cherniak) Category'!$1:$1048576, MATCH(I$1, '[413]t (Cherniak) Category'!$1:$1, 0), 0)</f>
        <v>Interior</v>
      </c>
      <c r="J206" s="1"/>
      <c r="K206" s="4">
        <f>VLOOKUP($B206, '[413]t (Cherniak)'!$1:$1048576, MATCH(LEFT(K$1,FIND(" (",K$1)-1), '[413]t (Cherniak)'!$1:$1, 0), 0)</f>
        <v>48.103696168329179</v>
      </c>
      <c r="L206" s="4">
        <f>'D(Ti_Audétat23) Times'!Z206</f>
        <v>3381.6819522901583</v>
      </c>
      <c r="M206" s="4">
        <f>VLOOKUP($B206, '[413]t (J)'!$1:$1048576, MATCH(LEFT(M$1,FIND(" (",M$1)-1),'[413]t (J)'!$1:$1, 0), 0)</f>
        <v>57853.389078996006</v>
      </c>
      <c r="O206" s="1">
        <f t="shared" si="25"/>
        <v>4.5568548772831994</v>
      </c>
      <c r="P206" s="3">
        <f t="shared" si="26"/>
        <v>1.4439801750713613E-13</v>
      </c>
      <c r="Q206" s="3"/>
      <c r="R206" s="11">
        <f t="shared" si="30"/>
        <v>6.482027748101836E-2</v>
      </c>
      <c r="S206" s="3">
        <f t="shared" si="31"/>
        <v>2.0540306449482328E-15</v>
      </c>
      <c r="T206" s="3"/>
      <c r="U206" s="9">
        <f t="shared" si="27"/>
        <v>3.7889148067141031E-3</v>
      </c>
      <c r="V206" s="3">
        <f t="shared" si="28"/>
        <v>1.2006346511503102E-16</v>
      </c>
    </row>
    <row r="207" spans="1:22" x14ac:dyDescent="0.2">
      <c r="A207" t="s">
        <v>656</v>
      </c>
      <c r="B207" s="1" t="str">
        <f>VLOOKUP(REPLACE(A207,FIND("dist",A207),4,"fit")&amp;"*",'[413]t (Cherniak)'!$A:$A,1,0)</f>
        <v>CGI011-qtz03-CL-fit-1-offset</v>
      </c>
      <c r="C207">
        <v>1550</v>
      </c>
      <c r="D207">
        <v>1024</v>
      </c>
      <c r="E207" s="1">
        <f t="shared" si="24"/>
        <v>1.513671875</v>
      </c>
      <c r="F207">
        <f>'[620]CGI011-qtz03-CL-dist-1'!$B$4</f>
        <v>529.52800000000002</v>
      </c>
      <c r="G207" s="1">
        <f t="shared" si="29"/>
        <v>801.53164062500002</v>
      </c>
      <c r="H207" s="1"/>
      <c r="I207" s="1" t="str">
        <f>VLOOKUP($B207, '[413]t (Cherniak) Category'!$1:$1048576, MATCH(I$1, '[413]t (Cherniak) Category'!$1:$1, 0), 0)</f>
        <v>Core</v>
      </c>
      <c r="J207" s="1"/>
      <c r="K207" s="4">
        <f>VLOOKUP($B207, '[413]t (Cherniak)'!$1:$1048576, MATCH(LEFT(K$1,FIND(" (",K$1)-1), '[413]t (Cherniak)'!$1:$1, 0), 0)</f>
        <v>1255.3214267163735</v>
      </c>
      <c r="L207" s="4">
        <f>'D(Ti_Audétat23) Times'!Z207</f>
        <v>88248.890442743286</v>
      </c>
      <c r="M207" s="4">
        <f>VLOOKUP($B207, '[413]t (J)'!$1:$1048576, MATCH(LEFT(M$1,FIND(" (",M$1)-1),'[413]t (J)'!$1:$1, 0), 0)</f>
        <v>1509750.9069757881</v>
      </c>
      <c r="O207" s="1">
        <f t="shared" si="25"/>
        <v>0.63850709751813828</v>
      </c>
      <c r="P207" s="3">
        <f t="shared" si="26"/>
        <v>2.0233068976035509E-14</v>
      </c>
      <c r="Q207" s="3"/>
      <c r="R207" s="11">
        <f t="shared" si="30"/>
        <v>9.0826257033230495E-3</v>
      </c>
      <c r="S207" s="3">
        <f t="shared" si="31"/>
        <v>2.8781104086885727E-16</v>
      </c>
      <c r="T207" s="3"/>
      <c r="U207" s="9">
        <f t="shared" si="27"/>
        <v>5.309032350446233E-4</v>
      </c>
      <c r="V207" s="3">
        <f t="shared" si="28"/>
        <v>1.6823308332846074E-17</v>
      </c>
    </row>
    <row r="208" spans="1:22" x14ac:dyDescent="0.2">
      <c r="A208" t="s">
        <v>657</v>
      </c>
      <c r="B208" s="1" t="str">
        <f>VLOOKUP(REPLACE(A208,FIND("dist",A208),4,"fit")&amp;"*",'[413]t (Cherniak)'!$A:$A,1,0)</f>
        <v>CGI011-qtz03-CL-fit-2-offset</v>
      </c>
      <c r="C208">
        <v>1550</v>
      </c>
      <c r="D208">
        <v>1024</v>
      </c>
      <c r="E208" s="1">
        <f t="shared" si="24"/>
        <v>1.513671875</v>
      </c>
      <c r="F208">
        <f>'[621]CGI011-qtz03-CL-dist-2'!$B$4</f>
        <v>225.559</v>
      </c>
      <c r="G208" s="1">
        <f t="shared" si="29"/>
        <v>341.42231445312501</v>
      </c>
      <c r="H208" s="1"/>
      <c r="I208" s="1" t="str">
        <f>VLOOKUP($B208, '[413]t (Cherniak) Category'!$1:$1048576, MATCH(I$1, '[413]t (Cherniak) Category'!$1:$1, 0), 0)</f>
        <v>Interior</v>
      </c>
      <c r="J208" s="1"/>
      <c r="K208" s="4">
        <f>VLOOKUP($B208, '[413]t (Cherniak)'!$1:$1048576, MATCH(LEFT(K$1,FIND(" (",K$1)-1), '[413]t (Cherniak)'!$1:$1, 0), 0)</f>
        <v>719.49771062612308</v>
      </c>
      <c r="L208" s="4">
        <f>'D(Ti_Audétat23) Times'!Z208</f>
        <v>50580.571069305384</v>
      </c>
      <c r="M208" s="4">
        <f>VLOOKUP($B208, '[413]t (J)'!$1:$1048576, MATCH(LEFT(M$1,FIND(" (",M$1)-1),'[413]t (J)'!$1:$1, 0), 0)</f>
        <v>865326.04165468598</v>
      </c>
      <c r="O208" s="1">
        <f t="shared" si="25"/>
        <v>0.47452870163549465</v>
      </c>
      <c r="P208" s="3">
        <f t="shared" si="26"/>
        <v>1.5036907167702696E-14</v>
      </c>
      <c r="Q208" s="3"/>
      <c r="R208" s="11">
        <f t="shared" si="30"/>
        <v>6.7500684004794835E-3</v>
      </c>
      <c r="S208" s="3">
        <f t="shared" si="31"/>
        <v>2.1389676022509579E-16</v>
      </c>
      <c r="T208" s="3"/>
      <c r="U208" s="9">
        <f t="shared" si="27"/>
        <v>3.9455915807208748E-4</v>
      </c>
      <c r="V208" s="3">
        <f t="shared" si="28"/>
        <v>1.2502825248817636E-17</v>
      </c>
    </row>
    <row r="209" spans="1:22" x14ac:dyDescent="0.2">
      <c r="A209" t="s">
        <v>658</v>
      </c>
      <c r="B209" s="1" t="str">
        <f>VLOOKUP(REPLACE(A209,FIND("dist",A209),4,"fit")&amp;"*",'[413]t (Cherniak)'!$A:$A,1,0)</f>
        <v>CGI011-qtz03-CL-fit-3-offset</v>
      </c>
      <c r="C209">
        <v>1550</v>
      </c>
      <c r="D209">
        <v>1024</v>
      </c>
      <c r="E209" s="1">
        <f t="shared" si="24"/>
        <v>1.513671875</v>
      </c>
      <c r="F209">
        <f>'[622]CGI011-qtz03-CL-dist-3'!$B$4</f>
        <v>142.72</v>
      </c>
      <c r="G209" s="1">
        <f t="shared" si="29"/>
        <v>216.03125</v>
      </c>
      <c r="H209" s="1"/>
      <c r="I209" s="1" t="str">
        <f>VLOOKUP($B209, '[413]t (Cherniak) Category'!$1:$1048576, MATCH(I$1, '[413]t (Cherniak) Category'!$1:$1, 0), 0)</f>
        <v>Interior</v>
      </c>
      <c r="J209" s="1"/>
      <c r="K209" s="4">
        <f>VLOOKUP($B209, '[413]t (Cherniak)'!$1:$1048576, MATCH(LEFT(K$1,FIND(" (",K$1)-1), '[413]t (Cherniak)'!$1:$1, 0), 0)</f>
        <v>199.34841561469068</v>
      </c>
      <c r="L209" s="4">
        <f>'D(Ti_Audétat23) Times'!Z209</f>
        <v>14014.160927319283</v>
      </c>
      <c r="M209" s="4">
        <f>VLOOKUP($B209, '[413]t (J)'!$1:$1048576, MATCH(LEFT(M$1,FIND(" (",M$1)-1),'[413]t (J)'!$1:$1, 0), 0)</f>
        <v>239752.50073259984</v>
      </c>
      <c r="O209" s="1">
        <f t="shared" si="25"/>
        <v>1.0836868170427532</v>
      </c>
      <c r="P209" s="3">
        <f t="shared" si="26"/>
        <v>3.4339963021356284E-14</v>
      </c>
      <c r="Q209" s="3"/>
      <c r="R209" s="11">
        <f t="shared" si="30"/>
        <v>1.5415211165362565E-2</v>
      </c>
      <c r="S209" s="3">
        <f t="shared" si="31"/>
        <v>4.8847856507980853E-16</v>
      </c>
      <c r="T209" s="3"/>
      <c r="U209" s="9">
        <f t="shared" si="27"/>
        <v>9.0105942311293527E-4</v>
      </c>
      <c r="V209" s="3">
        <f t="shared" si="28"/>
        <v>2.8552850125260957E-17</v>
      </c>
    </row>
    <row r="210" spans="1:22" x14ac:dyDescent="0.2">
      <c r="A210" t="s">
        <v>659</v>
      </c>
      <c r="B210" s="1" t="str">
        <f>VLOOKUP(REPLACE(A210,FIND("dist",A210),4,"fit")&amp;"*",'[413]t (Cherniak)'!$A:$A,1,0)</f>
        <v>CGI011-qtz04-CL-fit-1-offset</v>
      </c>
      <c r="C210">
        <v>1800</v>
      </c>
      <c r="D210">
        <v>1024</v>
      </c>
      <c r="E210" s="1">
        <f t="shared" si="24"/>
        <v>1.7578125</v>
      </c>
      <c r="F210">
        <f>'[623]CGI011-qtz04-CL-dist-1'!$B$4</f>
        <v>634.88699999999994</v>
      </c>
      <c r="G210" s="1">
        <f t="shared" si="29"/>
        <v>1116.0123046874999</v>
      </c>
      <c r="H210" s="1"/>
      <c r="I210" s="1" t="str">
        <f>VLOOKUP($B210, '[413]t (Cherniak) Category'!$1:$1048576, MATCH(I$1, '[413]t (Cherniak) Category'!$1:$1, 0), 0)</f>
        <v>Core</v>
      </c>
      <c r="J210" s="1"/>
      <c r="K210" s="4">
        <f>VLOOKUP($B210, '[413]t (Cherniak)'!$1:$1048576, MATCH(LEFT(K$1,FIND(" (",K$1)-1), '[413]t (Cherniak)'!$1:$1, 0), 0)</f>
        <v>353.69523842199186</v>
      </c>
      <c r="L210" s="4">
        <f>'D(Ti_Audétat23) Times'!Z210</f>
        <v>24864.717259920257</v>
      </c>
      <c r="M210" s="4">
        <f>VLOOKUP($B210, '[413]t (J)'!$1:$1048576, MATCH(LEFT(M$1,FIND(" (",M$1)-1),'[413]t (J)'!$1:$1, 0), 0)</f>
        <v>425382.45236315049</v>
      </c>
      <c r="O210" s="1">
        <f t="shared" si="25"/>
        <v>3.1552935506471016</v>
      </c>
      <c r="P210" s="3">
        <f t="shared" si="26"/>
        <v>9.9985219111944545E-14</v>
      </c>
      <c r="Q210" s="3"/>
      <c r="R210" s="11">
        <f t="shared" si="30"/>
        <v>4.488336999859692E-2</v>
      </c>
      <c r="S210" s="3">
        <f t="shared" si="31"/>
        <v>1.4222681699050914E-15</v>
      </c>
      <c r="T210" s="3"/>
      <c r="U210" s="9">
        <f t="shared" si="27"/>
        <v>2.6235504038487141E-3</v>
      </c>
      <c r="V210" s="3">
        <f t="shared" si="28"/>
        <v>8.313529558168916E-17</v>
      </c>
    </row>
    <row r="211" spans="1:22" x14ac:dyDescent="0.2">
      <c r="A211" t="s">
        <v>660</v>
      </c>
      <c r="B211" s="1" t="str">
        <f>VLOOKUP(REPLACE(A211,FIND("dist",A211),4,"fit")&amp;"*",'[413]t (Cherniak)'!$A:$A,1,0)</f>
        <v>CGI011-qtz04-CL-fit-2-offset</v>
      </c>
      <c r="C211">
        <v>1800</v>
      </c>
      <c r="D211">
        <v>1024</v>
      </c>
      <c r="E211" s="1">
        <f t="shared" si="24"/>
        <v>1.7578125</v>
      </c>
      <c r="F211">
        <f>'[624]CGI011-qtz04-CL-dist-2'!$B$4</f>
        <v>457.089</v>
      </c>
      <c r="G211" s="1">
        <f t="shared" si="29"/>
        <v>803.47675781249995</v>
      </c>
      <c r="H211" s="1"/>
      <c r="I211" s="1" t="str">
        <f>VLOOKUP($B211, '[413]t (Cherniak) Category'!$1:$1048576, MATCH(I$1, '[413]t (Cherniak) Category'!$1:$1, 0), 0)</f>
        <v>Core</v>
      </c>
      <c r="J211" s="1"/>
      <c r="K211" s="4">
        <f>VLOOKUP($B211, '[413]t (Cherniak)'!$1:$1048576, MATCH(LEFT(K$1,FIND(" (",K$1)-1), '[413]t (Cherniak)'!$1:$1, 0), 0)</f>
        <v>178.40489277230984</v>
      </c>
      <c r="L211" s="4">
        <f>'D(Ti_Audétat23) Times'!Z211</f>
        <v>12541.834705949088</v>
      </c>
      <c r="M211" s="4">
        <f>VLOOKUP($B211, '[413]t (J)'!$1:$1048576, MATCH(LEFT(M$1,FIND(" (",M$1)-1),'[413]t (J)'!$1:$1, 0), 0)</f>
        <v>214564.12910632894</v>
      </c>
      <c r="O211" s="1">
        <f t="shared" si="25"/>
        <v>4.5036699685021606</v>
      </c>
      <c r="P211" s="3">
        <f t="shared" si="26"/>
        <v>1.4271268944730144E-13</v>
      </c>
      <c r="Q211" s="3"/>
      <c r="R211" s="11">
        <f t="shared" si="30"/>
        <v>6.4063733628332634E-2</v>
      </c>
      <c r="S211" s="3">
        <f t="shared" si="31"/>
        <v>2.0300572169091639E-15</v>
      </c>
      <c r="T211" s="3"/>
      <c r="U211" s="9">
        <f t="shared" si="27"/>
        <v>3.74469283919462E-3</v>
      </c>
      <c r="V211" s="3">
        <f t="shared" si="28"/>
        <v>1.186621555249645E-16</v>
      </c>
    </row>
    <row r="212" spans="1:22" x14ac:dyDescent="0.2">
      <c r="A212" t="s">
        <v>661</v>
      </c>
      <c r="B212" s="1" t="str">
        <f>VLOOKUP(REPLACE(A212,FIND("dist",A212),4,"fit")&amp;"*",'[413]t (Cherniak)'!$A:$A,1,0)</f>
        <v>CGI011-qtz04-CL-fit-3-offset</v>
      </c>
      <c r="C212">
        <v>1800</v>
      </c>
      <c r="D212">
        <v>1024</v>
      </c>
      <c r="E212" s="1">
        <f t="shared" si="24"/>
        <v>1.7578125</v>
      </c>
      <c r="F212">
        <f>'[625]CGI011-qtz04-CL-dist-3'!$B$4</f>
        <v>374.803</v>
      </c>
      <c r="G212" s="1">
        <f t="shared" si="29"/>
        <v>658.83339843750002</v>
      </c>
      <c r="H212" s="1"/>
      <c r="I212" s="1" t="str">
        <f>VLOOKUP($B212, '[413]t (Cherniak) Category'!$1:$1048576, MATCH(I$1, '[413]t (Cherniak) Category'!$1:$1, 0), 0)</f>
        <v>Core</v>
      </c>
      <c r="J212" s="1"/>
      <c r="K212" s="4">
        <f>VLOOKUP($B212, '[413]t (Cherniak)'!$1:$1048576, MATCH(LEFT(K$1,FIND(" (",K$1)-1), '[413]t (Cherniak)'!$1:$1, 0), 0)</f>
        <v>349.27749445959722</v>
      </c>
      <c r="L212" s="4">
        <f>'D(Ti_Audétat23) Times'!Z212</f>
        <v>24554.150583813051</v>
      </c>
      <c r="M212" s="4">
        <f>VLOOKUP($B212, '[413]t (J)'!$1:$1048576, MATCH(LEFT(M$1,FIND(" (",M$1)-1),'[413]t (J)'!$1:$1, 0), 0)</f>
        <v>420069.31676929828</v>
      </c>
      <c r="O212" s="1">
        <f t="shared" si="25"/>
        <v>1.8862749787439017</v>
      </c>
      <c r="P212" s="3">
        <f t="shared" si="26"/>
        <v>5.9772447167842352E-14</v>
      </c>
      <c r="Q212" s="3"/>
      <c r="R212" s="11">
        <f t="shared" si="30"/>
        <v>2.6831854605951055E-2</v>
      </c>
      <c r="S212" s="3">
        <f t="shared" si="31"/>
        <v>8.5025016496663417E-16</v>
      </c>
      <c r="T212" s="3"/>
      <c r="U212" s="9">
        <f t="shared" si="27"/>
        <v>1.5683921013429571E-3</v>
      </c>
      <c r="V212" s="3">
        <f t="shared" si="28"/>
        <v>4.969934663418501E-17</v>
      </c>
    </row>
    <row r="213" spans="1:22" x14ac:dyDescent="0.2">
      <c r="A213" t="s">
        <v>662</v>
      </c>
      <c r="B213" s="1" t="str">
        <f>VLOOKUP(REPLACE(A213,FIND("dist",A213),4,"fit")&amp;"*",'[413]t (Cherniak)'!$A:$A,1,0)</f>
        <v>CGI011-qtz04-CL-fit-4-offset</v>
      </c>
      <c r="C213">
        <v>1800</v>
      </c>
      <c r="D213">
        <v>1024</v>
      </c>
      <c r="E213" s="1">
        <f t="shared" si="24"/>
        <v>1.7578125</v>
      </c>
      <c r="F213">
        <f>'[626]CGI011-qtz04-CL-dist-4'!$B$4</f>
        <v>351.24099999999999</v>
      </c>
      <c r="G213" s="1">
        <f t="shared" si="29"/>
        <v>617.41582031249993</v>
      </c>
      <c r="H213" s="1"/>
      <c r="I213" s="1" t="str">
        <f>VLOOKUP($B213, '[413]t (Cherniak) Category'!$1:$1048576, MATCH(I$1, '[413]t (Cherniak) Category'!$1:$1, 0), 0)</f>
        <v>Interior</v>
      </c>
      <c r="J213" s="1"/>
      <c r="K213" s="4">
        <f>VLOOKUP($B213, '[413]t (Cherniak)'!$1:$1048576, MATCH(LEFT(K$1,FIND(" (",K$1)-1), '[413]t (Cherniak)'!$1:$1, 0), 0)</f>
        <v>218.83627953979999</v>
      </c>
      <c r="L213" s="4">
        <f>'D(Ti_Audétat23) Times'!Z213</f>
        <v>15384.15456551329</v>
      </c>
      <c r="M213" s="4">
        <f>VLOOKUP($B213, '[413]t (J)'!$1:$1048576, MATCH(LEFT(M$1,FIND(" (",M$1)-1),'[413]t (J)'!$1:$1, 0), 0)</f>
        <v>263190.17940977745</v>
      </c>
      <c r="O213" s="1">
        <f t="shared" si="25"/>
        <v>2.8213595186816813</v>
      </c>
      <c r="P213" s="3">
        <f t="shared" si="26"/>
        <v>8.9403488182931561E-14</v>
      </c>
      <c r="Q213" s="3"/>
      <c r="R213" s="11">
        <f t="shared" si="30"/>
        <v>4.013323044066152E-2</v>
      </c>
      <c r="S213" s="3">
        <f t="shared" si="31"/>
        <v>1.2717453304643419E-15</v>
      </c>
      <c r="T213" s="3"/>
      <c r="U213" s="9">
        <f t="shared" si="27"/>
        <v>2.3458923189957105E-3</v>
      </c>
      <c r="V213" s="3">
        <f t="shared" si="28"/>
        <v>7.4336841806592083E-17</v>
      </c>
    </row>
    <row r="214" spans="1:22" x14ac:dyDescent="0.2">
      <c r="A214" t="s">
        <v>663</v>
      </c>
      <c r="B214" s="1" t="str">
        <f>VLOOKUP(REPLACE(A214,FIND("dist",A214),4,"fit")&amp;"*",'[413]t (Cherniak)'!$A:$A,1,0)</f>
        <v>CGI011-qtz04-CL-fit-5-offset</v>
      </c>
      <c r="C214">
        <v>1800</v>
      </c>
      <c r="D214">
        <v>1024</v>
      </c>
      <c r="E214" s="1">
        <f t="shared" si="24"/>
        <v>1.7578125</v>
      </c>
      <c r="F214">
        <f>'[627]CGI011-qtz04-CL-dist-5'!$B$4</f>
        <v>100.09</v>
      </c>
      <c r="G214" s="1">
        <f t="shared" si="29"/>
        <v>175.939453125</v>
      </c>
      <c r="H214" s="1"/>
      <c r="I214" s="1" t="str">
        <f>VLOOKUP($B214, '[413]t (Cherniak) Category'!$1:$1048576, MATCH(I$1, '[413]t (Cherniak) Category'!$1:$1, 0), 0)</f>
        <v>Interior</v>
      </c>
      <c r="J214" s="1"/>
      <c r="K214" s="4">
        <f>VLOOKUP($B214, '[413]t (Cherniak)'!$1:$1048576, MATCH(LEFT(K$1,FIND(" (",K$1)-1), '[413]t (Cherniak)'!$1:$1, 0), 0)</f>
        <v>28.400773241359278</v>
      </c>
      <c r="L214" s="4">
        <f>'D(Ti_Audétat23) Times'!Z214</f>
        <v>1996.5697015320604</v>
      </c>
      <c r="M214" s="4">
        <f>VLOOKUP($B214, '[413]t (J)'!$1:$1048576, MATCH(LEFT(M$1,FIND(" (",M$1)-1),'[413]t (J)'!$1:$1, 0), 0)</f>
        <v>34157.063081536733</v>
      </c>
      <c r="O214" s="1">
        <f t="shared" si="25"/>
        <v>6.1948824994942084</v>
      </c>
      <c r="P214" s="3">
        <f t="shared" si="26"/>
        <v>1.9630398064156361E-13</v>
      </c>
      <c r="Q214" s="3"/>
      <c r="R214" s="11">
        <f t="shared" si="30"/>
        <v>8.8120867000031855E-2</v>
      </c>
      <c r="S214" s="3">
        <f t="shared" si="31"/>
        <v>2.7923817717453752E-15</v>
      </c>
      <c r="T214" s="3"/>
      <c r="U214" s="9">
        <f t="shared" si="27"/>
        <v>5.1508952249498981E-3</v>
      </c>
      <c r="V214" s="3">
        <f t="shared" si="28"/>
        <v>1.6322202020907476E-16</v>
      </c>
    </row>
    <row r="215" spans="1:22" x14ac:dyDescent="0.2">
      <c r="A215" t="s">
        <v>664</v>
      </c>
      <c r="B215" s="1" t="str">
        <f>VLOOKUP(REPLACE(A215,FIND("dist",A215),4,"fit")&amp;"*",'[413]t (Cherniak)'!$A:$A,1,0)</f>
        <v>CGI011-qtz05-CL-fit-1-offset</v>
      </c>
      <c r="C215">
        <v>2200</v>
      </c>
      <c r="D215">
        <v>1024</v>
      </c>
      <c r="E215" s="1">
        <f t="shared" si="24"/>
        <v>2.1484375</v>
      </c>
      <c r="F215">
        <f>'[628]CGI011-qtz05-CL-dist-1'!$B$4</f>
        <v>689.90800000000002</v>
      </c>
      <c r="G215" s="1">
        <f t="shared" si="29"/>
        <v>1482.2242187500001</v>
      </c>
      <c r="H215" s="1"/>
      <c r="I215" s="1" t="str">
        <f>VLOOKUP($B215, '[413]t (Cherniak) Category'!$1:$1048576, MATCH(I$1, '[413]t (Cherniak) Category'!$1:$1, 0), 0)</f>
        <v>Core</v>
      </c>
      <c r="J215" s="1"/>
      <c r="K215" s="4">
        <f>VLOOKUP($B215, '[413]t (Cherniak)'!$1:$1048576, MATCH(LEFT(K$1,FIND(" (",K$1)-1), '[413]t (Cherniak)'!$1:$1, 0), 0)</f>
        <v>862.72317069422161</v>
      </c>
      <c r="L215" s="4">
        <f>'D(Ti_Audétat23) Times'!Z215</f>
        <v>60649.297425090663</v>
      </c>
      <c r="M215" s="4">
        <f>VLOOKUP($B215, '[413]t (J)'!$1:$1048576, MATCH(LEFT(M$1,FIND(" (",M$1)-1),'[413]t (J)'!$1:$1, 0), 0)</f>
        <v>1037580.5444758923</v>
      </c>
      <c r="O215" s="1">
        <f t="shared" si="25"/>
        <v>1.7180762834470695</v>
      </c>
      <c r="P215" s="3">
        <f t="shared" si="26"/>
        <v>5.4442552141071233E-14</v>
      </c>
      <c r="Q215" s="3"/>
      <c r="R215" s="11">
        <f t="shared" si="30"/>
        <v>2.4439264454476643E-2</v>
      </c>
      <c r="S215" s="3">
        <f t="shared" si="31"/>
        <v>7.7443355814373219E-16</v>
      </c>
      <c r="T215" s="3"/>
      <c r="U215" s="9">
        <f t="shared" si="27"/>
        <v>1.4285389473052508E-3</v>
      </c>
      <c r="V215" s="3">
        <f t="shared" si="28"/>
        <v>4.5267667607969255E-17</v>
      </c>
    </row>
    <row r="216" spans="1:22" x14ac:dyDescent="0.2">
      <c r="A216" t="s">
        <v>665</v>
      </c>
      <c r="B216" s="1" t="str">
        <f>VLOOKUP(REPLACE(A216,FIND("dist",A216),4,"fit")&amp;"*",'[413]t (Cherniak)'!$A:$A,1,0)</f>
        <v>CGI011-qtz05-CL-fit-2-offset</v>
      </c>
      <c r="C216">
        <v>2200</v>
      </c>
      <c r="D216">
        <v>1024</v>
      </c>
      <c r="E216" s="1">
        <f t="shared" si="24"/>
        <v>2.1484375</v>
      </c>
      <c r="F216">
        <f>'[629]CGI011-qtz05-CL-dist-2'!$B$4</f>
        <v>576.28499999999997</v>
      </c>
      <c r="G216" s="1">
        <f t="shared" si="29"/>
        <v>1238.1123046875</v>
      </c>
      <c r="H216" s="1"/>
      <c r="I216" s="1" t="str">
        <f>VLOOKUP($B216, '[413]t (Cherniak) Category'!$1:$1048576, MATCH(I$1, '[413]t (Cherniak) Category'!$1:$1, 0), 0)</f>
        <v>Core</v>
      </c>
      <c r="J216" s="1"/>
      <c r="K216" s="4">
        <f>VLOOKUP($B216, '[413]t (Cherniak)'!$1:$1048576, MATCH(LEFT(K$1,FIND(" (",K$1)-1), '[413]t (Cherniak)'!$1:$1, 0), 0)</f>
        <v>1663.9470246008566</v>
      </c>
      <c r="L216" s="4">
        <f>'D(Ti_Audétat23) Times'!Z216</f>
        <v>116975.20296505459</v>
      </c>
      <c r="M216" s="4">
        <f>VLOOKUP($B216, '[413]t (J)'!$1:$1048576, MATCH(LEFT(M$1,FIND(" (",M$1)-1),'[413]t (J)'!$1:$1, 0), 0)</f>
        <v>2001197.0449050574</v>
      </c>
      <c r="O216" s="1">
        <f t="shared" si="25"/>
        <v>0.74408156412581417</v>
      </c>
      <c r="P216" s="3">
        <f t="shared" si="26"/>
        <v>2.3578521944818814E-14</v>
      </c>
      <c r="Q216" s="3"/>
      <c r="R216" s="11">
        <f t="shared" si="30"/>
        <v>1.0584399712966312E-2</v>
      </c>
      <c r="S216" s="3">
        <f t="shared" si="31"/>
        <v>3.353993875632593E-16</v>
      </c>
      <c r="T216" s="3"/>
      <c r="U216" s="9">
        <f t="shared" si="27"/>
        <v>6.1868585496848945E-4</v>
      </c>
      <c r="V216" s="3">
        <f t="shared" si="28"/>
        <v>1.9604971701539072E-17</v>
      </c>
    </row>
    <row r="217" spans="1:22" x14ac:dyDescent="0.2">
      <c r="A217" t="s">
        <v>666</v>
      </c>
      <c r="B217" s="1" t="str">
        <f>VLOOKUP(REPLACE(A217,FIND("dist",A217),4,"fit")&amp;"*",'[413]t (Cherniak)'!$A:$A,1,0)</f>
        <v>CGI011-qtz05-CL-fit-3-offset</v>
      </c>
      <c r="C217">
        <v>2200</v>
      </c>
      <c r="D217">
        <v>1024</v>
      </c>
      <c r="E217" s="1">
        <f t="shared" si="24"/>
        <v>2.1484375</v>
      </c>
      <c r="F217">
        <f>'[630]CGI011-qtz05-CL-dist-3'!$B$4</f>
        <v>375.71300000000002</v>
      </c>
      <c r="G217" s="1">
        <f t="shared" si="29"/>
        <v>807.19589843750009</v>
      </c>
      <c r="H217" s="1"/>
      <c r="I217" s="1" t="str">
        <f>VLOOKUP($B217, '[413]t (Cherniak) Category'!$1:$1048576, MATCH(I$1, '[413]t (Cherniak) Category'!$1:$1, 0), 0)</f>
        <v>Interior</v>
      </c>
      <c r="J217" s="1"/>
      <c r="K217" s="4">
        <f>VLOOKUP($B217, '[413]t (Cherniak)'!$1:$1048576, MATCH(LEFT(K$1,FIND(" (",K$1)-1), '[413]t (Cherniak)'!$1:$1, 0), 0)</f>
        <v>811.13234610351276</v>
      </c>
      <c r="L217" s="4">
        <f>'D(Ti_Audétat23) Times'!Z217</f>
        <v>57022.470916548227</v>
      </c>
      <c r="M217" s="4">
        <f>VLOOKUP($B217, '[413]t (J)'!$1:$1048576, MATCH(LEFT(M$1,FIND(" (",M$1)-1),'[413]t (J)'!$1:$1, 0), 0)</f>
        <v>975533.25319274119</v>
      </c>
      <c r="O217" s="1">
        <f t="shared" si="25"/>
        <v>0.99514697239615402</v>
      </c>
      <c r="P217" s="3">
        <f t="shared" si="26"/>
        <v>3.1534304649154371E-14</v>
      </c>
      <c r="Q217" s="3"/>
      <c r="R217" s="11">
        <f t="shared" si="30"/>
        <v>1.4155750977870156E-2</v>
      </c>
      <c r="S217" s="3">
        <f t="shared" si="31"/>
        <v>4.4856868006027573E-16</v>
      </c>
      <c r="T217" s="3"/>
      <c r="U217" s="9">
        <f t="shared" si="27"/>
        <v>8.2744068005441754E-4</v>
      </c>
      <c r="V217" s="3">
        <f t="shared" si="28"/>
        <v>2.6220012930464215E-17</v>
      </c>
    </row>
    <row r="218" spans="1:22" x14ac:dyDescent="0.2">
      <c r="A218" t="s">
        <v>667</v>
      </c>
      <c r="B218" s="1" t="str">
        <f>VLOOKUP(REPLACE(A218,FIND("dist",A218),4,"fit")&amp;"*",'[413]t (Cherniak)'!$A:$A,1,0)</f>
        <v>CGI011-qtz05-CL-fit-4-offset</v>
      </c>
      <c r="C218">
        <v>2200</v>
      </c>
      <c r="D218">
        <v>1024</v>
      </c>
      <c r="E218" s="1">
        <f t="shared" si="24"/>
        <v>2.1484375</v>
      </c>
      <c r="F218">
        <f>'[631]CGI011-qtz05-CL-dist-4'!$B$4</f>
        <v>290.85399999999998</v>
      </c>
      <c r="G218" s="1">
        <f t="shared" si="29"/>
        <v>624.88164062499993</v>
      </c>
      <c r="H218" s="1"/>
      <c r="I218" s="1" t="str">
        <f>VLOOKUP($B218, '[413]t (Cherniak) Category'!$1:$1048576, MATCH(I$1, '[413]t (Cherniak) Category'!$1:$1, 0), 0)</f>
        <v>Interior</v>
      </c>
      <c r="J218" s="1"/>
      <c r="K218" s="4">
        <f>VLOOKUP($B218, '[413]t (Cherniak)'!$1:$1048576, MATCH(LEFT(K$1,FIND(" (",K$1)-1), '[413]t (Cherniak)'!$1:$1, 0), 0)</f>
        <v>251.66139991602589</v>
      </c>
      <c r="L218" s="4">
        <f>'D(Ti_Audétat23) Times'!Z218</f>
        <v>17691.755145094507</v>
      </c>
      <c r="M218" s="4">
        <f>VLOOKUP($B218, '[413]t (J)'!$1:$1048576, MATCH(LEFT(M$1,FIND(" (",M$1)-1),'[413]t (J)'!$1:$1, 0), 0)</f>
        <v>302668.31959354528</v>
      </c>
      <c r="O218" s="1">
        <f t="shared" si="25"/>
        <v>2.4830253699355951</v>
      </c>
      <c r="P218" s="3">
        <f t="shared" si="26"/>
        <v>7.8682325966980854E-14</v>
      </c>
      <c r="Q218" s="3"/>
      <c r="R218" s="11">
        <f t="shared" si="30"/>
        <v>3.5320500170852996E-2</v>
      </c>
      <c r="S218" s="3">
        <f t="shared" si="31"/>
        <v>1.1192391110494142E-15</v>
      </c>
      <c r="T218" s="3"/>
      <c r="U218" s="9">
        <f t="shared" si="27"/>
        <v>2.0645756432789413E-3</v>
      </c>
      <c r="V218" s="3">
        <f t="shared" si="28"/>
        <v>6.5422454282928396E-17</v>
      </c>
    </row>
    <row r="219" spans="1:22" x14ac:dyDescent="0.2">
      <c r="A219" t="s">
        <v>668</v>
      </c>
      <c r="B219" s="1" t="str">
        <f>VLOOKUP(REPLACE(A219,FIND("dist",A219),4,"fit")&amp;"*",'[413]t (Cherniak)'!$A:$A,1,0)</f>
        <v>CGI011-qtz05-CL-fit-5-offset</v>
      </c>
      <c r="C219">
        <v>2200</v>
      </c>
      <c r="D219">
        <v>1024</v>
      </c>
      <c r="E219" s="1">
        <f t="shared" si="24"/>
        <v>2.1484375</v>
      </c>
      <c r="F219">
        <f>'[632]CGI011-qtz05-CL-dist-5'!$B$4</f>
        <v>109.77200000000001</v>
      </c>
      <c r="G219" s="1">
        <f t="shared" si="29"/>
        <v>235.83828125000002</v>
      </c>
      <c r="H219" s="1"/>
      <c r="I219" s="1" t="str">
        <f>VLOOKUP($B219, '[413]t (Cherniak) Category'!$1:$1048576, MATCH(I$1, '[413]t (Cherniak) Category'!$1:$1, 0), 0)</f>
        <v>Interior</v>
      </c>
      <c r="J219" s="1"/>
      <c r="K219" s="4">
        <f>VLOOKUP($B219, '[413]t (Cherniak)'!$1:$1048576, MATCH(LEFT(K$1,FIND(" (",K$1)-1), '[413]t (Cherniak)'!$1:$1, 0), 0)</f>
        <v>241.13414157035342</v>
      </c>
      <c r="L219" s="4">
        <f>'D(Ti_Audétat23) Times'!Z219</f>
        <v>16951.690609719051</v>
      </c>
      <c r="M219" s="4">
        <f>VLOOKUP($B219, '[413]t (J)'!$1:$1048576, MATCH(LEFT(M$1,FIND(" (",M$1)-1),'[413]t (J)'!$1:$1, 0), 0)</f>
        <v>290007.38869800465</v>
      </c>
      <c r="O219" s="1">
        <f t="shared" si="25"/>
        <v>0.97803770015367864</v>
      </c>
      <c r="P219" s="3">
        <f t="shared" si="26"/>
        <v>3.0992144527900683E-14</v>
      </c>
      <c r="Q219" s="3"/>
      <c r="R219" s="11">
        <f t="shared" si="30"/>
        <v>1.391237527157232E-2</v>
      </c>
      <c r="S219" s="3">
        <f t="shared" si="31"/>
        <v>4.4085656930730854E-16</v>
      </c>
      <c r="T219" s="3"/>
      <c r="U219" s="9">
        <f t="shared" si="27"/>
        <v>8.132147332824926E-4</v>
      </c>
      <c r="V219" s="3">
        <f t="shared" si="28"/>
        <v>2.5769219879917756E-17</v>
      </c>
    </row>
    <row r="220" spans="1:22" x14ac:dyDescent="0.2">
      <c r="A220" t="s">
        <v>669</v>
      </c>
      <c r="B220" s="1" t="str">
        <f>VLOOKUP(REPLACE(A220,FIND("dist",A220),4,"fit")&amp;"*",'[413]t (Cherniak)'!$A:$A,1,0)</f>
        <v>CGI011-qtz06-CL-fit-1-offset</v>
      </c>
      <c r="C220">
        <v>1650</v>
      </c>
      <c r="D220">
        <v>1024</v>
      </c>
      <c r="E220" s="1">
        <f t="shared" si="24"/>
        <v>1.611328125</v>
      </c>
      <c r="F220">
        <f>'[633]CGI011-qtz06-CL-dist-1'!$B$4</f>
        <v>885.404</v>
      </c>
      <c r="G220" s="1">
        <f t="shared" si="29"/>
        <v>1426.6763671875001</v>
      </c>
      <c r="H220" s="1"/>
      <c r="I220" s="1" t="str">
        <f>VLOOKUP($B220, '[413]t (Cherniak) Category'!$1:$1048576, MATCH(I$1, '[413]t (Cherniak) Category'!$1:$1, 0), 0)</f>
        <v>Interior</v>
      </c>
      <c r="J220" s="1"/>
      <c r="K220" s="4">
        <f>VLOOKUP($B220, '[413]t (Cherniak)'!$1:$1048576, MATCH(LEFT(K$1,FIND(" (",K$1)-1), '[413]t (Cherniak)'!$1:$1, 0), 0)</f>
        <v>3420.3912142350364</v>
      </c>
      <c r="L220" s="4">
        <f>'D(Ti_Audétat23) Times'!Z220</f>
        <v>240452.94146369115</v>
      </c>
      <c r="M220" s="4">
        <f>VLOOKUP($B220, '[413]t (J)'!$1:$1048576, MATCH(LEFT(M$1,FIND(" (",M$1)-1),'[413]t (J)'!$1:$1, 0), 0)</f>
        <v>4113638.6490359013</v>
      </c>
      <c r="O220" s="1">
        <f t="shared" si="25"/>
        <v>0.41710911934574518</v>
      </c>
      <c r="P220" s="3">
        <f t="shared" si="26"/>
        <v>1.3217390401860255E-14</v>
      </c>
      <c r="Q220" s="3"/>
      <c r="R220" s="11">
        <f t="shared" si="30"/>
        <v>5.9332872307695638E-3</v>
      </c>
      <c r="S220" s="3">
        <f t="shared" si="31"/>
        <v>1.8801452679448259E-16</v>
      </c>
      <c r="T220" s="3"/>
      <c r="U220" s="9">
        <f t="shared" si="27"/>
        <v>3.4681616177489606E-4</v>
      </c>
      <c r="V220" s="3">
        <f t="shared" si="28"/>
        <v>1.0989940989647377E-17</v>
      </c>
    </row>
    <row r="221" spans="1:22" x14ac:dyDescent="0.2">
      <c r="A221" t="s">
        <v>670</v>
      </c>
      <c r="B221" s="1" t="str">
        <f>VLOOKUP(REPLACE(A221,FIND("dist",A221),4,"fit")&amp;"*",'[413]t (Cherniak)'!$A:$A,1,0)</f>
        <v>CGI011-qtz06-CL-fit-2-offset</v>
      </c>
      <c r="C221">
        <v>1650</v>
      </c>
      <c r="D221">
        <v>1024</v>
      </c>
      <c r="E221" s="1">
        <f t="shared" si="24"/>
        <v>1.611328125</v>
      </c>
      <c r="F221">
        <f>'[634]CGI011-qtz06-CL-dist-2'!$B$4</f>
        <v>530.97</v>
      </c>
      <c r="G221" s="1">
        <f t="shared" si="29"/>
        <v>855.56689453125</v>
      </c>
      <c r="H221" s="1"/>
      <c r="I221" s="1" t="str">
        <f>VLOOKUP($B221, '[413]t (Cherniak) Category'!$1:$1048576, MATCH(I$1, '[413]t (Cherniak) Category'!$1:$1, 0), 0)</f>
        <v>Interior</v>
      </c>
      <c r="J221" s="1"/>
      <c r="K221" s="4">
        <f>VLOOKUP($B221, '[413]t (Cherniak)'!$1:$1048576, MATCH(LEFT(K$1,FIND(" (",K$1)-1), '[413]t (Cherniak)'!$1:$1, 0), 0)</f>
        <v>1078.8322349321186</v>
      </c>
      <c r="L221" s="4">
        <f>'D(Ti_Audétat23) Times'!Z221</f>
        <v>75841.729202105897</v>
      </c>
      <c r="M221" s="4">
        <f>VLOOKUP($B221, '[413]t (J)'!$1:$1048576, MATCH(LEFT(M$1,FIND(" (",M$1)-1),'[413]t (J)'!$1:$1, 0), 0)</f>
        <v>1297490.7545583423</v>
      </c>
      <c r="O221" s="1">
        <f t="shared" si="25"/>
        <v>0.79304906437568889</v>
      </c>
      <c r="P221" s="3">
        <f t="shared" si="26"/>
        <v>2.5130208392770326E-14</v>
      </c>
      <c r="Q221" s="3"/>
      <c r="R221" s="11">
        <f t="shared" si="30"/>
        <v>1.1280951839208506E-2</v>
      </c>
      <c r="S221" s="3">
        <f t="shared" si="31"/>
        <v>3.574717925066705E-16</v>
      </c>
      <c r="T221" s="3"/>
      <c r="U221" s="9">
        <f t="shared" si="27"/>
        <v>6.5940114912223756E-4</v>
      </c>
      <c r="V221" s="3">
        <f t="shared" si="28"/>
        <v>2.0895161518057062E-17</v>
      </c>
    </row>
    <row r="222" spans="1:22" x14ac:dyDescent="0.2">
      <c r="A222" t="s">
        <v>671</v>
      </c>
      <c r="B222" s="1" t="str">
        <f>VLOOKUP(REPLACE(A222,FIND("dist",A222),4,"fit")&amp;"*",'[413]t (Cherniak)'!$A:$A,1,0)</f>
        <v>CGI011-qtz06-CL-fit-3-offset</v>
      </c>
      <c r="C222">
        <v>1650</v>
      </c>
      <c r="D222">
        <v>1024</v>
      </c>
      <c r="E222" s="1">
        <f t="shared" si="24"/>
        <v>1.611328125</v>
      </c>
      <c r="F222">
        <f>'[635]CGI011-qtz06-CL-dist-3'!$B$4</f>
        <v>247.00800000000001</v>
      </c>
      <c r="G222" s="1">
        <f t="shared" si="29"/>
        <v>398.01093750000001</v>
      </c>
      <c r="H222" s="1"/>
      <c r="I222" s="1" t="str">
        <f>VLOOKUP($B222, '[413]t (Cherniak) Category'!$1:$1048576, MATCH(I$1, '[413]t (Cherniak) Category'!$1:$1, 0), 0)</f>
        <v>Interior</v>
      </c>
      <c r="J222" s="1"/>
      <c r="K222" s="4">
        <f>VLOOKUP($B222, '[413]t (Cherniak)'!$1:$1048576, MATCH(LEFT(K$1,FIND(" (",K$1)-1), '[413]t (Cherniak)'!$1:$1, 0), 0)</f>
        <v>321.33938094051837</v>
      </c>
      <c r="L222" s="4">
        <f>'D(Ti_Audétat23) Times'!Z222</f>
        <v>22590.105784887481</v>
      </c>
      <c r="M222" s="4">
        <f>VLOOKUP($B222, '[413]t (J)'!$1:$1048576, MATCH(LEFT(M$1,FIND(" (",M$1)-1),'[413]t (J)'!$1:$1, 0), 0)</f>
        <v>386468.68562660058</v>
      </c>
      <c r="O222" s="1">
        <f t="shared" si="25"/>
        <v>1.2385999385916349</v>
      </c>
      <c r="P222" s="3">
        <f t="shared" si="26"/>
        <v>3.9248863620542594E-14</v>
      </c>
      <c r="Q222" s="3"/>
      <c r="R222" s="11">
        <f t="shared" si="30"/>
        <v>1.7618816896655027E-2</v>
      </c>
      <c r="S222" s="3">
        <f t="shared" si="31"/>
        <v>5.5830661700050147E-16</v>
      </c>
      <c r="T222" s="3"/>
      <c r="U222" s="9">
        <f t="shared" si="27"/>
        <v>1.0298659433549847E-3</v>
      </c>
      <c r="V222" s="3">
        <f t="shared" si="28"/>
        <v>3.2634482449710518E-17</v>
      </c>
    </row>
    <row r="223" spans="1:22" x14ac:dyDescent="0.2">
      <c r="A223" t="s">
        <v>672</v>
      </c>
      <c r="B223" s="1" t="str">
        <f>VLOOKUP(REPLACE(A223,FIND("dist",A223),4,"fit")&amp;"*",'[413]t (Cherniak)'!$A:$A,1,0)</f>
        <v>CGI011-qtz06-CL-fit-4-offset</v>
      </c>
      <c r="C223">
        <v>1650</v>
      </c>
      <c r="D223">
        <v>1024</v>
      </c>
      <c r="E223" s="1">
        <f t="shared" si="24"/>
        <v>1.611328125</v>
      </c>
      <c r="F223">
        <f>'[636]CGI011-qtz06-CL-dist-4'!$B$4</f>
        <v>219.864</v>
      </c>
      <c r="G223" s="1">
        <f t="shared" si="29"/>
        <v>354.27304687500003</v>
      </c>
      <c r="H223" s="1"/>
      <c r="I223" s="1" t="str">
        <f>VLOOKUP($B223, '[413]t (Cherniak) Category'!$1:$1048576, MATCH(I$1, '[413]t (Cherniak) Category'!$1:$1, 0), 0)</f>
        <v>Interior</v>
      </c>
      <c r="J223" s="1"/>
      <c r="K223" s="4">
        <f>VLOOKUP($B223, '[413]t (Cherniak)'!$1:$1048576, MATCH(LEFT(K$1,FIND(" (",K$1)-1), '[413]t (Cherniak)'!$1:$1, 0), 0)</f>
        <v>221.36848733246944</v>
      </c>
      <c r="L223" s="4">
        <f>'D(Ti_Audétat23) Times'!Z223</f>
        <v>15562.168358090767</v>
      </c>
      <c r="M223" s="4">
        <f>VLOOKUP($B223, '[413]t (J)'!$1:$1048576, MATCH(LEFT(M$1,FIND(" (",M$1)-1),'[413]t (J)'!$1:$1, 0), 0)</f>
        <v>266235.61696088652</v>
      </c>
      <c r="O223" s="1">
        <f t="shared" si="25"/>
        <v>1.6003770506997392</v>
      </c>
      <c r="P223" s="3">
        <f t="shared" si="26"/>
        <v>5.0712888518129992E-14</v>
      </c>
      <c r="Q223" s="3"/>
      <c r="R223" s="11">
        <f t="shared" si="30"/>
        <v>2.2765018262433434E-2</v>
      </c>
      <c r="S223" s="3">
        <f t="shared" si="31"/>
        <v>7.2137989778796344E-16</v>
      </c>
      <c r="T223" s="3"/>
      <c r="U223" s="9">
        <f t="shared" si="27"/>
        <v>1.3306748770847117E-3</v>
      </c>
      <c r="V223" s="3">
        <f t="shared" si="28"/>
        <v>4.2166542356982522E-17</v>
      </c>
    </row>
    <row r="224" spans="1:22" x14ac:dyDescent="0.2">
      <c r="A224" t="s">
        <v>673</v>
      </c>
      <c r="B224" s="1" t="str">
        <f>VLOOKUP(REPLACE(A224,FIND("dist",A224),4,"fit")&amp;"*",'[413]t (Cherniak)'!$A:$A,1,0)</f>
        <v>CGI011-qtz07-CL-fit-1-offset</v>
      </c>
      <c r="C224">
        <v>1250</v>
      </c>
      <c r="D224">
        <v>1024</v>
      </c>
      <c r="E224" s="1">
        <f t="shared" si="24"/>
        <v>1.220703125</v>
      </c>
      <c r="F224">
        <f>'[637]CGI011-qtz07-CL-dist-1'!$B$4</f>
        <v>722.399</v>
      </c>
      <c r="G224" s="1">
        <f t="shared" si="29"/>
        <v>881.834716796875</v>
      </c>
      <c r="H224" s="1"/>
      <c r="I224" s="1" t="str">
        <f>VLOOKUP($B224, '[413]t (Cherniak) Category'!$1:$1048576, MATCH(I$1, '[413]t (Cherniak) Category'!$1:$1, 0), 0)</f>
        <v>Core</v>
      </c>
      <c r="J224" s="1"/>
      <c r="K224" s="4">
        <f>VLOOKUP($B224, '[413]t (Cherniak)'!$1:$1048576, MATCH(LEFT(K$1,FIND(" (",K$1)-1), '[413]t (Cherniak)'!$1:$1, 0), 0)</f>
        <v>390.09822846106289</v>
      </c>
      <c r="L224" s="4">
        <f>'D(Ti_Audétat23) Times'!Z224</f>
        <v>27423.841490078146</v>
      </c>
      <c r="M224" s="4">
        <f>VLOOKUP($B224, '[413]t (J)'!$1:$1048576, MATCH(LEFT(M$1,FIND(" (",M$1)-1),'[413]t (J)'!$1:$1, 0), 0)</f>
        <v>469163.62749363401</v>
      </c>
      <c r="O224" s="1">
        <f t="shared" si="25"/>
        <v>2.2605452997715783</v>
      </c>
      <c r="P224" s="3">
        <f t="shared" si="26"/>
        <v>7.1632357966752174E-14</v>
      </c>
      <c r="Q224" s="3"/>
      <c r="R224" s="11">
        <f t="shared" si="30"/>
        <v>3.2155769173181657E-2</v>
      </c>
      <c r="S224" s="3">
        <f t="shared" si="31"/>
        <v>1.0189548372874255E-15</v>
      </c>
      <c r="T224" s="3"/>
      <c r="U224" s="9">
        <f t="shared" si="27"/>
        <v>1.8795888366449304E-3</v>
      </c>
      <c r="V224" s="3">
        <f t="shared" si="28"/>
        <v>5.9560576109873067E-17</v>
      </c>
    </row>
    <row r="225" spans="1:22" x14ac:dyDescent="0.2">
      <c r="A225" t="s">
        <v>674</v>
      </c>
      <c r="B225" s="1" t="str">
        <f>VLOOKUP(REPLACE(A225,FIND("dist",A225),4,"fit")&amp;"*",'[413]t (Cherniak)'!$A:$A,1,0)</f>
        <v>CGI011-qtz07-CL-fit-2-offset</v>
      </c>
      <c r="C225">
        <v>1250</v>
      </c>
      <c r="D225">
        <v>1024</v>
      </c>
      <c r="E225" s="1">
        <f t="shared" si="24"/>
        <v>1.220703125</v>
      </c>
      <c r="F225">
        <f>'[638]CGI011-qtz07-CL-dist-2'!$B$4</f>
        <v>438.22399999999999</v>
      </c>
      <c r="G225" s="1">
        <f t="shared" si="29"/>
        <v>534.94140625</v>
      </c>
      <c r="H225" s="1"/>
      <c r="I225" s="1" t="str">
        <f>VLOOKUP($B225, '[413]t (Cherniak) Category'!$1:$1048576, MATCH(I$1, '[413]t (Cherniak) Category'!$1:$1, 0), 0)</f>
        <v>Interior</v>
      </c>
      <c r="J225" s="1"/>
      <c r="K225" s="4">
        <f>VLOOKUP($B225, '[413]t (Cherniak)'!$1:$1048576, MATCH(LEFT(K$1,FIND(" (",K$1)-1), '[413]t (Cherniak)'!$1:$1, 0), 0)</f>
        <v>180.3776805942893</v>
      </c>
      <c r="L225" s="4">
        <f>'D(Ti_Audétat23) Times'!Z225</f>
        <v>12680.521366324223</v>
      </c>
      <c r="M225" s="4">
        <f>VLOOKUP($B225, '[413]t (J)'!$1:$1048576, MATCH(LEFT(M$1,FIND(" (",M$1)-1),'[413]t (J)'!$1:$1, 0), 0)</f>
        <v>216936.76303108808</v>
      </c>
      <c r="O225" s="1">
        <f t="shared" si="25"/>
        <v>2.9656740484051665</v>
      </c>
      <c r="P225" s="3">
        <f t="shared" si="26"/>
        <v>9.3976539673649656E-14</v>
      </c>
      <c r="Q225" s="3"/>
      <c r="R225" s="11">
        <f t="shared" si="30"/>
        <v>4.2186073489899938E-2</v>
      </c>
      <c r="S225" s="3">
        <f t="shared" si="31"/>
        <v>1.336796001277028E-15</v>
      </c>
      <c r="T225" s="3"/>
      <c r="U225" s="9">
        <f t="shared" si="27"/>
        <v>2.4658863660344207E-3</v>
      </c>
      <c r="V225" s="3">
        <f t="shared" si="28"/>
        <v>7.8139223706315462E-17</v>
      </c>
    </row>
    <row r="226" spans="1:22" x14ac:dyDescent="0.2">
      <c r="A226" t="s">
        <v>675</v>
      </c>
      <c r="B226" s="1" t="str">
        <f>VLOOKUP(REPLACE(A226,FIND("dist",A226),4,"fit")&amp;"*",'[413]t (Cherniak)'!$A:$A,1,0)</f>
        <v>CGI011-qtz07-CL-fit-3-offset</v>
      </c>
      <c r="C226">
        <v>1250</v>
      </c>
      <c r="D226">
        <v>1024</v>
      </c>
      <c r="E226" s="1">
        <f t="shared" si="24"/>
        <v>1.220703125</v>
      </c>
      <c r="F226">
        <f>'[639]CGI011-qtz07-CL-dist-3'!$B$4</f>
        <v>64.381699999999995</v>
      </c>
      <c r="G226" s="1">
        <f t="shared" si="29"/>
        <v>78.5909423828125</v>
      </c>
      <c r="H226" s="1"/>
      <c r="I226" s="1" t="str">
        <f>VLOOKUP($B226, '[413]t (Cherniak) Category'!$1:$1048576, MATCH(I$1, '[413]t (Cherniak) Category'!$1:$1, 0), 0)</f>
        <v>Interior</v>
      </c>
      <c r="J226" s="1"/>
      <c r="K226" s="4">
        <f>VLOOKUP($B226, '[413]t (Cherniak)'!$1:$1048576, MATCH(LEFT(K$1,FIND(" (",K$1)-1), '[413]t (Cherniak)'!$1:$1, 0), 0)</f>
        <v>158.00996056614912</v>
      </c>
      <c r="L226" s="4">
        <f>'D(Ti_Audétat23) Times'!Z226</f>
        <v>11108.07431634386</v>
      </c>
      <c r="M226" s="4">
        <f>VLOOKUP($B226, '[413]t (J)'!$1:$1048576, MATCH(LEFT(M$1,FIND(" (",M$1)-1),'[413]t (J)'!$1:$1, 0), 0)</f>
        <v>190035.53687437475</v>
      </c>
      <c r="O226" s="1">
        <f t="shared" si="25"/>
        <v>0.49737967214991663</v>
      </c>
      <c r="P226" s="3">
        <f t="shared" si="26"/>
        <v>1.5761010727999487E-14</v>
      </c>
      <c r="Q226" s="3"/>
      <c r="R226" s="11">
        <f t="shared" si="30"/>
        <v>7.0751185259156713E-3</v>
      </c>
      <c r="S226" s="3">
        <f t="shared" si="31"/>
        <v>2.2419697714387883E-16</v>
      </c>
      <c r="T226" s="3"/>
      <c r="U226" s="9">
        <f t="shared" si="27"/>
        <v>4.135591883257392E-4</v>
      </c>
      <c r="V226" s="3">
        <f t="shared" si="28"/>
        <v>1.3104899875964559E-17</v>
      </c>
    </row>
    <row r="227" spans="1:22" x14ac:dyDescent="0.2">
      <c r="A227" t="s">
        <v>676</v>
      </c>
      <c r="B227" s="1" t="str">
        <f>VLOOKUP(REPLACE(A227,FIND("dist",A227),4,"fit")&amp;"*",'[413]t (Cherniak)'!$A:$A,1,0)</f>
        <v>CGI011-qtz08-CL-fit-1-offset</v>
      </c>
      <c r="C227">
        <v>1300</v>
      </c>
      <c r="D227">
        <v>1024</v>
      </c>
      <c r="E227" s="1">
        <f t="shared" si="24"/>
        <v>1.26953125</v>
      </c>
      <c r="F227">
        <f>'[640]CGI011-qtz08-CL-dist-1'!$B$4</f>
        <v>882.803</v>
      </c>
      <c r="G227" s="1">
        <f t="shared" si="29"/>
        <v>1120.7459960937499</v>
      </c>
      <c r="H227" s="1"/>
      <c r="I227" s="1" t="str">
        <f>VLOOKUP($B227, '[413]t (Cherniak) Category'!$1:$1048576, MATCH(I$1, '[413]t (Cherniak) Category'!$1:$1, 0), 0)</f>
        <v>Core</v>
      </c>
      <c r="J227" s="1"/>
      <c r="K227" s="4">
        <f>VLOOKUP($B227, '[413]t (Cherniak)'!$1:$1048576, MATCH(LEFT(K$1,FIND(" (",K$1)-1), '[413]t (Cherniak)'!$1:$1, 0), 0)</f>
        <v>574.9185742959005</v>
      </c>
      <c r="L227" s="4">
        <f>'D(Ti_Audétat23) Times'!Z227</f>
        <v>40416.681494277029</v>
      </c>
      <c r="M227" s="4">
        <f>VLOOKUP($B227, '[413]t (J)'!$1:$1048576, MATCH(LEFT(M$1,FIND(" (",M$1)-1),'[413]t (J)'!$1:$1, 0), 0)</f>
        <v>691443.49845991633</v>
      </c>
      <c r="O227" s="1">
        <f t="shared" si="25"/>
        <v>1.9493995257786221</v>
      </c>
      <c r="P227" s="3">
        <f t="shared" si="26"/>
        <v>6.1772743357499371E-14</v>
      </c>
      <c r="Q227" s="3"/>
      <c r="R227" s="11">
        <f t="shared" si="30"/>
        <v>2.7729787668303411E-2</v>
      </c>
      <c r="S227" s="3">
        <f t="shared" si="31"/>
        <v>8.7870394669757556E-16</v>
      </c>
      <c r="T227" s="3"/>
      <c r="U227" s="9">
        <f t="shared" si="27"/>
        <v>1.6208786380811138E-3</v>
      </c>
      <c r="V227" s="3">
        <f t="shared" si="28"/>
        <v>5.1362544619397985E-17</v>
      </c>
    </row>
    <row r="228" spans="1:22" x14ac:dyDescent="0.2">
      <c r="A228" t="s">
        <v>677</v>
      </c>
      <c r="B228" s="1" t="str">
        <f>VLOOKUP(REPLACE(A228,FIND("dist",A228),4,"fit")&amp;"*",'[413]t (Cherniak)'!$A:$A,1,0)</f>
        <v>CGI011-qtz08-CL-fit-2-offset</v>
      </c>
      <c r="C228">
        <v>1300</v>
      </c>
      <c r="D228">
        <v>1024</v>
      </c>
      <c r="E228" s="1">
        <f t="shared" si="24"/>
        <v>1.26953125</v>
      </c>
      <c r="F228">
        <f>'[641]CGI011-qtz08-CL-dist-2 '!$B$4</f>
        <v>578.51599999999996</v>
      </c>
      <c r="G228" s="1">
        <f t="shared" si="29"/>
        <v>734.44414062499993</v>
      </c>
      <c r="H228" s="1"/>
      <c r="I228" s="1" t="str">
        <f>VLOOKUP($B228, '[413]t (Cherniak) Category'!$1:$1048576, MATCH(I$1, '[413]t (Cherniak) Category'!$1:$1, 0), 0)</f>
        <v>Core</v>
      </c>
      <c r="J228" s="1"/>
      <c r="K228" s="4">
        <f>VLOOKUP($B228, '[413]t (Cherniak)'!$1:$1048576, MATCH(LEFT(K$1,FIND(" (",K$1)-1), '[413]t (Cherniak)'!$1:$1, 0), 0)</f>
        <v>3074.5752828250565</v>
      </c>
      <c r="L228" s="4">
        <f>'D(Ti_Audétat23) Times'!Z228</f>
        <v>216142.13819461755</v>
      </c>
      <c r="M228" s="4">
        <f>VLOOKUP($B228, '[413]t (J)'!$1:$1048576, MATCH(LEFT(M$1,FIND(" (",M$1)-1),'[413]t (J)'!$1:$1, 0), 0)</f>
        <v>3697732.4874892328</v>
      </c>
      <c r="O228" s="1">
        <f t="shared" si="25"/>
        <v>0.23887661646396896</v>
      </c>
      <c r="P228" s="3">
        <f t="shared" si="26"/>
        <v>7.5695431992283613E-15</v>
      </c>
      <c r="Q228" s="3"/>
      <c r="R228" s="11">
        <f t="shared" si="30"/>
        <v>3.3979683312084924E-3</v>
      </c>
      <c r="S228" s="3">
        <f t="shared" si="31"/>
        <v>1.0767511886862411E-16</v>
      </c>
      <c r="T228" s="3"/>
      <c r="U228" s="9">
        <f t="shared" si="27"/>
        <v>1.9862013899325876E-4</v>
      </c>
      <c r="V228" s="3">
        <f t="shared" si="28"/>
        <v>6.2938924060530186E-18</v>
      </c>
    </row>
    <row r="229" spans="1:22" x14ac:dyDescent="0.2">
      <c r="A229" t="s">
        <v>678</v>
      </c>
      <c r="B229" s="1" t="str">
        <f>VLOOKUP(REPLACE(A229,FIND("dist",A229),4,"fit")&amp;"*",'[413]t (Cherniak)'!$A:$A,1,0)</f>
        <v>CGI011-qtz08-CL-fit-3-offset</v>
      </c>
      <c r="C229">
        <v>1300</v>
      </c>
      <c r="D229">
        <v>1024</v>
      </c>
      <c r="E229" s="1">
        <f t="shared" si="24"/>
        <v>1.26953125</v>
      </c>
      <c r="F229">
        <f>'[642]CGI011-qtz08-CL-dist-3 '!$B$4</f>
        <v>484.23200000000003</v>
      </c>
      <c r="G229" s="1">
        <f t="shared" si="29"/>
        <v>614.74765625000009</v>
      </c>
      <c r="H229" s="1"/>
      <c r="I229" s="1" t="str">
        <f>VLOOKUP($B229, '[413]t (Cherniak) Category'!$1:$1048576, MATCH(I$1, '[413]t (Cherniak) Category'!$1:$1, 0), 0)</f>
        <v>Interior</v>
      </c>
      <c r="J229" s="1"/>
      <c r="K229" s="4">
        <f>VLOOKUP($B229, '[413]t (Cherniak)'!$1:$1048576, MATCH(LEFT(K$1,FIND(" (",K$1)-1), '[413]t (Cherniak)'!$1:$1, 0), 0)</f>
        <v>450.87228693435645</v>
      </c>
      <c r="L229" s="4">
        <f>'D(Ti_Audétat23) Times'!Z229</f>
        <v>31696.247834642465</v>
      </c>
      <c r="M229" s="4">
        <f>VLOOKUP($B229, '[413]t (J)'!$1:$1048576, MATCH(LEFT(M$1,FIND(" (",M$1)-1),'[413]t (J)'!$1:$1, 0), 0)</f>
        <v>542255.41733160464</v>
      </c>
      <c r="O229" s="1">
        <f t="shared" si="25"/>
        <v>1.3634629451942843</v>
      </c>
      <c r="P229" s="3">
        <f t="shared" si="26"/>
        <v>4.3205533538491022E-14</v>
      </c>
      <c r="Q229" s="3"/>
      <c r="R229" s="11">
        <f t="shared" si="30"/>
        <v>1.9394966226195097E-2</v>
      </c>
      <c r="S229" s="3">
        <f t="shared" si="31"/>
        <v>6.1458939292579596E-16</v>
      </c>
      <c r="T229" s="3"/>
      <c r="U229" s="9">
        <f t="shared" si="27"/>
        <v>1.1336865185692822E-3</v>
      </c>
      <c r="V229" s="3">
        <f t="shared" si="28"/>
        <v>3.5924357954004172E-17</v>
      </c>
    </row>
    <row r="230" spans="1:22" x14ac:dyDescent="0.2">
      <c r="A230" t="s">
        <v>679</v>
      </c>
      <c r="B230" s="1" t="str">
        <f>VLOOKUP(REPLACE(A230,FIND("dist",A230),4,"fit")&amp;"*",'[413]t (Cherniak)'!$A:$A,1,0)</f>
        <v>CGI011-qtz08-CL-fit-4-offset</v>
      </c>
      <c r="C230">
        <v>1300</v>
      </c>
      <c r="D230">
        <v>1024</v>
      </c>
      <c r="E230" s="1">
        <f t="shared" si="24"/>
        <v>1.26953125</v>
      </c>
      <c r="F230">
        <f>'[643]CGI011-qtz08-CL-dist-4 '!$B$4</f>
        <v>126.764</v>
      </c>
      <c r="G230" s="1">
        <f t="shared" si="29"/>
        <v>160.93085937499998</v>
      </c>
      <c r="H230" s="1"/>
      <c r="I230" s="1" t="str">
        <f>VLOOKUP($B230, '[413]t (Cherniak) Category'!$1:$1048576, MATCH(I$1, '[413]t (Cherniak) Category'!$1:$1, 0), 0)</f>
        <v>Interior</v>
      </c>
      <c r="J230" s="1"/>
      <c r="K230" s="4">
        <f>VLOOKUP($B230, '[413]t (Cherniak)'!$1:$1048576, MATCH(LEFT(K$1,FIND(" (",K$1)-1), '[413]t (Cherniak)'!$1:$1, 0), 0)</f>
        <v>65.632278977593145</v>
      </c>
      <c r="L230" s="4">
        <f>'D(Ti_Audétat23) Times'!Z230</f>
        <v>4613.9384493353482</v>
      </c>
      <c r="M230" s="4">
        <f>VLOOKUP($B230, '[413]t (J)'!$1:$1048576, MATCH(LEFT(M$1,FIND(" (",M$1)-1),'[413]t (J)'!$1:$1, 0), 0)</f>
        <v>78934.678086791842</v>
      </c>
      <c r="O230" s="1">
        <f t="shared" si="25"/>
        <v>2.4520077907083153</v>
      </c>
      <c r="P230" s="3">
        <f t="shared" si="26"/>
        <v>7.7699438192648214E-14</v>
      </c>
      <c r="Q230" s="3"/>
      <c r="R230" s="11">
        <f t="shared" si="30"/>
        <v>3.4879281798434601E-2</v>
      </c>
      <c r="S230" s="3">
        <f t="shared" si="31"/>
        <v>1.1052577445190573E-15</v>
      </c>
      <c r="T230" s="3"/>
      <c r="U230" s="9">
        <f t="shared" si="27"/>
        <v>2.0387852750606019E-3</v>
      </c>
      <c r="V230" s="3">
        <f t="shared" si="28"/>
        <v>6.4605206830069519E-17</v>
      </c>
    </row>
    <row r="231" spans="1:22" x14ac:dyDescent="0.2">
      <c r="A231" t="s">
        <v>680</v>
      </c>
      <c r="B231" s="1" t="str">
        <f>VLOOKUP(REPLACE(A231,FIND("dist",A231),4,"fit")&amp;"*",'[413]t (Cherniak)'!$A:$A,1,0)</f>
        <v>CGI011-qtz08-CL-fit-5-offset</v>
      </c>
      <c r="C231">
        <v>1300</v>
      </c>
      <c r="D231">
        <v>1024</v>
      </c>
      <c r="E231" s="1">
        <f t="shared" si="24"/>
        <v>1.26953125</v>
      </c>
      <c r="F231">
        <f>'[644]CGI011-qtz08-CL-dist-5 '!$B$4</f>
        <v>31.305</v>
      </c>
      <c r="G231" s="1">
        <f t="shared" si="29"/>
        <v>39.74267578125</v>
      </c>
      <c r="H231" s="1"/>
      <c r="I231" s="1" t="str">
        <f>VLOOKUP($B231, '[413]t (Cherniak) Category'!$1:$1048576, MATCH(I$1, '[413]t (Cherniak) Category'!$1:$1, 0), 0)</f>
        <v>Interior</v>
      </c>
      <c r="J231" s="1"/>
      <c r="K231" s="4">
        <f>VLOOKUP($B231, '[413]t (Cherniak)'!$1:$1048576, MATCH(LEFT(K$1,FIND(" (",K$1)-1), '[413]t (Cherniak)'!$1:$1, 0), 0)</f>
        <v>304.89271245156323</v>
      </c>
      <c r="L231" s="4">
        <f>'D(Ti_Audétat23) Times'!Z231</f>
        <v>21433.907687140963</v>
      </c>
      <c r="M231" s="4">
        <f>VLOOKUP($B231, '[413]t (J)'!$1:$1048576, MATCH(LEFT(M$1,FIND(" (",M$1)-1),'[413]t (J)'!$1:$1, 0), 0)</f>
        <v>366688.59413809585</v>
      </c>
      <c r="O231" s="1">
        <f t="shared" si="25"/>
        <v>0.13034970715334404</v>
      </c>
      <c r="P231" s="3">
        <f t="shared" si="26"/>
        <v>4.1305329668081236E-15</v>
      </c>
      <c r="Q231" s="3"/>
      <c r="R231" s="11">
        <f t="shared" si="30"/>
        <v>1.8541964611097574E-3</v>
      </c>
      <c r="S231" s="3">
        <f t="shared" si="31"/>
        <v>5.8755940284107709E-17</v>
      </c>
      <c r="T231" s="3"/>
      <c r="U231" s="9">
        <f t="shared" si="27"/>
        <v>1.0838263424763849E-4</v>
      </c>
      <c r="V231" s="3">
        <f t="shared" si="28"/>
        <v>3.4344384315549497E-18</v>
      </c>
    </row>
    <row r="232" spans="1:22" x14ac:dyDescent="0.2">
      <c r="A232" t="s">
        <v>681</v>
      </c>
      <c r="B232" s="1" t="str">
        <f>VLOOKUP(REPLACE(A232,FIND("dist",A232),4,"fit")&amp;"*",'[413]t (Cherniak)'!$A:$A,1,0)</f>
        <v>CGI011-qtz09-CL-fit-1-offset</v>
      </c>
      <c r="C232">
        <v>1100</v>
      </c>
      <c r="D232">
        <v>1024</v>
      </c>
      <c r="E232" s="1">
        <f t="shared" si="24"/>
        <v>1.07421875</v>
      </c>
      <c r="F232">
        <f>'[645]CGI011-qtz09-CL-dist-1'!$B$4</f>
        <v>346.91399999999999</v>
      </c>
      <c r="G232" s="1">
        <f t="shared" si="29"/>
        <v>372.66152343749997</v>
      </c>
      <c r="H232" s="1"/>
      <c r="I232" s="1" t="str">
        <f>VLOOKUP($B232, '[413]t (Cherniak) Category'!$1:$1048576, MATCH(I$1, '[413]t (Cherniak) Category'!$1:$1, 0), 0)</f>
        <v>COre</v>
      </c>
      <c r="J232" s="1"/>
      <c r="K232" s="4">
        <f>VLOOKUP($B232, '[413]t (Cherniak)'!$1:$1048576, MATCH(LEFT(K$1,FIND(" (",K$1)-1), '[413]t (Cherniak)'!$1:$1, 0), 0)</f>
        <v>199.01839981287117</v>
      </c>
      <c r="L232" s="4">
        <f>'D(Ti_Audétat23) Times'!Z232</f>
        <v>13990.960870569412</v>
      </c>
      <c r="M232" s="4">
        <f>VLOOKUP($B232, '[413]t (J)'!$1:$1048576, MATCH(LEFT(M$1,FIND(" (",M$1)-1),'[413]t (J)'!$1:$1, 0), 0)</f>
        <v>239355.59708265844</v>
      </c>
      <c r="O232" s="1">
        <f t="shared" si="25"/>
        <v>1.8724978383300153</v>
      </c>
      <c r="P232" s="3">
        <f t="shared" si="26"/>
        <v>5.9335875932580906E-14</v>
      </c>
      <c r="Q232" s="3"/>
      <c r="R232" s="11">
        <f t="shared" si="30"/>
        <v>2.6635877756002416E-2</v>
      </c>
      <c r="S232" s="3">
        <f t="shared" si="31"/>
        <v>8.4404003333594486E-16</v>
      </c>
      <c r="T232" s="3"/>
      <c r="U232" s="9">
        <f t="shared" si="27"/>
        <v>1.5569367417332882E-3</v>
      </c>
      <c r="V232" s="3">
        <f t="shared" si="28"/>
        <v>4.9336348192932549E-17</v>
      </c>
    </row>
    <row r="233" spans="1:22" x14ac:dyDescent="0.2">
      <c r="A233" t="s">
        <v>682</v>
      </c>
      <c r="B233" s="1" t="str">
        <f>VLOOKUP(REPLACE(A233,FIND("dist",A233),4,"fit")&amp;"*",'[413]t (Cherniak)'!$A:$A,1,0)</f>
        <v>CGI011-qtz09-CL-fit-2-offset</v>
      </c>
      <c r="C233">
        <v>1100</v>
      </c>
      <c r="D233">
        <v>1024</v>
      </c>
      <c r="E233" s="1">
        <f t="shared" si="24"/>
        <v>1.07421875</v>
      </c>
      <c r="F233">
        <f>'[646]CGI011-qtz09-CL-dist-2'!$B$4</f>
        <v>244.16800000000001</v>
      </c>
      <c r="G233" s="1">
        <f t="shared" si="29"/>
        <v>262.28984374999999</v>
      </c>
      <c r="H233" s="1"/>
      <c r="I233" s="1" t="str">
        <f>VLOOKUP($B233, '[413]t (Cherniak) Category'!$1:$1048576, MATCH(I$1, '[413]t (Cherniak) Category'!$1:$1, 0), 0)</f>
        <v>Interior</v>
      </c>
      <c r="J233" s="1"/>
      <c r="K233" s="4">
        <f>VLOOKUP($B233, '[413]t (Cherniak)'!$1:$1048576, MATCH(LEFT(K$1,FIND(" (",K$1)-1), '[413]t (Cherniak)'!$1:$1, 0), 0)</f>
        <v>438.92693766106675</v>
      </c>
      <c r="L233" s="4">
        <f>'D(Ti_Audétat23) Times'!Z233</f>
        <v>30856.491739602887</v>
      </c>
      <c r="M233" s="4">
        <f>VLOOKUP($B233, '[413]t (J)'!$1:$1048576, MATCH(LEFT(M$1,FIND(" (",M$1)-1),'[413]t (J)'!$1:$1, 0), 0)</f>
        <v>527888.97578470467</v>
      </c>
      <c r="O233" s="1">
        <f t="shared" si="25"/>
        <v>0.59757062336542344</v>
      </c>
      <c r="P233" s="3">
        <f t="shared" si="26"/>
        <v>1.8935870388287559E-14</v>
      </c>
      <c r="Q233" s="3"/>
      <c r="R233" s="11">
        <f t="shared" si="30"/>
        <v>8.5003131906069233E-3</v>
      </c>
      <c r="S233" s="3">
        <f t="shared" si="31"/>
        <v>2.693586708307008E-16</v>
      </c>
      <c r="T233" s="3"/>
      <c r="U233" s="9">
        <f t="shared" si="27"/>
        <v>4.9686554518420711E-4</v>
      </c>
      <c r="V233" s="3">
        <f t="shared" si="28"/>
        <v>1.5744719027562523E-17</v>
      </c>
    </row>
    <row r="234" spans="1:22" x14ac:dyDescent="0.2">
      <c r="A234" t="s">
        <v>683</v>
      </c>
      <c r="B234" s="1" t="str">
        <f>VLOOKUP(REPLACE(A234,FIND("dist",A234),4,"fit")&amp;"*",'[413]t (Cherniak)'!$A:$A,1,0)</f>
        <v>CGI011-qtz09-CL-fit-3-offset</v>
      </c>
      <c r="C234">
        <v>1100</v>
      </c>
      <c r="D234">
        <v>1024</v>
      </c>
      <c r="E234" s="1">
        <f t="shared" si="24"/>
        <v>1.07421875</v>
      </c>
      <c r="F234">
        <f>'[647]CGI011-qtz09-CL-dist-3'!$B$4</f>
        <v>234.77600000000001</v>
      </c>
      <c r="G234" s="1">
        <f t="shared" si="29"/>
        <v>252.20078125000001</v>
      </c>
      <c r="H234" s="1"/>
      <c r="I234" s="1" t="str">
        <f>VLOOKUP($B234, '[413]t (Cherniak) Category'!$1:$1048576, MATCH(I$1, '[413]t (Cherniak) Category'!$1:$1, 0), 0)</f>
        <v>Interior</v>
      </c>
      <c r="J234" s="1"/>
      <c r="K234" s="4">
        <f>VLOOKUP($B234, '[413]t (Cherniak)'!$1:$1048576, MATCH(LEFT(K$1,FIND(" (",K$1)-1), '[413]t (Cherniak)'!$1:$1, 0), 0)</f>
        <v>215.71726190694997</v>
      </c>
      <c r="L234" s="4">
        <f>'D(Ti_Audétat23) Times'!Z234</f>
        <v>15164.888137399852</v>
      </c>
      <c r="M234" s="4">
        <f>VLOOKUP($B234, '[413]t (J)'!$1:$1048576, MATCH(LEFT(M$1,FIND(" (",M$1)-1),'[413]t (J)'!$1:$1, 0), 0)</f>
        <v>259438.9969637116</v>
      </c>
      <c r="O234" s="1">
        <f t="shared" si="25"/>
        <v>1.1691265641911739</v>
      </c>
      <c r="P234" s="3">
        <f t="shared" si="26"/>
        <v>3.7047385231803875E-14</v>
      </c>
      <c r="Q234" s="3"/>
      <c r="R234" s="11">
        <f t="shared" si="30"/>
        <v>1.6630573134794119E-2</v>
      </c>
      <c r="S234" s="3">
        <f t="shared" si="31"/>
        <v>5.2699106189298673E-16</v>
      </c>
      <c r="T234" s="3"/>
      <c r="U234" s="9">
        <f t="shared" si="27"/>
        <v>9.7210050995254183E-4</v>
      </c>
      <c r="V234" s="3">
        <f t="shared" si="28"/>
        <v>3.0804006323438466E-17</v>
      </c>
    </row>
    <row r="235" spans="1:22" x14ac:dyDescent="0.2">
      <c r="A235" t="s">
        <v>684</v>
      </c>
      <c r="B235" s="1" t="str">
        <f>VLOOKUP(REPLACE(A235,FIND("dist",A235),4,"fit")&amp;"*",'[413]t (Cherniak)'!$A:$A,1,0)</f>
        <v>CGI011-qtz09-CL-fit-4-offset</v>
      </c>
      <c r="C235">
        <v>1100</v>
      </c>
      <c r="D235">
        <v>1024</v>
      </c>
      <c r="E235" s="1">
        <f t="shared" si="24"/>
        <v>1.07421875</v>
      </c>
      <c r="F235">
        <f>'[648]CGI011-qtz09-CL-dist-4'!$B$4</f>
        <v>118.849</v>
      </c>
      <c r="G235" s="1">
        <f t="shared" si="29"/>
        <v>127.66982421875001</v>
      </c>
      <c r="H235" s="1"/>
      <c r="I235" s="1" t="str">
        <f>VLOOKUP($B235, '[413]t (Cherniak) Category'!$1:$1048576, MATCH(I$1, '[413]t (Cherniak) Category'!$1:$1, 0), 0)</f>
        <v>Interior</v>
      </c>
      <c r="J235" s="1"/>
      <c r="K235" s="4">
        <f>VLOOKUP($B235, '[413]t (Cherniak)'!$1:$1048576, MATCH(LEFT(K$1,FIND(" (",K$1)-1), '[413]t (Cherniak)'!$1:$1, 0), 0)</f>
        <v>111.1801418270265</v>
      </c>
      <c r="L235" s="4">
        <f>'D(Ti_Audétat23) Times'!Z235</f>
        <v>7815.9457384285788</v>
      </c>
      <c r="M235" s="4">
        <f>VLOOKUP($B235, '[413]t (J)'!$1:$1048576, MATCH(LEFT(M$1,FIND(" (",M$1)-1),'[413]t (J)'!$1:$1, 0), 0)</f>
        <v>133714.21564922822</v>
      </c>
      <c r="O235" s="1">
        <f t="shared" si="25"/>
        <v>1.1483149969117512</v>
      </c>
      <c r="P235" s="3">
        <f t="shared" si="26"/>
        <v>3.6387906460305956E-14</v>
      </c>
      <c r="Q235" s="3"/>
      <c r="R235" s="11">
        <f t="shared" si="30"/>
        <v>1.6334533080371465E-2</v>
      </c>
      <c r="S235" s="3">
        <f t="shared" si="31"/>
        <v>5.1761011865197183E-16</v>
      </c>
      <c r="T235" s="3"/>
      <c r="U235" s="9">
        <f t="shared" si="27"/>
        <v>9.5479619424807883E-4</v>
      </c>
      <c r="V235" s="3">
        <f t="shared" si="28"/>
        <v>3.0255665647833765E-17</v>
      </c>
    </row>
    <row r="236" spans="1:22" x14ac:dyDescent="0.2">
      <c r="A236" t="s">
        <v>685</v>
      </c>
      <c r="B236" s="1" t="str">
        <f>VLOOKUP(REPLACE(A236,FIND("dist",A236),4,"fit")&amp;"*",'[413]t (Cherniak)'!$A:$A,1,0)</f>
        <v>CGI011-qtz11-CL-fit-1-offset</v>
      </c>
      <c r="C236">
        <v>1600</v>
      </c>
      <c r="D236">
        <v>1024</v>
      </c>
      <c r="E236" s="1">
        <f t="shared" si="24"/>
        <v>1.5625</v>
      </c>
      <c r="F236">
        <f>'[649]CGI011-qtz11-CL-dist-1'!$B$4</f>
        <v>678.399</v>
      </c>
      <c r="G236" s="1">
        <f t="shared" si="29"/>
        <v>1059.9984374999999</v>
      </c>
      <c r="H236" s="1"/>
      <c r="I236" s="1" t="str">
        <f>VLOOKUP($B236, '[413]t (Cherniak) Category'!$1:$1048576, MATCH(I$1, '[413]t (Cherniak) Category'!$1:$1, 0), 0)</f>
        <v>Core</v>
      </c>
      <c r="J236" s="1"/>
      <c r="K236" s="4">
        <f>VLOOKUP($B236, '[413]t (Cherniak)'!$1:$1048576, MATCH(LEFT(K$1,FIND(" (",K$1)-1), '[413]t (Cherniak)'!$1:$1, 0), 0)</f>
        <v>1327.6239732074926</v>
      </c>
      <c r="L236" s="4">
        <f>'D(Ti_Audétat23) Times'!Z236</f>
        <v>93331.747604447562</v>
      </c>
      <c r="M236" s="4">
        <f>VLOOKUP($B236, '[413]t (J)'!$1:$1048576, MATCH(LEFT(M$1,FIND(" (",M$1)-1),'[413]t (J)'!$1:$1, 0), 0)</f>
        <v>1596707.7873559471</v>
      </c>
      <c r="O236" s="1">
        <f t="shared" si="25"/>
        <v>0.79841766862576391</v>
      </c>
      <c r="P236" s="3">
        <f t="shared" si="26"/>
        <v>2.5300329195685471E-14</v>
      </c>
      <c r="Q236" s="3"/>
      <c r="R236" s="11">
        <f t="shared" si="30"/>
        <v>1.1357319076381331E-2</v>
      </c>
      <c r="S236" s="3">
        <f t="shared" si="31"/>
        <v>3.5989172422431781E-16</v>
      </c>
      <c r="T236" s="3"/>
      <c r="U236" s="9">
        <f t="shared" si="27"/>
        <v>6.6386501393300907E-4</v>
      </c>
      <c r="V236" s="3">
        <f t="shared" si="28"/>
        <v>2.1036612858170743E-17</v>
      </c>
    </row>
    <row r="237" spans="1:22" x14ac:dyDescent="0.2">
      <c r="A237" t="s">
        <v>686</v>
      </c>
      <c r="B237" s="1" t="str">
        <f>VLOOKUP(REPLACE(A237,FIND("dist",A237),4,"fit")&amp;"*",'[413]t (Cherniak)'!$A:$A,1,0)</f>
        <v>CGI011-qtz11-CL-fit-2-offset</v>
      </c>
      <c r="C237">
        <v>1600</v>
      </c>
      <c r="D237">
        <v>1024</v>
      </c>
      <c r="E237" s="1">
        <f t="shared" si="24"/>
        <v>1.5625</v>
      </c>
      <c r="F237">
        <f>'[650]CGI011-qtz11-CL-dist-2'!$B$4</f>
        <v>440.99</v>
      </c>
      <c r="G237" s="1">
        <f t="shared" si="29"/>
        <v>689.046875</v>
      </c>
      <c r="H237" s="1"/>
      <c r="I237" s="1" t="str">
        <f>VLOOKUP($B237, '[413]t (Cherniak) Category'!$1:$1048576, MATCH(I$1, '[413]t (Cherniak) Category'!$1:$1, 0), 0)</f>
        <v>Interior</v>
      </c>
      <c r="J237" s="1"/>
      <c r="K237" s="4">
        <f>VLOOKUP($B237, '[413]t (Cherniak)'!$1:$1048576, MATCH(LEFT(K$1,FIND(" (",K$1)-1), '[413]t (Cherniak)'!$1:$1, 0), 0)</f>
        <v>730.56117725617003</v>
      </c>
      <c r="L237" s="4">
        <f>'D(Ti_Audétat23) Times'!Z237</f>
        <v>51358.330959141582</v>
      </c>
      <c r="M237" s="4">
        <f>VLOOKUP($B237, '[413]t (J)'!$1:$1048576, MATCH(LEFT(M$1,FIND(" (",M$1)-1),'[413]t (J)'!$1:$1, 0), 0)</f>
        <v>878631.8599284176</v>
      </c>
      <c r="O237" s="1">
        <f t="shared" si="25"/>
        <v>0.94317477639300684</v>
      </c>
      <c r="P237" s="3">
        <f t="shared" si="26"/>
        <v>2.9887405138318719E-14</v>
      </c>
      <c r="Q237" s="3"/>
      <c r="R237" s="11">
        <f t="shared" si="30"/>
        <v>1.3416457702805321E-2</v>
      </c>
      <c r="S237" s="3">
        <f t="shared" si="31"/>
        <v>4.2514188983970011E-16</v>
      </c>
      <c r="T237" s="3"/>
      <c r="U237" s="9">
        <f t="shared" si="27"/>
        <v>7.8422705392920406E-4</v>
      </c>
      <c r="V237" s="3">
        <f t="shared" si="28"/>
        <v>2.4850655751045836E-17</v>
      </c>
    </row>
    <row r="238" spans="1:22" x14ac:dyDescent="0.2">
      <c r="A238" t="s">
        <v>687</v>
      </c>
      <c r="B238" s="1" t="str">
        <f>VLOOKUP(REPLACE(A238,FIND("dist",A238),4,"fit")&amp;"*",'[413]t (Cherniak)'!$A:$A,1,0)</f>
        <v>CGI011-qtz11-CL-fit-3-offset</v>
      </c>
      <c r="C238">
        <v>1600</v>
      </c>
      <c r="D238">
        <v>1024</v>
      </c>
      <c r="E238" s="1">
        <f t="shared" si="24"/>
        <v>1.5625</v>
      </c>
      <c r="F238">
        <f>'[651]CGI011-qtz11-CL-dist-3'!$B$4</f>
        <v>339.34199999999998</v>
      </c>
      <c r="G238" s="1">
        <f t="shared" si="29"/>
        <v>530.22187499999995</v>
      </c>
      <c r="H238" s="1"/>
      <c r="I238" s="1" t="str">
        <f>VLOOKUP($B238, '[413]t (Cherniak) Category'!$1:$1048576, MATCH(I$1, '[413]t (Cherniak) Category'!$1:$1, 0), 0)</f>
        <v>Interior</v>
      </c>
      <c r="J238" s="1"/>
      <c r="K238" s="4">
        <f>VLOOKUP($B238, '[413]t (Cherniak)'!$1:$1048576, MATCH(LEFT(K$1,FIND(" (",K$1)-1), '[413]t (Cherniak)'!$1:$1, 0), 0)</f>
        <v>434.28217021080451</v>
      </c>
      <c r="L238" s="4">
        <f>'D(Ti_Audétat23) Times'!Z238</f>
        <v>30529.965349527323</v>
      </c>
      <c r="M238" s="4">
        <f>VLOOKUP($B238, '[413]t (J)'!$1:$1048576, MATCH(LEFT(M$1,FIND(" (",M$1)-1),'[413]t (J)'!$1:$1, 0), 0)</f>
        <v>522302.80341364292</v>
      </c>
      <c r="O238" s="1">
        <f t="shared" si="25"/>
        <v>1.220915596748136</v>
      </c>
      <c r="P238" s="3">
        <f t="shared" si="26"/>
        <v>3.8688480643272491E-14</v>
      </c>
      <c r="Q238" s="3"/>
      <c r="R238" s="11">
        <f t="shared" si="30"/>
        <v>1.7367260949354764E-2</v>
      </c>
      <c r="S238" s="3">
        <f t="shared" si="31"/>
        <v>5.5033529005230951E-16</v>
      </c>
      <c r="T238" s="3"/>
      <c r="U238" s="9">
        <f t="shared" si="27"/>
        <v>1.015161840094673E-3</v>
      </c>
      <c r="V238" s="3">
        <f t="shared" si="28"/>
        <v>3.2168537534371211E-17</v>
      </c>
    </row>
    <row r="239" spans="1:22" x14ac:dyDescent="0.2">
      <c r="A239" t="s">
        <v>688</v>
      </c>
      <c r="B239" s="1" t="str">
        <f>VLOOKUP(REPLACE(A239,FIND("dist",A239),4,"fit")&amp;"*",'[413]t (Cherniak)'!$A:$A,1,0)</f>
        <v>CGI011-qtz11-CL-fit-4-offset</v>
      </c>
      <c r="C239">
        <v>1600</v>
      </c>
      <c r="D239">
        <v>1024</v>
      </c>
      <c r="E239" s="1">
        <f t="shared" si="24"/>
        <v>1.5625</v>
      </c>
      <c r="F239">
        <f>'[652]CGI011-qtz11-CL-dist-4'!$B$4</f>
        <v>91.3947</v>
      </c>
      <c r="G239" s="1">
        <f t="shared" si="29"/>
        <v>142.80421874999999</v>
      </c>
      <c r="H239" s="1"/>
      <c r="I239" s="1" t="str">
        <f>VLOOKUP($B239, '[413]t (Cherniak) Category'!$1:$1048576, MATCH(I$1, '[413]t (Cherniak) Category'!$1:$1, 0), 0)</f>
        <v>Interior</v>
      </c>
      <c r="J239" s="1"/>
      <c r="K239" s="4">
        <f>VLOOKUP($B239, '[413]t (Cherniak)'!$1:$1048576, MATCH(LEFT(K$1,FIND(" (",K$1)-1), '[413]t (Cherniak)'!$1:$1, 0), 0)</f>
        <v>83.436132711881513</v>
      </c>
      <c r="L239" s="4">
        <f>'D(Ti_Audétat23) Times'!Z239</f>
        <v>5865.5464472691156</v>
      </c>
      <c r="M239" s="4">
        <f>VLOOKUP($B239, '[413]t (J)'!$1:$1048576, MATCH(LEFT(M$1,FIND(" (",M$1)-1),'[413]t (J)'!$1:$1, 0), 0)</f>
        <v>100347.0301353953</v>
      </c>
      <c r="O239" s="1">
        <f t="shared" si="25"/>
        <v>1.7115392829042797</v>
      </c>
      <c r="P239" s="3">
        <f t="shared" si="26"/>
        <v>5.4235407093830951E-14</v>
      </c>
      <c r="Q239" s="3"/>
      <c r="R239" s="11">
        <f t="shared" si="30"/>
        <v>2.4346277032123213E-2</v>
      </c>
      <c r="S239" s="3">
        <f t="shared" si="31"/>
        <v>7.7148696453859643E-16</v>
      </c>
      <c r="T239" s="3"/>
      <c r="U239" s="9">
        <f t="shared" si="27"/>
        <v>1.4231035891876269E-3</v>
      </c>
      <c r="V239" s="3">
        <f t="shared" si="28"/>
        <v>4.5095431502637295E-17</v>
      </c>
    </row>
    <row r="240" spans="1:22" x14ac:dyDescent="0.2">
      <c r="A240" t="s">
        <v>689</v>
      </c>
      <c r="B240" s="1" t="str">
        <f>VLOOKUP(REPLACE(A240,FIND("dist",A240),4,"fit")&amp;"*",'[413]t (Cherniak)'!$A:$A,1,0)</f>
        <v>CGI011-qtz12-CL-fit-1-offset</v>
      </c>
      <c r="C240">
        <v>1550</v>
      </c>
      <c r="D240">
        <v>1024</v>
      </c>
      <c r="E240" s="1">
        <f t="shared" si="24"/>
        <v>1.513671875</v>
      </c>
      <c r="F240">
        <f>'[653]CGI011-qtz12-CL-dist-1'!$B$4</f>
        <v>448.57600000000002</v>
      </c>
      <c r="G240" s="1">
        <f t="shared" si="29"/>
        <v>678.99687500000005</v>
      </c>
      <c r="H240" s="1"/>
      <c r="I240" s="1" t="str">
        <f>VLOOKUP($B240, '[413]t (Cherniak) Category'!$1:$1048576, MATCH(I$1, '[413]t (Cherniak) Category'!$1:$1, 0), 0)</f>
        <v>Interior</v>
      </c>
      <c r="J240" s="1"/>
      <c r="K240" s="4">
        <f>VLOOKUP($B240, '[413]t (Cherniak)'!$1:$1048576, MATCH(LEFT(K$1,FIND(" (",K$1)-1), '[413]t (Cherniak)'!$1:$1, 0), 0)</f>
        <v>576.13989240011006</v>
      </c>
      <c r="L240" s="4">
        <f>'D(Ti_Audétat23) Times'!Z240</f>
        <v>40502.539956723631</v>
      </c>
      <c r="M240" s="4">
        <f>VLOOKUP($B240, '[413]t (J)'!$1:$1048576, MATCH(LEFT(M$1,FIND(" (",M$1)-1),'[413]t (J)'!$1:$1, 0), 0)</f>
        <v>692912.35422569385</v>
      </c>
      <c r="O240" s="1">
        <f t="shared" si="25"/>
        <v>1.1785277915254291</v>
      </c>
      <c r="P240" s="3">
        <f t="shared" si="26"/>
        <v>3.7345292149131398E-14</v>
      </c>
      <c r="Q240" s="3"/>
      <c r="R240" s="11">
        <f t="shared" si="30"/>
        <v>1.6764303565294875E-2</v>
      </c>
      <c r="S240" s="3">
        <f t="shared" si="31"/>
        <v>5.3122872351810249E-16</v>
      </c>
      <c r="T240" s="3"/>
      <c r="U240" s="9">
        <f t="shared" si="27"/>
        <v>9.7991740349146492E-4</v>
      </c>
      <c r="V240" s="3">
        <f t="shared" si="28"/>
        <v>3.1051708732332777E-17</v>
      </c>
    </row>
    <row r="241" spans="1:22" x14ac:dyDescent="0.2">
      <c r="A241" t="s">
        <v>690</v>
      </c>
      <c r="B241" s="1" t="str">
        <f>VLOOKUP(REPLACE(A241,FIND("dist",A241),4,"fit")&amp;"*",'[413]t (Cherniak)'!$A:$A,1,0)</f>
        <v>CGI011-qtz12-CL-fit-2-offset</v>
      </c>
      <c r="C241">
        <v>1550</v>
      </c>
      <c r="D241">
        <v>1024</v>
      </c>
      <c r="E241" s="1">
        <f t="shared" si="24"/>
        <v>1.513671875</v>
      </c>
      <c r="F241">
        <f>'[654]CGI011-qtz12-CL-dist-2'!$B$4</f>
        <v>304.23700000000002</v>
      </c>
      <c r="G241" s="1">
        <f t="shared" si="29"/>
        <v>460.51499023437503</v>
      </c>
      <c r="H241" s="1"/>
      <c r="I241" s="1" t="str">
        <f>VLOOKUP($B241, '[413]t (Cherniak) Category'!$1:$1048576, MATCH(I$1, '[413]t (Cherniak) Category'!$1:$1, 0), 0)</f>
        <v>Interior</v>
      </c>
      <c r="J241" s="1"/>
      <c r="K241" s="4">
        <f>VLOOKUP($B241, '[413]t (Cherniak)'!$1:$1048576, MATCH(LEFT(K$1,FIND(" (",K$1)-1), '[413]t (Cherniak)'!$1:$1, 0), 0)</f>
        <v>705.15059127326651</v>
      </c>
      <c r="L241" s="4">
        <f>'D(Ti_Audétat23) Times'!Z241</f>
        <v>49571.97093152946</v>
      </c>
      <c r="M241" s="4">
        <f>VLOOKUP($B241, '[413]t (J)'!$1:$1048576, MATCH(LEFT(M$1,FIND(" (",M$1)-1),'[413]t (J)'!$1:$1, 0), 0)</f>
        <v>848071.03748246841</v>
      </c>
      <c r="O241" s="1">
        <f t="shared" si="25"/>
        <v>0.65307325262656124</v>
      </c>
      <c r="P241" s="3">
        <f t="shared" si="26"/>
        <v>2.0694642578223985E-14</v>
      </c>
      <c r="Q241" s="3"/>
      <c r="R241" s="11">
        <f t="shared" si="30"/>
        <v>9.2898261170703596E-3</v>
      </c>
      <c r="S241" s="3">
        <f t="shared" si="31"/>
        <v>2.9437682577478511E-16</v>
      </c>
      <c r="T241" s="3"/>
      <c r="U241" s="9">
        <f t="shared" si="27"/>
        <v>5.4301464132230188E-4</v>
      </c>
      <c r="V241" s="3">
        <f t="shared" si="28"/>
        <v>1.7207095638524536E-17</v>
      </c>
    </row>
    <row r="242" spans="1:22" x14ac:dyDescent="0.2">
      <c r="A242" t="s">
        <v>691</v>
      </c>
      <c r="B242" s="1" t="str">
        <f>VLOOKUP(REPLACE(A242,FIND("dist",A242),4,"fit")&amp;"*",'[413]t (Cherniak)'!$A:$A,1,0)</f>
        <v>CGI011-qtz12-CL-fit-3-offset</v>
      </c>
      <c r="C242">
        <v>1550</v>
      </c>
      <c r="D242">
        <v>1024</v>
      </c>
      <c r="E242" s="1">
        <f t="shared" si="24"/>
        <v>1.513671875</v>
      </c>
      <c r="F242">
        <f>'[655]CGI011-qtz12-CL-dist-3'!$B$4</f>
        <v>223.40299999999999</v>
      </c>
      <c r="G242" s="1">
        <f t="shared" si="29"/>
        <v>338.15883789062497</v>
      </c>
      <c r="H242" s="1"/>
      <c r="I242" s="1" t="str">
        <f>VLOOKUP($B242, '[413]t (Cherniak) Category'!$1:$1048576, MATCH(I$1, '[413]t (Cherniak) Category'!$1:$1, 0), 0)</f>
        <v>Interior</v>
      </c>
      <c r="J242" s="1"/>
      <c r="K242" s="4">
        <f>VLOOKUP($B242, '[413]t (Cherniak)'!$1:$1048576, MATCH(LEFT(K$1,FIND(" (",K$1)-1), '[413]t (Cherniak)'!$1:$1, 0), 0)</f>
        <v>512.17711318168688</v>
      </c>
      <c r="L242" s="4">
        <f>'D(Ti_Audétat23) Times'!Z242</f>
        <v>36005.967066682962</v>
      </c>
      <c r="M242" s="4">
        <f>VLOOKUP($B242, '[413]t (J)'!$1:$1048576, MATCH(LEFT(M$1,FIND(" (",M$1)-1),'[413]t (J)'!$1:$1, 0), 0)</f>
        <v>615985.5513507477</v>
      </c>
      <c r="O242" s="1">
        <f t="shared" si="25"/>
        <v>0.66023808793398464</v>
      </c>
      <c r="P242" s="3">
        <f t="shared" si="26"/>
        <v>2.0921682508618672E-14</v>
      </c>
      <c r="Q242" s="3"/>
      <c r="R242" s="11">
        <f t="shared" si="30"/>
        <v>9.3917443534943974E-3</v>
      </c>
      <c r="S242" s="3">
        <f t="shared" si="31"/>
        <v>2.9760641980044099E-16</v>
      </c>
      <c r="T242" s="3"/>
      <c r="U242" s="9">
        <f t="shared" si="27"/>
        <v>5.4897202888785663E-4</v>
      </c>
      <c r="V242" s="3">
        <f t="shared" si="28"/>
        <v>1.7395873858844036E-17</v>
      </c>
    </row>
    <row r="243" spans="1:22" x14ac:dyDescent="0.2">
      <c r="A243" t="s">
        <v>692</v>
      </c>
      <c r="B243" s="1" t="str">
        <f>VLOOKUP(REPLACE(A243,FIND("dist",A243),4,"fit")&amp;"*",'[413]t (Cherniak)'!$A:$A,1,0)</f>
        <v>CGI011-qtz12-CL-fit-4-offset</v>
      </c>
      <c r="C243">
        <v>1550</v>
      </c>
      <c r="D243">
        <v>1024</v>
      </c>
      <c r="E243" s="1">
        <f t="shared" si="24"/>
        <v>1.513671875</v>
      </c>
      <c r="F243">
        <f>'[656]CGI011-qtz12-CL-dist-4'!$B$4</f>
        <v>61.294400000000003</v>
      </c>
      <c r="G243" s="1">
        <f t="shared" si="29"/>
        <v>92.779609375000007</v>
      </c>
      <c r="H243" s="1"/>
      <c r="I243" s="1" t="str">
        <f>VLOOKUP($B243, '[413]t (Cherniak) Category'!$1:$1048576, MATCH(I$1, '[413]t (Cherniak) Category'!$1:$1, 0), 0)</f>
        <v>Interior</v>
      </c>
      <c r="J243" s="1"/>
      <c r="K243" s="4">
        <f>VLOOKUP($B243, '[413]t (Cherniak)'!$1:$1048576, MATCH(LEFT(K$1,FIND(" (",K$1)-1), '[413]t (Cherniak)'!$1:$1, 0), 0)</f>
        <v>307.11788031197125</v>
      </c>
      <c r="L243" s="4">
        <f>'D(Ti_Audétat23) Times'!Z243</f>
        <v>21590.336622830775</v>
      </c>
      <c r="M243" s="4">
        <f>VLOOKUP($B243, '[413]t (J)'!$1:$1048576, MATCH(LEFT(M$1,FIND(" (",M$1)-1),'[413]t (J)'!$1:$1, 0), 0)</f>
        <v>369364.76067514915</v>
      </c>
      <c r="O243" s="1">
        <f t="shared" si="25"/>
        <v>0.30209771336255059</v>
      </c>
      <c r="P243" s="3">
        <f t="shared" si="26"/>
        <v>9.5728988694498508E-15</v>
      </c>
      <c r="Q243" s="3"/>
      <c r="R243" s="11">
        <f t="shared" si="30"/>
        <v>4.2972747945434946E-3</v>
      </c>
      <c r="S243" s="3">
        <f t="shared" si="31"/>
        <v>1.3617242105050747E-16</v>
      </c>
      <c r="T243" s="3"/>
      <c r="U243" s="9">
        <f t="shared" si="27"/>
        <v>2.5118695461205166E-4</v>
      </c>
      <c r="V243" s="3">
        <f t="shared" si="28"/>
        <v>7.9596342754851972E-18</v>
      </c>
    </row>
    <row r="244" spans="1:22" x14ac:dyDescent="0.2">
      <c r="A244" t="s">
        <v>693</v>
      </c>
      <c r="B244" s="1" t="str">
        <f>VLOOKUP(REPLACE(A244,FIND("dist",A244),4,"fit")&amp;"*",'[413]t (Cherniak)'!$A:$A,1,0)</f>
        <v>CGI014-qtz01-CL-fit-1-offset</v>
      </c>
      <c r="C244">
        <v>1600</v>
      </c>
      <c r="D244">
        <v>1024</v>
      </c>
      <c r="E244" s="1">
        <f t="shared" si="24"/>
        <v>1.5625</v>
      </c>
      <c r="F244">
        <f>'[657]CGI008-qtz04-CL-dist-3'!$B$4</f>
        <v>278.22699999999998</v>
      </c>
      <c r="G244" s="1">
        <f t="shared" si="29"/>
        <v>434.72968749999995</v>
      </c>
      <c r="H244" s="1"/>
      <c r="I244" s="1" t="str">
        <f>VLOOKUP($B244, '[413]t (Cherniak) Category'!$1:$1048576, MATCH(I$1, '[413]t (Cherniak) Category'!$1:$1, 0), 0)</f>
        <v>Interior</v>
      </c>
      <c r="J244" s="1"/>
      <c r="K244" s="4">
        <f>VLOOKUP($B244, '[413]t (Cherniak)'!$1:$1048576, MATCH(LEFT(K$1,FIND(" (",K$1)-1), '[413]t (Cherniak)'!$1:$1, 0), 0)</f>
        <v>206.59665961485643</v>
      </c>
      <c r="L244" s="4">
        <f>'D(Ti_Audétat23) Times'!Z244</f>
        <v>14523.711291918784</v>
      </c>
      <c r="M244" s="4">
        <f>VLOOKUP($B244, '[413]t (J)'!$1:$1048576, MATCH(LEFT(M$1,FIND(" (",M$1)-1),'[413]t (J)'!$1:$1, 0), 0)</f>
        <v>248469.82421671852</v>
      </c>
      <c r="O244" s="1">
        <f t="shared" si="25"/>
        <v>2.1042435454205108</v>
      </c>
      <c r="P244" s="3">
        <f t="shared" si="26"/>
        <v>6.6679454249388767E-14</v>
      </c>
      <c r="Q244" s="3"/>
      <c r="R244" s="11">
        <f t="shared" si="30"/>
        <v>2.9932410439877735E-2</v>
      </c>
      <c r="S244" s="3">
        <f t="shared" si="31"/>
        <v>9.4850085050440257E-16</v>
      </c>
      <c r="T244" s="3"/>
      <c r="U244" s="9">
        <f t="shared" si="27"/>
        <v>1.7496277017559412E-3</v>
      </c>
      <c r="V244" s="3">
        <f t="shared" si="28"/>
        <v>5.544235625509992E-17</v>
      </c>
    </row>
    <row r="245" spans="1:22" x14ac:dyDescent="0.2">
      <c r="A245" t="s">
        <v>694</v>
      </c>
      <c r="B245" s="1" t="str">
        <f>VLOOKUP(REPLACE(A245,FIND("dist",A245),4,"fit")&amp;"*",'[413]t (Cherniak)'!$A:$A,1,0)</f>
        <v>CGI014-qtz01-CL-fit-2-offset</v>
      </c>
      <c r="C245">
        <v>1600</v>
      </c>
      <c r="D245">
        <v>1024</v>
      </c>
      <c r="E245" s="1">
        <f t="shared" si="24"/>
        <v>1.5625</v>
      </c>
      <c r="F245">
        <f>'[658]CGI014-qtz01-CL-dist-2'!$B$4</f>
        <v>490.00900000000001</v>
      </c>
      <c r="G245" s="1">
        <f t="shared" si="29"/>
        <v>765.63906250000002</v>
      </c>
      <c r="H245" s="1"/>
      <c r="I245" s="1" t="str">
        <f>VLOOKUP($B245, '[413]t (Cherniak) Category'!$1:$1048576, MATCH(I$1, '[413]t (Cherniak) Category'!$1:$1, 0), 0)</f>
        <v>Interior</v>
      </c>
      <c r="J245" s="1"/>
      <c r="K245" s="4">
        <f>VLOOKUP($B245, '[413]t (Cherniak)'!$1:$1048576, MATCH(LEFT(K$1,FIND(" (",K$1)-1), '[413]t (Cherniak)'!$1:$1, 0), 0)</f>
        <v>20.556500893353537</v>
      </c>
      <c r="L245" s="4">
        <f>'D(Ti_Audétat23) Times'!Z245</f>
        <v>1445.1186418198413</v>
      </c>
      <c r="M245" s="4">
        <f>VLOOKUP($B245, '[413]t (J)'!$1:$1048576, MATCH(LEFT(M$1,FIND(" (",M$1)-1),'[413]t (J)'!$1:$1, 0), 0)</f>
        <v>24722.907780814272</v>
      </c>
      <c r="O245" s="1">
        <f t="shared" si="25"/>
        <v>37.245592840537931</v>
      </c>
      <c r="P245" s="3">
        <f t="shared" si="26"/>
        <v>1.1802416166165339E-12</v>
      </c>
      <c r="Q245" s="3"/>
      <c r="R245" s="11">
        <f t="shared" si="30"/>
        <v>0.52981052236363724</v>
      </c>
      <c r="S245" s="3">
        <f t="shared" si="31"/>
        <v>1.6788682357455483E-14</v>
      </c>
      <c r="T245" s="3"/>
      <c r="U245" s="9">
        <f t="shared" si="27"/>
        <v>3.0968811164443982E-2</v>
      </c>
      <c r="V245" s="3">
        <f t="shared" si="28"/>
        <v>9.8134240767498103E-16</v>
      </c>
    </row>
    <row r="246" spans="1:22" x14ac:dyDescent="0.2">
      <c r="A246" t="s">
        <v>695</v>
      </c>
      <c r="B246" s="1" t="str">
        <f>VLOOKUP(REPLACE(A246,FIND("dist",A246),4,"fit")&amp;"*",'[413]t (Cherniak)'!$A:$A,1,0)</f>
        <v>CGI014-qtz02-CL-fit-1-offset</v>
      </c>
      <c r="C246">
        <v>2000</v>
      </c>
      <c r="D246">
        <v>1024</v>
      </c>
      <c r="E246" s="1">
        <f t="shared" si="24"/>
        <v>1.953125</v>
      </c>
      <c r="F246">
        <f>'[659]CGI014-qtz02-CL-dist-1'!$B$4</f>
        <v>364.96699999999998</v>
      </c>
      <c r="G246" s="1">
        <f t="shared" si="29"/>
        <v>712.826171875</v>
      </c>
      <c r="H246" s="1"/>
      <c r="I246" s="1" t="str">
        <f>VLOOKUP($B246, '[413]t (Cherniak) Category'!$1:$1048576, MATCH(I$1, '[413]t (Cherniak) Category'!$1:$1, 0), 0)</f>
        <v>Core</v>
      </c>
      <c r="J246" s="1"/>
      <c r="K246" s="4">
        <f>VLOOKUP($B246, '[413]t (Cherniak)'!$1:$1048576, MATCH(LEFT(K$1,FIND(" (",K$1)-1), '[413]t (Cherniak)'!$1:$1, 0), 0)</f>
        <v>598.81374628857259</v>
      </c>
      <c r="L246" s="4">
        <f>'D(Ti_Audétat23) Times'!Z246</f>
        <v>42096.508166882908</v>
      </c>
      <c r="M246" s="4">
        <f>VLOOKUP($B246, '[413]t (J)'!$1:$1048576, MATCH(LEFT(M$1,FIND(" (",M$1)-1),'[413]t (J)'!$1:$1, 0), 0)</f>
        <v>720181.76168118941</v>
      </c>
      <c r="O246" s="1">
        <f t="shared" si="25"/>
        <v>1.1903971415036354</v>
      </c>
      <c r="P246" s="3">
        <f t="shared" si="26"/>
        <v>3.7721409153536245E-14</v>
      </c>
      <c r="Q246" s="3"/>
      <c r="R246" s="11">
        <f t="shared" si="30"/>
        <v>1.6933142507904644E-2</v>
      </c>
      <c r="S246" s="3">
        <f t="shared" si="31"/>
        <v>5.3657890675794875E-16</v>
      </c>
      <c r="T246" s="3"/>
      <c r="U246" s="9">
        <f t="shared" si="27"/>
        <v>9.8978648141683206E-4</v>
      </c>
      <c r="V246" s="3">
        <f t="shared" si="28"/>
        <v>3.1364440940275312E-17</v>
      </c>
    </row>
    <row r="247" spans="1:22" x14ac:dyDescent="0.2">
      <c r="A247" t="s">
        <v>696</v>
      </c>
      <c r="B247" s="1" t="str">
        <f>VLOOKUP(REPLACE(A247,FIND("dist",A247),4,"fit")&amp;"*",'[413]t (Cherniak)'!$A:$A,1,0)</f>
        <v>CGI014-qtz02-CL-fit-2-offset</v>
      </c>
      <c r="C247">
        <v>2000</v>
      </c>
      <c r="D247">
        <v>1024</v>
      </c>
      <c r="E247" s="1">
        <f t="shared" si="24"/>
        <v>1.953125</v>
      </c>
      <c r="F247">
        <f>'[660]CGI014-qtz02-CL-dist-2'!$B$4</f>
        <v>196.06399999999999</v>
      </c>
      <c r="G247" s="1">
        <f t="shared" si="29"/>
        <v>382.9375</v>
      </c>
      <c r="H247" s="1"/>
      <c r="I247" s="1" t="str">
        <f>VLOOKUP($B247, '[413]t (Cherniak) Category'!$1:$1048576, MATCH(I$1, '[413]t (Cherniak) Category'!$1:$1, 0), 0)</f>
        <v>Interior</v>
      </c>
      <c r="J247" s="1"/>
      <c r="K247" s="4">
        <f>VLOOKUP($B247, '[413]t (Cherniak)'!$1:$1048576, MATCH(LEFT(K$1,FIND(" (",K$1)-1), '[413]t (Cherniak)'!$1:$1, 0), 0)</f>
        <v>132.73845132303202</v>
      </c>
      <c r="L247" s="4">
        <f>'D(Ti_Audétat23) Times'!Z247</f>
        <v>9331.4913607320468</v>
      </c>
      <c r="M247" s="4">
        <f>VLOOKUP($B247, '[413]t (J)'!$1:$1048576, MATCH(LEFT(M$1,FIND(" (",M$1)-1),'[413]t (J)'!$1:$1, 0), 0)</f>
        <v>159641.9793452532</v>
      </c>
      <c r="O247" s="1">
        <f t="shared" si="25"/>
        <v>2.8849025748242618</v>
      </c>
      <c r="P247" s="3">
        <f t="shared" si="26"/>
        <v>9.1417046125949424E-14</v>
      </c>
      <c r="Q247" s="3"/>
      <c r="R247" s="11">
        <f t="shared" si="30"/>
        <v>4.1037116704779213E-2</v>
      </c>
      <c r="S247" s="3">
        <f t="shared" si="31"/>
        <v>1.300387757775598E-15</v>
      </c>
      <c r="T247" s="3"/>
      <c r="U247" s="9">
        <f t="shared" si="27"/>
        <v>2.3987268359522895E-3</v>
      </c>
      <c r="V247" s="3">
        <f t="shared" si="28"/>
        <v>7.6011066619523964E-17</v>
      </c>
    </row>
    <row r="248" spans="1:22" x14ac:dyDescent="0.2">
      <c r="A248" t="s">
        <v>697</v>
      </c>
      <c r="B248" s="1" t="str">
        <f>VLOOKUP(REPLACE(A248,FIND("dist",A248),4,"fit")&amp;"*",'[413]t (Cherniak)'!$A:$A,1,0)</f>
        <v>CGI014-qtz02-CL-fit-3-offset</v>
      </c>
      <c r="C248">
        <v>2000</v>
      </c>
      <c r="D248">
        <v>1024</v>
      </c>
      <c r="E248" s="1">
        <f t="shared" si="24"/>
        <v>1.953125</v>
      </c>
      <c r="F248">
        <f>'[661]CGI014-qtz02-CL-dist-3'!$B$4</f>
        <v>140.45599999999999</v>
      </c>
      <c r="G248" s="1">
        <f t="shared" si="29"/>
        <v>274.328125</v>
      </c>
      <c r="H248" s="1"/>
      <c r="I248" s="1" t="str">
        <f>VLOOKUP($B248, '[413]t (Cherniak) Category'!$1:$1048576, MATCH(I$1, '[413]t (Cherniak) Category'!$1:$1, 0), 0)</f>
        <v>Interior</v>
      </c>
      <c r="J248" s="1"/>
      <c r="K248" s="4">
        <f>VLOOKUP($B248, '[413]t (Cherniak)'!$1:$1048576, MATCH(LEFT(K$1,FIND(" (",K$1)-1), '[413]t (Cherniak)'!$1:$1, 0), 0)</f>
        <v>49.860069946494157</v>
      </c>
      <c r="L248" s="4">
        <f>'D(Ti_Audétat23) Times'!Z248</f>
        <v>3505.1547408740557</v>
      </c>
      <c r="M248" s="4">
        <f>VLOOKUP($B248, '[413]t (J)'!$1:$1048576, MATCH(LEFT(M$1,FIND(" (",M$1)-1),'[413]t (J)'!$1:$1, 0), 0)</f>
        <v>59965.746000608699</v>
      </c>
      <c r="O248" s="1">
        <f t="shared" si="25"/>
        <v>5.5019602919608221</v>
      </c>
      <c r="P248" s="3">
        <f t="shared" si="26"/>
        <v>1.7434660088095489E-13</v>
      </c>
      <c r="Q248" s="3"/>
      <c r="R248" s="11">
        <f t="shared" si="30"/>
        <v>7.826419809688423E-2</v>
      </c>
      <c r="S248" s="3">
        <f t="shared" si="31"/>
        <v>2.4800427819886247E-15</v>
      </c>
      <c r="T248" s="3"/>
      <c r="U248" s="9">
        <f t="shared" si="27"/>
        <v>4.5747471397623463E-3</v>
      </c>
      <c r="V248" s="3">
        <f t="shared" si="28"/>
        <v>1.4496498909176699E-16</v>
      </c>
    </row>
    <row r="249" spans="1:22" x14ac:dyDescent="0.2">
      <c r="A249" t="s">
        <v>698</v>
      </c>
      <c r="B249" s="1" t="str">
        <f>VLOOKUP(REPLACE(A249,FIND("dist",A249),4,"fit")&amp;"*",'[413]t (Cherniak)'!$A:$A,1,0)</f>
        <v>CGI014-qtz02-CL-fit-4-offset</v>
      </c>
      <c r="C249">
        <v>2000</v>
      </c>
      <c r="D249">
        <v>1024</v>
      </c>
      <c r="E249" s="1">
        <f t="shared" si="24"/>
        <v>1.953125</v>
      </c>
      <c r="F249">
        <f>'[662]CGI014-qtz02-CL-dist-4'!$B$4</f>
        <v>85.088200000000001</v>
      </c>
      <c r="G249" s="1">
        <f t="shared" si="29"/>
        <v>166.18789062499999</v>
      </c>
      <c r="H249" s="1"/>
      <c r="I249" s="1" t="str">
        <f>VLOOKUP($B249, '[413]t (Cherniak) Category'!$1:$1048576, MATCH(I$1, '[413]t (Cherniak) Category'!$1:$1, 0), 0)</f>
        <v>Interior</v>
      </c>
      <c r="J249" s="1"/>
      <c r="K249" s="4">
        <f>VLOOKUP($B249, '[413]t (Cherniak)'!$1:$1048576, MATCH(LEFT(K$1,FIND(" (",K$1)-1), '[413]t (Cherniak)'!$1:$1, 0), 0)</f>
        <v>6.1824682233695016</v>
      </c>
      <c r="L249" s="4">
        <f>'D(Ti_Audétat23) Times'!Z249</f>
        <v>434.62650226327139</v>
      </c>
      <c r="M249" s="4">
        <f>VLOOKUP($B249, '[413]t (J)'!$1:$1048576, MATCH(LEFT(M$1,FIND(" (",M$1)-1),'[413]t (J)'!$1:$1, 0), 0)</f>
        <v>7435.5354803403743</v>
      </c>
      <c r="O249" s="1">
        <f t="shared" si="25"/>
        <v>26.880508661058037</v>
      </c>
      <c r="P249" s="3">
        <f t="shared" si="26"/>
        <v>8.5179191893737281E-13</v>
      </c>
      <c r="Q249" s="3"/>
      <c r="R249" s="11">
        <f t="shared" si="30"/>
        <v>0.3823694361931318</v>
      </c>
      <c r="S249" s="3">
        <f t="shared" si="31"/>
        <v>1.21165562714887E-14</v>
      </c>
      <c r="T249" s="3"/>
      <c r="U249" s="9">
        <f t="shared" si="27"/>
        <v>2.2350493930719896E-2</v>
      </c>
      <c r="V249" s="3">
        <f t="shared" si="28"/>
        <v>7.0824441436357319E-16</v>
      </c>
    </row>
    <row r="250" spans="1:22" x14ac:dyDescent="0.2">
      <c r="A250" t="s">
        <v>699</v>
      </c>
      <c r="B250" s="1" t="str">
        <f>VLOOKUP(REPLACE(A250,FIND("dist",A250),4,"fit")&amp;"*",'[413]t (Cherniak)'!$A:$A,1,0)</f>
        <v>CGI014-qtz03-CL-fit-1-offset</v>
      </c>
      <c r="C250">
        <v>1800</v>
      </c>
      <c r="D250">
        <v>1024</v>
      </c>
      <c r="E250" s="1">
        <f t="shared" si="24"/>
        <v>1.7578125</v>
      </c>
      <c r="F250">
        <f>'[663]CGI014-qtz03-CL-dist-1'!$B$4</f>
        <v>879.92399999999998</v>
      </c>
      <c r="G250" s="1">
        <f t="shared" si="29"/>
        <v>1546.74140625</v>
      </c>
      <c r="H250" s="1"/>
      <c r="I250" s="1" t="str">
        <f>VLOOKUP($B250, '[413]t (Cherniak) Category'!$1:$1048576, MATCH(I$1, '[413]t (Cherniak) Category'!$1:$1, 0), 0)</f>
        <v>Core</v>
      </c>
      <c r="J250" s="1"/>
      <c r="K250" s="4">
        <f>VLOOKUP($B250, '[413]t (Cherniak)'!$1:$1048576, MATCH(LEFT(K$1,FIND(" (",K$1)-1), '[413]t (Cherniak)'!$1:$1, 0), 0)</f>
        <v>1977.2992972560255</v>
      </c>
      <c r="L250" s="4">
        <f>'D(Ti_Audétat23) Times'!Z250</f>
        <v>139003.8163472577</v>
      </c>
      <c r="M250" s="4">
        <f>VLOOKUP($B250, '[413]t (J)'!$1:$1048576, MATCH(LEFT(M$1,FIND(" (",M$1)-1),'[413]t (J)'!$1:$1, 0), 0)</f>
        <v>2378059.7891995939</v>
      </c>
      <c r="O250" s="1">
        <f t="shared" si="25"/>
        <v>0.78224950992319309</v>
      </c>
      <c r="P250" s="3">
        <f t="shared" si="26"/>
        <v>2.4787991162927254E-14</v>
      </c>
      <c r="Q250" s="3"/>
      <c r="R250" s="11">
        <f t="shared" si="30"/>
        <v>1.1127330507141967E-2</v>
      </c>
      <c r="S250" s="3">
        <f t="shared" si="31"/>
        <v>3.526038262460379E-16</v>
      </c>
      <c r="T250" s="3"/>
      <c r="U250" s="9">
        <f t="shared" si="27"/>
        <v>6.5042158034664106E-4</v>
      </c>
      <c r="V250" s="3">
        <f t="shared" si="28"/>
        <v>2.0610616154163847E-17</v>
      </c>
    </row>
    <row r="251" spans="1:22" x14ac:dyDescent="0.2">
      <c r="A251" t="s">
        <v>700</v>
      </c>
      <c r="B251" s="1" t="str">
        <f>VLOOKUP(REPLACE(A251,FIND("dist",A251),4,"fit")&amp;"*",'[413]t (Cherniak)'!$A:$A,1,0)</f>
        <v>CGI014-qtz03-CL-fit-2-offset</v>
      </c>
      <c r="C251">
        <v>1800</v>
      </c>
      <c r="D251">
        <v>1024</v>
      </c>
      <c r="E251" s="1">
        <f t="shared" si="24"/>
        <v>1.7578125</v>
      </c>
      <c r="F251">
        <f>'[664]CGI014-qtz03-CL-dist-2'!$B$4</f>
        <v>591.92700000000002</v>
      </c>
      <c r="G251" s="1">
        <f t="shared" si="29"/>
        <v>1040.4966796875001</v>
      </c>
      <c r="H251" s="1"/>
      <c r="I251" s="1" t="str">
        <f>VLOOKUP($B251, '[413]t (Cherniak) Category'!$1:$1048576, MATCH(I$1, '[413]t (Cherniak) Category'!$1:$1, 0), 0)</f>
        <v>Core</v>
      </c>
      <c r="J251" s="1"/>
      <c r="K251" s="4">
        <f>VLOOKUP($B251, '[413]t (Cherniak)'!$1:$1048576, MATCH(LEFT(K$1,FIND(" (",K$1)-1), '[413]t (Cherniak)'!$1:$1, 0), 0)</f>
        <v>589.46066846942722</v>
      </c>
      <c r="L251" s="4">
        <f>'D(Ti_Audétat23) Times'!Z251</f>
        <v>41438.988329972883</v>
      </c>
      <c r="M251" s="4">
        <f>VLOOKUP($B251, '[413]t (J)'!$1:$1048576, MATCH(LEFT(M$1,FIND(" (",M$1)-1),'[413]t (J)'!$1:$1, 0), 0)</f>
        <v>708932.99509444623</v>
      </c>
      <c r="O251" s="1">
        <f t="shared" si="25"/>
        <v>1.7651672712773476</v>
      </c>
      <c r="P251" s="3">
        <f t="shared" si="26"/>
        <v>5.5934775498686455E-14</v>
      </c>
      <c r="Q251" s="3"/>
      <c r="R251" s="11">
        <f t="shared" si="30"/>
        <v>2.5109123596410467E-2</v>
      </c>
      <c r="S251" s="3">
        <f t="shared" si="31"/>
        <v>7.956601134563612E-16</v>
      </c>
      <c r="T251" s="3"/>
      <c r="U251" s="9">
        <f t="shared" si="27"/>
        <v>1.4676939666898731E-3</v>
      </c>
      <c r="V251" s="3">
        <f t="shared" si="28"/>
        <v>4.6508415300589179E-17</v>
      </c>
    </row>
    <row r="252" spans="1:22" x14ac:dyDescent="0.2">
      <c r="A252" t="s">
        <v>701</v>
      </c>
      <c r="B252" s="1" t="str">
        <f>VLOOKUP(REPLACE(A252,FIND("dist",A252),4,"fit")&amp;"*",'[413]t (Cherniak)'!$A:$A,1,0)</f>
        <v>CGI014-qtz03-CL-fit-3-offset</v>
      </c>
      <c r="C252">
        <v>1800</v>
      </c>
      <c r="D252">
        <v>1024</v>
      </c>
      <c r="E252" s="1">
        <f t="shared" si="24"/>
        <v>1.7578125</v>
      </c>
      <c r="F252">
        <f>'[665]CGI014-qtz03-CL-dist-3'!$B$4</f>
        <v>445.92599999999999</v>
      </c>
      <c r="G252" s="1">
        <f t="shared" si="29"/>
        <v>783.85429687499993</v>
      </c>
      <c r="H252" s="1"/>
      <c r="I252" s="1" t="str">
        <f>VLOOKUP($B252, '[413]t (Cherniak) Category'!$1:$1048576, MATCH(I$1, '[413]t (Cherniak) Category'!$1:$1, 0), 0)</f>
        <v>Interior</v>
      </c>
      <c r="J252" s="1"/>
      <c r="K252" s="4">
        <f>VLOOKUP($B252, '[413]t (Cherniak)'!$1:$1048576, MATCH(LEFT(K$1,FIND(" (",K$1)-1), '[413]t (Cherniak)'!$1:$1, 0), 0)</f>
        <v>45.604176346747153</v>
      </c>
      <c r="L252" s="4">
        <f>'D(Ti_Audétat23) Times'!Z252</f>
        <v>3205.9661187197535</v>
      </c>
      <c r="M252" s="4">
        <f>VLOOKUP($B252, '[413]t (J)'!$1:$1048576, MATCH(LEFT(M$1,FIND(" (",M$1)-1),'[413]t (J)'!$1:$1, 0), 0)</f>
        <v>54847.264721262058</v>
      </c>
      <c r="O252" s="1">
        <f t="shared" si="25"/>
        <v>17.188213003016127</v>
      </c>
      <c r="P252" s="3">
        <f t="shared" si="26"/>
        <v>5.4466160300580929E-13</v>
      </c>
      <c r="Q252" s="3"/>
      <c r="R252" s="11">
        <f t="shared" si="30"/>
        <v>0.24449862158494004</v>
      </c>
      <c r="S252" s="3">
        <f t="shared" si="31"/>
        <v>7.7476937911926129E-15</v>
      </c>
      <c r="T252" s="3"/>
      <c r="U252" s="9">
        <f t="shared" si="27"/>
        <v>1.4291584108316189E-2</v>
      </c>
      <c r="V252" s="3">
        <f t="shared" si="28"/>
        <v>4.5287297222590402E-16</v>
      </c>
    </row>
    <row r="253" spans="1:22" x14ac:dyDescent="0.2">
      <c r="A253" t="s">
        <v>702</v>
      </c>
      <c r="B253" s="1" t="str">
        <f>VLOOKUP(REPLACE(A253,FIND("dist",A253),4,"fit")&amp;"*",'[413]t (Cherniak)'!$A:$A,1,0)</f>
        <v>CGI014-qtz03-CL-fit-4-offset</v>
      </c>
      <c r="C253">
        <v>1800</v>
      </c>
      <c r="D253">
        <v>1024</v>
      </c>
      <c r="E253" s="1">
        <f t="shared" si="24"/>
        <v>1.7578125</v>
      </c>
      <c r="F253">
        <f>'[666]CGI014-qtz03-CL-dist-4'!$B$4</f>
        <v>200.41200000000001</v>
      </c>
      <c r="G253" s="1">
        <f t="shared" si="29"/>
        <v>352.28671875000003</v>
      </c>
      <c r="H253" s="1"/>
      <c r="I253" s="1" t="str">
        <f>VLOOKUP($B253, '[413]t (Cherniak) Category'!$1:$1048576, MATCH(I$1, '[413]t (Cherniak) Category'!$1:$1, 0), 0)</f>
        <v>Interior</v>
      </c>
      <c r="J253" s="1"/>
      <c r="K253" s="4">
        <f>VLOOKUP($B253, '[413]t (Cherniak)'!$1:$1048576, MATCH(LEFT(K$1,FIND(" (",K$1)-1), '[413]t (Cherniak)'!$1:$1, 0), 0)</f>
        <v>29.738358331196846</v>
      </c>
      <c r="L253" s="4">
        <f>'D(Ti_Audétat23) Times'!Z253</f>
        <v>2090.6017140021168</v>
      </c>
      <c r="M253" s="4">
        <f>VLOOKUP($B253, '[413]t (J)'!$1:$1048576, MATCH(LEFT(M$1,FIND(" (",M$1)-1),'[413]t (J)'!$1:$1, 0), 0)</f>
        <v>35765.750912048708</v>
      </c>
      <c r="O253" s="1">
        <f t="shared" si="25"/>
        <v>11.846205995185544</v>
      </c>
      <c r="P253" s="3">
        <f t="shared" si="26"/>
        <v>3.7538361583851572E-13</v>
      </c>
      <c r="Q253" s="3"/>
      <c r="R253" s="11">
        <f t="shared" si="30"/>
        <v>0.16850972444464538</v>
      </c>
      <c r="S253" s="3">
        <f t="shared" si="31"/>
        <v>5.3397509457197432E-15</v>
      </c>
      <c r="T253" s="3"/>
      <c r="U253" s="9">
        <f t="shared" si="27"/>
        <v>9.8498342622892407E-3</v>
      </c>
      <c r="V253" s="3">
        <f t="shared" si="28"/>
        <v>3.1212241305705249E-16</v>
      </c>
    </row>
    <row r="254" spans="1:22" x14ac:dyDescent="0.2">
      <c r="A254" t="s">
        <v>703</v>
      </c>
      <c r="B254" s="1" t="str">
        <f>VLOOKUP(REPLACE(A254,FIND("dist",A254),4,"fit")&amp;"*",'[413]t (Cherniak)'!$A:$A,1,0)</f>
        <v>CGI014-qtz03-CL-fit-5-offset</v>
      </c>
      <c r="C254">
        <v>1800</v>
      </c>
      <c r="D254">
        <v>1024</v>
      </c>
      <c r="E254" s="1">
        <f t="shared" si="24"/>
        <v>1.7578125</v>
      </c>
      <c r="F254">
        <f>'[667]CGI014-qtz03-CL-dist-5'!$B$4</f>
        <v>170.792</v>
      </c>
      <c r="G254" s="1">
        <f t="shared" si="29"/>
        <v>300.22031249999998</v>
      </c>
      <c r="H254" s="1"/>
      <c r="I254" s="1" t="str">
        <f>VLOOKUP($B254, '[413]t (Cherniak) Category'!$1:$1048576, MATCH(I$1, '[413]t (Cherniak) Category'!$1:$1, 0), 0)</f>
        <v>Interior</v>
      </c>
      <c r="J254" s="1"/>
      <c r="K254" s="4">
        <f>VLOOKUP($B254, '[413]t (Cherniak)'!$1:$1048576, MATCH(LEFT(K$1,FIND(" (",K$1)-1), '[413]t (Cherniak)'!$1:$1, 0), 0)</f>
        <v>25.363679223021347</v>
      </c>
      <c r="L254" s="4">
        <f>'D(Ti_Audétat23) Times'!Z254</f>
        <v>1783.0624900844768</v>
      </c>
      <c r="M254" s="4">
        <f>VLOOKUP($B254, '[413]t (J)'!$1:$1048576, MATCH(LEFT(M$1,FIND(" (",M$1)-1),'[413]t (J)'!$1:$1, 0), 0)</f>
        <v>30504.408589093007</v>
      </c>
      <c r="O254" s="1">
        <f t="shared" si="25"/>
        <v>11.83662314367645</v>
      </c>
      <c r="P254" s="3">
        <f t="shared" si="26"/>
        <v>3.750799535983867E-13</v>
      </c>
      <c r="Q254" s="3"/>
      <c r="R254" s="11">
        <f t="shared" si="30"/>
        <v>0.16837341044944326</v>
      </c>
      <c r="S254" s="3">
        <f t="shared" si="31"/>
        <v>5.3354314158694972E-15</v>
      </c>
      <c r="T254" s="3"/>
      <c r="U254" s="9">
        <f t="shared" si="27"/>
        <v>9.8418663526341939E-3</v>
      </c>
      <c r="V254" s="3">
        <f t="shared" si="28"/>
        <v>3.118699252362091E-16</v>
      </c>
    </row>
    <row r="255" spans="1:22" x14ac:dyDescent="0.2">
      <c r="A255" t="s">
        <v>704</v>
      </c>
      <c r="B255" s="1" t="str">
        <f>VLOOKUP(REPLACE(A255,FIND("dist",A255),4,"fit")&amp;"*",'[413]t (Cherniak)'!$A:$A,1,0)</f>
        <v>CGI014-qtz04-CL-fit-1-offset</v>
      </c>
      <c r="C255">
        <v>1600</v>
      </c>
      <c r="D255">
        <v>1024</v>
      </c>
      <c r="E255" s="1">
        <f t="shared" si="24"/>
        <v>1.5625</v>
      </c>
      <c r="F255">
        <f>'[668]CGI014-qtz04-CL-dist-1'!$B$4</f>
        <v>154.69300000000001</v>
      </c>
      <c r="G255" s="1">
        <f t="shared" si="29"/>
        <v>241.70781250000002</v>
      </c>
      <c r="H255" s="1"/>
      <c r="I255" s="1" t="str">
        <f>VLOOKUP($B255, '[413]t (Cherniak) Category'!$1:$1048576, MATCH(I$1, '[413]t (Cherniak) Category'!$1:$1, 0), 0)</f>
        <v>Interior</v>
      </c>
      <c r="J255" s="1"/>
      <c r="K255" s="4">
        <f>VLOOKUP($B255, '[413]t (Cherniak)'!$1:$1048576, MATCH(LEFT(K$1,FIND(" (",K$1)-1), '[413]t (Cherniak)'!$1:$1, 0), 0)</f>
        <v>1343.7430262510779</v>
      </c>
      <c r="L255" s="4">
        <f>'D(Ti_Audétat23) Times'!Z255</f>
        <v>94464.914390108999</v>
      </c>
      <c r="M255" s="4">
        <f>VLOOKUP($B255, '[413]t (J)'!$1:$1048576, MATCH(LEFT(M$1,FIND(" (",M$1)-1),'[413]t (J)'!$1:$1, 0), 0)</f>
        <v>1616093.8620569902</v>
      </c>
      <c r="O255" s="1">
        <f t="shared" si="25"/>
        <v>0.17987651491248521</v>
      </c>
      <c r="P255" s="3">
        <f t="shared" si="26"/>
        <v>5.6999428002283196E-15</v>
      </c>
      <c r="Q255" s="3"/>
      <c r="R255" s="11">
        <f t="shared" si="30"/>
        <v>2.5587046159998234E-3</v>
      </c>
      <c r="S255" s="3">
        <f t="shared" si="31"/>
        <v>8.1080456561963631E-17</v>
      </c>
      <c r="T255" s="3"/>
      <c r="U255" s="9">
        <f t="shared" si="27"/>
        <v>1.4956297909104763E-4</v>
      </c>
      <c r="V255" s="3">
        <f t="shared" si="28"/>
        <v>4.739364815164893E-18</v>
      </c>
    </row>
    <row r="256" spans="1:22" x14ac:dyDescent="0.2">
      <c r="A256" t="s">
        <v>705</v>
      </c>
      <c r="B256" s="1" t="str">
        <f>VLOOKUP(REPLACE(A256,FIND("dist",A256),4,"fit")&amp;"*",'[413]t (Cherniak)'!$A:$A,1,0)</f>
        <v>CGI014-qtz04-CL-fit-2-offset</v>
      </c>
      <c r="C256">
        <v>1600</v>
      </c>
      <c r="D256">
        <v>1024</v>
      </c>
      <c r="E256" s="1">
        <f t="shared" si="24"/>
        <v>1.5625</v>
      </c>
      <c r="F256">
        <f>'[669]CGI014-qtz04-CL-dist-2'!$B$4</f>
        <v>143.126</v>
      </c>
      <c r="G256" s="1">
        <f t="shared" si="29"/>
        <v>223.63437500000001</v>
      </c>
      <c r="H256" s="1"/>
      <c r="I256" s="1" t="str">
        <f>VLOOKUP($B256, '[413]t (Cherniak) Category'!$1:$1048576, MATCH(I$1, '[413]t (Cherniak) Category'!$1:$1, 0), 0)</f>
        <v>Interior</v>
      </c>
      <c r="J256" s="1"/>
      <c r="K256" s="4">
        <f>VLOOKUP($B256, '[413]t (Cherniak)'!$1:$1048576, MATCH(LEFT(K$1,FIND(" (",K$1)-1), '[413]t (Cherniak)'!$1:$1, 0), 0)</f>
        <v>469.88269825184852</v>
      </c>
      <c r="L256" s="4">
        <f>'D(Ti_Audétat23) Times'!Z256</f>
        <v>33032.676632816627</v>
      </c>
      <c r="M256" s="4">
        <f>VLOOKUP($B256, '[413]t (J)'!$1:$1048576, MATCH(LEFT(M$1,FIND(" (",M$1)-1),'[413]t (J)'!$1:$1, 0), 0)</f>
        <v>565118.87295160582</v>
      </c>
      <c r="O256" s="1">
        <f t="shared" si="25"/>
        <v>0.47593660254359071</v>
      </c>
      <c r="P256" s="3">
        <f t="shared" si="26"/>
        <v>1.5081520855311899E-14</v>
      </c>
      <c r="Q256" s="3"/>
      <c r="R256" s="11">
        <f t="shared" si="30"/>
        <v>6.7700954871404003E-3</v>
      </c>
      <c r="S256" s="3">
        <f t="shared" si="31"/>
        <v>2.145313803058661E-16</v>
      </c>
      <c r="T256" s="3"/>
      <c r="U256" s="9">
        <f t="shared" si="27"/>
        <v>3.9572979368386981E-4</v>
      </c>
      <c r="V256" s="3">
        <f t="shared" si="28"/>
        <v>1.2539920452882024E-17</v>
      </c>
    </row>
    <row r="257" spans="1:22" x14ac:dyDescent="0.2">
      <c r="A257" t="s">
        <v>706</v>
      </c>
      <c r="B257" s="1" t="str">
        <f>VLOOKUP(REPLACE(A257,FIND("dist",A257),4,"fit")&amp;"*",'[413]t (Cherniak)'!$A:$A,1,0)</f>
        <v>CGI014-qtz04-CL-fit-3-offset</v>
      </c>
      <c r="C257">
        <v>1600</v>
      </c>
      <c r="D257">
        <v>1024</v>
      </c>
      <c r="E257" s="1">
        <f t="shared" si="24"/>
        <v>1.5625</v>
      </c>
      <c r="F257">
        <f>'[670]CGI014-qtz04-CL-dist-3'!$B$4</f>
        <v>52.773099999999999</v>
      </c>
      <c r="G257" s="1">
        <f t="shared" si="29"/>
        <v>82.457968749999992</v>
      </c>
      <c r="H257" s="1"/>
      <c r="I257" s="1" t="str">
        <f>VLOOKUP($B257, '[413]t (Cherniak) Category'!$1:$1048576, MATCH(I$1, '[413]t (Cherniak) Category'!$1:$1, 0), 0)</f>
        <v>Rim</v>
      </c>
      <c r="J257" s="1"/>
      <c r="K257" s="4">
        <f>VLOOKUP($B257, '[413]t (Cherniak)'!$1:$1048576, MATCH(LEFT(K$1,FIND(" (",K$1)-1), '[413]t (Cherniak)'!$1:$1, 0), 0)</f>
        <v>15.114616788079243</v>
      </c>
      <c r="L257" s="4">
        <f>'D(Ti_Audétat23) Times'!Z257</f>
        <v>1062.5550816130715</v>
      </c>
      <c r="M257" s="4">
        <f>VLOOKUP($B257, '[413]t (J)'!$1:$1048576, MATCH(LEFT(M$1,FIND(" (",M$1)-1),'[413]t (J)'!$1:$1, 0), 0)</f>
        <v>18178.05855834395</v>
      </c>
      <c r="O257" s="1">
        <f t="shared" si="25"/>
        <v>5.4555117014302228</v>
      </c>
      <c r="P257" s="3">
        <f t="shared" si="26"/>
        <v>1.7287473386538339E-13</v>
      </c>
      <c r="Q257" s="3"/>
      <c r="R257" s="11">
        <f t="shared" si="30"/>
        <v>7.7603476917940131E-2</v>
      </c>
      <c r="S257" s="3">
        <f t="shared" si="31"/>
        <v>2.4591057912496553E-15</v>
      </c>
      <c r="T257" s="3"/>
      <c r="U257" s="9">
        <f t="shared" si="27"/>
        <v>4.5361262582219366E-3</v>
      </c>
      <c r="V257" s="3">
        <f t="shared" si="28"/>
        <v>1.4374116720605929E-16</v>
      </c>
    </row>
    <row r="258" spans="1:22" x14ac:dyDescent="0.2">
      <c r="A258" t="s">
        <v>707</v>
      </c>
      <c r="B258" s="1" t="str">
        <f>VLOOKUP(REPLACE(A258,FIND("dist",A258),4,"fit")&amp;"*",'[413]t (Cherniak)'!$A:$A,1,0)</f>
        <v>CGI014-qtz05-CL-fit-1-offset</v>
      </c>
      <c r="C258">
        <v>1900</v>
      </c>
      <c r="D258">
        <v>1024</v>
      </c>
      <c r="E258" s="1">
        <f t="shared" ref="E258:E321" si="32">C258/D258</f>
        <v>1.85546875</v>
      </c>
      <c r="F258">
        <f>'[671]CGI014-qtz05-CL-dist-1'!$B$4</f>
        <v>767.77099999999996</v>
      </c>
      <c r="G258" s="1">
        <f t="shared" si="29"/>
        <v>1424.5750976562499</v>
      </c>
      <c r="H258" s="1"/>
      <c r="I258" s="1" t="str">
        <f>VLOOKUP($B258, '[413]t (Cherniak) Category'!$1:$1048576, MATCH(I$1, '[413]t (Cherniak) Category'!$1:$1, 0), 0)</f>
        <v>Core</v>
      </c>
      <c r="J258" s="1"/>
      <c r="K258" s="4">
        <f>VLOOKUP($B258, '[413]t (Cherniak)'!$1:$1048576, MATCH(LEFT(K$1,FIND(" (",K$1)-1), '[413]t (Cherniak)'!$1:$1, 0), 0)</f>
        <v>4272.0906433073887</v>
      </c>
      <c r="L258" s="4">
        <f>'D(Ti_Audétat23) Times'!Z258</f>
        <v>300327.27166050614</v>
      </c>
      <c r="M258" s="4">
        <f>VLOOKUP($B258, '[413]t (J)'!$1:$1048576, MATCH(LEFT(M$1,FIND(" (",M$1)-1),'[413]t (J)'!$1:$1, 0), 0)</f>
        <v>5137961.1517404374</v>
      </c>
      <c r="O258" s="1">
        <f t="shared" ref="O258:O321" si="33">$G258/$K258</f>
        <v>0.33346087819741699</v>
      </c>
      <c r="P258" s="3">
        <f t="shared" ref="P258:P321" si="34">O258/(365.25*60*60*24)*(10^-6)</f>
        <v>1.0566737590862962E-14</v>
      </c>
      <c r="Q258" s="3"/>
      <c r="R258" s="11">
        <f t="shared" si="30"/>
        <v>4.7434090476691981E-3</v>
      </c>
      <c r="S258" s="3">
        <f t="shared" si="31"/>
        <v>1.5030956244040097E-16</v>
      </c>
      <c r="T258" s="3"/>
      <c r="U258" s="9">
        <f t="shared" ref="U258:U321" si="35">G258/M258</f>
        <v>2.7726466891904938E-4</v>
      </c>
      <c r="V258" s="3">
        <f t="shared" ref="V258:V321" si="36">U258/(365.25*60*60*24)*(10^-6)</f>
        <v>8.7859871764344987E-18</v>
      </c>
    </row>
    <row r="259" spans="1:22" x14ac:dyDescent="0.2">
      <c r="A259" t="s">
        <v>708</v>
      </c>
      <c r="B259" s="1" t="str">
        <f>VLOOKUP(REPLACE(A259,FIND("dist",A259),4,"fit")&amp;"*",'[413]t (Cherniak)'!$A:$A,1,0)</f>
        <v>CGI014-qtz05-CL-fit-2-offset</v>
      </c>
      <c r="C259">
        <v>1900</v>
      </c>
      <c r="D259">
        <v>1024</v>
      </c>
      <c r="E259" s="1">
        <f t="shared" si="32"/>
        <v>1.85546875</v>
      </c>
      <c r="F259">
        <f>'[672]CGI014-qtz05-CL-dist-2'!$B$4</f>
        <v>654.86</v>
      </c>
      <c r="G259" s="1">
        <f t="shared" ref="G259:G322" si="37">F259*E259</f>
        <v>1215.072265625</v>
      </c>
      <c r="H259" s="1"/>
      <c r="I259" s="1" t="str">
        <f>VLOOKUP($B259, '[413]t (Cherniak) Category'!$1:$1048576, MATCH(I$1, '[413]t (Cherniak) Category'!$1:$1, 0), 0)</f>
        <v>Core</v>
      </c>
      <c r="J259" s="1"/>
      <c r="K259" s="4">
        <f>VLOOKUP($B259, '[413]t (Cherniak)'!$1:$1048576, MATCH(LEFT(K$1,FIND(" (",K$1)-1), '[413]t (Cherniak)'!$1:$1, 0), 0)</f>
        <v>799.89295683036801</v>
      </c>
      <c r="L259" s="4">
        <f>'D(Ti_Audétat23) Times'!Z259</f>
        <v>56232.343693751129</v>
      </c>
      <c r="M259" s="4">
        <f>VLOOKUP($B259, '[413]t (J)'!$1:$1048576, MATCH(LEFT(M$1,FIND(" (",M$1)-1),'[413]t (J)'!$1:$1, 0), 0)</f>
        <v>962015.85614378762</v>
      </c>
      <c r="O259" s="1">
        <f t="shared" si="33"/>
        <v>1.5190435860815792</v>
      </c>
      <c r="P259" s="3">
        <f t="shared" si="34"/>
        <v>4.8135586549090524E-14</v>
      </c>
      <c r="Q259" s="3"/>
      <c r="R259" s="11">
        <f t="shared" ref="R259:R322" si="38">G259/L259</f>
        <v>2.1608067276058174E-2</v>
      </c>
      <c r="S259" s="3">
        <f t="shared" ref="S259:S322" si="39">R259/(365.25*60*60*24)*(10^-6)</f>
        <v>6.8471833333517682E-16</v>
      </c>
      <c r="T259" s="3"/>
      <c r="U259" s="9">
        <f t="shared" si="35"/>
        <v>1.2630480650241895E-3</v>
      </c>
      <c r="V259" s="3">
        <f t="shared" si="36"/>
        <v>4.0023577997825864E-17</v>
      </c>
    </row>
    <row r="260" spans="1:22" x14ac:dyDescent="0.2">
      <c r="A260" t="s">
        <v>709</v>
      </c>
      <c r="B260" s="1" t="str">
        <f>VLOOKUP(REPLACE(A260,FIND("dist",A260),4,"fit")&amp;"*",'[413]t (Cherniak)'!$A:$A,1,0)</f>
        <v>CGI014-qtz05-CL-fit-3-offset</v>
      </c>
      <c r="C260">
        <v>1900</v>
      </c>
      <c r="D260">
        <v>1024</v>
      </c>
      <c r="E260" s="1">
        <f t="shared" si="32"/>
        <v>1.85546875</v>
      </c>
      <c r="F260">
        <f>'[673]CGI014-qtz05-CL-dist-3'!$B$4</f>
        <v>434.416</v>
      </c>
      <c r="G260" s="1">
        <f t="shared" si="37"/>
        <v>806.04531250000002</v>
      </c>
      <c r="H260" s="1"/>
      <c r="I260" s="1" t="str">
        <f>VLOOKUP($B260, '[413]t (Cherniak) Category'!$1:$1048576, MATCH(I$1, '[413]t (Cherniak) Category'!$1:$1, 0), 0)</f>
        <v>Interior</v>
      </c>
      <c r="J260" s="1"/>
      <c r="K260" s="4">
        <f>VLOOKUP($B260, '[413]t (Cherniak)'!$1:$1048576, MATCH(LEFT(K$1,FIND(" (",K$1)-1), '[413]t (Cherniak)'!$1:$1, 0), 0)</f>
        <v>465.30572657226276</v>
      </c>
      <c r="L260" s="4">
        <f>'D(Ti_Audétat23) Times'!Z260</f>
        <v>32710.916274302046</v>
      </c>
      <c r="M260" s="4">
        <f>VLOOKUP($B260, '[413]t (J)'!$1:$1048576, MATCH(LEFT(M$1,FIND(" (",M$1)-1),'[413]t (J)'!$1:$1, 0), 0)</f>
        <v>559614.23724843597</v>
      </c>
      <c r="O260" s="1">
        <f t="shared" si="33"/>
        <v>1.7322918383958892</v>
      </c>
      <c r="P260" s="3">
        <f t="shared" si="34"/>
        <v>5.4893015894614582E-14</v>
      </c>
      <c r="Q260" s="3"/>
      <c r="R260" s="11">
        <f t="shared" si="38"/>
        <v>2.4641477656596113E-2</v>
      </c>
      <c r="S260" s="3">
        <f t="shared" si="39"/>
        <v>7.8084130784964992E-16</v>
      </c>
      <c r="T260" s="3"/>
      <c r="U260" s="9">
        <f t="shared" si="35"/>
        <v>1.4403588380153436E-3</v>
      </c>
      <c r="V260" s="3">
        <f t="shared" si="36"/>
        <v>4.564221734274291E-17</v>
      </c>
    </row>
    <row r="261" spans="1:22" x14ac:dyDescent="0.2">
      <c r="A261" t="s">
        <v>710</v>
      </c>
      <c r="B261" s="1" t="str">
        <f>VLOOKUP(REPLACE(A261,FIND("dist",A261),4,"fit")&amp;"*",'[413]t (Cherniak)'!$A:$A,1,0)</f>
        <v>CGI014-qtz05-CL-fit-4-offset</v>
      </c>
      <c r="C261">
        <v>1900</v>
      </c>
      <c r="D261">
        <v>1024</v>
      </c>
      <c r="E261" s="1">
        <f t="shared" si="32"/>
        <v>1.85546875</v>
      </c>
      <c r="F261">
        <f>'[674]CGI014-qtz05-CL-dist-4'!$B$4</f>
        <v>274.964</v>
      </c>
      <c r="G261" s="1">
        <f t="shared" si="37"/>
        <v>510.18710937499998</v>
      </c>
      <c r="H261" s="1"/>
      <c r="I261" s="1" t="str">
        <f>VLOOKUP($B261, '[413]t (Cherniak) Category'!$1:$1048576, MATCH(I$1, '[413]t (Cherniak) Category'!$1:$1, 0), 0)</f>
        <v>Interior</v>
      </c>
      <c r="J261" s="1"/>
      <c r="K261" s="4">
        <f>VLOOKUP($B261, '[413]t (Cherniak)'!$1:$1048576, MATCH(LEFT(K$1,FIND(" (",K$1)-1), '[413]t (Cherniak)'!$1:$1, 0), 0)</f>
        <v>5915.9472235899711</v>
      </c>
      <c r="L261" s="4">
        <f>'D(Ti_Audétat23) Times'!Z261</f>
        <v>415890.11968454206</v>
      </c>
      <c r="M261" s="4">
        <f>VLOOKUP($B261, '[413]t (J)'!$1:$1048576, MATCH(LEFT(M$1,FIND(" (",M$1)-1),'[413]t (J)'!$1:$1, 0), 0)</f>
        <v>7114995.8061329694</v>
      </c>
      <c r="O261" s="1">
        <f t="shared" si="33"/>
        <v>8.6239293572568987E-2</v>
      </c>
      <c r="P261" s="3">
        <f t="shared" si="34"/>
        <v>2.7327583077473881E-15</v>
      </c>
      <c r="Q261" s="3"/>
      <c r="R261" s="11">
        <f t="shared" si="38"/>
        <v>1.2267353448117098E-3</v>
      </c>
      <c r="S261" s="3">
        <f t="shared" si="39"/>
        <v>3.8872897330966546E-17</v>
      </c>
      <c r="T261" s="3"/>
      <c r="U261" s="9">
        <f t="shared" si="35"/>
        <v>7.1705890386503099E-5</v>
      </c>
      <c r="V261" s="3">
        <f t="shared" si="36"/>
        <v>2.2722225513506444E-18</v>
      </c>
    </row>
    <row r="262" spans="1:22" x14ac:dyDescent="0.2">
      <c r="A262" t="s">
        <v>711</v>
      </c>
      <c r="B262" s="1" t="str">
        <f>VLOOKUP(REPLACE(A262,FIND("dist",A262),4,"fit")&amp;"*",'[413]t (Cherniak)'!$A:$A,1,0)</f>
        <v>CGI014-qtz05-CL-fit-5-offset</v>
      </c>
      <c r="C262">
        <v>1900</v>
      </c>
      <c r="D262">
        <v>1024</v>
      </c>
      <c r="E262" s="1">
        <f t="shared" si="32"/>
        <v>1.85546875</v>
      </c>
      <c r="F262">
        <f>'[675]CGI014-qtz05-CL-dist-5'!$B$4</f>
        <v>149.893</v>
      </c>
      <c r="G262" s="1">
        <f t="shared" si="37"/>
        <v>278.12177734375001</v>
      </c>
      <c r="H262" s="1"/>
      <c r="I262" s="1" t="str">
        <f>VLOOKUP($B262, '[413]t (Cherniak) Category'!$1:$1048576, MATCH(I$1, '[413]t (Cherniak) Category'!$1:$1, 0), 0)</f>
        <v>Interior</v>
      </c>
      <c r="J262" s="1"/>
      <c r="K262" s="4">
        <f>VLOOKUP($B262, '[413]t (Cherniak)'!$1:$1048576, MATCH(LEFT(K$1,FIND(" (",K$1)-1), '[413]t (Cherniak)'!$1:$1, 0), 0)</f>
        <v>166.30040351012778</v>
      </c>
      <c r="L262" s="4">
        <f>'D(Ti_Audétat23) Times'!Z262</f>
        <v>11690.891095787147</v>
      </c>
      <c r="M262" s="4">
        <f>VLOOKUP($B262, '[413]t (J)'!$1:$1048576, MATCH(LEFT(M$1,FIND(" (",M$1)-1),'[413]t (J)'!$1:$1, 0), 0)</f>
        <v>200006.29295924702</v>
      </c>
      <c r="O262" s="1">
        <f t="shared" si="33"/>
        <v>1.6724059080639107</v>
      </c>
      <c r="P262" s="3">
        <f t="shared" si="34"/>
        <v>5.2995345275430028E-14</v>
      </c>
      <c r="Q262" s="3"/>
      <c r="R262" s="11">
        <f t="shared" si="38"/>
        <v>2.3789613218103807E-2</v>
      </c>
      <c r="S262" s="3">
        <f t="shared" si="39"/>
        <v>7.5384735271705724E-16</v>
      </c>
      <c r="T262" s="3"/>
      <c r="U262" s="9">
        <f t="shared" si="35"/>
        <v>1.3905651328701928E-3</v>
      </c>
      <c r="V262" s="3">
        <f t="shared" si="36"/>
        <v>4.4064350041517504E-17</v>
      </c>
    </row>
    <row r="263" spans="1:22" x14ac:dyDescent="0.2">
      <c r="A263" t="s">
        <v>712</v>
      </c>
      <c r="B263" s="1" t="str">
        <f>VLOOKUP(REPLACE(A263,FIND("dist",A263),4,"fit")&amp;"*",'[413]t (Cherniak)'!$A:$A,1,0)</f>
        <v>CGI014-qtz05-CL-fit-6-offset</v>
      </c>
      <c r="C263">
        <v>1900</v>
      </c>
      <c r="D263">
        <v>1024</v>
      </c>
      <c r="E263" s="1">
        <f t="shared" si="32"/>
        <v>1.85546875</v>
      </c>
      <c r="F263">
        <f>'[676]CGI014-qtz05-CL-dist-6'!$B$4</f>
        <v>35.846899999999998</v>
      </c>
      <c r="G263" s="1">
        <f t="shared" si="37"/>
        <v>66.512802734375001</v>
      </c>
      <c r="H263" s="1"/>
      <c r="I263" s="1" t="str">
        <f>VLOOKUP($B263, '[413]t (Cherniak) Category'!$1:$1048576, MATCH(I$1, '[413]t (Cherniak) Category'!$1:$1, 0), 0)</f>
        <v>Rim</v>
      </c>
      <c r="J263" s="1"/>
      <c r="K263" s="4">
        <f>VLOOKUP($B263, '[413]t (Cherniak)'!$1:$1048576, MATCH(LEFT(K$1,FIND(" (",K$1)-1), '[413]t (Cherniak)'!$1:$1, 0), 0)</f>
        <v>21.320811113790125</v>
      </c>
      <c r="L263" s="4">
        <f>'D(Ti_Audétat23) Times'!Z263</f>
        <v>1498.8495249801879</v>
      </c>
      <c r="M263" s="4">
        <f>VLOOKUP($B263, '[413]t (J)'!$1:$1048576, MATCH(LEFT(M$1,FIND(" (",M$1)-1),'[413]t (J)'!$1:$1, 0), 0)</f>
        <v>25642.128965091655</v>
      </c>
      <c r="O263" s="1">
        <f t="shared" si="33"/>
        <v>3.119618779013293</v>
      </c>
      <c r="P263" s="3">
        <f t="shared" si="34"/>
        <v>9.8854753815666991E-14</v>
      </c>
      <c r="Q263" s="3"/>
      <c r="R263" s="11">
        <f t="shared" si="38"/>
        <v>4.4375904068991973E-2</v>
      </c>
      <c r="S263" s="3">
        <f t="shared" si="39"/>
        <v>1.4061875449651421E-15</v>
      </c>
      <c r="T263" s="3"/>
      <c r="U263" s="9">
        <f t="shared" si="35"/>
        <v>2.5938876925907101E-3</v>
      </c>
      <c r="V263" s="3">
        <f t="shared" si="36"/>
        <v>8.2195340982543351E-17</v>
      </c>
    </row>
    <row r="264" spans="1:22" x14ac:dyDescent="0.2">
      <c r="A264" t="s">
        <v>713</v>
      </c>
      <c r="B264" s="1" t="str">
        <f>VLOOKUP(REPLACE(A264,FIND("dist",A264),4,"fit")&amp;"*",'[413]t (Cherniak)'!$A:$A,1,0)</f>
        <v>CGI014-qtz07-CL-fit-1-offset</v>
      </c>
      <c r="C264">
        <v>1500</v>
      </c>
      <c r="D264">
        <v>1024</v>
      </c>
      <c r="E264" s="1">
        <f t="shared" si="32"/>
        <v>1.46484375</v>
      </c>
      <c r="F264">
        <f>'[677]CGI014-qtz07-CL-dist-1'!$B$4</f>
        <v>391.69499999999999</v>
      </c>
      <c r="G264" s="1">
        <f t="shared" si="37"/>
        <v>573.77197265625</v>
      </c>
      <c r="H264" s="1"/>
      <c r="I264" s="1" t="str">
        <f>VLOOKUP($B264, '[413]t (Cherniak) Category'!$1:$1048576, MATCH(I$1, '[413]t (Cherniak) Category'!$1:$1, 0), 0)</f>
        <v>Interior</v>
      </c>
      <c r="J264" s="1"/>
      <c r="K264" s="4">
        <f>VLOOKUP($B264, '[413]t (Cherniak)'!$1:$1048576, MATCH(LEFT(K$1,FIND(" (",K$1)-1), '[413]t (Cherniak)'!$1:$1, 0), 0)</f>
        <v>175.17126087787307</v>
      </c>
      <c r="L264" s="4">
        <f>'D(Ti_Audétat23) Times'!Z264</f>
        <v>12314.510914041259</v>
      </c>
      <c r="M264" s="4">
        <f>VLOOKUP($B264, '[413]t (J)'!$1:$1048576, MATCH(LEFT(M$1,FIND(" (",M$1)-1),'[413]t (J)'!$1:$1, 0), 0)</f>
        <v>210675.10229490753</v>
      </c>
      <c r="O264" s="1">
        <f t="shared" si="33"/>
        <v>3.2754914806274971</v>
      </c>
      <c r="P264" s="3">
        <f t="shared" si="34"/>
        <v>1.0379406167222783E-13</v>
      </c>
      <c r="Q264" s="3"/>
      <c r="R264" s="11">
        <f t="shared" si="38"/>
        <v>4.6593159619682772E-2</v>
      </c>
      <c r="S264" s="3">
        <f t="shared" si="39"/>
        <v>1.4764481335615753E-15</v>
      </c>
      <c r="T264" s="3"/>
      <c r="U264" s="9">
        <f t="shared" si="35"/>
        <v>2.7234920804883327E-3</v>
      </c>
      <c r="V264" s="3">
        <f t="shared" si="36"/>
        <v>8.6302256207326685E-17</v>
      </c>
    </row>
    <row r="265" spans="1:22" x14ac:dyDescent="0.2">
      <c r="A265" t="s">
        <v>714</v>
      </c>
      <c r="B265" s="1" t="str">
        <f>VLOOKUP(REPLACE(A265,FIND("dist",A265),4,"fit")&amp;"*",'[413]t (Cherniak)'!$A:$A,1,0)</f>
        <v>CGI014-qtz07-CL-fit-2-offset</v>
      </c>
      <c r="C265">
        <v>1500</v>
      </c>
      <c r="D265">
        <v>1024</v>
      </c>
      <c r="E265" s="1">
        <f t="shared" si="32"/>
        <v>1.46484375</v>
      </c>
      <c r="F265">
        <f>'[678]CGI014-qtz07-CL-dist-2'!$B$4</f>
        <v>195.161</v>
      </c>
      <c r="G265" s="1">
        <f t="shared" si="37"/>
        <v>285.88037109375</v>
      </c>
      <c r="H265" s="1"/>
      <c r="I265" s="1" t="str">
        <f>VLOOKUP($B265, '[413]t (Cherniak) Category'!$1:$1048576, MATCH(I$1, '[413]t (Cherniak) Category'!$1:$1, 0), 0)</f>
        <v>Interior</v>
      </c>
      <c r="J265" s="1"/>
      <c r="K265" s="4">
        <f>VLOOKUP($B265, '[413]t (Cherniak)'!$1:$1048576, MATCH(LEFT(K$1,FIND(" (",K$1)-1), '[413]t (Cherniak)'!$1:$1, 0), 0)</f>
        <v>92.435051081083898</v>
      </c>
      <c r="L265" s="4">
        <f>'D(Ti_Audétat23) Times'!Z265</f>
        <v>6498.1689329254204</v>
      </c>
      <c r="M265" s="4">
        <f>VLOOKUP($B265, '[413]t (J)'!$1:$1048576, MATCH(LEFT(M$1,FIND(" (",M$1)-1),'[413]t (J)'!$1:$1, 0), 0)</f>
        <v>111169.855971518</v>
      </c>
      <c r="O265" s="1">
        <f t="shared" si="33"/>
        <v>3.0927701964807284</v>
      </c>
      <c r="P265" s="3">
        <f t="shared" si="34"/>
        <v>9.8003973574692891E-14</v>
      </c>
      <c r="Q265" s="3"/>
      <c r="R265" s="11">
        <f t="shared" si="38"/>
        <v>4.399398877508854E-2</v>
      </c>
      <c r="S265" s="3">
        <f t="shared" si="39"/>
        <v>1.3940853795944095E-15</v>
      </c>
      <c r="T265" s="3"/>
      <c r="U265" s="9">
        <f t="shared" si="35"/>
        <v>2.571563744464986E-3</v>
      </c>
      <c r="V265" s="3">
        <f t="shared" si="36"/>
        <v>8.1487937753979569E-17</v>
      </c>
    </row>
    <row r="266" spans="1:22" x14ac:dyDescent="0.2">
      <c r="A266" t="s">
        <v>715</v>
      </c>
      <c r="B266" s="1" t="str">
        <f>VLOOKUP(REPLACE(A266,FIND("dist",A266),4,"fit")&amp;"*",'[413]t (Cherniak)'!$A:$A,1,0)</f>
        <v>CGI014-qtz07-CL-fit-3-offset</v>
      </c>
      <c r="C266">
        <v>1500</v>
      </c>
      <c r="D266">
        <v>1024</v>
      </c>
      <c r="E266" s="1">
        <f t="shared" si="32"/>
        <v>1.46484375</v>
      </c>
      <c r="F266">
        <f>'[679]CGI014-qtz07-CL-dist-3'!$B$4</f>
        <v>93.230900000000005</v>
      </c>
      <c r="G266" s="1">
        <f t="shared" si="37"/>
        <v>136.56870117187501</v>
      </c>
      <c r="H266" s="1"/>
      <c r="I266" s="1" t="str">
        <f>VLOOKUP($B266, '[413]t (Cherniak) Category'!$1:$1048576, MATCH(I$1, '[413]t (Cherniak) Category'!$1:$1, 0), 0)</f>
        <v>Interior</v>
      </c>
      <c r="J266" s="1"/>
      <c r="K266" s="4">
        <f>VLOOKUP($B266, '[413]t (Cherniak)'!$1:$1048576, MATCH(LEFT(K$1,FIND(" (",K$1)-1), '[413]t (Cherniak)'!$1:$1, 0), 0)</f>
        <v>158.96945548267433</v>
      </c>
      <c r="L266" s="4">
        <f>'D(Ti_Audétat23) Times'!Z266</f>
        <v>11175.526651631639</v>
      </c>
      <c r="M266" s="4">
        <f>VLOOKUP($B266, '[413]t (J)'!$1:$1048576, MATCH(LEFT(M$1,FIND(" (",M$1)-1),'[413]t (J)'!$1:$1, 0), 0)</f>
        <v>191189.50293408887</v>
      </c>
      <c r="O266" s="1">
        <f t="shared" si="33"/>
        <v>0.85908768295906546</v>
      </c>
      <c r="P266" s="3">
        <f t="shared" si="34"/>
        <v>2.7222845937557527E-14</v>
      </c>
      <c r="Q266" s="3"/>
      <c r="R266" s="11">
        <f t="shared" si="38"/>
        <v>1.2220336940625151E-2</v>
      </c>
      <c r="S266" s="3">
        <f t="shared" si="39"/>
        <v>3.8723911009155162E-16</v>
      </c>
      <c r="T266" s="3"/>
      <c r="U266" s="9">
        <f t="shared" si="35"/>
        <v>7.1431066599381263E-4</v>
      </c>
      <c r="V266" s="3">
        <f t="shared" si="36"/>
        <v>2.2635139110509437E-17</v>
      </c>
    </row>
    <row r="267" spans="1:22" x14ac:dyDescent="0.2">
      <c r="A267" t="s">
        <v>716</v>
      </c>
      <c r="B267" s="1" t="str">
        <f>VLOOKUP(REPLACE(A267,FIND("dist",A267),4,"fit")&amp;"*",'[413]t (Cherniak)'!$A:$A,1,0)</f>
        <v>CGI014-qtz07-CL-fit-4-offset</v>
      </c>
      <c r="C267">
        <v>1500</v>
      </c>
      <c r="D267">
        <v>1024</v>
      </c>
      <c r="E267" s="1">
        <f t="shared" si="32"/>
        <v>1.46484375</v>
      </c>
      <c r="F267">
        <f>'[680]CGI014-qtz07-CL-dist-4'!$B$4</f>
        <v>85.275999999999996</v>
      </c>
      <c r="G267" s="1">
        <f t="shared" si="37"/>
        <v>124.916015625</v>
      </c>
      <c r="H267" s="1"/>
      <c r="I267" s="1" t="str">
        <f>VLOOKUP($B267, '[413]t (Cherniak) Category'!$1:$1048576, MATCH(I$1, '[413]t (Cherniak) Category'!$1:$1, 0), 0)</f>
        <v>Interior</v>
      </c>
      <c r="J267" s="1"/>
      <c r="K267" s="4">
        <f>VLOOKUP($B267, '[413]t (Cherniak)'!$1:$1048576, MATCH(LEFT(K$1,FIND(" (",K$1)-1), '[413]t (Cherniak)'!$1:$1, 0), 0)</f>
        <v>59.386951841613907</v>
      </c>
      <c r="L267" s="4">
        <f>'D(Ti_Audétat23) Times'!Z267</f>
        <v>4174.8929758236081</v>
      </c>
      <c r="M267" s="4">
        <f>VLOOKUP($B267, '[413]t (J)'!$1:$1048576, MATCH(LEFT(M$1,FIND(" (",M$1)-1),'[413]t (J)'!$1:$1, 0), 0)</f>
        <v>71423.543402690324</v>
      </c>
      <c r="O267" s="1">
        <f t="shared" si="33"/>
        <v>2.1034252769556741</v>
      </c>
      <c r="P267" s="3">
        <f t="shared" si="34"/>
        <v>6.6653524886419556E-14</v>
      </c>
      <c r="Q267" s="3"/>
      <c r="R267" s="11">
        <f t="shared" si="38"/>
        <v>2.9920770747508086E-2</v>
      </c>
      <c r="S267" s="3">
        <f t="shared" si="39"/>
        <v>9.4813201091046472E-16</v>
      </c>
      <c r="T267" s="3"/>
      <c r="U267" s="9">
        <f t="shared" si="35"/>
        <v>1.7489473312842494E-3</v>
      </c>
      <c r="V267" s="3">
        <f t="shared" si="36"/>
        <v>5.5420796615846874E-17</v>
      </c>
    </row>
    <row r="268" spans="1:22" x14ac:dyDescent="0.2">
      <c r="A268" t="s">
        <v>717</v>
      </c>
      <c r="B268" s="1" t="str">
        <f>VLOOKUP(REPLACE(A268,FIND("dist",A268),4,"fit")&amp;"*",'[413]t (Cherniak)'!$A:$A,1,0)</f>
        <v>CGI014-qtz08-CL-fit-1-offset</v>
      </c>
      <c r="C268">
        <v>1550</v>
      </c>
      <c r="D268">
        <v>1024</v>
      </c>
      <c r="E268" s="1">
        <f t="shared" si="32"/>
        <v>1.513671875</v>
      </c>
      <c r="F268">
        <f>'[681]CGI014-qtz08-CL-dist-1'!$B$4</f>
        <v>682.851</v>
      </c>
      <c r="G268" s="1">
        <f t="shared" si="37"/>
        <v>1033.612353515625</v>
      </c>
      <c r="H268" s="1"/>
      <c r="I268" s="1" t="str">
        <f>VLOOKUP($B268, '[413]t (Cherniak) Category'!$1:$1048576, MATCH(I$1, '[413]t (Cherniak) Category'!$1:$1, 0), 0)</f>
        <v>Core</v>
      </c>
      <c r="J268" s="1"/>
      <c r="K268" s="4">
        <f>VLOOKUP($B268, '[413]t (Cherniak)'!$1:$1048576, MATCH(LEFT(K$1,FIND(" (",K$1)-1), '[413]t (Cherniak)'!$1:$1, 0), 0)</f>
        <v>5046.340195695796</v>
      </c>
      <c r="L268" s="4">
        <f>'D(Ti_Audétat23) Times'!Z268</f>
        <v>354756.88822715246</v>
      </c>
      <c r="M268" s="4">
        <f>VLOOKUP($B268, '[413]t (J)'!$1:$1048576, MATCH(LEFT(M$1,FIND(" (",M$1)-1),'[413]t (J)'!$1:$1, 0), 0)</f>
        <v>6069136.1791608064</v>
      </c>
      <c r="O268" s="1">
        <f t="shared" si="33"/>
        <v>0.20482415244165067</v>
      </c>
      <c r="P268" s="3">
        <f t="shared" si="34"/>
        <v>6.4904857290050786E-15</v>
      </c>
      <c r="Q268" s="3"/>
      <c r="R268" s="11">
        <f t="shared" si="38"/>
        <v>2.9135793773616549E-3</v>
      </c>
      <c r="S268" s="3">
        <f t="shared" si="39"/>
        <v>9.2325759162979901E-17</v>
      </c>
      <c r="T268" s="3"/>
      <c r="U268" s="9">
        <f t="shared" si="35"/>
        <v>1.7030633734413009E-4</v>
      </c>
      <c r="V268" s="3">
        <f t="shared" si="36"/>
        <v>5.396682173046432E-18</v>
      </c>
    </row>
    <row r="269" spans="1:22" x14ac:dyDescent="0.2">
      <c r="A269" t="s">
        <v>718</v>
      </c>
      <c r="B269" s="1" t="str">
        <f>VLOOKUP(REPLACE(A269,FIND("dist",A269),4,"fit")&amp;"*",'[413]t (Cherniak)'!$A:$A,1,0)</f>
        <v>CGI014-qtz08-CL-fit-2-offset</v>
      </c>
      <c r="C269">
        <v>1550</v>
      </c>
      <c r="D269">
        <v>1024</v>
      </c>
      <c r="E269" s="1">
        <f t="shared" si="32"/>
        <v>1.513671875</v>
      </c>
      <c r="F269">
        <f>'[682]CGI014-qtz08-CL-dist-2'!$B$4</f>
        <v>581.05600000000004</v>
      </c>
      <c r="G269" s="1">
        <f t="shared" si="37"/>
        <v>879.52812500000005</v>
      </c>
      <c r="H269" s="1"/>
      <c r="I269" s="1" t="str">
        <f>VLOOKUP($B269, '[413]t (Cherniak) Category'!$1:$1048576, MATCH(I$1, '[413]t (Cherniak) Category'!$1:$1, 0), 0)</f>
        <v>Interior</v>
      </c>
      <c r="J269" s="1"/>
      <c r="K269" s="4">
        <f>VLOOKUP($B269, '[413]t (Cherniak)'!$1:$1048576, MATCH(LEFT(K$1,FIND(" (",K$1)-1), '[413]t (Cherniak)'!$1:$1, 0), 0)</f>
        <v>857.92037116514314</v>
      </c>
      <c r="L269" s="4">
        <f>'D(Ti_Audétat23) Times'!Z269</f>
        <v>60311.661405789389</v>
      </c>
      <c r="M269" s="4">
        <f>VLOOKUP($B269, '[413]t (J)'!$1:$1048576, MATCH(LEFT(M$1,FIND(" (",M$1)-1),'[413]t (J)'!$1:$1, 0), 0)</f>
        <v>1031804.3099667624</v>
      </c>
      <c r="O269" s="1">
        <f t="shared" si="33"/>
        <v>1.0251861997466167</v>
      </c>
      <c r="P269" s="3">
        <f t="shared" si="34"/>
        <v>3.2486190323301415E-14</v>
      </c>
      <c r="Q269" s="3"/>
      <c r="R269" s="11">
        <f t="shared" si="38"/>
        <v>1.4583052505921734E-2</v>
      </c>
      <c r="S269" s="3">
        <f t="shared" si="39"/>
        <v>4.6210904840424286E-16</v>
      </c>
      <c r="T269" s="3"/>
      <c r="U269" s="9">
        <f t="shared" si="35"/>
        <v>8.5241757230916421E-4</v>
      </c>
      <c r="V269" s="3">
        <f t="shared" si="36"/>
        <v>2.7011482885554167E-17</v>
      </c>
    </row>
    <row r="270" spans="1:22" x14ac:dyDescent="0.2">
      <c r="A270" t="s">
        <v>719</v>
      </c>
      <c r="B270" s="1" t="str">
        <f>VLOOKUP(REPLACE(A270,FIND("dist",A270),4,"fit")&amp;"*",'[413]t (Cherniak)'!$A:$A,1,0)</f>
        <v>CGI014-qtz08-CL-fit-3-offset</v>
      </c>
      <c r="C270">
        <v>1550</v>
      </c>
      <c r="D270">
        <v>1024</v>
      </c>
      <c r="E270" s="1">
        <f t="shared" si="32"/>
        <v>1.513671875</v>
      </c>
      <c r="F270">
        <f>'[683]CGI014-qtz08-CL-dist-3'!$B$4</f>
        <v>428.23500000000001</v>
      </c>
      <c r="G270" s="1">
        <f t="shared" si="37"/>
        <v>648.207275390625</v>
      </c>
      <c r="H270" s="1"/>
      <c r="I270" s="1" t="str">
        <f>VLOOKUP($B270, '[413]t (Cherniak) Category'!$1:$1048576, MATCH(I$1, '[413]t (Cherniak) Category'!$1:$1, 0), 0)</f>
        <v>Interior</v>
      </c>
      <c r="J270" s="1"/>
      <c r="K270" s="4">
        <f>VLOOKUP($B270, '[413]t (Cherniak)'!$1:$1048576, MATCH(LEFT(K$1,FIND(" (",K$1)-1), '[413]t (Cherniak)'!$1:$1, 0), 0)</f>
        <v>960.29662002853274</v>
      </c>
      <c r="L270" s="4">
        <f>'D(Ti_Audétat23) Times'!Z270</f>
        <v>67508.69491259144</v>
      </c>
      <c r="M270" s="4">
        <f>VLOOKUP($B270, '[413]t (J)'!$1:$1048576, MATCH(LEFT(M$1,FIND(" (",M$1)-1),'[413]t (J)'!$1:$1, 0), 0)</f>
        <v>1154930.25307966</v>
      </c>
      <c r="O270" s="1">
        <f t="shared" si="33"/>
        <v>0.67500734863709633</v>
      </c>
      <c r="P270" s="3">
        <f t="shared" si="34"/>
        <v>2.1389692138727163E-14</v>
      </c>
      <c r="Q270" s="3"/>
      <c r="R270" s="11">
        <f t="shared" si="38"/>
        <v>9.6018339005058163E-3</v>
      </c>
      <c r="S270" s="3">
        <f t="shared" si="39"/>
        <v>3.0426375581494844E-16</v>
      </c>
      <c r="T270" s="3"/>
      <c r="U270" s="9">
        <f t="shared" si="35"/>
        <v>5.6125231256360178E-4</v>
      </c>
      <c r="V270" s="3">
        <f t="shared" si="36"/>
        <v>1.7785012566342237E-17</v>
      </c>
    </row>
    <row r="271" spans="1:22" x14ac:dyDescent="0.2">
      <c r="A271" t="s">
        <v>720</v>
      </c>
      <c r="B271" s="1" t="str">
        <f>VLOOKUP(REPLACE(A271,FIND("dist",A271),4,"fit")&amp;"*",'[413]t (Cherniak)'!$A:$A,1,0)</f>
        <v>CGI014-qtz08-CL-fit-4-offset</v>
      </c>
      <c r="C271">
        <v>1550</v>
      </c>
      <c r="D271">
        <v>1024</v>
      </c>
      <c r="E271" s="1">
        <f t="shared" si="32"/>
        <v>1.513671875</v>
      </c>
      <c r="F271">
        <f>'[684]CGI014-qtz08-CL-dist-4'!$B$4</f>
        <v>349.84699999999998</v>
      </c>
      <c r="G271" s="1">
        <f t="shared" si="37"/>
        <v>529.55356445312498</v>
      </c>
      <c r="H271" s="1"/>
      <c r="I271" s="1" t="str">
        <f>VLOOKUP($B271, '[413]t (Cherniak) Category'!$1:$1048576, MATCH(I$1, '[413]t (Cherniak) Category'!$1:$1, 0), 0)</f>
        <v>Interior</v>
      </c>
      <c r="J271" s="1"/>
      <c r="K271" s="4">
        <f>VLOOKUP($B271, '[413]t (Cherniak)'!$1:$1048576, MATCH(LEFT(K$1,FIND(" (",K$1)-1), '[413]t (Cherniak)'!$1:$1, 0), 0)</f>
        <v>663.08895158915448</v>
      </c>
      <c r="L271" s="4">
        <f>'D(Ti_Audétat23) Times'!Z271</f>
        <v>46615.044559265749</v>
      </c>
      <c r="M271" s="4">
        <f>VLOOKUP($B271, '[413]t (J)'!$1:$1048576, MATCH(LEFT(M$1,FIND(" (",M$1)-1),'[413]t (J)'!$1:$1, 0), 0)</f>
        <v>797484.31338895496</v>
      </c>
      <c r="O271" s="1">
        <f t="shared" si="33"/>
        <v>0.79861617839356314</v>
      </c>
      <c r="P271" s="3">
        <f t="shared" si="34"/>
        <v>2.5306619590639438E-14</v>
      </c>
      <c r="Q271" s="3"/>
      <c r="R271" s="11">
        <f t="shared" si="38"/>
        <v>1.1360142834999495E-2</v>
      </c>
      <c r="S271" s="3">
        <f t="shared" si="39"/>
        <v>3.5998120373537577E-16</v>
      </c>
      <c r="T271" s="3"/>
      <c r="U271" s="9">
        <f t="shared" si="35"/>
        <v>6.640300700119818E-4</v>
      </c>
      <c r="V271" s="3">
        <f t="shared" si="36"/>
        <v>2.1041843169695472E-17</v>
      </c>
    </row>
    <row r="272" spans="1:22" x14ac:dyDescent="0.2">
      <c r="A272" t="s">
        <v>721</v>
      </c>
      <c r="B272" s="1" t="str">
        <f>VLOOKUP(REPLACE(A272,FIND("dist",A272),4,"fit")&amp;"*",'[413]t (Cherniak)'!$A:$A,1,0)</f>
        <v>CGI014-qtz09-CL-fit-1-offset</v>
      </c>
      <c r="C272">
        <v>1550</v>
      </c>
      <c r="D272">
        <v>1024</v>
      </c>
      <c r="E272" s="1">
        <f t="shared" si="32"/>
        <v>1.513671875</v>
      </c>
      <c r="F272">
        <f>'[685]CGI014-qtz09-CL-dist-1'!$B$4</f>
        <v>788.27</v>
      </c>
      <c r="G272" s="1">
        <f t="shared" si="37"/>
        <v>1193.18212890625</v>
      </c>
      <c r="H272" s="1"/>
      <c r="I272" s="1" t="str">
        <f>VLOOKUP($B272, '[413]t (Cherniak) Category'!$1:$1048576, MATCH(I$1, '[413]t (Cherniak) Category'!$1:$1, 0), 0)</f>
        <v>Core</v>
      </c>
      <c r="J272" s="1"/>
      <c r="K272" s="4">
        <f>VLOOKUP($B272, '[413]t (Cherniak)'!$1:$1048576, MATCH(LEFT(K$1,FIND(" (",K$1)-1), '[413]t (Cherniak)'!$1:$1, 0), 0)</f>
        <v>249.78747061989904</v>
      </c>
      <c r="L272" s="4">
        <f>'D(Ti_Audétat23) Times'!Z272</f>
        <v>9237.1261068258336</v>
      </c>
      <c r="M272" s="4">
        <f>VLOOKUP($B272, '[413]t (J)'!$1:$1048576, MATCH(LEFT(M$1,FIND(" (",M$1)-1),'[413]t (J)'!$1:$1, 0), 0)</f>
        <v>300414.58091417263</v>
      </c>
      <c r="O272" s="1">
        <f t="shared" si="33"/>
        <v>4.7767893479409631</v>
      </c>
      <c r="P272" s="3">
        <f t="shared" si="34"/>
        <v>1.5136732032667133E-13</v>
      </c>
      <c r="Q272" s="3"/>
      <c r="R272" s="11">
        <f t="shared" si="38"/>
        <v>0.12917244120165691</v>
      </c>
      <c r="S272" s="3">
        <f t="shared" si="39"/>
        <v>4.0932276599505953E-15</v>
      </c>
      <c r="T272" s="3"/>
      <c r="U272" s="9">
        <f t="shared" si="35"/>
        <v>3.9717850088213189E-3</v>
      </c>
      <c r="V272" s="3">
        <f t="shared" si="36"/>
        <v>1.2585827213797369E-16</v>
      </c>
    </row>
    <row r="273" spans="1:22" x14ac:dyDescent="0.2">
      <c r="A273" t="s">
        <v>722</v>
      </c>
      <c r="B273" s="1" t="str">
        <f>VLOOKUP(REPLACE(A273,FIND("dist",A273),4,"fit")&amp;"*",'[413]t (Cherniak)'!$A:$A,1,0)</f>
        <v>CGI014-qtz09-CL-fit-2-offset</v>
      </c>
      <c r="C273">
        <v>1550</v>
      </c>
      <c r="D273">
        <v>1024</v>
      </c>
      <c r="E273" s="1">
        <f t="shared" si="32"/>
        <v>1.513671875</v>
      </c>
      <c r="F273">
        <f>'[686]CGI014-qtz09-CL-dist-2'!$B$4</f>
        <v>708.23900000000003</v>
      </c>
      <c r="G273" s="1">
        <f t="shared" si="37"/>
        <v>1072.041455078125</v>
      </c>
      <c r="H273" s="1"/>
      <c r="I273" s="1" t="str">
        <f>VLOOKUP($B273, '[413]t (Cherniak) Category'!$1:$1048576, MATCH(I$1, '[413]t (Cherniak) Category'!$1:$1, 0), 0)</f>
        <v>Interior</v>
      </c>
      <c r="J273" s="1"/>
      <c r="K273" s="4">
        <f>VLOOKUP($B273, '[413]t (Cherniak)'!$1:$1048576, MATCH(LEFT(K$1,FIND(" (",K$1)-1), '[413]t (Cherniak)'!$1:$1, 0), 0)</f>
        <v>114.28411524176727</v>
      </c>
      <c r="L273" s="4">
        <f>'D(Ti_Audétat23) Times'!Z273</f>
        <v>8034.1545604759822</v>
      </c>
      <c r="M273" s="4">
        <f>VLOOKUP($B273, '[413]t (J)'!$1:$1048576, MATCH(LEFT(M$1,FIND(" (",M$1)-1),'[413]t (J)'!$1:$1, 0), 0)</f>
        <v>137447.30470387114</v>
      </c>
      <c r="O273" s="1">
        <f t="shared" si="33"/>
        <v>9.3804939803771372</v>
      </c>
      <c r="P273" s="3">
        <f t="shared" si="34"/>
        <v>2.9724991698916065E-13</v>
      </c>
      <c r="Q273" s="3"/>
      <c r="R273" s="11">
        <f t="shared" si="38"/>
        <v>0.1334355030150941</v>
      </c>
      <c r="S273" s="3">
        <f t="shared" si="39"/>
        <v>4.2283159370514265E-15</v>
      </c>
      <c r="T273" s="3"/>
      <c r="U273" s="9">
        <f t="shared" si="35"/>
        <v>7.79965425577335E-3</v>
      </c>
      <c r="V273" s="3">
        <f t="shared" si="36"/>
        <v>2.4715612897601054E-16</v>
      </c>
    </row>
    <row r="274" spans="1:22" x14ac:dyDescent="0.2">
      <c r="A274" t="s">
        <v>723</v>
      </c>
      <c r="B274" s="1" t="str">
        <f>VLOOKUP(REPLACE(A274,FIND("dist",A274),4,"fit")&amp;"*",'[413]t (Cherniak)'!$A:$A,1,0)</f>
        <v>CGI014-qtz09-CL-fit-3-offset</v>
      </c>
      <c r="C274">
        <v>1550</v>
      </c>
      <c r="D274">
        <v>1024</v>
      </c>
      <c r="E274" s="1">
        <f t="shared" si="32"/>
        <v>1.513671875</v>
      </c>
      <c r="F274">
        <f>'[687]CGI014-qtz09-CL-dist-3'!$B$4</f>
        <v>658.58600000000001</v>
      </c>
      <c r="G274" s="1">
        <f t="shared" si="37"/>
        <v>996.88310546875005</v>
      </c>
      <c r="H274" s="1"/>
      <c r="I274" s="1" t="str">
        <f>VLOOKUP($B274, '[413]t (Cherniak) Category'!$1:$1048576, MATCH(I$1, '[413]t (Cherniak) Category'!$1:$1, 0), 0)</f>
        <v>Interior</v>
      </c>
      <c r="J274" s="1"/>
      <c r="K274" s="4">
        <f>VLOOKUP($B274, '[413]t (Cherniak)'!$1:$1048576, MATCH(LEFT(K$1,FIND(" (",K$1)-1), '[413]t (Cherniak)'!$1:$1, 0), 0)</f>
        <v>14.57195377073495</v>
      </c>
      <c r="L274" s="4">
        <f>'D(Ti_Audétat23) Times'!Z274</f>
        <v>1024.4059604830256</v>
      </c>
      <c r="M274" s="4">
        <f>VLOOKUP($B274, '[413]t (J)'!$1:$1048576, MATCH(LEFT(M$1,FIND(" (",M$1)-1),'[413]t (J)'!$1:$1, 0), 0)</f>
        <v>17525.408197104738</v>
      </c>
      <c r="O274" s="1">
        <f t="shared" si="33"/>
        <v>68.411080707022535</v>
      </c>
      <c r="P274" s="3">
        <f t="shared" si="34"/>
        <v>2.1678163328967519E-12</v>
      </c>
      <c r="Q274" s="3"/>
      <c r="R274" s="11">
        <f t="shared" si="38"/>
        <v>0.97313286326321446</v>
      </c>
      <c r="S274" s="3">
        <f t="shared" si="39"/>
        <v>3.0836719625802165E-14</v>
      </c>
      <c r="T274" s="3"/>
      <c r="U274" s="9">
        <f t="shared" si="35"/>
        <v>5.6882161845076953E-2</v>
      </c>
      <c r="V274" s="3">
        <f t="shared" si="36"/>
        <v>1.8024869395986055E-15</v>
      </c>
    </row>
    <row r="275" spans="1:22" x14ac:dyDescent="0.2">
      <c r="A275" t="s">
        <v>724</v>
      </c>
      <c r="B275" s="1" t="str">
        <f>VLOOKUP(REPLACE(A275,FIND("dist",A275),4,"fit")&amp;"*",'[413]t (Cherniak)'!$A:$A,1,0)</f>
        <v>CGI014-qtz09-CL-fit-4-offset</v>
      </c>
      <c r="C275">
        <v>1550</v>
      </c>
      <c r="D275">
        <v>1024</v>
      </c>
      <c r="E275" s="1">
        <f t="shared" si="32"/>
        <v>1.513671875</v>
      </c>
      <c r="F275">
        <f>'[688]CGI014-qtz09-CL-dist-4'!$B$4</f>
        <v>567.10699999999997</v>
      </c>
      <c r="G275" s="1">
        <f t="shared" si="37"/>
        <v>858.41391601562498</v>
      </c>
      <c r="H275" s="1"/>
      <c r="I275" s="1" t="str">
        <f>VLOOKUP($B275, '[413]t (Cherniak) Category'!$1:$1048576, MATCH(I$1, '[413]t (Cherniak) Category'!$1:$1, 0), 0)</f>
        <v>Interior</v>
      </c>
      <c r="J275" s="1"/>
      <c r="K275" s="4">
        <f>'[613]t (Cherniak)'!$Z$275</f>
        <v>79.957240382701357</v>
      </c>
      <c r="L275" s="4">
        <f>'D(Ti_Audétat23) Times'!Z275</f>
        <v>5620.9808870181587</v>
      </c>
      <c r="M275" s="4">
        <f>'[613]t (J)'!$Z$159</f>
        <v>78624.061667248228</v>
      </c>
      <c r="O275" s="1">
        <f t="shared" si="33"/>
        <v>10.735912243931592</v>
      </c>
      <c r="P275" s="3">
        <f t="shared" si="34"/>
        <v>3.4020052994941283E-13</v>
      </c>
      <c r="Q275" s="3"/>
      <c r="R275" s="11">
        <f t="shared" si="38"/>
        <v>0.15271603538061485</v>
      </c>
      <c r="S275" s="3">
        <f t="shared" si="39"/>
        <v>4.8392791397512747E-15</v>
      </c>
      <c r="T275" s="3"/>
      <c r="U275" s="9">
        <f t="shared" si="35"/>
        <v>1.0917954348995522E-2</v>
      </c>
      <c r="V275" s="3">
        <f t="shared" si="36"/>
        <v>3.4596909616052936E-16</v>
      </c>
    </row>
    <row r="276" spans="1:22" x14ac:dyDescent="0.2">
      <c r="A276" t="s">
        <v>725</v>
      </c>
      <c r="B276" s="1" t="str">
        <f>VLOOKUP(REPLACE(A276,FIND("dist",A276),4,"fit")&amp;"*",'[413]t (Cherniak)'!$A:$A,1,0)</f>
        <v>CGI014-qtz09-CL-fit-5-offset</v>
      </c>
      <c r="C276">
        <v>1550</v>
      </c>
      <c r="D276">
        <v>1024</v>
      </c>
      <c r="E276" s="1">
        <f t="shared" si="32"/>
        <v>1.513671875</v>
      </c>
      <c r="F276">
        <f>'[689]CGI014-qtz09-CL-dist-5'!$B$4</f>
        <v>255.36199999999999</v>
      </c>
      <c r="G276" s="1">
        <f t="shared" si="37"/>
        <v>386.53427734374998</v>
      </c>
      <c r="H276" s="1"/>
      <c r="I276" s="1" t="str">
        <f>VLOOKUP($B276, '[413]t (Cherniak) Category'!$1:$1048576, MATCH(I$1, '[413]t (Cherniak) Category'!$1:$1, 0), 0)</f>
        <v>Interior</v>
      </c>
      <c r="J276" s="1"/>
      <c r="K276" s="4">
        <f>VLOOKUP($B276, '[413]t (Cherniak)'!$1:$1048576, MATCH(LEFT(K$1,FIND(" (",K$1)-1), '[413]t (Cherniak)'!$1:$1, 0), 0)</f>
        <v>73.822248203758832</v>
      </c>
      <c r="L276" s="4">
        <f>'D(Ti_Audétat23) Times'!Z276</f>
        <v>5189.6919428926867</v>
      </c>
      <c r="M276" s="4">
        <f>VLOOKUP($B276, '[413]t (J)'!$1:$1048576, MATCH(LEFT(M$1,FIND(" (",M$1)-1),'[413]t (J)'!$1:$1, 0), 0)</f>
        <v>88784.596366009704</v>
      </c>
      <c r="O276" s="1">
        <f t="shared" si="33"/>
        <v>5.2360133530052622</v>
      </c>
      <c r="P276" s="3">
        <f t="shared" si="34"/>
        <v>1.6591925092545891E-13</v>
      </c>
      <c r="Q276" s="3"/>
      <c r="R276" s="11">
        <f t="shared" si="38"/>
        <v>7.448116026869589E-2</v>
      </c>
      <c r="S276" s="3">
        <f t="shared" si="39"/>
        <v>2.3601655470851994E-15</v>
      </c>
      <c r="T276" s="3"/>
      <c r="U276" s="9">
        <f t="shared" si="35"/>
        <v>4.3536186812212704E-3</v>
      </c>
      <c r="V276" s="3">
        <f t="shared" si="36"/>
        <v>1.3795785107933652E-16</v>
      </c>
    </row>
    <row r="277" spans="1:22" x14ac:dyDescent="0.2">
      <c r="A277" t="s">
        <v>726</v>
      </c>
      <c r="B277" s="1" t="str">
        <f>VLOOKUP(REPLACE(A277,FIND("dist",A277),4,"fit")&amp;"*",'[413]t (Cherniak)'!$A:$A,1,0)</f>
        <v>CGI014-qtz10-CL-fit-1-offset</v>
      </c>
      <c r="C277">
        <v>1550</v>
      </c>
      <c r="D277">
        <v>1024</v>
      </c>
      <c r="E277" s="1">
        <f t="shared" si="32"/>
        <v>1.513671875</v>
      </c>
      <c r="F277">
        <f>'[690]CGI014-qtz10-CL-dist-1'!$B$4</f>
        <v>467.55200000000002</v>
      </c>
      <c r="G277" s="1">
        <f t="shared" si="37"/>
        <v>707.72031249999998</v>
      </c>
      <c r="H277" s="1"/>
      <c r="I277" s="1" t="str">
        <f>VLOOKUP($B277, '[413]t (Cherniak) Category'!$1:$1048576, MATCH(I$1, '[413]t (Cherniak) Category'!$1:$1, 0), 0)</f>
        <v>Interior</v>
      </c>
      <c r="J277" s="1"/>
      <c r="K277" s="4">
        <f>VLOOKUP($B277, '[413]t (Cherniak)'!$1:$1048576, MATCH(LEFT(K$1,FIND(" (",K$1)-1), '[413]t (Cherniak)'!$1:$1, 0), 0)</f>
        <v>269.81134191646015</v>
      </c>
      <c r="L277" s="4">
        <f>'D(Ti_Audétat23) Times'!Z277</f>
        <v>18967.693091384623</v>
      </c>
      <c r="M277" s="4">
        <f>VLOOKUP($B277, '[413]t (J)'!$1:$1048576, MATCH(LEFT(M$1,FIND(" (",M$1)-1),'[413]t (J)'!$1:$1, 0), 0)</f>
        <v>324496.90533543815</v>
      </c>
      <c r="O277" s="1">
        <f t="shared" si="33"/>
        <v>2.6230191343072842</v>
      </c>
      <c r="P277" s="3">
        <f t="shared" si="34"/>
        <v>8.3118460665807417E-14</v>
      </c>
      <c r="Q277" s="3"/>
      <c r="R277" s="11">
        <f t="shared" si="38"/>
        <v>3.7311881265173777E-2</v>
      </c>
      <c r="S277" s="3">
        <f t="shared" si="39"/>
        <v>1.1823421700374482E-15</v>
      </c>
      <c r="T277" s="3"/>
      <c r="U277" s="9">
        <f t="shared" si="35"/>
        <v>2.1809770782510764E-3</v>
      </c>
      <c r="V277" s="3">
        <f t="shared" si="36"/>
        <v>6.911099317600439E-17</v>
      </c>
    </row>
    <row r="278" spans="1:22" x14ac:dyDescent="0.2">
      <c r="A278" t="s">
        <v>727</v>
      </c>
      <c r="B278" s="1" t="str">
        <f>VLOOKUP(REPLACE(A278,FIND("dist",A278),4,"fit")&amp;"*",'[413]t (Cherniak)'!$A:$A,1,0)</f>
        <v>CGI014-qtz10-CL-fit-2-offset</v>
      </c>
      <c r="C278">
        <v>1550</v>
      </c>
      <c r="D278">
        <v>1024</v>
      </c>
      <c r="E278" s="1">
        <f t="shared" si="32"/>
        <v>1.513671875</v>
      </c>
      <c r="F278">
        <f>'[691]CGI014-qtz10-CL-dist-2'!$B$4</f>
        <v>358.274</v>
      </c>
      <c r="G278" s="1">
        <f t="shared" si="37"/>
        <v>542.30927734374995</v>
      </c>
      <c r="H278" s="1"/>
      <c r="I278" s="1" t="str">
        <f>VLOOKUP($B278, '[413]t (Cherniak) Category'!$1:$1048576, MATCH(I$1, '[413]t (Cherniak) Category'!$1:$1, 0), 0)</f>
        <v>Interior</v>
      </c>
      <c r="J278" s="1"/>
      <c r="K278" s="4">
        <f>VLOOKUP($B278, '[413]t (Cherniak)'!$1:$1048576, MATCH(LEFT(K$1,FIND(" (",K$1)-1), '[413]t (Cherniak)'!$1:$1, 0), 0)</f>
        <v>1131.237728240478</v>
      </c>
      <c r="L278" s="4">
        <f>'D(Ti_Audétat23) Times'!Z278</f>
        <v>79525.826787904734</v>
      </c>
      <c r="M278" s="4">
        <f>VLOOKUP($B278, '[413]t (J)'!$1:$1048576, MATCH(LEFT(M$1,FIND(" (",M$1)-1),'[413]t (J)'!$1:$1, 0), 0)</f>
        <v>1360517.8322206482</v>
      </c>
      <c r="O278" s="1">
        <f t="shared" si="33"/>
        <v>0.4793946168921146</v>
      </c>
      <c r="P278" s="3">
        <f t="shared" si="34"/>
        <v>1.5191098717650091E-14</v>
      </c>
      <c r="Q278" s="3"/>
      <c r="R278" s="11">
        <f t="shared" si="38"/>
        <v>6.8192849951763217E-3</v>
      </c>
      <c r="S278" s="3">
        <f t="shared" si="39"/>
        <v>2.1609010175603724E-16</v>
      </c>
      <c r="T278" s="3"/>
      <c r="U278" s="9">
        <f t="shared" si="35"/>
        <v>3.9860504912205994E-4</v>
      </c>
      <c r="V278" s="3">
        <f t="shared" si="36"/>
        <v>1.2631031799695158E-17</v>
      </c>
    </row>
    <row r="279" spans="1:22" x14ac:dyDescent="0.2">
      <c r="A279" t="s">
        <v>728</v>
      </c>
      <c r="B279" s="1" t="str">
        <f>VLOOKUP(REPLACE(A279,FIND("dist",A279),4,"fit")&amp;"*",'[413]t (Cherniak)'!$A:$A,1,0)</f>
        <v>CGI014-qtz10-CL-fit-3-offset</v>
      </c>
      <c r="C279">
        <v>1550</v>
      </c>
      <c r="D279">
        <v>1024</v>
      </c>
      <c r="E279" s="1">
        <f t="shared" si="32"/>
        <v>1.513671875</v>
      </c>
      <c r="F279">
        <f>'[692]CGI014-qtz10-CL-dist-3'!$B$4</f>
        <v>253.71199999999999</v>
      </c>
      <c r="G279" s="1">
        <f t="shared" si="37"/>
        <v>384.03671874999998</v>
      </c>
      <c r="H279" s="1"/>
      <c r="I279" s="1" t="str">
        <f>VLOOKUP($B279, '[413]t (Cherniak) Category'!$1:$1048576, MATCH(I$1, '[413]t (Cherniak) Category'!$1:$1, 0), 0)</f>
        <v>Interior</v>
      </c>
      <c r="J279" s="1"/>
      <c r="K279" s="4">
        <f>VLOOKUP($B279, '[413]t (Cherniak)'!$1:$1048576, MATCH(LEFT(K$1,FIND(" (",K$1)-1), '[413]t (Cherniak)'!$1:$1, 0), 0)</f>
        <v>53.874878110237916</v>
      </c>
      <c r="L279" s="4">
        <f>'D(Ti_Audétat23) Times'!Z279</f>
        <v>3787.3950964120204</v>
      </c>
      <c r="M279" s="4">
        <f>VLOOKUP($B279, '[413]t (J)'!$1:$1048576, MATCH(LEFT(M$1,FIND(" (",M$1)-1),'[413]t (J)'!$1:$1, 0), 0)</f>
        <v>64794.278468505021</v>
      </c>
      <c r="O279" s="1">
        <f t="shared" si="33"/>
        <v>7.1283078908167585</v>
      </c>
      <c r="P279" s="3">
        <f t="shared" si="34"/>
        <v>2.2588244640963691E-13</v>
      </c>
      <c r="Q279" s="3"/>
      <c r="R279" s="11">
        <f t="shared" si="38"/>
        <v>0.1013986418036545</v>
      </c>
      <c r="S279" s="3">
        <f t="shared" si="39"/>
        <v>3.2131290656974706E-15</v>
      </c>
      <c r="T279" s="3"/>
      <c r="U279" s="9">
        <f t="shared" si="35"/>
        <v>5.9270159005886799E-3</v>
      </c>
      <c r="V279" s="3">
        <f t="shared" si="36"/>
        <v>1.8781580033299996E-16</v>
      </c>
    </row>
    <row r="280" spans="1:22" x14ac:dyDescent="0.2">
      <c r="A280" t="s">
        <v>729</v>
      </c>
      <c r="B280" s="1" t="str">
        <f>VLOOKUP(REPLACE(A280,FIND("dist",A280),4,"fit")&amp;"*",'[413]t (Cherniak)'!$A:$A,1,0)</f>
        <v>CGI014-qtz10-CL-fit-4-offset</v>
      </c>
      <c r="C280">
        <v>1550</v>
      </c>
      <c r="D280">
        <v>1024</v>
      </c>
      <c r="E280" s="1">
        <f t="shared" si="32"/>
        <v>1.513671875</v>
      </c>
      <c r="F280">
        <f>'[693]CGI014-qtz10-CL-dist-4'!$B$4</f>
        <v>148.054</v>
      </c>
      <c r="G280" s="1">
        <f t="shared" si="37"/>
        <v>224.10517578125001</v>
      </c>
      <c r="H280" s="1"/>
      <c r="I280" s="1" t="str">
        <f>VLOOKUP($B280, '[413]t (Cherniak) Category'!$1:$1048576, MATCH(I$1, '[413]t (Cherniak) Category'!$1:$1, 0), 0)</f>
        <v>Interior</v>
      </c>
      <c r="J280" s="1"/>
      <c r="K280" s="4">
        <f>VLOOKUP($B280, '[413]t (Cherniak)'!$1:$1048576, MATCH(LEFT(K$1,FIND(" (",K$1)-1), '[413]t (Cherniak)'!$1:$1, 0), 0)</f>
        <v>78.486806517972184</v>
      </c>
      <c r="L280" s="4">
        <f>'D(Ti_Audétat23) Times'!Z280</f>
        <v>5517.6096274585916</v>
      </c>
      <c r="M280" s="4">
        <f>VLOOKUP($B280, '[413]t (J)'!$1:$1048576, MATCH(LEFT(M$1,FIND(" (",M$1)-1),'[413]t (J)'!$1:$1, 0), 0)</f>
        <v>94394.570828045384</v>
      </c>
      <c r="O280" s="1">
        <f t="shared" si="33"/>
        <v>2.855322897230296</v>
      </c>
      <c r="P280" s="3">
        <f t="shared" si="34"/>
        <v>9.0479722704841182E-14</v>
      </c>
      <c r="Q280" s="3"/>
      <c r="R280" s="11">
        <f t="shared" si="38"/>
        <v>4.0616352172865251E-2</v>
      </c>
      <c r="S280" s="3">
        <f t="shared" si="39"/>
        <v>1.2870545343392795E-15</v>
      </c>
      <c r="T280" s="3"/>
      <c r="U280" s="9">
        <f t="shared" si="35"/>
        <v>2.3741320482243938E-3</v>
      </c>
      <c r="V280" s="3">
        <f t="shared" si="36"/>
        <v>7.5231704826235001E-17</v>
      </c>
    </row>
    <row r="281" spans="1:22" x14ac:dyDescent="0.2">
      <c r="A281" t="s">
        <v>730</v>
      </c>
      <c r="B281" s="1" t="str">
        <f>VLOOKUP(REPLACE(A281,FIND("dist",A281),4,"fit")&amp;"*",'[413]t (Cherniak)'!$A:$A,1,0)</f>
        <v>CGI014-qtz11-CL-fit-1-offset</v>
      </c>
      <c r="C281">
        <v>1500</v>
      </c>
      <c r="D281">
        <v>1024</v>
      </c>
      <c r="E281" s="1">
        <f t="shared" si="32"/>
        <v>1.46484375</v>
      </c>
      <c r="F281">
        <f>'[694]CGI014-qtz11-CL-dist-1'!$B$4</f>
        <v>730.98599999999999</v>
      </c>
      <c r="G281" s="1">
        <f t="shared" si="37"/>
        <v>1070.7802734375</v>
      </c>
      <c r="H281" s="1"/>
      <c r="I281" s="1" t="str">
        <f>VLOOKUP($B281, '[413]t (Cherniak) Category'!$1:$1048576, MATCH(I$1, '[413]t (Cherniak) Category'!$1:$1, 0), 0)</f>
        <v>Core</v>
      </c>
      <c r="J281" s="1"/>
      <c r="K281" s="4">
        <f>VLOOKUP($B281, '[413]t (Cherniak)'!$1:$1048576, MATCH(LEFT(K$1,FIND(" (",K$1)-1), '[413]t (Cherniak)'!$1:$1, 0), 0)</f>
        <v>716.63975609677914</v>
      </c>
      <c r="L281" s="4">
        <f>'D(Ti_Audétat23) Times'!Z281</f>
        <v>50379.657334557662</v>
      </c>
      <c r="M281" s="4">
        <f>VLOOKUP($B281, '[413]t (J)'!$1:$1048576, MATCH(LEFT(M$1,FIND(" (",M$1)-1),'[413]t (J)'!$1:$1, 0), 0)</f>
        <v>861888.8347760787</v>
      </c>
      <c r="O281" s="1">
        <f t="shared" si="33"/>
        <v>1.494168114911135</v>
      </c>
      <c r="P281" s="3">
        <f t="shared" si="34"/>
        <v>4.7347330434226146E-14</v>
      </c>
      <c r="Q281" s="3"/>
      <c r="R281" s="11">
        <f t="shared" si="38"/>
        <v>2.1254219065579151E-2</v>
      </c>
      <c r="S281" s="3">
        <f t="shared" si="39"/>
        <v>6.7350556016868043E-16</v>
      </c>
      <c r="T281" s="3"/>
      <c r="U281" s="9">
        <f t="shared" si="35"/>
        <v>1.2423647113559511E-3</v>
      </c>
      <c r="V281" s="3">
        <f t="shared" si="36"/>
        <v>3.9368162070498108E-17</v>
      </c>
    </row>
    <row r="282" spans="1:22" x14ac:dyDescent="0.2">
      <c r="A282" t="s">
        <v>731</v>
      </c>
      <c r="B282" s="1" t="str">
        <f>VLOOKUP(REPLACE(A282,FIND("dist",A282),4,"fit")&amp;"*",'[413]t (Cherniak)'!$A:$A,1,0)</f>
        <v>CGI014-qtz11-CL-fit-2-offset</v>
      </c>
      <c r="C282">
        <v>1500</v>
      </c>
      <c r="D282">
        <v>1024</v>
      </c>
      <c r="E282" s="1">
        <f t="shared" si="32"/>
        <v>1.46484375</v>
      </c>
      <c r="F282">
        <f>'[695]CGI014-qtz11-CL-dist-2'!$B$4</f>
        <v>524.17600000000004</v>
      </c>
      <c r="G282" s="1">
        <f t="shared" si="37"/>
        <v>767.83593750000011</v>
      </c>
      <c r="H282" s="1"/>
      <c r="I282" s="1" t="str">
        <f>VLOOKUP($B282, '[413]t (Cherniak) Category'!$1:$1048576, MATCH(I$1, '[413]t (Cherniak) Category'!$1:$1, 0), 0)</f>
        <v>Core</v>
      </c>
      <c r="J282" s="1"/>
      <c r="K282" s="4">
        <f>VLOOKUP($B282, '[413]t (Cherniak)'!$1:$1048576, MATCH(LEFT(K$1,FIND(" (",K$1)-1), '[413]t (Cherniak)'!$1:$1, 0), 0)</f>
        <v>2419.8560979740992</v>
      </c>
      <c r="L282" s="4">
        <f>'D(Ti_Audétat23) Times'!Z282</f>
        <v>170115.48686452064</v>
      </c>
      <c r="M282" s="4">
        <f>VLOOKUP($B282, '[413]t (J)'!$1:$1048576, MATCH(LEFT(M$1,FIND(" (",M$1)-1),'[413]t (J)'!$1:$1, 0), 0)</f>
        <v>2910314.3313849689</v>
      </c>
      <c r="O282" s="1">
        <f t="shared" si="33"/>
        <v>0.31730644567783661</v>
      </c>
      <c r="P282" s="3">
        <f t="shared" si="34"/>
        <v>1.0054834514596693E-14</v>
      </c>
      <c r="Q282" s="3"/>
      <c r="R282" s="11">
        <f t="shared" si="38"/>
        <v>4.5136157304214277E-3</v>
      </c>
      <c r="S282" s="3">
        <f t="shared" si="39"/>
        <v>1.4302785162437659E-16</v>
      </c>
      <c r="T282" s="3"/>
      <c r="U282" s="9">
        <f t="shared" si="35"/>
        <v>2.6383264832242366E-4</v>
      </c>
      <c r="V282" s="3">
        <f t="shared" si="36"/>
        <v>8.3603521282487791E-18</v>
      </c>
    </row>
    <row r="283" spans="1:22" x14ac:dyDescent="0.2">
      <c r="A283" t="s">
        <v>732</v>
      </c>
      <c r="B283" s="1" t="str">
        <f>VLOOKUP(REPLACE(A283,FIND("dist",A283),4,"fit")&amp;"*",'[413]t (Cherniak)'!$A:$A,1,0)</f>
        <v>CGI014-qtz11-CL-fit-3-offset</v>
      </c>
      <c r="C283">
        <v>1500</v>
      </c>
      <c r="D283">
        <v>1024</v>
      </c>
      <c r="E283" s="1">
        <f t="shared" si="32"/>
        <v>1.46484375</v>
      </c>
      <c r="F283">
        <f>'[696]CGI014-qtz11-CL-dist-3'!$B$4</f>
        <v>335.17200000000003</v>
      </c>
      <c r="G283" s="1">
        <f t="shared" si="37"/>
        <v>490.97460937500006</v>
      </c>
      <c r="H283" s="1"/>
      <c r="I283" s="1" t="str">
        <f>VLOOKUP($B283, '[413]t (Cherniak) Category'!$1:$1048576, MATCH(I$1, '[413]t (Cherniak) Category'!$1:$1, 0), 0)</f>
        <v>Interior</v>
      </c>
      <c r="J283" s="1"/>
      <c r="K283" s="4">
        <f>VLOOKUP($B283, '[413]t (Cherniak)'!$1:$1048576, MATCH(LEFT(K$1,FIND(" (",K$1)-1), '[413]t (Cherniak)'!$1:$1, 0), 0)</f>
        <v>389.70130338710345</v>
      </c>
      <c r="L283" s="4">
        <f>'D(Ti_Audétat23) Times'!Z283</f>
        <v>27395.937722469047</v>
      </c>
      <c r="M283" s="4">
        <f>VLOOKUP($B283, '[413]t (J)'!$1:$1048576, MATCH(LEFT(M$1,FIND(" (",M$1)-1),'[413]t (J)'!$1:$1, 0), 0)</f>
        <v>468686.25335051981</v>
      </c>
      <c r="O283" s="1">
        <f t="shared" si="33"/>
        <v>1.2598741782685248</v>
      </c>
      <c r="P283" s="3">
        <f t="shared" si="34"/>
        <v>3.9923003595600577E-14</v>
      </c>
      <c r="Q283" s="3"/>
      <c r="R283" s="11">
        <f t="shared" si="38"/>
        <v>1.792143836610938E-2</v>
      </c>
      <c r="S283" s="3">
        <f t="shared" si="39"/>
        <v>5.6789611269898151E-16</v>
      </c>
      <c r="T283" s="3"/>
      <c r="U283" s="9">
        <f t="shared" si="35"/>
        <v>1.0475549599868706E-3</v>
      </c>
      <c r="V283" s="3">
        <f t="shared" si="36"/>
        <v>3.3195013562085536E-17</v>
      </c>
    </row>
    <row r="284" spans="1:22" x14ac:dyDescent="0.2">
      <c r="A284" t="s">
        <v>733</v>
      </c>
      <c r="B284" s="1" t="str">
        <f>VLOOKUP(REPLACE(A284,FIND("dist",A284),4,"fit")&amp;"*",'[413]t (Cherniak)'!$A:$A,1,0)</f>
        <v>CGI014-qtz11-CL-fit-4-offset</v>
      </c>
      <c r="C284">
        <v>1500</v>
      </c>
      <c r="D284">
        <v>1024</v>
      </c>
      <c r="E284" s="1">
        <f t="shared" si="32"/>
        <v>1.46484375</v>
      </c>
      <c r="F284">
        <f>'[697]CGI014-qtz11-CL-dist-4'!$B$4</f>
        <v>221.89400000000001</v>
      </c>
      <c r="G284" s="1">
        <f t="shared" si="37"/>
        <v>325.0400390625</v>
      </c>
      <c r="H284" s="1"/>
      <c r="I284" s="1" t="str">
        <f>VLOOKUP($B284, '[413]t (Cherniak) Category'!$1:$1048576, MATCH(I$1, '[413]t (Cherniak) Category'!$1:$1, 0), 0)</f>
        <v>Interior</v>
      </c>
      <c r="J284" s="1"/>
      <c r="K284" s="4">
        <f>VLOOKUP($B284, '[413]t (Cherniak)'!$1:$1048576, MATCH(LEFT(K$1,FIND(" (",K$1)-1), '[413]t (Cherniak)'!$1:$1, 0), 0)</f>
        <v>73.851716608012524</v>
      </c>
      <c r="L284" s="4">
        <f>'D(Ti_Audétat23) Times'!Z284</f>
        <v>5191.7635668793082</v>
      </c>
      <c r="M284" s="4">
        <f>VLOOKUP($B284, '[413]t (J)'!$1:$1048576, MATCH(LEFT(M$1,FIND(" (",M$1)-1),'[413]t (J)'!$1:$1, 0), 0)</f>
        <v>88820.037448351053</v>
      </c>
      <c r="O284" s="1">
        <f t="shared" si="33"/>
        <v>4.4012523200745051</v>
      </c>
      <c r="P284" s="3">
        <f t="shared" si="34"/>
        <v>1.3946727001021956E-13</v>
      </c>
      <c r="Q284" s="3"/>
      <c r="R284" s="11">
        <f t="shared" si="38"/>
        <v>6.260686467621189E-2</v>
      </c>
      <c r="S284" s="3">
        <f t="shared" si="39"/>
        <v>1.9838918256208296E-15</v>
      </c>
      <c r="T284" s="3"/>
      <c r="U284" s="9">
        <f t="shared" si="35"/>
        <v>3.6595350373671157E-3</v>
      </c>
      <c r="V284" s="3">
        <f t="shared" si="36"/>
        <v>1.1596366762260486E-16</v>
      </c>
    </row>
    <row r="285" spans="1:22" x14ac:dyDescent="0.2">
      <c r="A285" t="s">
        <v>734</v>
      </c>
      <c r="B285" s="1" t="str">
        <f>VLOOKUP(REPLACE(A285,FIND("dist",A285),4,"fit")&amp;"*",'[413]t (Cherniak)'!$A:$A,1,0)</f>
        <v>CGI014-qtz11-CL-fit-5-offset</v>
      </c>
      <c r="C285">
        <v>1500</v>
      </c>
      <c r="D285">
        <v>1024</v>
      </c>
      <c r="E285" s="1">
        <f t="shared" si="32"/>
        <v>1.46484375</v>
      </c>
      <c r="F285">
        <f>'[698]CGI014-qtz11-CL-dist-5'!$B$4</f>
        <v>109.622</v>
      </c>
      <c r="G285" s="1">
        <f t="shared" si="37"/>
        <v>160.5791015625</v>
      </c>
      <c r="H285" s="1"/>
      <c r="I285" s="1" t="str">
        <f>VLOOKUP($B285, '[413]t (Cherniak) Category'!$1:$1048576, MATCH(I$1, '[413]t (Cherniak) Category'!$1:$1, 0), 0)</f>
        <v>Rim</v>
      </c>
      <c r="J285" s="1"/>
      <c r="K285" s="4">
        <f>VLOOKUP($B285, '[413]t (Cherniak)'!$1:$1048576, MATCH(LEFT(K$1,FIND(" (",K$1)-1), '[413]t (Cherniak)'!$1:$1, 0), 0)</f>
        <v>28.494821323266848</v>
      </c>
      <c r="L285" s="4">
        <f>'D(Ti_Audétat23) Times'!Z285</f>
        <v>2003.1812662675732</v>
      </c>
      <c r="M285" s="4">
        <f>VLOOKUP($B285, '[413]t (J)'!$1:$1048576, MATCH(LEFT(M$1,FIND(" (",M$1)-1),'[413]t (J)'!$1:$1, 0), 0)</f>
        <v>34270.17289862215</v>
      </c>
      <c r="O285" s="1">
        <f t="shared" si="33"/>
        <v>5.6353784338834405</v>
      </c>
      <c r="P285" s="3">
        <f t="shared" si="34"/>
        <v>1.7857436667818342E-13</v>
      </c>
      <c r="Q285" s="3"/>
      <c r="R285" s="11">
        <f t="shared" si="38"/>
        <v>8.0162042380567469E-2</v>
      </c>
      <c r="S285" s="3">
        <f t="shared" si="39"/>
        <v>2.5401818383073319E-15</v>
      </c>
      <c r="T285" s="3"/>
      <c r="U285" s="9">
        <f t="shared" si="35"/>
        <v>4.6856811034342982E-3</v>
      </c>
      <c r="V285" s="3">
        <f t="shared" si="36"/>
        <v>1.484802742741621E-16</v>
      </c>
    </row>
    <row r="286" spans="1:22" x14ac:dyDescent="0.2">
      <c r="A286" t="s">
        <v>735</v>
      </c>
      <c r="B286" s="1" t="str">
        <f>VLOOKUP(REPLACE(A286,FIND("dist",A286),4,"fit")&amp;"*",'[413]t (Cherniak)'!$A:$A,1,0)</f>
        <v>CGI014-qtz12-CL-fit-1-offset</v>
      </c>
      <c r="C286">
        <v>1650</v>
      </c>
      <c r="D286">
        <v>1024</v>
      </c>
      <c r="E286" s="1">
        <f t="shared" si="32"/>
        <v>1.611328125</v>
      </c>
      <c r="F286">
        <f>'[699]CGI014-qtz12-CL-dist-1'!$B$4</f>
        <v>571.94799999999998</v>
      </c>
      <c r="G286" s="1">
        <f t="shared" si="37"/>
        <v>921.59589843749995</v>
      </c>
      <c r="H286" s="1"/>
      <c r="I286" s="1" t="str">
        <f>VLOOKUP($B286, '[413]t (Cherniak) Category'!$1:$1048576, MATCH(I$1, '[413]t (Cherniak) Category'!$1:$1, 0), 0)</f>
        <v>Core</v>
      </c>
      <c r="J286" s="1"/>
      <c r="K286" s="4">
        <f>VLOOKUP($B286, '[413]t (Cherniak)'!$1:$1048576, MATCH(LEFT(K$1,FIND(" (",K$1)-1), '[413]t (Cherniak)'!$1:$1, 0), 0)</f>
        <v>5465.5844512536351</v>
      </c>
      <c r="L286" s="4">
        <f>'D(Ti_Audétat23) Times'!Z286</f>
        <v>384229.69064258708</v>
      </c>
      <c r="M286" s="4">
        <f>VLOOKUP($B286, '[413]t (J)'!$1:$1048576, MATCH(LEFT(M$1,FIND(" (",M$1)-1),'[413]t (J)'!$1:$1, 0), 0)</f>
        <v>6573353.1721970029</v>
      </c>
      <c r="O286" s="1">
        <f t="shared" si="33"/>
        <v>0.1686179962375505</v>
      </c>
      <c r="P286" s="3">
        <f t="shared" si="34"/>
        <v>5.3431818718011026E-15</v>
      </c>
      <c r="Q286" s="3"/>
      <c r="R286" s="11">
        <f t="shared" si="38"/>
        <v>2.3985546168913178E-3</v>
      </c>
      <c r="S286" s="3">
        <f t="shared" si="39"/>
        <v>7.6005609326796645E-17</v>
      </c>
      <c r="T286" s="3"/>
      <c r="U286" s="9">
        <f t="shared" si="35"/>
        <v>1.4020179264603185E-4</v>
      </c>
      <c r="V286" s="3">
        <f t="shared" si="36"/>
        <v>4.4427267170517351E-18</v>
      </c>
    </row>
    <row r="287" spans="1:22" x14ac:dyDescent="0.2">
      <c r="A287" t="s">
        <v>736</v>
      </c>
      <c r="B287" s="1" t="str">
        <f>VLOOKUP(REPLACE(A287,FIND("dist",A287),4,"fit")&amp;"*",'[413]t (Cherniak)'!$A:$A,1,0)</f>
        <v>CGI014-qtz12-CL-fit-2-offset</v>
      </c>
      <c r="C287">
        <v>1650</v>
      </c>
      <c r="D287">
        <v>1024</v>
      </c>
      <c r="E287" s="1">
        <f t="shared" si="32"/>
        <v>1.611328125</v>
      </c>
      <c r="F287">
        <f>'[700]CGI014-qtz12-CL-dist-2'!$B$4</f>
        <v>427.96499999999997</v>
      </c>
      <c r="G287" s="1">
        <f t="shared" si="37"/>
        <v>689.592041015625</v>
      </c>
      <c r="H287" s="1"/>
      <c r="I287" s="1" t="str">
        <f>VLOOKUP($B287, '[413]t (Cherniak) Category'!$1:$1048576, MATCH(I$1, '[413]t (Cherniak) Category'!$1:$1, 0), 0)</f>
        <v>Interior</v>
      </c>
      <c r="J287" s="1"/>
      <c r="K287" s="4">
        <f>VLOOKUP($B287, '[413]t (Cherniak)'!$1:$1048576, MATCH(LEFT(K$1,FIND(" (",K$1)-1), '[413]t (Cherniak)'!$1:$1, 0), 0)</f>
        <v>1157.6032409022405</v>
      </c>
      <c r="L287" s="4">
        <f>'D(Ti_Audétat23) Times'!Z287</f>
        <v>81379.318004445828</v>
      </c>
      <c r="M287" s="4">
        <f>VLOOKUP($B287, '[413]t (J)'!$1:$1048576, MATCH(LEFT(M$1,FIND(" (",M$1)-1),'[413]t (J)'!$1:$1, 0), 0)</f>
        <v>1392227.126594838</v>
      </c>
      <c r="O287" s="1">
        <f t="shared" si="33"/>
        <v>0.5957067297756995</v>
      </c>
      <c r="P287" s="3">
        <f t="shared" si="34"/>
        <v>1.8876807164540379E-14</v>
      </c>
      <c r="Q287" s="3"/>
      <c r="R287" s="11">
        <f t="shared" si="38"/>
        <v>8.4737997064309629E-3</v>
      </c>
      <c r="S287" s="3">
        <f t="shared" si="39"/>
        <v>2.6851850921587709E-16</v>
      </c>
      <c r="T287" s="3"/>
      <c r="U287" s="9">
        <f t="shared" si="35"/>
        <v>4.9531576266744306E-4</v>
      </c>
      <c r="V287" s="3">
        <f t="shared" si="36"/>
        <v>1.5695609383078656E-17</v>
      </c>
    </row>
    <row r="288" spans="1:22" x14ac:dyDescent="0.2">
      <c r="A288" t="s">
        <v>737</v>
      </c>
      <c r="B288" s="1" t="str">
        <f>VLOOKUP(REPLACE(A288,FIND("dist",A288),4,"fit")&amp;"*",'[413]t (Cherniak)'!$A:$A,1,0)</f>
        <v>CGI014-qtz12-CL-fit-3-offset</v>
      </c>
      <c r="C288">
        <v>1650</v>
      </c>
      <c r="D288">
        <v>1024</v>
      </c>
      <c r="E288" s="1">
        <f t="shared" si="32"/>
        <v>1.611328125</v>
      </c>
      <c r="F288">
        <f>'[701]CGI014-qtz12-CL-dist-3'!$B$4</f>
        <v>138.75200000000001</v>
      </c>
      <c r="G288" s="1">
        <f t="shared" si="37"/>
        <v>223.57500000000002</v>
      </c>
      <c r="H288" s="1"/>
      <c r="I288" s="1" t="str">
        <f>VLOOKUP($B288, '[413]t (Cherniak) Category'!$1:$1048576, MATCH(I$1, '[413]t (Cherniak) Category'!$1:$1, 0), 0)</f>
        <v>Interior</v>
      </c>
      <c r="J288" s="1"/>
      <c r="K288" s="4">
        <f>VLOOKUP($B288, '[413]t (Cherniak)'!$1:$1048576, MATCH(LEFT(K$1,FIND(" (",K$1)-1), '[413]t (Cherniak)'!$1:$1, 0), 0)</f>
        <v>440.18167093208223</v>
      </c>
      <c r="L288" s="4">
        <f>'D(Ti_Audétat23) Times'!Z288</f>
        <v>30944.699282796311</v>
      </c>
      <c r="M288" s="4">
        <f>VLOOKUP($B288, '[413]t (J)'!$1:$1048576, MATCH(LEFT(M$1,FIND(" (",M$1)-1),'[413]t (J)'!$1:$1, 0), 0)</f>
        <v>529398.01932814484</v>
      </c>
      <c r="O288" s="1">
        <f t="shared" si="33"/>
        <v>0.50791528762790417</v>
      </c>
      <c r="P288" s="3">
        <f t="shared" si="34"/>
        <v>1.6094864236440797E-14</v>
      </c>
      <c r="Q288" s="3"/>
      <c r="R288" s="11">
        <f t="shared" si="38"/>
        <v>7.2249853830150621E-3</v>
      </c>
      <c r="S288" s="3">
        <f t="shared" si="39"/>
        <v>2.2894597127205688E-16</v>
      </c>
      <c r="T288" s="3"/>
      <c r="U288" s="9">
        <f t="shared" si="35"/>
        <v>4.2231929821675082E-4</v>
      </c>
      <c r="V288" s="3">
        <f t="shared" si="36"/>
        <v>1.3382491007451479E-17</v>
      </c>
    </row>
    <row r="289" spans="1:22" x14ac:dyDescent="0.2">
      <c r="A289" t="s">
        <v>738</v>
      </c>
      <c r="B289" s="1" t="str">
        <f>VLOOKUP(REPLACE(A289,FIND("dist",A289),4,"fit")&amp;"*",'[413]t (Cherniak)'!$A:$A,1,0)</f>
        <v>CGI015-qtz01-CL-fit-1-offset</v>
      </c>
      <c r="C289">
        <v>1800</v>
      </c>
      <c r="D289">
        <v>1024</v>
      </c>
      <c r="E289" s="1">
        <f t="shared" si="32"/>
        <v>1.7578125</v>
      </c>
      <c r="F289">
        <f>'[702]CGI015-qtz01-CL-dist-1'!$B$4</f>
        <v>549.03300000000002</v>
      </c>
      <c r="G289" s="1">
        <f t="shared" si="37"/>
        <v>965.09707031250002</v>
      </c>
      <c r="H289" s="1"/>
      <c r="I289" s="1" t="str">
        <f>VLOOKUP($B289, '[413]t (Cherniak) Category'!$1:$1048576, MATCH(I$1, '[413]t (Cherniak) Category'!$1:$1, 0), 0)</f>
        <v>Core</v>
      </c>
      <c r="J289" s="1"/>
      <c r="K289" s="4">
        <f>VLOOKUP($B289, '[413]t (Cherniak)'!$1:$1048576, MATCH(LEFT(K$1,FIND(" (",K$1)-1), '[413]t (Cherniak)'!$1:$1, 0), 0)</f>
        <v>415.80321623687325</v>
      </c>
      <c r="L289" s="4">
        <f>'D(Ti_Audétat23) Times'!Z289</f>
        <v>29230.897915453796</v>
      </c>
      <c r="M289" s="4">
        <f>VLOOKUP($B289, '[413]t (J)'!$1:$1048576, MATCH(LEFT(M$1,FIND(" (",M$1)-1),'[413]t (J)'!$1:$1, 0), 0)</f>
        <v>500078.52130680205</v>
      </c>
      <c r="O289" s="1">
        <f t="shared" si="33"/>
        <v>2.3210428217628483</v>
      </c>
      <c r="P289" s="3">
        <f t="shared" si="34"/>
        <v>7.3549408756142671E-14</v>
      </c>
      <c r="Q289" s="3"/>
      <c r="R289" s="11">
        <f t="shared" si="38"/>
        <v>3.3016333371075554E-2</v>
      </c>
      <c r="S289" s="3">
        <f t="shared" si="39"/>
        <v>1.0462244711598966E-15</v>
      </c>
      <c r="T289" s="3"/>
      <c r="U289" s="9">
        <f t="shared" si="35"/>
        <v>1.9298910654881045E-3</v>
      </c>
      <c r="V289" s="3">
        <f t="shared" si="36"/>
        <v>6.1154557554696951E-17</v>
      </c>
    </row>
    <row r="290" spans="1:22" x14ac:dyDescent="0.2">
      <c r="A290" t="s">
        <v>739</v>
      </c>
      <c r="B290" s="1" t="str">
        <f>VLOOKUP(REPLACE(A290,FIND("dist",A290),4,"fit")&amp;"*",'[413]t (Cherniak)'!$A:$A,1,0)</f>
        <v>CGI015-qtz01-CL-fit-2-offset</v>
      </c>
      <c r="C290">
        <v>1800</v>
      </c>
      <c r="D290">
        <v>1024</v>
      </c>
      <c r="E290" s="1">
        <f t="shared" si="32"/>
        <v>1.7578125</v>
      </c>
      <c r="F290">
        <f>'[703]CGI015-qtz01-CL-dist-2'!$B$4</f>
        <v>350.036</v>
      </c>
      <c r="G290" s="1">
        <f t="shared" si="37"/>
        <v>615.29765625000005</v>
      </c>
      <c r="H290" s="1"/>
      <c r="I290" s="1" t="str">
        <f>VLOOKUP($B290, '[413]t (Cherniak) Category'!$1:$1048576, MATCH(I$1, '[413]t (Cherniak) Category'!$1:$1, 0), 0)</f>
        <v>Interior</v>
      </c>
      <c r="J290" s="1"/>
      <c r="K290" s="4">
        <f>VLOOKUP($B290, '[413]t (Cherniak)'!$1:$1048576, MATCH(LEFT(K$1,FIND(" (",K$1)-1), '[413]t (Cherniak)'!$1:$1, 0), 0)</f>
        <v>333.51308849275915</v>
      </c>
      <c r="L290" s="4">
        <f>'D(Ti_Audétat23) Times'!Z290</f>
        <v>23445.915429489705</v>
      </c>
      <c r="M290" s="4">
        <f>VLOOKUP($B290, '[413]t (J)'!$1:$1048576, MATCH(LEFT(M$1,FIND(" (",M$1)-1),'[413]t (J)'!$1:$1, 0), 0)</f>
        <v>401109.76927824307</v>
      </c>
      <c r="O290" s="1">
        <f t="shared" si="33"/>
        <v>1.8448980789051062</v>
      </c>
      <c r="P290" s="3">
        <f t="shared" si="34"/>
        <v>5.8461292332278316E-14</v>
      </c>
      <c r="Q290" s="3"/>
      <c r="R290" s="11">
        <f t="shared" si="38"/>
        <v>2.6243277132872941E-2</v>
      </c>
      <c r="S290" s="3">
        <f t="shared" si="39"/>
        <v>8.3159927031437564E-16</v>
      </c>
      <c r="T290" s="3"/>
      <c r="U290" s="9">
        <f t="shared" si="35"/>
        <v>1.5339882081584965E-3</v>
      </c>
      <c r="V290" s="3">
        <f t="shared" si="36"/>
        <v>4.8609153045811358E-17</v>
      </c>
    </row>
    <row r="291" spans="1:22" x14ac:dyDescent="0.2">
      <c r="A291" t="s">
        <v>740</v>
      </c>
      <c r="B291" s="1" t="str">
        <f>VLOOKUP(REPLACE(A291,FIND("dist",A291),4,"fit")&amp;"*",'[413]t (Cherniak)'!$A:$A,1,0)</f>
        <v>CGI015-qtz01-CL-fit-3-offset</v>
      </c>
      <c r="C291">
        <v>1800</v>
      </c>
      <c r="D291">
        <v>1024</v>
      </c>
      <c r="E291" s="1">
        <f t="shared" si="32"/>
        <v>1.7578125</v>
      </c>
      <c r="F291">
        <f>'[704]CGI015-qtz01-CL-dist-3'!$B$4</f>
        <v>285.00700000000001</v>
      </c>
      <c r="G291" s="1">
        <f t="shared" si="37"/>
        <v>500.98886718750003</v>
      </c>
      <c r="H291" s="1"/>
      <c r="I291" s="1" t="str">
        <f>VLOOKUP($B291, '[413]t (Cherniak) Category'!$1:$1048576, MATCH(I$1, '[413]t (Cherniak) Category'!$1:$1, 0), 0)</f>
        <v>Interior</v>
      </c>
      <c r="J291" s="1"/>
      <c r="K291" s="4">
        <f>VLOOKUP($B291, '[413]t (Cherniak)'!$1:$1048576, MATCH(LEFT(K$1,FIND(" (",K$1)-1), '[413]t (Cherniak)'!$1:$1, 0), 0)</f>
        <v>482.28610207792269</v>
      </c>
      <c r="L291" s="4">
        <f>'D(Ti_Audétat23) Times'!Z291</f>
        <v>33904.633887802316</v>
      </c>
      <c r="M291" s="4">
        <f>VLOOKUP($B291, '[413]t (J)'!$1:$1048576, MATCH(LEFT(M$1,FIND(" (",M$1)-1),'[413]t (J)'!$1:$1, 0), 0)</f>
        <v>580036.20788867085</v>
      </c>
      <c r="O291" s="1">
        <f t="shared" si="33"/>
        <v>1.0387793988443721</v>
      </c>
      <c r="P291" s="3">
        <f t="shared" si="34"/>
        <v>3.2916932809984666E-14</v>
      </c>
      <c r="Q291" s="3"/>
      <c r="R291" s="11">
        <f t="shared" si="38"/>
        <v>1.4776412830334028E-2</v>
      </c>
      <c r="S291" s="3">
        <f t="shared" si="39"/>
        <v>4.6823626734396871E-16</v>
      </c>
      <c r="T291" s="3"/>
      <c r="U291" s="9">
        <f t="shared" si="35"/>
        <v>8.6371998915567229E-4</v>
      </c>
      <c r="V291" s="3">
        <f t="shared" si="36"/>
        <v>2.7369634863097075E-17</v>
      </c>
    </row>
    <row r="292" spans="1:22" x14ac:dyDescent="0.2">
      <c r="A292" t="s">
        <v>741</v>
      </c>
      <c r="B292" s="1" t="str">
        <f>VLOOKUP(REPLACE(A292,FIND("dist",A292),4,"fit")&amp;"*",'[413]t (Cherniak)'!$A:$A,1,0)</f>
        <v>CGI015-qtz01-CL-fit-4-offset</v>
      </c>
      <c r="C292">
        <v>1800</v>
      </c>
      <c r="D292">
        <v>1024</v>
      </c>
      <c r="E292" s="1">
        <f t="shared" si="32"/>
        <v>1.7578125</v>
      </c>
      <c r="F292">
        <f>'[705]CGI015-qtz01-CL-dist-4'!$B$4</f>
        <v>243.07400000000001</v>
      </c>
      <c r="G292" s="1">
        <f t="shared" si="37"/>
        <v>427.27851562500001</v>
      </c>
      <c r="H292" s="1"/>
      <c r="I292" s="1" t="str">
        <f>VLOOKUP($B292, '[413]t (Cherniak) Category'!$1:$1048576, MATCH(I$1, '[413]t (Cherniak) Category'!$1:$1, 0), 0)</f>
        <v>Interior</v>
      </c>
      <c r="J292" s="1"/>
      <c r="K292" s="4">
        <f>VLOOKUP($B292, '[413]t (Cherniak)'!$1:$1048576, MATCH(LEFT(K$1,FIND(" (",K$1)-1), '[413]t (Cherniak)'!$1:$1, 0), 0)</f>
        <v>202.03184960978425</v>
      </c>
      <c r="L292" s="4">
        <f>'D(Ti_Audétat23) Times'!Z292</f>
        <v>14202.805897128155</v>
      </c>
      <c r="M292" s="4">
        <f>VLOOKUP($B292, '[413]t (J)'!$1:$1048576, MATCH(LEFT(M$1,FIND(" (",M$1)-1),'[413]t (J)'!$1:$1, 0), 0)</f>
        <v>242979.81512529645</v>
      </c>
      <c r="O292" s="1">
        <f t="shared" si="33"/>
        <v>2.1149067161948469</v>
      </c>
      <c r="P292" s="3">
        <f t="shared" si="34"/>
        <v>6.7017349741261902E-14</v>
      </c>
      <c r="Q292" s="3"/>
      <c r="R292" s="11">
        <f t="shared" si="38"/>
        <v>3.0084091743547439E-2</v>
      </c>
      <c r="S292" s="3">
        <f t="shared" si="39"/>
        <v>9.5330734097483466E-16</v>
      </c>
      <c r="T292" s="3"/>
      <c r="U292" s="9">
        <f t="shared" si="35"/>
        <v>1.7584938707960864E-3</v>
      </c>
      <c r="V292" s="3">
        <f t="shared" si="36"/>
        <v>5.5723308198218068E-17</v>
      </c>
    </row>
    <row r="293" spans="1:22" x14ac:dyDescent="0.2">
      <c r="A293" t="s">
        <v>742</v>
      </c>
      <c r="B293" s="1" t="str">
        <f>VLOOKUP(REPLACE(A293,FIND("dist",A293),4,"fit")&amp;"*",'[413]t (Cherniak)'!$A:$A,1,0)</f>
        <v>CGI015-qtz01-CL-fit-5-offset</v>
      </c>
      <c r="C293">
        <v>1800</v>
      </c>
      <c r="D293">
        <v>1024</v>
      </c>
      <c r="E293" s="1">
        <f t="shared" si="32"/>
        <v>1.7578125</v>
      </c>
      <c r="F293">
        <f>'[706]CGI015-qtz01-CL-dist-5'!$B$4</f>
        <v>263.79500000000002</v>
      </c>
      <c r="G293" s="1">
        <f t="shared" si="37"/>
        <v>463.7021484375</v>
      </c>
      <c r="H293" s="1"/>
      <c r="I293" s="1" t="str">
        <f>VLOOKUP($B293, '[413]t (Cherniak) Category'!$1:$1048576, MATCH(I$1, '[413]t (Cherniak) Category'!$1:$1, 0), 0)</f>
        <v>Interior</v>
      </c>
      <c r="J293" s="1"/>
      <c r="K293" s="4">
        <f>VLOOKUP($B293, '[413]t (Cherniak)'!$1:$1048576, MATCH(LEFT(K$1,FIND(" (",K$1)-1), '[413]t (Cherniak)'!$1:$1, 0), 0)</f>
        <v>152.63721053323826</v>
      </c>
      <c r="L293" s="4">
        <f>'D(Ti_Audétat23) Times'!Z293</f>
        <v>10730.370870087207</v>
      </c>
      <c r="M293" s="4">
        <f>VLOOKUP($B293, '[413]t (J)'!$1:$1048576, MATCH(LEFT(M$1,FIND(" (",M$1)-1),'[413]t (J)'!$1:$1, 0), 0)</f>
        <v>183573.83386946455</v>
      </c>
      <c r="O293" s="1">
        <f t="shared" si="33"/>
        <v>3.0379364692105946</v>
      </c>
      <c r="P293" s="3">
        <f t="shared" si="34"/>
        <v>9.6266397609786364E-14</v>
      </c>
      <c r="Q293" s="3"/>
      <c r="R293" s="11">
        <f t="shared" si="38"/>
        <v>4.3213990835130514E-2</v>
      </c>
      <c r="S293" s="3">
        <f t="shared" si="39"/>
        <v>1.3693687363782578E-15</v>
      </c>
      <c r="T293" s="3"/>
      <c r="U293" s="9">
        <f t="shared" si="35"/>
        <v>2.525970824181995E-3</v>
      </c>
      <c r="V293" s="3">
        <f t="shared" si="36"/>
        <v>8.004318529235414E-17</v>
      </c>
    </row>
    <row r="294" spans="1:22" x14ac:dyDescent="0.2">
      <c r="A294" t="s">
        <v>743</v>
      </c>
      <c r="B294" s="1" t="str">
        <f>VLOOKUP(REPLACE(A294,FIND("dist",A294),4,"fit")&amp;"*",'[413]t (Cherniak)'!$A:$A,1,0)</f>
        <v>CGI015-qtz01-CL-fit-6-offset</v>
      </c>
      <c r="C294">
        <v>1800</v>
      </c>
      <c r="D294">
        <v>1024</v>
      </c>
      <c r="E294" s="1">
        <f t="shared" si="32"/>
        <v>1.7578125</v>
      </c>
      <c r="F294">
        <f>'[707]CGI015-qtz01-CL-dist-6'!$B$4</f>
        <v>96.166499999999999</v>
      </c>
      <c r="G294" s="1">
        <f t="shared" si="37"/>
        <v>169.04267578125001</v>
      </c>
      <c r="H294" s="1"/>
      <c r="I294" s="1" t="str">
        <f>VLOOKUP($B294, '[413]t (Cherniak) Category'!$1:$1048576, MATCH(I$1, '[413]t (Cherniak) Category'!$1:$1, 0), 0)</f>
        <v>Rim</v>
      </c>
      <c r="J294" s="1"/>
      <c r="K294" s="4">
        <f>VLOOKUP($B294, '[413]t (Cherniak)'!$1:$1048576, MATCH(LEFT(K$1,FIND(" (",K$1)-1), '[413]t (Cherniak)'!$1:$1, 0), 0)</f>
        <v>20.856984604020287</v>
      </c>
      <c r="L294" s="4">
        <f>'D(Ti_Audétat23) Times'!Z294</f>
        <v>1466.2425974045252</v>
      </c>
      <c r="M294" s="4">
        <f>VLOOKUP($B294, '[413]t (J)'!$1:$1048576, MATCH(LEFT(M$1,FIND(" (",M$1)-1),'[413]t (J)'!$1:$1, 0), 0)</f>
        <v>25084.293753407146</v>
      </c>
      <c r="O294" s="1">
        <f t="shared" si="33"/>
        <v>8.1048473204830476</v>
      </c>
      <c r="P294" s="3">
        <f t="shared" si="34"/>
        <v>2.5682711361076399E-13</v>
      </c>
      <c r="Q294" s="3"/>
      <c r="R294" s="11">
        <f t="shared" si="38"/>
        <v>0.11528970450079784</v>
      </c>
      <c r="S294" s="3">
        <f t="shared" si="39"/>
        <v>3.6533102802747304E-15</v>
      </c>
      <c r="T294" s="3"/>
      <c r="U294" s="9">
        <f t="shared" si="35"/>
        <v>6.7389848581361515E-3</v>
      </c>
      <c r="V294" s="3">
        <f t="shared" si="36"/>
        <v>2.1354554396202979E-16</v>
      </c>
    </row>
    <row r="295" spans="1:22" x14ac:dyDescent="0.2">
      <c r="A295" t="s">
        <v>744</v>
      </c>
      <c r="B295" s="1" t="str">
        <f>VLOOKUP(REPLACE(A295,FIND("dist",A295),4,"fit")&amp;"*",'[413]t (Cherniak)'!$A:$A,1,0)</f>
        <v>CGI015-qtz02-CL-fit-1-offset</v>
      </c>
      <c r="C295">
        <v>1550</v>
      </c>
      <c r="D295">
        <v>1024</v>
      </c>
      <c r="E295" s="1">
        <f t="shared" si="32"/>
        <v>1.513671875</v>
      </c>
      <c r="F295">
        <f>'[708]CGI015-qtz02-CL-dist-1'!$B$4</f>
        <v>609.73800000000006</v>
      </c>
      <c r="G295" s="1">
        <f t="shared" si="37"/>
        <v>922.94326171875014</v>
      </c>
      <c r="H295" s="1"/>
      <c r="I295" s="1" t="str">
        <f>VLOOKUP($B295, '[413]t (Cherniak) Category'!$1:$1048576, MATCH(I$1, '[413]t (Cherniak) Category'!$1:$1, 0), 0)</f>
        <v>COre</v>
      </c>
      <c r="J295" s="1"/>
      <c r="K295" s="4">
        <f>VLOOKUP($B295, '[413]t (Cherniak)'!$1:$1048576, MATCH(LEFT(K$1,FIND(" (",K$1)-1), '[413]t (Cherniak)'!$1:$1, 0), 0)</f>
        <v>4883.0761335645329</v>
      </c>
      <c r="L295" s="4">
        <f>'D(Ti_Audétat23) Times'!Z295</f>
        <v>343279.45143238129</v>
      </c>
      <c r="M295" s="4">
        <f>VLOOKUP($B295, '[413]t (J)'!$1:$1048576, MATCH(LEFT(M$1,FIND(" (",M$1)-1),'[413]t (J)'!$1:$1, 0), 0)</f>
        <v>5872781.635509002</v>
      </c>
      <c r="O295" s="1">
        <f t="shared" si="33"/>
        <v>0.18900857501990714</v>
      </c>
      <c r="P295" s="3">
        <f t="shared" si="34"/>
        <v>5.9893203228352963E-15</v>
      </c>
      <c r="Q295" s="3"/>
      <c r="R295" s="11">
        <f t="shared" si="38"/>
        <v>2.6886062007721143E-3</v>
      </c>
      <c r="S295" s="3">
        <f t="shared" si="39"/>
        <v>8.5196789387409505E-17</v>
      </c>
      <c r="T295" s="3"/>
      <c r="U295" s="9">
        <f t="shared" si="35"/>
        <v>1.5715606657981204E-4</v>
      </c>
      <c r="V295" s="3">
        <f t="shared" si="36"/>
        <v>4.9799752382884645E-18</v>
      </c>
    </row>
    <row r="296" spans="1:22" x14ac:dyDescent="0.2">
      <c r="A296" t="s">
        <v>745</v>
      </c>
      <c r="B296" s="1" t="str">
        <f>VLOOKUP(REPLACE(A296,FIND("dist",A296),4,"fit")&amp;"*",'[413]t (Cherniak)'!$A:$A,1,0)</f>
        <v>CGI015-qtz02-CL-fit-2-offset</v>
      </c>
      <c r="C296">
        <v>1550</v>
      </c>
      <c r="D296">
        <v>1024</v>
      </c>
      <c r="E296" s="1">
        <f t="shared" si="32"/>
        <v>1.513671875</v>
      </c>
      <c r="F296">
        <f>'[709]CGI015-qtz02-CL-dist-2'!$B$4</f>
        <v>339.779</v>
      </c>
      <c r="G296" s="1">
        <f t="shared" si="37"/>
        <v>514.31391601562495</v>
      </c>
      <c r="H296" s="1"/>
      <c r="I296" s="1" t="str">
        <f>VLOOKUP($B296, '[413]t (Cherniak) Category'!$1:$1048576, MATCH(I$1, '[413]t (Cherniak) Category'!$1:$1, 0), 0)</f>
        <v>Interior</v>
      </c>
      <c r="J296" s="1"/>
      <c r="K296" s="4">
        <f>VLOOKUP($B296, '[413]t (Cherniak)'!$1:$1048576, MATCH(LEFT(K$1,FIND(" (",K$1)-1), '[413]t (Cherniak)'!$1:$1, 0), 0)</f>
        <v>201.77541071850675</v>
      </c>
      <c r="L296" s="4">
        <f>'D(Ti_Audétat23) Times'!Z296</f>
        <v>14184.778285123792</v>
      </c>
      <c r="M296" s="4">
        <f>VLOOKUP($B296, '[413]t (J)'!$1:$1048576, MATCH(LEFT(M$1,FIND(" (",M$1)-1),'[413]t (J)'!$1:$1, 0), 0)</f>
        <v>242671.40100883957</v>
      </c>
      <c r="O296" s="1">
        <f t="shared" si="33"/>
        <v>2.5489424810693859</v>
      </c>
      <c r="P296" s="3">
        <f t="shared" si="34"/>
        <v>8.077111317303553E-14</v>
      </c>
      <c r="Q296" s="3"/>
      <c r="R296" s="11">
        <f t="shared" si="38"/>
        <v>3.6258156855014705E-2</v>
      </c>
      <c r="S296" s="3">
        <f t="shared" si="39"/>
        <v>1.1489516583965416E-15</v>
      </c>
      <c r="T296" s="3"/>
      <c r="U296" s="9">
        <f t="shared" si="35"/>
        <v>2.1193841296399426E-3</v>
      </c>
      <c r="V296" s="3">
        <f t="shared" si="36"/>
        <v>6.7159230411689811E-17</v>
      </c>
    </row>
    <row r="297" spans="1:22" x14ac:dyDescent="0.2">
      <c r="A297" t="s">
        <v>746</v>
      </c>
      <c r="B297" s="1" t="str">
        <f>VLOOKUP(REPLACE(A297,FIND("dist",A297),4,"fit")&amp;"*",'[413]t (Cherniak)'!$A:$A,1,0)</f>
        <v>CGI015-qtz02-CL-fit-3-offset</v>
      </c>
      <c r="C297">
        <v>1550</v>
      </c>
      <c r="D297">
        <v>1024</v>
      </c>
      <c r="E297" s="1">
        <f t="shared" si="32"/>
        <v>1.513671875</v>
      </c>
      <c r="F297">
        <f>'[710]CGI015-qtz02-CL-dist-3'!$B$4</f>
        <v>190.066</v>
      </c>
      <c r="G297" s="1">
        <f t="shared" si="37"/>
        <v>287.69755859374999</v>
      </c>
      <c r="H297" s="1"/>
      <c r="I297" s="1" t="str">
        <f>VLOOKUP($B297, '[413]t (Cherniak) Category'!$1:$1048576, MATCH(I$1, '[413]t (Cherniak) Category'!$1:$1, 0), 0)</f>
        <v>Interior</v>
      </c>
      <c r="J297" s="1"/>
      <c r="K297" s="4">
        <f>VLOOKUP($B297, '[413]t (Cherniak)'!$1:$1048576, MATCH(LEFT(K$1,FIND(" (",K$1)-1), '[413]t (Cherniak)'!$1:$1, 0), 0)</f>
        <v>129.80502407246829</v>
      </c>
      <c r="L297" s="4">
        <f>'D(Ti_Audétat23) Times'!Z297</f>
        <v>9125.271906059068</v>
      </c>
      <c r="M297" s="4">
        <f>VLOOKUP($B297, '[413]t (J)'!$1:$1048576, MATCH(LEFT(M$1,FIND(" (",M$1)-1),'[413]t (J)'!$1:$1, 0), 0)</f>
        <v>156114.00287816572</v>
      </c>
      <c r="O297" s="1">
        <f t="shared" si="33"/>
        <v>2.2163823060741668</v>
      </c>
      <c r="P297" s="3">
        <f t="shared" si="34"/>
        <v>7.0232917144338176E-14</v>
      </c>
      <c r="Q297" s="3"/>
      <c r="R297" s="11">
        <f t="shared" si="38"/>
        <v>3.1527560116068692E-2</v>
      </c>
      <c r="S297" s="3">
        <f t="shared" si="39"/>
        <v>9.9904809352006133E-16</v>
      </c>
      <c r="T297" s="3"/>
      <c r="U297" s="9">
        <f t="shared" si="35"/>
        <v>1.8428683736863409E-3</v>
      </c>
      <c r="V297" s="3">
        <f t="shared" si="36"/>
        <v>5.8396974855069476E-17</v>
      </c>
    </row>
    <row r="298" spans="1:22" x14ac:dyDescent="0.2">
      <c r="A298" t="s">
        <v>747</v>
      </c>
      <c r="B298" s="1" t="str">
        <f>VLOOKUP(REPLACE(A298,FIND("dist",A298),4,"fit")&amp;"*",'[413]t (Cherniak)'!$A:$A,1,0)</f>
        <v>CGI015-qtz02-CL-fit-4-offset</v>
      </c>
      <c r="C298">
        <v>1550</v>
      </c>
      <c r="D298">
        <v>1024</v>
      </c>
      <c r="E298" s="1">
        <f t="shared" si="32"/>
        <v>1.513671875</v>
      </c>
      <c r="F298">
        <f>'[711]CGI015-qtz02-CL-dist-4'!$B$4</f>
        <v>163.077</v>
      </c>
      <c r="G298" s="1">
        <f t="shared" si="37"/>
        <v>246.84506835937501</v>
      </c>
      <c r="H298" s="1"/>
      <c r="I298" s="1" t="str">
        <f>VLOOKUP($B298, '[413]t (Cherniak) Category'!$1:$1048576, MATCH(I$1, '[413]t (Cherniak) Category'!$1:$1, 0), 0)</f>
        <v>Rim</v>
      </c>
      <c r="J298" s="1"/>
      <c r="K298" s="4">
        <f>VLOOKUP($B298, '[413]t (Cherniak)'!$1:$1048576, MATCH(LEFT(K$1,FIND(" (",K$1)-1), '[413]t (Cherniak)'!$1:$1, 0), 0)</f>
        <v>14.999675680308387</v>
      </c>
      <c r="L298" s="4">
        <f>'D(Ti_Audétat23) Times'!Z298</f>
        <v>1054.4747405855383</v>
      </c>
      <c r="M298" s="4">
        <f>VLOOKUP($B298, '[413]t (J)'!$1:$1048576, MATCH(LEFT(M$1,FIND(" (",M$1)-1),'[413]t (J)'!$1:$1, 0), 0)</f>
        <v>18039.821101376634</v>
      </c>
      <c r="O298" s="1">
        <f t="shared" si="33"/>
        <v>16.456693705946847</v>
      </c>
      <c r="P298" s="3">
        <f t="shared" si="34"/>
        <v>5.2148115528262114E-13</v>
      </c>
      <c r="Q298" s="3"/>
      <c r="R298" s="11">
        <f t="shared" si="38"/>
        <v>0.23409291741052482</v>
      </c>
      <c r="S298" s="3">
        <f t="shared" si="39"/>
        <v>7.4179569235469365E-15</v>
      </c>
      <c r="T298" s="3"/>
      <c r="U298" s="9">
        <f t="shared" si="35"/>
        <v>1.3683343475093444E-2</v>
      </c>
      <c r="V298" s="3">
        <f t="shared" si="36"/>
        <v>4.3359898962828112E-16</v>
      </c>
    </row>
    <row r="299" spans="1:22" x14ac:dyDescent="0.2">
      <c r="A299" t="s">
        <v>748</v>
      </c>
      <c r="B299" s="1" t="str">
        <f>VLOOKUP(REPLACE(A299,FIND("dist",A299),4,"fit")&amp;"*",'[413]t (Cherniak)'!$A:$A,1,0)</f>
        <v>CGI015-qtz03-CL-fit-1-offset</v>
      </c>
      <c r="C299">
        <v>1750</v>
      </c>
      <c r="D299">
        <v>1024</v>
      </c>
      <c r="E299" s="1">
        <f t="shared" si="32"/>
        <v>1.708984375</v>
      </c>
      <c r="F299">
        <f>'[712]CGI015-qtz03-CL-dist-1'!$B$4</f>
        <v>497.53199999999998</v>
      </c>
      <c r="G299" s="1">
        <f t="shared" si="37"/>
        <v>850.2744140625</v>
      </c>
      <c r="H299" s="1"/>
      <c r="I299" s="1" t="str">
        <f>VLOOKUP($B299, '[413]t (Cherniak) Category'!$1:$1048576, MATCH(I$1, '[413]t (Cherniak) Category'!$1:$1, 0), 0)</f>
        <v>Core</v>
      </c>
      <c r="J299" s="1"/>
      <c r="K299" s="4">
        <f>VLOOKUP($B299, '[413]t (Cherniak)'!$1:$1048576, MATCH(LEFT(K$1,FIND(" (",K$1)-1), '[413]t (Cherniak)'!$1:$1, 0), 0)</f>
        <v>1160.568419769224</v>
      </c>
      <c r="L299" s="4">
        <f>'D(Ti_Audétat23) Times'!Z299</f>
        <v>81587.76959254629</v>
      </c>
      <c r="M299" s="4">
        <f>VLOOKUP($B299, '[413]t (J)'!$1:$1048576, MATCH(LEFT(M$1,FIND(" (",M$1)-1),'[413]t (J)'!$1:$1, 0), 0)</f>
        <v>1395793.2901195725</v>
      </c>
      <c r="O299" s="1">
        <f t="shared" si="33"/>
        <v>0.73263618032237587</v>
      </c>
      <c r="P299" s="3">
        <f t="shared" si="34"/>
        <v>2.3215839617790195E-14</v>
      </c>
      <c r="Q299" s="3"/>
      <c r="R299" s="11">
        <f t="shared" si="38"/>
        <v>1.0421591597721278E-2</v>
      </c>
      <c r="S299" s="3">
        <f t="shared" si="39"/>
        <v>3.3024030971053815E-16</v>
      </c>
      <c r="T299" s="3"/>
      <c r="U299" s="9">
        <f t="shared" si="35"/>
        <v>6.0916929468091943E-4</v>
      </c>
      <c r="V299" s="3">
        <f t="shared" si="36"/>
        <v>1.9303410103459052E-17</v>
      </c>
    </row>
    <row r="300" spans="1:22" x14ac:dyDescent="0.2">
      <c r="A300" t="s">
        <v>749</v>
      </c>
      <c r="B300" s="1" t="str">
        <f>VLOOKUP(REPLACE(A300,FIND("dist",A300),4,"fit")&amp;"*",'[413]t (Cherniak)'!$A:$A,1,0)</f>
        <v>CGI015-qtz03-CL-fit-2-offset</v>
      </c>
      <c r="C300">
        <v>1750</v>
      </c>
      <c r="D300">
        <v>1024</v>
      </c>
      <c r="E300" s="1">
        <f t="shared" si="32"/>
        <v>1.708984375</v>
      </c>
      <c r="F300">
        <f>'[713]CGI015-qtz03-CL-dist-2'!$B$4</f>
        <v>392.47399999999999</v>
      </c>
      <c r="G300" s="1">
        <f t="shared" si="37"/>
        <v>670.73193359375</v>
      </c>
      <c r="H300" s="1"/>
      <c r="I300" s="1" t="str">
        <f>VLOOKUP($B300, '[413]t (Cherniak) Category'!$1:$1048576, MATCH(I$1, '[413]t (Cherniak) Category'!$1:$1, 0), 0)</f>
        <v>Core</v>
      </c>
      <c r="J300" s="1"/>
      <c r="K300" s="4">
        <f>VLOOKUP($B300, '[413]t (Cherniak)'!$1:$1048576, MATCH(LEFT(K$1,FIND(" (",K$1)-1), '[413]t (Cherniak)'!$1:$1, 0), 0)</f>
        <v>1289.8152897915525</v>
      </c>
      <c r="L300" s="4">
        <f>'D(Ti_Audétat23) Times'!Z300</f>
        <v>90673.803360410093</v>
      </c>
      <c r="M300" s="4">
        <f>VLOOKUP($B300, '[413]t (J)'!$1:$1048576, MATCH(LEFT(M$1,FIND(" (",M$1)-1),'[413]t (J)'!$1:$1, 0), 0)</f>
        <v>1551236.0118696569</v>
      </c>
      <c r="O300" s="1">
        <f t="shared" si="33"/>
        <v>0.52002169527866837</v>
      </c>
      <c r="P300" s="3">
        <f t="shared" si="34"/>
        <v>1.6478493145190647E-14</v>
      </c>
      <c r="Q300" s="3"/>
      <c r="R300" s="11">
        <f t="shared" si="38"/>
        <v>7.3971964198714128E-3</v>
      </c>
      <c r="S300" s="3">
        <f t="shared" si="39"/>
        <v>2.3440300973050591E-16</v>
      </c>
      <c r="T300" s="3"/>
      <c r="U300" s="9">
        <f t="shared" si="35"/>
        <v>4.3238548387317127E-4</v>
      </c>
      <c r="V300" s="3">
        <f t="shared" si="36"/>
        <v>1.3701469182484448E-17</v>
      </c>
    </row>
    <row r="301" spans="1:22" x14ac:dyDescent="0.2">
      <c r="A301" t="s">
        <v>750</v>
      </c>
      <c r="B301" s="1" t="str">
        <f>VLOOKUP(REPLACE(A301,FIND("dist",A301),4,"fit")&amp;"*",'[413]t (Cherniak)'!$A:$A,1,0)</f>
        <v>CGI015-qtz03-CL-fit-3-offset</v>
      </c>
      <c r="C301">
        <v>1750</v>
      </c>
      <c r="D301">
        <v>1024</v>
      </c>
      <c r="E301" s="1">
        <f t="shared" si="32"/>
        <v>1.708984375</v>
      </c>
      <c r="F301">
        <f>'[714]CGI015-qtz03-CL-dist-3'!$B$4</f>
        <v>314.44099999999997</v>
      </c>
      <c r="G301" s="1">
        <f t="shared" si="37"/>
        <v>537.374755859375</v>
      </c>
      <c r="H301" s="1"/>
      <c r="I301" s="1" t="str">
        <f>VLOOKUP($B301, '[413]t (Cherniak) Category'!$1:$1048576, MATCH(I$1, '[413]t (Cherniak) Category'!$1:$1, 0), 0)</f>
        <v>Core</v>
      </c>
      <c r="J301" s="1"/>
      <c r="K301" s="4">
        <f>VLOOKUP($B301, '[413]t (Cherniak)'!$1:$1048576, MATCH(LEFT(K$1,FIND(" (",K$1)-1), '[413]t (Cherniak)'!$1:$1, 0), 0)</f>
        <v>320.59505465194803</v>
      </c>
      <c r="L301" s="4">
        <f>'D(Ti_Audétat23) Times'!Z301</f>
        <v>22537.779768860244</v>
      </c>
      <c r="M301" s="4">
        <f>VLOOKUP($B301, '[413]t (J)'!$1:$1048576, MATCH(LEFT(M$1,FIND(" (",M$1)-1),'[413]t (J)'!$1:$1, 0), 0)</f>
        <v>385573.49873236072</v>
      </c>
      <c r="O301" s="1">
        <f t="shared" si="33"/>
        <v>1.676179180127318</v>
      </c>
      <c r="P301" s="3">
        <f t="shared" si="34"/>
        <v>5.3114913051921499E-14</v>
      </c>
      <c r="Q301" s="3"/>
      <c r="R301" s="11">
        <f t="shared" si="38"/>
        <v>2.384328719911662E-2</v>
      </c>
      <c r="S301" s="3">
        <f t="shared" si="39"/>
        <v>7.5554817854071979E-16</v>
      </c>
      <c r="T301" s="3"/>
      <c r="U301" s="9">
        <f t="shared" si="35"/>
        <v>1.3937025174865156E-3</v>
      </c>
      <c r="V301" s="3">
        <f t="shared" si="36"/>
        <v>4.4163767760745922E-17</v>
      </c>
    </row>
    <row r="302" spans="1:22" x14ac:dyDescent="0.2">
      <c r="A302" t="s">
        <v>751</v>
      </c>
      <c r="B302" s="1" t="str">
        <f>VLOOKUP(REPLACE(A302,FIND("dist",A302),4,"fit")&amp;"*",'[413]t (Cherniak)'!$A:$A,1,0)</f>
        <v>CGI015-qtz03-CL-fit-4-offset</v>
      </c>
      <c r="C302">
        <v>1750</v>
      </c>
      <c r="D302">
        <v>1024</v>
      </c>
      <c r="E302" s="1">
        <f t="shared" si="32"/>
        <v>1.708984375</v>
      </c>
      <c r="F302">
        <f>'[715]CGI015-qtz03-CL-dist-4'!$B$4</f>
        <v>227.982</v>
      </c>
      <c r="G302" s="1">
        <f t="shared" si="37"/>
        <v>389.61767578125</v>
      </c>
      <c r="H302" s="1"/>
      <c r="I302" s="1" t="str">
        <f>VLOOKUP($B302, '[413]t (Cherniak) Category'!$1:$1048576, MATCH(I$1, '[413]t (Cherniak) Category'!$1:$1, 0), 0)</f>
        <v>Interior</v>
      </c>
      <c r="J302" s="1"/>
      <c r="K302" s="4">
        <f>VLOOKUP($B302, '[413]t (Cherniak)'!$1:$1048576, MATCH(LEFT(K$1,FIND(" (",K$1)-1), '[413]t (Cherniak)'!$1:$1, 0), 0)</f>
        <v>396.65206665463342</v>
      </c>
      <c r="L302" s="4">
        <f>'D(Ti_Audétat23) Times'!Z302</f>
        <v>27884.575240346996</v>
      </c>
      <c r="M302" s="4">
        <f>VLOOKUP($B302, '[413]t (J)'!$1:$1048576, MATCH(LEFT(M$1,FIND(" (",M$1)-1),'[413]t (J)'!$1:$1, 0), 0)</f>
        <v>477045.80248589697</v>
      </c>
      <c r="O302" s="1">
        <f t="shared" si="33"/>
        <v>0.98226558874957715</v>
      </c>
      <c r="P302" s="3">
        <f t="shared" si="34"/>
        <v>3.1126118232995446E-14</v>
      </c>
      <c r="Q302" s="3"/>
      <c r="R302" s="11">
        <f t="shared" si="38"/>
        <v>1.3972516074675614E-2</v>
      </c>
      <c r="S302" s="3">
        <f t="shared" si="39"/>
        <v>4.427623163572519E-16</v>
      </c>
      <c r="T302" s="3"/>
      <c r="U302" s="9">
        <f t="shared" si="35"/>
        <v>8.1673012056901679E-4</v>
      </c>
      <c r="V302" s="3">
        <f t="shared" si="36"/>
        <v>2.5880615780953457E-17</v>
      </c>
    </row>
    <row r="303" spans="1:22" x14ac:dyDescent="0.2">
      <c r="A303" t="s">
        <v>752</v>
      </c>
      <c r="B303" s="1" t="str">
        <f>VLOOKUP(REPLACE(A303,FIND("dist",A303),4,"fit")&amp;"*",'[413]t (Cherniak)'!$A:$A,1,0)</f>
        <v>CGI015-qtz03-CL-fit-5-offset</v>
      </c>
      <c r="C303">
        <v>1750</v>
      </c>
      <c r="D303">
        <v>1024</v>
      </c>
      <c r="E303" s="1">
        <f t="shared" si="32"/>
        <v>1.708984375</v>
      </c>
      <c r="F303">
        <f>'[716]CGI015-qtz03-CL-dist-5'!$B$4</f>
        <v>124.149</v>
      </c>
      <c r="G303" s="1">
        <f t="shared" si="37"/>
        <v>212.168701171875</v>
      </c>
      <c r="H303" s="1"/>
      <c r="I303" s="1" t="str">
        <f>VLOOKUP($B303, '[413]t (Cherniak) Category'!$1:$1048576, MATCH(I$1, '[413]t (Cherniak) Category'!$1:$1, 0), 0)</f>
        <v>Interior</v>
      </c>
      <c r="J303" s="1"/>
      <c r="K303" s="4">
        <f>VLOOKUP($B303, '[413]t (Cherniak)'!$1:$1048576, MATCH(LEFT(K$1,FIND(" (",K$1)-1), '[413]t (Cherniak)'!$1:$1, 0), 0)</f>
        <v>158.21596161973744</v>
      </c>
      <c r="L303" s="4">
        <f>'D(Ti_Audétat23) Times'!Z303</f>
        <v>11122.556156629787</v>
      </c>
      <c r="M303" s="4">
        <f>VLOOKUP($B303, '[413]t (J)'!$1:$1048576, MATCH(LEFT(M$1,FIND(" (",M$1)-1),'[413]t (J)'!$1:$1, 0), 0)</f>
        <v>190283.29037469259</v>
      </c>
      <c r="O303" s="1">
        <f t="shared" si="33"/>
        <v>1.3410069312842767</v>
      </c>
      <c r="P303" s="3">
        <f t="shared" si="34"/>
        <v>4.2493945397757647E-14</v>
      </c>
      <c r="Q303" s="3"/>
      <c r="R303" s="11">
        <f t="shared" si="38"/>
        <v>1.9075534273244217E-2</v>
      </c>
      <c r="S303" s="3">
        <f t="shared" si="39"/>
        <v>6.0446720515008162E-16</v>
      </c>
      <c r="T303" s="3"/>
      <c r="U303" s="9">
        <f t="shared" si="35"/>
        <v>1.1150148851961051E-3</v>
      </c>
      <c r="V303" s="3">
        <f t="shared" si="36"/>
        <v>3.5332689596043585E-17</v>
      </c>
    </row>
    <row r="304" spans="1:22" x14ac:dyDescent="0.2">
      <c r="A304" t="s">
        <v>753</v>
      </c>
      <c r="B304" s="1" t="str">
        <f>VLOOKUP(REPLACE(A304,FIND("dist",A304),4,"fit")&amp;"*",'[413]t (Cherniak)'!$A:$A,1,0)</f>
        <v>CGI015-qtz04-CL-fit-1-offset</v>
      </c>
      <c r="C304">
        <v>2000</v>
      </c>
      <c r="D304">
        <v>1024</v>
      </c>
      <c r="E304" s="1">
        <f t="shared" si="32"/>
        <v>1.953125</v>
      </c>
      <c r="F304">
        <f>'[717]CGI015-qtz04-CL-dist-1'!$B$4</f>
        <v>616.97400000000005</v>
      </c>
      <c r="G304" s="1">
        <f t="shared" si="37"/>
        <v>1205.02734375</v>
      </c>
      <c r="H304" s="1"/>
      <c r="I304" s="1" t="str">
        <f>VLOOKUP($B304, '[413]t (Cherniak) Category'!$1:$1048576, MATCH(I$1, '[413]t (Cherniak) Category'!$1:$1, 0), 0)</f>
        <v>Interior</v>
      </c>
      <c r="J304" s="1"/>
      <c r="K304" s="4">
        <f>VLOOKUP($B304, '[413]t (Cherniak)'!$1:$1048576, MATCH(LEFT(K$1,FIND(" (",K$1)-1), '[413]t (Cherniak)'!$1:$1, 0), 0)</f>
        <v>811.99677329995745</v>
      </c>
      <c r="L304" s="4">
        <f>'D(Ti_Audétat23) Times'!Z304</f>
        <v>57083.240006704138</v>
      </c>
      <c r="M304" s="4">
        <f>VLOOKUP($B304, '[413]t (J)'!$1:$1048576, MATCH(LEFT(M$1,FIND(" (",M$1)-1),'[413]t (J)'!$1:$1, 0), 0)</f>
        <v>976572.88313617394</v>
      </c>
      <c r="O304" s="1">
        <f t="shared" si="33"/>
        <v>1.4840297195428069</v>
      </c>
      <c r="P304" s="3">
        <f t="shared" si="34"/>
        <v>4.7026064071501221E-14</v>
      </c>
      <c r="Q304" s="3"/>
      <c r="R304" s="11">
        <f t="shared" si="38"/>
        <v>2.1110002578838827E-2</v>
      </c>
      <c r="S304" s="3">
        <f t="shared" si="39"/>
        <v>6.6893561547262233E-16</v>
      </c>
      <c r="T304" s="3"/>
      <c r="U304" s="9">
        <f t="shared" si="35"/>
        <v>1.2339348803953737E-3</v>
      </c>
      <c r="V304" s="3">
        <f t="shared" si="36"/>
        <v>3.9101036846761912E-17</v>
      </c>
    </row>
    <row r="305" spans="1:22" x14ac:dyDescent="0.2">
      <c r="A305" t="s">
        <v>754</v>
      </c>
      <c r="B305" s="1" t="str">
        <f>VLOOKUP(REPLACE(A305,FIND("dist",A305),4,"fit")&amp;"*",'[413]t (Cherniak)'!$A:$A,1,0)</f>
        <v>CGI015-qtz04-CL-fit-2-offset</v>
      </c>
      <c r="C305">
        <v>2000</v>
      </c>
      <c r="D305">
        <v>1024</v>
      </c>
      <c r="E305" s="1">
        <f t="shared" si="32"/>
        <v>1.953125</v>
      </c>
      <c r="F305">
        <f>'[718]CGI015-qtz04-CL-dist-2'!$B$4</f>
        <v>476.29</v>
      </c>
      <c r="G305" s="1">
        <f t="shared" si="37"/>
        <v>930.25390625</v>
      </c>
      <c r="H305" s="1"/>
      <c r="I305" s="1" t="str">
        <f>VLOOKUP($B305, '[413]t (Cherniak) Category'!$1:$1048576, MATCH(I$1, '[413]t (Cherniak) Category'!$1:$1, 0), 0)</f>
        <v>Interior</v>
      </c>
      <c r="J305" s="1"/>
      <c r="K305" s="4">
        <f>VLOOKUP($B305, '[413]t (Cherniak)'!$1:$1048576, MATCH(LEFT(K$1,FIND(" (",K$1)-1), '[413]t (Cherniak)'!$1:$1, 0), 0)</f>
        <v>503.23912339802263</v>
      </c>
      <c r="L305" s="4">
        <f>'D(Ti_Audétat23) Times'!Z305</f>
        <v>35377.627850598547</v>
      </c>
      <c r="M305" s="4">
        <f>VLOOKUP($B305, '[413]t (J)'!$1:$1048576, MATCH(LEFT(M$1,FIND(" (",M$1)-1),'[413]t (J)'!$1:$1, 0), 0)</f>
        <v>605236.00315118826</v>
      </c>
      <c r="O305" s="1">
        <f t="shared" si="33"/>
        <v>1.8485325623505671</v>
      </c>
      <c r="P305" s="3">
        <f t="shared" si="34"/>
        <v>5.8576462162856719E-14</v>
      </c>
      <c r="Q305" s="3"/>
      <c r="R305" s="11">
        <f t="shared" si="38"/>
        <v>2.6294976875739316E-2</v>
      </c>
      <c r="S305" s="3">
        <f t="shared" si="39"/>
        <v>8.3323753630628804E-16</v>
      </c>
      <c r="T305" s="3"/>
      <c r="U305" s="9">
        <f t="shared" si="35"/>
        <v>1.5370101933900025E-3</v>
      </c>
      <c r="V305" s="3">
        <f t="shared" si="36"/>
        <v>4.8704913979200015E-17</v>
      </c>
    </row>
    <row r="306" spans="1:22" x14ac:dyDescent="0.2">
      <c r="A306" t="s">
        <v>755</v>
      </c>
      <c r="B306" s="1" t="str">
        <f>VLOOKUP(REPLACE(A306,FIND("dist",A306),4,"fit")&amp;"*",'[413]t (Cherniak)'!$A:$A,1,0)</f>
        <v>CGI015-qtz04-CL-fit-3-offset</v>
      </c>
      <c r="C306">
        <v>2000</v>
      </c>
      <c r="D306">
        <v>1024</v>
      </c>
      <c r="E306" s="1">
        <f t="shared" si="32"/>
        <v>1.953125</v>
      </c>
      <c r="F306">
        <f>'[719]CGI015-qtz04-CL-dist-3'!$B$4</f>
        <v>197.43600000000001</v>
      </c>
      <c r="G306" s="1">
        <f t="shared" si="37"/>
        <v>385.6171875</v>
      </c>
      <c r="H306" s="1"/>
      <c r="I306" s="1" t="str">
        <f>VLOOKUP($B306, '[413]t (Cherniak) Category'!$1:$1048576, MATCH(I$1, '[413]t (Cherniak) Category'!$1:$1, 0), 0)</f>
        <v>Interior</v>
      </c>
      <c r="J306" s="1"/>
      <c r="K306" s="4">
        <f>VLOOKUP($B306, '[413]t (Cherniak)'!$1:$1048576, MATCH(LEFT(K$1,FIND(" (",K$1)-1), '[413]t (Cherniak)'!$1:$1, 0), 0)</f>
        <v>100.17245560354748</v>
      </c>
      <c r="L306" s="4">
        <f>'D(Ti_Audétat23) Times'!Z306</f>
        <v>7042.1072020268757</v>
      </c>
      <c r="M306" s="4">
        <f>VLOOKUP($B306, '[413]t (J)'!$1:$1048576, MATCH(LEFT(M$1,FIND(" (",M$1)-1),'[413]t (J)'!$1:$1, 0), 0)</f>
        <v>120475.48339634745</v>
      </c>
      <c r="O306" s="1">
        <f t="shared" si="33"/>
        <v>3.8495331393907035</v>
      </c>
      <c r="P306" s="3">
        <f t="shared" si="34"/>
        <v>1.2198434416402716E-13</v>
      </c>
      <c r="Q306" s="3"/>
      <c r="R306" s="11">
        <f t="shared" si="38"/>
        <v>5.4758778365232887E-2</v>
      </c>
      <c r="S306" s="3">
        <f t="shared" si="39"/>
        <v>1.7352009774264483E-15</v>
      </c>
      <c r="T306" s="3"/>
      <c r="U306" s="9">
        <f t="shared" si="35"/>
        <v>3.200793859704829E-3</v>
      </c>
      <c r="V306" s="3">
        <f t="shared" si="36"/>
        <v>1.0142703690093128E-16</v>
      </c>
    </row>
    <row r="307" spans="1:22" x14ac:dyDescent="0.2">
      <c r="A307" t="s">
        <v>756</v>
      </c>
      <c r="B307" s="1" t="str">
        <f>VLOOKUP(REPLACE(A307,FIND("dist",A307),4,"fit")&amp;"*",'[413]t (Cherniak)'!$A:$A,1,0)</f>
        <v>CGI015-qtz04-CL-fit-4-offset</v>
      </c>
      <c r="C307">
        <v>2000</v>
      </c>
      <c r="D307">
        <v>1024</v>
      </c>
      <c r="E307" s="1">
        <f t="shared" si="32"/>
        <v>1.953125</v>
      </c>
      <c r="F307">
        <f>'[720]CGI015-qtz04-CL-dist-4'!$B$4</f>
        <v>121.84</v>
      </c>
      <c r="G307" s="1">
        <f t="shared" si="37"/>
        <v>237.96875</v>
      </c>
      <c r="H307" s="1"/>
      <c r="I307" s="1" t="str">
        <f>VLOOKUP($B307, '[413]t (Cherniak) Category'!$1:$1048576, MATCH(I$1, '[413]t (Cherniak) Category'!$1:$1, 0), 0)</f>
        <v>Interior</v>
      </c>
      <c r="J307" s="1"/>
      <c r="K307" s="4">
        <f>VLOOKUP($B307, '[413]t (Cherniak)'!$1:$1048576, MATCH(LEFT(K$1,FIND(" (",K$1)-1), '[413]t (Cherniak)'!$1:$1, 0), 0)</f>
        <v>60.821350248890091</v>
      </c>
      <c r="L307" s="4">
        <f>'D(Ti_Audétat23) Times'!Z307</f>
        <v>4275.7309486335489</v>
      </c>
      <c r="M307" s="4">
        <f>VLOOKUP($B307, '[413]t (J)'!$1:$1048576, MATCH(LEFT(M$1,FIND(" (",M$1)-1),'[413]t (J)'!$1:$1, 0), 0)</f>
        <v>73148.666745812516</v>
      </c>
      <c r="O307" s="1">
        <f t="shared" si="33"/>
        <v>3.9125857782866733</v>
      </c>
      <c r="P307" s="3">
        <f t="shared" si="34"/>
        <v>1.2398236172226889E-13</v>
      </c>
      <c r="Q307" s="3"/>
      <c r="R307" s="11">
        <f t="shared" si="38"/>
        <v>5.5655688549825798E-2</v>
      </c>
      <c r="S307" s="3">
        <f t="shared" si="39"/>
        <v>1.7636223461171253E-15</v>
      </c>
      <c r="T307" s="3"/>
      <c r="U307" s="9">
        <f t="shared" si="35"/>
        <v>3.2532206065618114E-3</v>
      </c>
      <c r="V307" s="3">
        <f t="shared" si="36"/>
        <v>1.030883402591392E-16</v>
      </c>
    </row>
    <row r="308" spans="1:22" x14ac:dyDescent="0.2">
      <c r="A308" t="s">
        <v>757</v>
      </c>
      <c r="B308" s="1" t="str">
        <f>VLOOKUP(REPLACE(A308,FIND("dist",A308),4,"fit")&amp;"*",'[413]t (Cherniak)'!$A:$A,1,0)</f>
        <v>CGI015-qtz05-CL-fit-1-offset</v>
      </c>
      <c r="C308">
        <v>1900</v>
      </c>
      <c r="D308">
        <v>1024</v>
      </c>
      <c r="E308" s="1">
        <f t="shared" si="32"/>
        <v>1.85546875</v>
      </c>
      <c r="F308">
        <f>'[721]CGI015-qtz05-CL-dist-1'!$B$4</f>
        <v>571.01300000000003</v>
      </c>
      <c r="G308" s="1">
        <f t="shared" si="37"/>
        <v>1059.49677734375</v>
      </c>
      <c r="H308" s="1"/>
      <c r="I308" s="1" t="str">
        <f>VLOOKUP($B308, '[413]t (Cherniak) Category'!$1:$1048576, MATCH(I$1, '[413]t (Cherniak) Category'!$1:$1, 0), 0)</f>
        <v>Core</v>
      </c>
      <c r="J308" s="1"/>
      <c r="K308" s="4">
        <f>VLOOKUP($B308, '[413]t (Cherniak)'!$1:$1048576, MATCH(LEFT(K$1,FIND(" (",K$1)-1), '[413]t (Cherniak)'!$1:$1, 0), 0)</f>
        <v>1903.1486986731431</v>
      </c>
      <c r="L308" s="4">
        <f>'D(Ti_Audétat23) Times'!Z308</f>
        <v>133791.04142655758</v>
      </c>
      <c r="M308" s="4">
        <f>VLOOKUP($B308, '[413]t (J)'!$1:$1048576, MATCH(LEFT(M$1,FIND(" (",M$1)-1),'[413]t (J)'!$1:$1, 0), 0)</f>
        <v>2288880.2921554497</v>
      </c>
      <c r="O308" s="1">
        <f t="shared" si="33"/>
        <v>0.55670730200032237</v>
      </c>
      <c r="P308" s="3">
        <f t="shared" si="34"/>
        <v>1.7640989872497349E-14</v>
      </c>
      <c r="Q308" s="3"/>
      <c r="R308" s="11">
        <f t="shared" si="38"/>
        <v>7.919041260511777E-3</v>
      </c>
      <c r="S308" s="3">
        <f t="shared" si="39"/>
        <v>2.509392748660157E-16</v>
      </c>
      <c r="T308" s="3"/>
      <c r="U308" s="9">
        <f t="shared" si="35"/>
        <v>4.628886801004419E-4</v>
      </c>
      <c r="V308" s="3">
        <f t="shared" si="36"/>
        <v>1.4668057143142756E-17</v>
      </c>
    </row>
    <row r="309" spans="1:22" x14ac:dyDescent="0.2">
      <c r="A309" t="s">
        <v>758</v>
      </c>
      <c r="B309" s="1" t="str">
        <f>VLOOKUP(REPLACE(A309,FIND("dist",A309),4,"fit")&amp;"*",'[413]t (Cherniak)'!$A:$A,1,0)</f>
        <v>CGI015-qtz05-CL-fit-2-offset</v>
      </c>
      <c r="C309">
        <v>1900</v>
      </c>
      <c r="D309">
        <v>1024</v>
      </c>
      <c r="E309" s="1">
        <f t="shared" si="32"/>
        <v>1.85546875</v>
      </c>
      <c r="F309">
        <f>'[722]CGI015-qtz05-CL-dist-2'!$B$4</f>
        <v>424.79399999999998</v>
      </c>
      <c r="G309" s="1">
        <f t="shared" si="37"/>
        <v>788.19199218749998</v>
      </c>
      <c r="H309" s="1"/>
      <c r="I309" s="1" t="str">
        <f>VLOOKUP($B309, '[413]t (Cherniak) Category'!$1:$1048576, MATCH(I$1, '[413]t (Cherniak) Category'!$1:$1, 0), 0)</f>
        <v>Interior</v>
      </c>
      <c r="J309" s="1"/>
      <c r="K309" s="4">
        <f>VLOOKUP($B309, '[413]t (Cherniak)'!$1:$1048576, MATCH(LEFT(K$1,FIND(" (",K$1)-1), '[413]t (Cherniak)'!$1:$1, 0), 0)</f>
        <v>307.81823344675752</v>
      </c>
      <c r="L309" s="4">
        <f>'D(Ti_Audétat23) Times'!Z309</f>
        <v>21639.571333357988</v>
      </c>
      <c r="M309" s="4">
        <f>VLOOKUP($B309, '[413]t (J)'!$1:$1048576, MATCH(LEFT(M$1,FIND(" (",M$1)-1),'[413]t (J)'!$1:$1, 0), 0)</f>
        <v>370207.06190409639</v>
      </c>
      <c r="O309" s="1">
        <f t="shared" si="33"/>
        <v>2.5605760365843677</v>
      </c>
      <c r="P309" s="3">
        <f t="shared" si="34"/>
        <v>8.1139758301783638E-14</v>
      </c>
      <c r="Q309" s="3"/>
      <c r="R309" s="11">
        <f t="shared" si="38"/>
        <v>3.642364167225811E-2</v>
      </c>
      <c r="S309" s="3">
        <f t="shared" si="39"/>
        <v>1.1541955558172393E-15</v>
      </c>
      <c r="T309" s="3"/>
      <c r="U309" s="9">
        <f t="shared" si="35"/>
        <v>2.1290571501623172E-3</v>
      </c>
      <c r="V309" s="3">
        <f t="shared" si="36"/>
        <v>6.7465749935429729E-17</v>
      </c>
    </row>
    <row r="310" spans="1:22" x14ac:dyDescent="0.2">
      <c r="A310" t="s">
        <v>759</v>
      </c>
      <c r="B310" s="1" t="str">
        <f>VLOOKUP(REPLACE(A310,FIND("dist",A310),4,"fit")&amp;"*",'[413]t (Cherniak)'!$A:$A,1,0)</f>
        <v>CGI015-qtz05-CL-fit-3-offset</v>
      </c>
      <c r="C310">
        <v>1900</v>
      </c>
      <c r="D310">
        <v>1024</v>
      </c>
      <c r="E310" s="1">
        <f t="shared" si="32"/>
        <v>1.85546875</v>
      </c>
      <c r="F310">
        <f>'[723]CGI015-qtz05-CL-dist-3'!$B$4</f>
        <v>200.06200000000001</v>
      </c>
      <c r="G310" s="1">
        <f t="shared" si="37"/>
        <v>371.20878906250005</v>
      </c>
      <c r="H310" s="1"/>
      <c r="I310" s="1" t="str">
        <f>VLOOKUP($B310, '[413]t (Cherniak) Category'!$1:$1048576, MATCH(I$1, '[413]t (Cherniak) Category'!$1:$1, 0), 0)</f>
        <v>Interior</v>
      </c>
      <c r="J310" s="1"/>
      <c r="K310" s="4">
        <f>VLOOKUP($B310, '[413]t (Cherniak)'!$1:$1048576, MATCH(LEFT(K$1,FIND(" (",K$1)-1), '[413]t (Cherniak)'!$1:$1, 0), 0)</f>
        <v>100.98150604368081</v>
      </c>
      <c r="L310" s="4">
        <f>'D(Ti_Audétat23) Times'!Z310</f>
        <v>7098.9833152951251</v>
      </c>
      <c r="M310" s="4">
        <f>VLOOKUP($B310, '[413]t (J)'!$1:$1048576, MATCH(LEFT(M$1,FIND(" (",M$1)-1),'[413]t (J)'!$1:$1, 0), 0)</f>
        <v>121448.51278131982</v>
      </c>
      <c r="O310" s="1">
        <f t="shared" si="33"/>
        <v>3.6760076533412867</v>
      </c>
      <c r="P310" s="3">
        <f t="shared" si="34"/>
        <v>1.1648565332412117E-13</v>
      </c>
      <c r="Q310" s="3"/>
      <c r="R310" s="11">
        <f t="shared" si="38"/>
        <v>5.2290415764566119E-2</v>
      </c>
      <c r="S310" s="3">
        <f t="shared" si="39"/>
        <v>1.6569832865796549E-15</v>
      </c>
      <c r="T310" s="3"/>
      <c r="U310" s="9">
        <f t="shared" si="35"/>
        <v>3.0565116077699407E-3</v>
      </c>
      <c r="V310" s="3">
        <f t="shared" si="36"/>
        <v>9.6855008231612687E-17</v>
      </c>
    </row>
    <row r="311" spans="1:22" x14ac:dyDescent="0.2">
      <c r="A311" t="s">
        <v>760</v>
      </c>
      <c r="B311" s="1" t="str">
        <f>VLOOKUP(REPLACE(A311,FIND("dist",A311),4,"fit")&amp;"*",'[413]t (Cherniak)'!$A:$A,1,0)</f>
        <v>CGI015-qtz05-CL-fit-4-offset</v>
      </c>
      <c r="C311">
        <v>1900</v>
      </c>
      <c r="D311">
        <v>1024</v>
      </c>
      <c r="E311" s="1">
        <f t="shared" si="32"/>
        <v>1.85546875</v>
      </c>
      <c r="F311">
        <f>'[724]CGI015-qtz05-CL-dist-4'!$B$4</f>
        <v>130.24600000000001</v>
      </c>
      <c r="G311" s="1">
        <f t="shared" si="37"/>
        <v>241.66738281250002</v>
      </c>
      <c r="H311" s="1"/>
      <c r="I311" s="1" t="str">
        <f>VLOOKUP($B311, '[413]t (Cherniak) Category'!$1:$1048576, MATCH(I$1, '[413]t (Cherniak) Category'!$1:$1, 0), 0)</f>
        <v>Interior</v>
      </c>
      <c r="J311" s="1"/>
      <c r="K311" s="4">
        <f>VLOOKUP($B311, '[413]t (Cherniak)'!$1:$1048576, MATCH(LEFT(K$1,FIND(" (",K$1)-1), '[413]t (Cherniak)'!$1:$1, 0), 0)</f>
        <v>113.29092075361821</v>
      </c>
      <c r="L311" s="4">
        <f>'D(Ti_Audétat23) Times'!Z311</f>
        <v>7964.3331508293149</v>
      </c>
      <c r="M311" s="4">
        <f>VLOOKUP($B311, '[413]t (J)'!$1:$1048576, MATCH(LEFT(M$1,FIND(" (",M$1)-1),'[413]t (J)'!$1:$1, 0), 0)</f>
        <v>136252.8088182965</v>
      </c>
      <c r="O311" s="1">
        <f t="shared" si="33"/>
        <v>2.1331575487683714</v>
      </c>
      <c r="P311" s="3">
        <f t="shared" si="34"/>
        <v>6.7595683726530895E-14</v>
      </c>
      <c r="Q311" s="3"/>
      <c r="R311" s="11">
        <f t="shared" si="38"/>
        <v>3.0343705899261074E-2</v>
      </c>
      <c r="S311" s="3">
        <f t="shared" si="39"/>
        <v>9.615340171388531E-16</v>
      </c>
      <c r="T311" s="3"/>
      <c r="U311" s="9">
        <f t="shared" si="35"/>
        <v>1.7736689974206835E-3</v>
      </c>
      <c r="V311" s="3">
        <f t="shared" si="36"/>
        <v>5.6204178943287309E-17</v>
      </c>
    </row>
    <row r="312" spans="1:22" x14ac:dyDescent="0.2">
      <c r="A312" t="s">
        <v>761</v>
      </c>
      <c r="B312" s="1" t="str">
        <f>VLOOKUP(REPLACE(A312,FIND("dist",A312),4,"fit")&amp;"*",'[413]t (Cherniak)'!$A:$A,1,0)</f>
        <v>CGI015-qtz06-CL-fit-1-offset</v>
      </c>
      <c r="C312">
        <v>1700</v>
      </c>
      <c r="D312">
        <v>1024</v>
      </c>
      <c r="E312" s="1">
        <f t="shared" si="32"/>
        <v>1.66015625</v>
      </c>
      <c r="F312">
        <f>'[725]CGI015-qtz06-CL-dist-1'!$B$4</f>
        <v>555.54100000000005</v>
      </c>
      <c r="G312" s="1">
        <f t="shared" si="37"/>
        <v>922.28486328125007</v>
      </c>
      <c r="H312" s="1"/>
      <c r="I312" s="1" t="str">
        <f>VLOOKUP($B312, '[413]t (Cherniak) Category'!$1:$1048576, MATCH(I$1, '[413]t (Cherniak) Category'!$1:$1, 0), 0)</f>
        <v>Core</v>
      </c>
      <c r="J312" s="1"/>
      <c r="K312" s="4">
        <f>VLOOKUP($B312, '[413]t (Cherniak)'!$1:$1048576, MATCH(LEFT(K$1,FIND(" (",K$1)-1), '[413]t (Cherniak)'!$1:$1, 0), 0)</f>
        <v>936.3809227408135</v>
      </c>
      <c r="L312" s="4">
        <f>'D(Ti_Audétat23) Times'!Z312</f>
        <v>65827.42531510962</v>
      </c>
      <c r="M312" s="4">
        <f>VLOOKUP($B312, '[413]t (J)'!$1:$1048576, MATCH(LEFT(M$1,FIND(" (",M$1)-1),'[413]t (J)'!$1:$1, 0), 0)</f>
        <v>1126167.3044812765</v>
      </c>
      <c r="O312" s="1">
        <f t="shared" si="33"/>
        <v>0.98494623382725066</v>
      </c>
      <c r="P312" s="3">
        <f t="shared" si="34"/>
        <v>3.121106274961501E-14</v>
      </c>
      <c r="Q312" s="3"/>
      <c r="R312" s="11">
        <f t="shared" si="38"/>
        <v>1.4010647672552286E-2</v>
      </c>
      <c r="S312" s="3">
        <f t="shared" si="39"/>
        <v>4.439706337792571E-16</v>
      </c>
      <c r="T312" s="3"/>
      <c r="U312" s="9">
        <f t="shared" si="35"/>
        <v>8.1895901222781757E-4</v>
      </c>
      <c r="V312" s="3">
        <f t="shared" si="36"/>
        <v>2.595124509556549E-17</v>
      </c>
    </row>
    <row r="313" spans="1:22" x14ac:dyDescent="0.2">
      <c r="A313" t="s">
        <v>762</v>
      </c>
      <c r="B313" s="1" t="str">
        <f>VLOOKUP(REPLACE(A313,FIND("dist",A313),4,"fit")&amp;"*",'[413]t (Cherniak)'!$A:$A,1,0)</f>
        <v>CGI015-qtz06-CL-fit-2-offset</v>
      </c>
      <c r="C313">
        <v>1700</v>
      </c>
      <c r="D313">
        <v>1024</v>
      </c>
      <c r="E313" s="1">
        <f t="shared" si="32"/>
        <v>1.66015625</v>
      </c>
      <c r="F313">
        <f>'[726]CGI015-qtz06-CL-dist-2'!$B$4</f>
        <v>397.005</v>
      </c>
      <c r="G313" s="1">
        <f t="shared" si="37"/>
        <v>659.09033203125</v>
      </c>
      <c r="H313" s="1"/>
      <c r="I313" s="1" t="str">
        <f>VLOOKUP($B313, '[413]t (Cherniak) Category'!$1:$1048576, MATCH(I$1, '[413]t (Cherniak) Category'!$1:$1, 0), 0)</f>
        <v>Interior</v>
      </c>
      <c r="J313" s="1"/>
      <c r="K313" s="4">
        <f>VLOOKUP($B313, '[413]t (Cherniak)'!$1:$1048576, MATCH(LEFT(K$1,FIND(" (",K$1)-1), '[413]t (Cherniak)'!$1:$1, 0), 0)</f>
        <v>459.95307194703719</v>
      </c>
      <c r="L313" s="4">
        <f>'D(Ti_Audétat23) Times'!Z313</f>
        <v>32334.625531910297</v>
      </c>
      <c r="M313" s="4">
        <f>VLOOKUP($B313, '[413]t (J)'!$1:$1048576, MATCH(LEFT(M$1,FIND(" (",M$1)-1),'[413]t (J)'!$1:$1, 0), 0)</f>
        <v>553176.70260338427</v>
      </c>
      <c r="O313" s="1">
        <f t="shared" si="33"/>
        <v>1.4329512557471149</v>
      </c>
      <c r="P313" s="3">
        <f t="shared" si="34"/>
        <v>4.5407485225337629E-14</v>
      </c>
      <c r="Q313" s="3"/>
      <c r="R313" s="11">
        <f t="shared" si="38"/>
        <v>2.038342245160096E-2</v>
      </c>
      <c r="S313" s="3">
        <f t="shared" si="39"/>
        <v>6.4591168059678044E-16</v>
      </c>
      <c r="T313" s="3"/>
      <c r="U313" s="9">
        <f t="shared" si="35"/>
        <v>1.1914643710217918E-3</v>
      </c>
      <c r="V313" s="3">
        <f t="shared" si="36"/>
        <v>3.7755227616225304E-17</v>
      </c>
    </row>
    <row r="314" spans="1:22" x14ac:dyDescent="0.2">
      <c r="A314" t="s">
        <v>763</v>
      </c>
      <c r="B314" s="1" t="str">
        <f>VLOOKUP(REPLACE(A314,FIND("dist",A314),4,"fit")&amp;"*",'[413]t (Cherniak)'!$A:$A,1,0)</f>
        <v>CGI015-qtz06-CL-fit-3-offset</v>
      </c>
      <c r="C314">
        <v>1700</v>
      </c>
      <c r="D314">
        <v>1024</v>
      </c>
      <c r="E314" s="1">
        <f t="shared" si="32"/>
        <v>1.66015625</v>
      </c>
      <c r="F314">
        <f>'[727]CGI015-qtz06-CL-dist-3'!$B$4</f>
        <v>189.024</v>
      </c>
      <c r="G314" s="1">
        <f t="shared" si="37"/>
        <v>313.80937499999999</v>
      </c>
      <c r="H314" s="1"/>
      <c r="I314" s="1" t="str">
        <f>VLOOKUP($B314, '[413]t (Cherniak) Category'!$1:$1048576, MATCH(I$1, '[413]t (Cherniak) Category'!$1:$1, 0), 0)</f>
        <v>Interior</v>
      </c>
      <c r="J314" s="1"/>
      <c r="K314" s="4">
        <f>VLOOKUP($B314, '[413]t (Cherniak)'!$1:$1048576, MATCH(LEFT(K$1,FIND(" (",K$1)-1), '[413]t (Cherniak)'!$1:$1, 0), 0)</f>
        <v>453.99495757093547</v>
      </c>
      <c r="L314" s="4">
        <f>'D(Ti_Audétat23) Times'!Z314</f>
        <v>31915.771068319013</v>
      </c>
      <c r="M314" s="4">
        <f>VLOOKUP($B314, '[413]t (J)'!$1:$1048576, MATCH(LEFT(M$1,FIND(" (",M$1)-1),'[413]t (J)'!$1:$1, 0), 0)</f>
        <v>546010.99317491183</v>
      </c>
      <c r="O314" s="1">
        <f t="shared" si="33"/>
        <v>0.69121775422135201</v>
      </c>
      <c r="P314" s="3">
        <f t="shared" si="34"/>
        <v>2.1903368894382079E-14</v>
      </c>
      <c r="Q314" s="3"/>
      <c r="R314" s="11">
        <f t="shared" si="38"/>
        <v>9.8324234225223173E-3</v>
      </c>
      <c r="S314" s="3">
        <f t="shared" si="39"/>
        <v>3.115706968376023E-16</v>
      </c>
      <c r="T314" s="3"/>
      <c r="U314" s="9">
        <f t="shared" si="35"/>
        <v>5.7473087341205369E-4</v>
      </c>
      <c r="V314" s="3">
        <f t="shared" si="36"/>
        <v>1.8212122386114716E-17</v>
      </c>
    </row>
    <row r="315" spans="1:22" x14ac:dyDescent="0.2">
      <c r="A315" t="s">
        <v>764</v>
      </c>
      <c r="B315" s="1" t="str">
        <f>VLOOKUP(REPLACE(A315,FIND("dist",A315),4,"fit")&amp;"*",'[413]t (Cherniak)'!$A:$A,1,0)</f>
        <v>CGI015-qtz06-CL-fit-4-offset</v>
      </c>
      <c r="C315">
        <v>1700</v>
      </c>
      <c r="D315">
        <v>1024</v>
      </c>
      <c r="E315" s="1">
        <f t="shared" si="32"/>
        <v>1.66015625</v>
      </c>
      <c r="F315">
        <f>'[728]CGI015-qtz06-CL-dist-4'!$B$4</f>
        <v>82.298199999999994</v>
      </c>
      <c r="G315" s="1">
        <f t="shared" si="37"/>
        <v>136.62787109375</v>
      </c>
      <c r="H315" s="1"/>
      <c r="I315" s="1" t="str">
        <f>VLOOKUP($B315, '[413]t (Cherniak) Category'!$1:$1048576, MATCH(I$1, '[413]t (Cherniak) Category'!$1:$1, 0), 0)</f>
        <v>Interior</v>
      </c>
      <c r="J315" s="1"/>
      <c r="K315" s="4">
        <f>VLOOKUP($B315, '[413]t (Cherniak)'!$1:$1048576, MATCH(LEFT(K$1,FIND(" (",K$1)-1), '[413]t (Cherniak)'!$1:$1, 0), 0)</f>
        <v>353.18210382911855</v>
      </c>
      <c r="L315" s="4">
        <f>'D(Ti_Audétat23) Times'!Z315</f>
        <v>24828.643982188263</v>
      </c>
      <c r="M315" s="4">
        <f>VLOOKUP($B315, '[413]t (J)'!$1:$1048576, MATCH(LEFT(M$1,FIND(" (",M$1)-1),'[413]t (J)'!$1:$1, 0), 0)</f>
        <v>424765.31526941218</v>
      </c>
      <c r="O315" s="1">
        <f t="shared" si="33"/>
        <v>0.38684822818727865</v>
      </c>
      <c r="P315" s="3">
        <f t="shared" si="34"/>
        <v>1.2258480625499995E-14</v>
      </c>
      <c r="Q315" s="3"/>
      <c r="R315" s="11">
        <f t="shared" si="38"/>
        <v>5.5028325828734344E-3</v>
      </c>
      <c r="S315" s="3">
        <f t="shared" si="39"/>
        <v>1.7437424211199313E-16</v>
      </c>
      <c r="T315" s="3"/>
      <c r="U315" s="9">
        <f t="shared" si="35"/>
        <v>3.2165496141579316E-4</v>
      </c>
      <c r="V315" s="3">
        <f t="shared" si="36"/>
        <v>1.0192630663161747E-17</v>
      </c>
    </row>
    <row r="316" spans="1:22" x14ac:dyDescent="0.2">
      <c r="A316" t="s">
        <v>765</v>
      </c>
      <c r="B316" s="1" t="str">
        <f>VLOOKUP(REPLACE(A316,FIND("dist",A316),4,"fit")&amp;"*",'[413]t (Cherniak)'!$A:$A,1,0)</f>
        <v>CGI015-qtz07-CL-fit-1-offset</v>
      </c>
      <c r="C316">
        <v>2250</v>
      </c>
      <c r="D316">
        <v>1024</v>
      </c>
      <c r="E316" s="1">
        <f t="shared" si="32"/>
        <v>2.197265625</v>
      </c>
      <c r="F316">
        <f>'[729]CGI015-qtz07-CL-dist-1'!$B$4</f>
        <v>522.82500000000005</v>
      </c>
      <c r="G316" s="1">
        <f t="shared" si="37"/>
        <v>1148.785400390625</v>
      </c>
      <c r="H316" s="1"/>
      <c r="I316" s="1" t="str">
        <f>VLOOKUP($B316, '[413]t (Cherniak) Category'!$1:$1048576, MATCH(I$1, '[413]t (Cherniak) Category'!$1:$1, 0), 0)</f>
        <v>Core</v>
      </c>
      <c r="J316" s="1"/>
      <c r="K316" s="4">
        <f>VLOOKUP($B316, '[413]t (Cherniak)'!$1:$1048576, MATCH(LEFT(K$1,FIND(" (",K$1)-1), '[413]t (Cherniak)'!$1:$1, 0), 0)</f>
        <v>953.01135320660467</v>
      </c>
      <c r="L316" s="4">
        <f>'D(Ti_Audétat23) Times'!Z316</f>
        <v>66996.541849693283</v>
      </c>
      <c r="M316" s="4">
        <f>VLOOKUP($B316, '[413]t (J)'!$1:$1048576, MATCH(LEFT(M$1,FIND(" (",M$1)-1),'[413]t (J)'!$1:$1, 0), 0)</f>
        <v>1146168.402960733</v>
      </c>
      <c r="O316" s="1">
        <f t="shared" si="33"/>
        <v>1.2054267732753632</v>
      </c>
      <c r="P316" s="3">
        <f t="shared" si="34"/>
        <v>3.8197669444931271E-14</v>
      </c>
      <c r="Q316" s="3"/>
      <c r="R316" s="11">
        <f t="shared" si="38"/>
        <v>1.7146935777191674E-2</v>
      </c>
      <c r="S316" s="3">
        <f t="shared" si="39"/>
        <v>5.4335360664916449E-16</v>
      </c>
      <c r="T316" s="3"/>
      <c r="U316" s="9">
        <f t="shared" si="35"/>
        <v>1.0022832573495586E-3</v>
      </c>
      <c r="V316" s="3">
        <f t="shared" si="36"/>
        <v>3.176043987342379E-17</v>
      </c>
    </row>
    <row r="317" spans="1:22" x14ac:dyDescent="0.2">
      <c r="A317" t="s">
        <v>766</v>
      </c>
      <c r="B317" s="1" t="str">
        <f>VLOOKUP(REPLACE(A317,FIND("dist",A317),4,"fit")&amp;"*",'[413]t (Cherniak)'!$A:$A,1,0)</f>
        <v>CGI015-qtz07-CL-fit-2-offset</v>
      </c>
      <c r="C317">
        <v>2250</v>
      </c>
      <c r="D317">
        <v>1024</v>
      </c>
      <c r="E317" s="1">
        <f t="shared" si="32"/>
        <v>2.197265625</v>
      </c>
      <c r="F317">
        <f>'[730]CGI015-qtz07-CL-dist-2'!$B$4</f>
        <v>474.85300000000001</v>
      </c>
      <c r="G317" s="1">
        <f t="shared" si="37"/>
        <v>1043.378173828125</v>
      </c>
      <c r="H317" s="1"/>
      <c r="I317" s="1" t="str">
        <f>VLOOKUP($B317, '[413]t (Cherniak) Category'!$1:$1048576, MATCH(I$1, '[413]t (Cherniak) Category'!$1:$1, 0), 0)</f>
        <v>Core</v>
      </c>
      <c r="J317" s="1"/>
      <c r="K317" s="4">
        <f>VLOOKUP($B317, '[413]t (Cherniak)'!$1:$1048576, MATCH(LEFT(K$1,FIND(" (",K$1)-1), '[413]t (Cherniak)'!$1:$1, 0), 0)</f>
        <v>3725.4226799395083</v>
      </c>
      <c r="L317" s="4">
        <f>'D(Ti_Audétat23) Times'!Z317</f>
        <v>261896.60348175798</v>
      </c>
      <c r="M317" s="4">
        <f>VLOOKUP($B317, '[413]t (J)'!$1:$1048576, MATCH(LEFT(M$1,FIND(" (",M$1)-1),'[413]t (J)'!$1:$1, 0), 0)</f>
        <v>4480494.1190393856</v>
      </c>
      <c r="O317" s="1">
        <f t="shared" si="33"/>
        <v>0.28006974334656354</v>
      </c>
      <c r="P317" s="3">
        <f t="shared" si="34"/>
        <v>8.8748746212184562E-15</v>
      </c>
      <c r="Q317" s="3"/>
      <c r="R317" s="11">
        <f t="shared" si="38"/>
        <v>3.9839316736339425E-3</v>
      </c>
      <c r="S317" s="3">
        <f t="shared" si="39"/>
        <v>1.2624317671920369E-16</v>
      </c>
      <c r="T317" s="3"/>
      <c r="U317" s="9">
        <f t="shared" si="35"/>
        <v>2.3287122940177511E-4</v>
      </c>
      <c r="V317" s="3">
        <f t="shared" si="36"/>
        <v>7.379243966644331E-18</v>
      </c>
    </row>
    <row r="318" spans="1:22" x14ac:dyDescent="0.2">
      <c r="A318" t="s">
        <v>767</v>
      </c>
      <c r="B318" s="1" t="str">
        <f>VLOOKUP(REPLACE(A318,FIND("dist",A318),4,"fit")&amp;"*",'[413]t (Cherniak)'!$A:$A,1,0)</f>
        <v>CGI015-qtz07-CL-fit-3-offset</v>
      </c>
      <c r="C318">
        <v>2250</v>
      </c>
      <c r="D318">
        <v>1024</v>
      </c>
      <c r="E318" s="1">
        <f t="shared" si="32"/>
        <v>2.197265625</v>
      </c>
      <c r="F318">
        <f>'[731]CGI015-qtz07-CL-dist-3'!$B$4</f>
        <v>330.17700000000002</v>
      </c>
      <c r="G318" s="1">
        <f t="shared" si="37"/>
        <v>725.486572265625</v>
      </c>
      <c r="H318" s="1"/>
      <c r="I318" s="1" t="str">
        <f>VLOOKUP($B318, '[413]t (Cherniak) Category'!$1:$1048576, MATCH(I$1, '[413]t (Cherniak) Category'!$1:$1, 0), 0)</f>
        <v>Core</v>
      </c>
      <c r="J318" s="1"/>
      <c r="K318" s="4">
        <f>VLOOKUP($B318, '[413]t (Cherniak)'!$1:$1048576, MATCH(LEFT(K$1,FIND(" (",K$1)-1), '[413]t (Cherniak)'!$1:$1, 0), 0)</f>
        <v>234.00708897901484</v>
      </c>
      <c r="L318" s="4">
        <f>'D(Ti_Audétat23) Times'!Z318</f>
        <v>16450.659981286375</v>
      </c>
      <c r="M318" s="4">
        <f>VLOOKUP($B318, '[413]t (J)'!$1:$1048576, MATCH(LEFT(M$1,FIND(" (",M$1)-1),'[413]t (J)'!$1:$1, 0), 0)</f>
        <v>281435.81978757557</v>
      </c>
      <c r="O318" s="1">
        <f t="shared" si="33"/>
        <v>3.1002760447598439</v>
      </c>
      <c r="P318" s="3">
        <f t="shared" si="34"/>
        <v>9.8241819554080274E-14</v>
      </c>
      <c r="Q318" s="3"/>
      <c r="R318" s="11">
        <f t="shared" si="38"/>
        <v>4.4100757847460835E-2</v>
      </c>
      <c r="S318" s="3">
        <f t="shared" si="39"/>
        <v>1.3974686873355653E-15</v>
      </c>
      <c r="T318" s="3"/>
      <c r="U318" s="9">
        <f t="shared" si="35"/>
        <v>2.5778046760828585E-3</v>
      </c>
      <c r="V318" s="3">
        <f t="shared" si="36"/>
        <v>8.1685700943128066E-17</v>
      </c>
    </row>
    <row r="319" spans="1:22" x14ac:dyDescent="0.2">
      <c r="A319" t="s">
        <v>768</v>
      </c>
      <c r="B319" s="1" t="str">
        <f>VLOOKUP(REPLACE(A319,FIND("dist",A319),4,"fit")&amp;"*",'[413]t (Cherniak)'!$A:$A,1,0)</f>
        <v>CGI015-qtz07-CL-fit-4-offset</v>
      </c>
      <c r="C319">
        <v>2250</v>
      </c>
      <c r="D319">
        <v>1024</v>
      </c>
      <c r="E319" s="1">
        <f t="shared" si="32"/>
        <v>2.197265625</v>
      </c>
      <c r="F319">
        <f>'[732]CGI015-qtz07-CL-dist-4'!$B$4</f>
        <v>271.01299999999998</v>
      </c>
      <c r="G319" s="1">
        <f t="shared" si="37"/>
        <v>595.487548828125</v>
      </c>
      <c r="H319" s="1"/>
      <c r="I319" s="1" t="str">
        <f>VLOOKUP($B319, '[413]t (Cherniak) Category'!$1:$1048576, MATCH(I$1, '[413]t (Cherniak) Category'!$1:$1, 0), 0)</f>
        <v>Interior</v>
      </c>
      <c r="J319" s="1"/>
      <c r="K319" s="4">
        <f>VLOOKUP($B319, '[413]t (Cherniak)'!$1:$1048576, MATCH(LEFT(K$1,FIND(" (",K$1)-1), '[413]t (Cherniak)'!$1:$1, 0), 0)</f>
        <v>191.73600723181076</v>
      </c>
      <c r="L319" s="4">
        <f>'D(Ti_Audétat23) Times'!Z319</f>
        <v>13479.00986633291</v>
      </c>
      <c r="M319" s="4">
        <f>VLOOKUP($B319, '[413]t (J)'!$1:$1048576, MATCH(LEFT(M$1,FIND(" (",M$1)-1),'[413]t (J)'!$1:$1, 0), 0)</f>
        <v>230597.20375787548</v>
      </c>
      <c r="O319" s="1">
        <f t="shared" si="33"/>
        <v>3.1057679641162785</v>
      </c>
      <c r="P319" s="3">
        <f t="shared" si="34"/>
        <v>9.8415847976914536E-14</v>
      </c>
      <c r="Q319" s="3"/>
      <c r="R319" s="11">
        <f t="shared" si="38"/>
        <v>4.417887921541621E-2</v>
      </c>
      <c r="S319" s="3">
        <f t="shared" si="39"/>
        <v>1.3999442041034872E-15</v>
      </c>
      <c r="T319" s="3"/>
      <c r="U319" s="9">
        <f t="shared" si="35"/>
        <v>2.5823710744271658E-3</v>
      </c>
      <c r="V319" s="3">
        <f t="shared" si="36"/>
        <v>8.1830401374856311E-17</v>
      </c>
    </row>
    <row r="320" spans="1:22" x14ac:dyDescent="0.2">
      <c r="A320" t="s">
        <v>769</v>
      </c>
      <c r="B320" s="1" t="str">
        <f>VLOOKUP(REPLACE(A320,FIND("dist",A320),4,"fit")&amp;"*",'[413]t (Cherniak)'!$A:$A,1,0)</f>
        <v>CGI015-qtz07-CL-fit-5-offset</v>
      </c>
      <c r="C320">
        <v>2250</v>
      </c>
      <c r="D320">
        <v>1024</v>
      </c>
      <c r="E320" s="1">
        <f t="shared" si="32"/>
        <v>2.197265625</v>
      </c>
      <c r="F320">
        <f>'[733]CGI015-qtz07-CL-dist-5'!$B$4</f>
        <v>125.801</v>
      </c>
      <c r="G320" s="1">
        <f t="shared" si="37"/>
        <v>276.418212890625</v>
      </c>
      <c r="H320" s="1"/>
      <c r="I320" s="1" t="str">
        <f>VLOOKUP($B320, '[413]t (Cherniak) Category'!$1:$1048576, MATCH(I$1, '[413]t (Cherniak) Category'!$1:$1, 0), 0)</f>
        <v>Interior</v>
      </c>
      <c r="J320" s="1"/>
      <c r="K320" s="4">
        <f>VLOOKUP($B320, '[413]t (Cherniak)'!$1:$1048576, MATCH(LEFT(K$1,FIND(" (",K$1)-1), '[413]t (Cherniak)'!$1:$1, 0), 0)</f>
        <v>332.36593484325641</v>
      </c>
      <c r="L320" s="4">
        <f>'D(Ti_Audétat23) Times'!Z320</f>
        <v>23365.270716047053</v>
      </c>
      <c r="M320" s="4">
        <f>VLOOKUP($B320, '[413]t (J)'!$1:$1048576, MATCH(LEFT(M$1,FIND(" (",M$1)-1),'[413]t (J)'!$1:$1, 0), 0)</f>
        <v>399730.10967400309</v>
      </c>
      <c r="O320" s="1">
        <f t="shared" si="33"/>
        <v>0.83166830265256775</v>
      </c>
      <c r="P320" s="3">
        <f t="shared" si="34"/>
        <v>2.6353978206598972E-14</v>
      </c>
      <c r="Q320" s="3"/>
      <c r="R320" s="11">
        <f t="shared" si="38"/>
        <v>1.1830302171538014E-2</v>
      </c>
      <c r="S320" s="3">
        <f t="shared" si="39"/>
        <v>3.7487965407819395E-16</v>
      </c>
      <c r="T320" s="3"/>
      <c r="U320" s="9">
        <f t="shared" si="35"/>
        <v>6.9151211330078643E-4</v>
      </c>
      <c r="V320" s="3">
        <f t="shared" si="36"/>
        <v>2.1912696570740055E-17</v>
      </c>
    </row>
    <row r="321" spans="1:22" x14ac:dyDescent="0.2">
      <c r="A321" t="s">
        <v>770</v>
      </c>
      <c r="B321" s="1" t="str">
        <f>VLOOKUP(REPLACE(A321,FIND("dist",A321),4,"fit")&amp;"*",'[413]t (Cherniak)'!$A:$A,1,0)</f>
        <v>CGI015-qtz07-CL-fit-6-offset</v>
      </c>
      <c r="C321">
        <v>2250</v>
      </c>
      <c r="D321">
        <v>1024</v>
      </c>
      <c r="E321" s="1">
        <f t="shared" si="32"/>
        <v>2.197265625</v>
      </c>
      <c r="F321">
        <f>'[734]CGI015-qtz07-CL-dist-6'!$B$4</f>
        <v>14.866099999999999</v>
      </c>
      <c r="G321" s="1">
        <f t="shared" si="37"/>
        <v>32.664770507812499</v>
      </c>
      <c r="H321" s="1"/>
      <c r="I321" s="1" t="str">
        <f>VLOOKUP($B321, '[413]t (Cherniak) Category'!$1:$1048576, MATCH(I$1, '[413]t (Cherniak) Category'!$1:$1, 0), 0)</f>
        <v>Interior</v>
      </c>
      <c r="J321" s="1"/>
      <c r="K321" s="4">
        <f>VLOOKUP($B321, '[413]t (Cherniak)'!$1:$1048576, MATCH(LEFT(K$1,FIND(" (",K$1)-1), '[413]t (Cherniak)'!$1:$1, 0), 0)</f>
        <v>94.69526980815057</v>
      </c>
      <c r="L321" s="4">
        <f>'D(Ti_Audétat23) Times'!Z321</f>
        <v>6657.0619387934785</v>
      </c>
      <c r="M321" s="4">
        <f>VLOOKUP($B321, '[413]t (J)'!$1:$1048576, MATCH(LEFT(M$1,FIND(" (",M$1)-1),'[413]t (J)'!$1:$1, 0), 0)</f>
        <v>113888.17751094914</v>
      </c>
      <c r="O321" s="1">
        <f t="shared" si="33"/>
        <v>0.34494616863112831</v>
      </c>
      <c r="P321" s="3">
        <f t="shared" si="34"/>
        <v>1.0930684482696032E-14</v>
      </c>
      <c r="Q321" s="3"/>
      <c r="R321" s="11">
        <f t="shared" si="38"/>
        <v>4.9067848261199502E-3</v>
      </c>
      <c r="S321" s="3">
        <f t="shared" si="39"/>
        <v>1.5548662845463374E-16</v>
      </c>
      <c r="T321" s="3"/>
      <c r="U321" s="9">
        <f t="shared" si="35"/>
        <v>2.8681441060615908E-4</v>
      </c>
      <c r="V321" s="3">
        <f t="shared" si="36"/>
        <v>9.0886002296169249E-18</v>
      </c>
    </row>
    <row r="322" spans="1:22" x14ac:dyDescent="0.2">
      <c r="A322" t="s">
        <v>771</v>
      </c>
      <c r="B322" s="1" t="str">
        <f>VLOOKUP(REPLACE(A322,FIND("dist",A322),4,"fit")&amp;"*",'[413]t (Cherniak)'!$A:$A,1,0)</f>
        <v>CGI015-qtz08-CL-fit-1-offset</v>
      </c>
      <c r="C322">
        <v>1150</v>
      </c>
      <c r="D322">
        <v>1024</v>
      </c>
      <c r="E322" s="1">
        <f t="shared" ref="E322:E385" si="40">C322/D322</f>
        <v>1.123046875</v>
      </c>
      <c r="F322">
        <f>'[735]CGI015-qtz08-CL-dist-1'!$B$4</f>
        <v>750.48599999999999</v>
      </c>
      <c r="G322" s="1">
        <f t="shared" si="37"/>
        <v>842.83095703125002</v>
      </c>
      <c r="H322" s="1"/>
      <c r="I322" s="1" t="str">
        <f>VLOOKUP($B322, '[413]t (Cherniak) Category'!$1:$1048576, MATCH(I$1, '[413]t (Cherniak) Category'!$1:$1, 0), 0)</f>
        <v>Core</v>
      </c>
      <c r="J322" s="1"/>
      <c r="K322" s="4">
        <f>VLOOKUP($B322, '[413]t (Cherniak)'!$1:$1048576, MATCH(LEFT(K$1,FIND(" (",K$1)-1), '[413]t (Cherniak)'!$1:$1, 0), 0)</f>
        <v>440.15082450351105</v>
      </c>
      <c r="L322" s="4">
        <f>'D(Ti_Audétat23) Times'!Z322</f>
        <v>30942.530783926144</v>
      </c>
      <c r="M322" s="4">
        <f>VLOOKUP($B322, '[413]t (J)'!$1:$1048576, MATCH(LEFT(M$1,FIND(" (",M$1)-1),'[413]t (J)'!$1:$1, 0), 0)</f>
        <v>529360.92092249251</v>
      </c>
      <c r="O322" s="1">
        <f t="shared" ref="O322:O385" si="41">$G322/$K322</f>
        <v>1.9148685180402902</v>
      </c>
      <c r="P322" s="3">
        <f t="shared" ref="P322:P385" si="42">O322/(365.25*60*60*24)*(10^-6)</f>
        <v>6.0678521751980201E-14</v>
      </c>
      <c r="Q322" s="3"/>
      <c r="R322" s="11">
        <f t="shared" si="38"/>
        <v>2.7238591533342814E-2</v>
      </c>
      <c r="S322" s="3">
        <f t="shared" si="39"/>
        <v>8.6313888043903251E-16</v>
      </c>
      <c r="T322" s="3"/>
      <c r="U322" s="9">
        <f t="shared" ref="U322:U385" si="43">G322/M322</f>
        <v>1.5921669388863991E-3</v>
      </c>
      <c r="V322" s="3">
        <f t="shared" ref="V322:V385" si="44">U322/(365.25*60*60*24)*(10^-6)</f>
        <v>5.0452725774025872E-17</v>
      </c>
    </row>
    <row r="323" spans="1:22" x14ac:dyDescent="0.2">
      <c r="A323" t="s">
        <v>772</v>
      </c>
      <c r="B323" s="1" t="str">
        <f>VLOOKUP(REPLACE(A323,FIND("dist",A323),4,"fit")&amp;"*",'[413]t (Cherniak)'!$A:$A,1,0)</f>
        <v>CGI015-qtz08-CL-fit-2-offset</v>
      </c>
      <c r="C323">
        <v>1150</v>
      </c>
      <c r="D323">
        <v>1024</v>
      </c>
      <c r="E323" s="1">
        <f t="shared" si="40"/>
        <v>1.123046875</v>
      </c>
      <c r="F323">
        <f>'[736]CGI015-qtz08-CL-dist-2'!$B$4</f>
        <v>579.07000000000005</v>
      </c>
      <c r="G323" s="1">
        <f t="shared" ref="G323:G386" si="45">F323*E323</f>
        <v>650.32275390625</v>
      </c>
      <c r="H323" s="1"/>
      <c r="I323" s="1" t="str">
        <f>VLOOKUP($B323, '[413]t (Cherniak) Category'!$1:$1048576, MATCH(I$1, '[413]t (Cherniak) Category'!$1:$1, 0), 0)</f>
        <v>Core</v>
      </c>
      <c r="J323" s="1"/>
      <c r="K323" s="4">
        <f>VLOOKUP($B323, '[413]t (Cherniak)'!$1:$1048576, MATCH(LEFT(K$1,FIND(" (",K$1)-1), '[413]t (Cherniak)'!$1:$1, 0), 0)</f>
        <v>229.25676580073124</v>
      </c>
      <c r="L323" s="4">
        <f>'D(Ti_Audétat23) Times'!Z323</f>
        <v>16116.713040840586</v>
      </c>
      <c r="M323" s="4">
        <f>VLOOKUP($B323, '[413]t (J)'!$1:$1048576, MATCH(LEFT(M$1,FIND(" (",M$1)-1),'[413]t (J)'!$1:$1, 0), 0)</f>
        <v>275722.69757504272</v>
      </c>
      <c r="O323" s="1">
        <f t="shared" si="41"/>
        <v>2.8366567574782375</v>
      </c>
      <c r="P323" s="3">
        <f t="shared" si="42"/>
        <v>8.9888228429229013E-14</v>
      </c>
      <c r="Q323" s="3"/>
      <c r="R323" s="11">
        <f t="shared" ref="R323:R386" si="46">G323/L323</f>
        <v>4.0350830362140121E-2</v>
      </c>
      <c r="S323" s="3">
        <f t="shared" ref="S323:S386" si="47">R323/(365.25*60*60*24)*(10^-6)</f>
        <v>1.2786406558844816E-15</v>
      </c>
      <c r="T323" s="3"/>
      <c r="U323" s="9">
        <f t="shared" si="43"/>
        <v>2.3586116037082995E-3</v>
      </c>
      <c r="V323" s="3">
        <f t="shared" si="44"/>
        <v>7.4739891617496242E-17</v>
      </c>
    </row>
    <row r="324" spans="1:22" x14ac:dyDescent="0.2">
      <c r="A324" t="s">
        <v>773</v>
      </c>
      <c r="B324" s="1" t="str">
        <f>VLOOKUP(REPLACE(A324,FIND("dist",A324),4,"fit")&amp;"*",'[413]t (Cherniak)'!$A:$A,1,0)</f>
        <v>CGI015-qtz08-CL-fit-3-offset</v>
      </c>
      <c r="C324">
        <v>1150</v>
      </c>
      <c r="D324">
        <v>1024</v>
      </c>
      <c r="E324" s="1">
        <f t="shared" si="40"/>
        <v>1.123046875</v>
      </c>
      <c r="F324">
        <f>'[737]CGI015-qtz08-CL-dist-3'!$B$4</f>
        <v>450.01</v>
      </c>
      <c r="G324" s="1">
        <f t="shared" si="45"/>
        <v>505.38232421875</v>
      </c>
      <c r="H324" s="1"/>
      <c r="I324" s="1" t="str">
        <f>VLOOKUP($B324, '[413]t (Cherniak) Category'!$1:$1048576, MATCH(I$1, '[413]t (Cherniak) Category'!$1:$1, 0), 0)</f>
        <v>Core</v>
      </c>
      <c r="J324" s="1"/>
      <c r="K324" s="4">
        <f>VLOOKUP($B324, '[413]t (Cherniak)'!$1:$1048576, MATCH(LEFT(K$1,FIND(" (",K$1)-1), '[413]t (Cherniak)'!$1:$1, 0), 0)</f>
        <v>795.01791898660838</v>
      </c>
      <c r="L324" s="4">
        <f>'D(Ti_Audétat23) Times'!Z324</f>
        <v>55889.629332773875</v>
      </c>
      <c r="M324" s="4">
        <f>VLOOKUP($B324, '[413]t (J)'!$1:$1048576, MATCH(LEFT(M$1,FIND(" (",M$1)-1),'[413]t (J)'!$1:$1, 0), 0)</f>
        <v>956152.74200463877</v>
      </c>
      <c r="O324" s="1">
        <f t="shared" si="41"/>
        <v>0.63568670862532206</v>
      </c>
      <c r="P324" s="3">
        <f t="shared" si="42"/>
        <v>2.014369624513024E-14</v>
      </c>
      <c r="Q324" s="3"/>
      <c r="R324" s="11">
        <f t="shared" si="46"/>
        <v>9.0425062798259077E-3</v>
      </c>
      <c r="S324" s="3">
        <f t="shared" si="47"/>
        <v>2.8653973305403157E-16</v>
      </c>
      <c r="T324" s="3"/>
      <c r="U324" s="9">
        <f t="shared" si="43"/>
        <v>5.2855814977759922E-4</v>
      </c>
      <c r="V324" s="3">
        <f t="shared" si="44"/>
        <v>1.674899706497323E-17</v>
      </c>
    </row>
    <row r="325" spans="1:22" x14ac:dyDescent="0.2">
      <c r="A325" t="s">
        <v>774</v>
      </c>
      <c r="B325" s="1" t="str">
        <f>VLOOKUP(REPLACE(A325,FIND("dist",A325),4,"fit")&amp;"*",'[413]t (Cherniak)'!$A:$A,1,0)</f>
        <v>CGI015-qtz08-CL-fit-4-offset</v>
      </c>
      <c r="C325">
        <v>1150</v>
      </c>
      <c r="D325">
        <v>1024</v>
      </c>
      <c r="E325" s="1">
        <f t="shared" si="40"/>
        <v>1.123046875</v>
      </c>
      <c r="F325">
        <f>'[738]CGI015-qtz08-CL-dist-4'!$B$4</f>
        <v>396.12599999999998</v>
      </c>
      <c r="G325" s="1">
        <f t="shared" si="45"/>
        <v>444.86806640624997</v>
      </c>
      <c r="H325" s="1"/>
      <c r="I325" s="1" t="str">
        <f>VLOOKUP($B325, '[413]t (Cherniak) Category'!$1:$1048576, MATCH(I$1, '[413]t (Cherniak) Category'!$1:$1, 0), 0)</f>
        <v>Interior</v>
      </c>
      <c r="J325" s="1"/>
      <c r="K325" s="4">
        <f>VLOOKUP($B325, '[413]t (Cherniak)'!$1:$1048576, MATCH(LEFT(K$1,FIND(" (",K$1)-1), '[413]t (Cherniak)'!$1:$1, 0), 0)</f>
        <v>275.05241984422975</v>
      </c>
      <c r="L325" s="4">
        <f>'D(Ti_Audétat23) Times'!Z325</f>
        <v>19336.140010242259</v>
      </c>
      <c r="M325" s="4">
        <f>VLOOKUP($B325, '[413]t (J)'!$1:$1048576, MATCH(LEFT(M$1,FIND(" (",M$1)-1),'[413]t (J)'!$1:$1, 0), 0)</f>
        <v>330800.24883502192</v>
      </c>
      <c r="O325" s="1">
        <f t="shared" si="41"/>
        <v>1.6173937559182057</v>
      </c>
      <c r="P325" s="3">
        <f t="shared" si="42"/>
        <v>5.1252115367398203E-14</v>
      </c>
      <c r="Q325" s="3"/>
      <c r="R325" s="11">
        <f t="shared" si="46"/>
        <v>2.3007077222786217E-2</v>
      </c>
      <c r="S325" s="3">
        <f t="shared" si="47"/>
        <v>7.2905028337979491E-16</v>
      </c>
      <c r="T325" s="3"/>
      <c r="U325" s="9">
        <f t="shared" si="43"/>
        <v>1.3448238566111733E-3</v>
      </c>
      <c r="V325" s="3">
        <f t="shared" si="44"/>
        <v>4.2614896462695929E-17</v>
      </c>
    </row>
    <row r="326" spans="1:22" x14ac:dyDescent="0.2">
      <c r="A326" t="s">
        <v>775</v>
      </c>
      <c r="B326" s="1" t="str">
        <f>VLOOKUP(REPLACE(A326,FIND("dist",A326),4,"fit")&amp;"*",'[413]t (Cherniak)'!$A:$A,1,0)</f>
        <v>CGI015-qtz08-CL-fit-5-offset</v>
      </c>
      <c r="C326">
        <v>1150</v>
      </c>
      <c r="D326">
        <v>1024</v>
      </c>
      <c r="E326" s="1">
        <f t="shared" si="40"/>
        <v>1.123046875</v>
      </c>
      <c r="F326">
        <f>'[739]CGI015-qtz08-CL-dist-5'!$B$4</f>
        <v>342.03699999999998</v>
      </c>
      <c r="G326" s="1">
        <f t="shared" si="45"/>
        <v>384.12358398437499</v>
      </c>
      <c r="H326" s="1"/>
      <c r="I326" s="1" t="str">
        <f>VLOOKUP($B326, '[413]t (Cherniak) Category'!$1:$1048576, MATCH(I$1, '[413]t (Cherniak) Category'!$1:$1, 0), 0)</f>
        <v>Interior</v>
      </c>
      <c r="J326" s="1"/>
      <c r="K326" s="4">
        <f>VLOOKUP($B326, '[413]t (Cherniak)'!$1:$1048576, MATCH(LEFT(K$1,FIND(" (",K$1)-1), '[413]t (Cherniak)'!$1:$1, 0), 0)</f>
        <v>334.61627350601924</v>
      </c>
      <c r="L326" s="4">
        <f>'D(Ti_Audétat23) Times'!Z326</f>
        <v>23523.469155014747</v>
      </c>
      <c r="M326" s="4">
        <f>VLOOKUP($B326, '[413]t (J)'!$1:$1048576, MATCH(LEFT(M$1,FIND(" (",M$1)-1),'[413]t (J)'!$1:$1, 0), 0)</f>
        <v>402436.54865035025</v>
      </c>
      <c r="O326" s="1">
        <f t="shared" si="41"/>
        <v>1.1479524888602441</v>
      </c>
      <c r="P326" s="3">
        <f t="shared" si="42"/>
        <v>3.6376419273336504E-14</v>
      </c>
      <c r="Q326" s="3"/>
      <c r="R326" s="11">
        <f t="shared" si="46"/>
        <v>1.6329376481550438E-2</v>
      </c>
      <c r="S326" s="3">
        <f t="shared" si="47"/>
        <v>5.1744671589570931E-16</v>
      </c>
      <c r="T326" s="3"/>
      <c r="U326" s="9">
        <f t="shared" si="43"/>
        <v>9.5449477755588704E-4</v>
      </c>
      <c r="V326" s="3">
        <f t="shared" si="44"/>
        <v>3.0246114329222976E-17</v>
      </c>
    </row>
    <row r="327" spans="1:22" x14ac:dyDescent="0.2">
      <c r="A327" t="s">
        <v>776</v>
      </c>
      <c r="B327" s="1" t="str">
        <f>VLOOKUP(REPLACE(A327,FIND("dist",A327),4,"fit")&amp;"*",'[413]t (Cherniak)'!$A:$A,1,0)</f>
        <v>CGI015-qtz08-CL-fit-6-offset</v>
      </c>
      <c r="C327">
        <v>1150</v>
      </c>
      <c r="D327">
        <v>1024</v>
      </c>
      <c r="E327" s="1">
        <f t="shared" si="40"/>
        <v>1.123046875</v>
      </c>
      <c r="F327">
        <f>'[740]CGI015-qtz08-CL-dist-6'!$B$4</f>
        <v>146.00299999999999</v>
      </c>
      <c r="G327" s="1">
        <f t="shared" si="45"/>
        <v>163.96821289062498</v>
      </c>
      <c r="H327" s="1"/>
      <c r="I327" s="1" t="str">
        <f>VLOOKUP($B327, '[413]t (Cherniak) Category'!$1:$1048576, MATCH(I$1, '[413]t (Cherniak) Category'!$1:$1, 0), 0)</f>
        <v>Interior</v>
      </c>
      <c r="J327" s="1"/>
      <c r="K327" s="4">
        <f>VLOOKUP($B327, '[413]t (Cherniak)'!$1:$1048576, MATCH(LEFT(K$1,FIND(" (",K$1)-1), '[413]t (Cherniak)'!$1:$1, 0), 0)</f>
        <v>93.970641687876466</v>
      </c>
      <c r="L327" s="4">
        <f>'D(Ti_Audétat23) Times'!Z327</f>
        <v>6606.1207007672356</v>
      </c>
      <c r="M327" s="4">
        <f>VLOOKUP($B327, '[413]t (J)'!$1:$1048576, MATCH(LEFT(M$1,FIND(" (",M$1)-1),'[413]t (J)'!$1:$1, 0), 0)</f>
        <v>113016.68122440392</v>
      </c>
      <c r="O327" s="1">
        <f t="shared" si="41"/>
        <v>1.7448876579479524</v>
      </c>
      <c r="P327" s="3">
        <f t="shared" si="42"/>
        <v>5.529215333067002E-14</v>
      </c>
      <c r="Q327" s="3"/>
      <c r="R327" s="11">
        <f t="shared" si="46"/>
        <v>2.4820650472157084E-2</v>
      </c>
      <c r="S327" s="3">
        <f t="shared" si="47"/>
        <v>7.8651895176303273E-16</v>
      </c>
      <c r="T327" s="3"/>
      <c r="U327" s="9">
        <f t="shared" si="43"/>
        <v>1.4508319578510061E-3</v>
      </c>
      <c r="V327" s="3">
        <f t="shared" si="44"/>
        <v>4.5974090483782226E-17</v>
      </c>
    </row>
    <row r="328" spans="1:22" x14ac:dyDescent="0.2">
      <c r="A328" t="s">
        <v>777</v>
      </c>
      <c r="B328" s="1" t="str">
        <f>VLOOKUP(REPLACE(A328,FIND("dist",A328),4,"fit")&amp;"*",'[413]t (Cherniak)'!$A:$A,1,0)</f>
        <v>CGI015-qtz09-CL-fit-1-offset</v>
      </c>
      <c r="C328">
        <v>2150</v>
      </c>
      <c r="D328">
        <v>1024</v>
      </c>
      <c r="E328" s="1">
        <f t="shared" si="40"/>
        <v>2.099609375</v>
      </c>
      <c r="F328">
        <f>'[741]CGI015-qtz09-CL-dist-1'!$B$4</f>
        <v>808.99</v>
      </c>
      <c r="G328" s="1">
        <f t="shared" si="45"/>
        <v>1698.56298828125</v>
      </c>
      <c r="H328" s="1"/>
      <c r="I328" s="1" t="str">
        <f>VLOOKUP($B328, '[413]t (Cherniak) Category'!$1:$1048576, MATCH(I$1, '[413]t (Cherniak) Category'!$1:$1, 0), 0)</f>
        <v>Core</v>
      </c>
      <c r="J328" s="1"/>
      <c r="K328" s="4">
        <f>VLOOKUP($B328, '[413]t (Cherniak)'!$1:$1048576, MATCH(LEFT(K$1,FIND(" (",K$1)-1), '[413]t (Cherniak)'!$1:$1, 0), 0)</f>
        <v>1605.071077962813</v>
      </c>
      <c r="L328" s="4">
        <f>'D(Ti_Audétat23) Times'!Z328</f>
        <v>112836.23357124416</v>
      </c>
      <c r="M328" s="4">
        <f>VLOOKUP($B328, '[413]t (J)'!$1:$1048576, MATCH(LEFT(M$1,FIND(" (",M$1)-1),'[413]t (J)'!$1:$1, 0), 0)</f>
        <v>1930388.0776205952</v>
      </c>
      <c r="O328" s="1">
        <f t="shared" si="41"/>
        <v>1.0582478318886033</v>
      </c>
      <c r="P328" s="3">
        <f t="shared" si="42"/>
        <v>3.3533850225891808E-14</v>
      </c>
      <c r="Q328" s="3"/>
      <c r="R328" s="11">
        <f t="shared" si="46"/>
        <v>1.5053347090044324E-2</v>
      </c>
      <c r="S328" s="3">
        <f t="shared" si="47"/>
        <v>4.7701178448438169E-16</v>
      </c>
      <c r="T328" s="3"/>
      <c r="U328" s="9">
        <f t="shared" si="43"/>
        <v>8.7990752117310324E-4</v>
      </c>
      <c r="V328" s="3">
        <f t="shared" si="44"/>
        <v>2.7882586799157833E-17</v>
      </c>
    </row>
    <row r="329" spans="1:22" x14ac:dyDescent="0.2">
      <c r="A329" t="s">
        <v>778</v>
      </c>
      <c r="B329" s="1" t="str">
        <f>VLOOKUP(REPLACE(A329,FIND("dist",A329),4,"fit")&amp;"*",'[413]t (Cherniak)'!$A:$A,1,0)</f>
        <v>CGI015-qtz09-CL-fit-2-offset</v>
      </c>
      <c r="C329">
        <v>2150</v>
      </c>
      <c r="D329">
        <v>1024</v>
      </c>
      <c r="E329" s="1">
        <f t="shared" si="40"/>
        <v>2.099609375</v>
      </c>
      <c r="F329">
        <f>'[742]CGI015-qtz09-CL-dist-2'!$B$4</f>
        <v>559.37800000000004</v>
      </c>
      <c r="G329" s="1">
        <f t="shared" si="45"/>
        <v>1174.4752929687502</v>
      </c>
      <c r="H329" s="1"/>
      <c r="I329" s="1" t="str">
        <f>VLOOKUP($B329, '[413]t (Cherniak) Category'!$1:$1048576, MATCH(I$1, '[413]t (Cherniak) Category'!$1:$1, 0), 0)</f>
        <v>Core</v>
      </c>
      <c r="J329" s="1"/>
      <c r="K329" s="4">
        <f>VLOOKUP($B329, '[413]t (Cherniak)'!$1:$1048576, MATCH(LEFT(K$1,FIND(" (",K$1)-1), '[413]t (Cherniak)'!$1:$1, 0), 0)</f>
        <v>1134.295270828409</v>
      </c>
      <c r="L329" s="4">
        <f>'D(Ti_Audétat23) Times'!Z329</f>
        <v>79740.771530441416</v>
      </c>
      <c r="M329" s="4">
        <f>VLOOKUP($B329, '[413]t (J)'!$1:$1048576, MATCH(LEFT(M$1,FIND(" (",M$1)-1),'[413]t (J)'!$1:$1, 0), 0)</f>
        <v>1364195.0798139761</v>
      </c>
      <c r="O329" s="1">
        <f t="shared" si="41"/>
        <v>1.0354228948790349</v>
      </c>
      <c r="P329" s="3">
        <f t="shared" si="42"/>
        <v>3.2810571617582926E-14</v>
      </c>
      <c r="Q329" s="3"/>
      <c r="R329" s="11">
        <f t="shared" si="46"/>
        <v>1.4728667285597916E-2</v>
      </c>
      <c r="S329" s="3">
        <f t="shared" si="47"/>
        <v>4.6672330232964215E-16</v>
      </c>
      <c r="T329" s="3"/>
      <c r="U329" s="9">
        <f t="shared" si="43"/>
        <v>8.6092913715016739E-4</v>
      </c>
      <c r="V329" s="3">
        <f t="shared" si="44"/>
        <v>2.7281198099670677E-17</v>
      </c>
    </row>
    <row r="330" spans="1:22" x14ac:dyDescent="0.2">
      <c r="A330" t="s">
        <v>779</v>
      </c>
      <c r="B330" s="1" t="str">
        <f>VLOOKUP(REPLACE(A330,FIND("dist",A330),4,"fit")&amp;"*",'[413]t (Cherniak)'!$A:$A,1,0)</f>
        <v>CGI015-qtz09-CL-fit-3-offset</v>
      </c>
      <c r="C330">
        <v>2150</v>
      </c>
      <c r="D330">
        <v>1024</v>
      </c>
      <c r="E330" s="1">
        <f t="shared" si="40"/>
        <v>2.099609375</v>
      </c>
      <c r="F330">
        <f>'[743]CGI015-qtz09-CL-dist-3'!$B$4</f>
        <v>338.733</v>
      </c>
      <c r="G330" s="1">
        <f t="shared" si="45"/>
        <v>711.20698242187495</v>
      </c>
      <c r="H330" s="1"/>
      <c r="I330" s="1" t="str">
        <f>VLOOKUP($B330, '[413]t (Cherniak) Category'!$1:$1048576, MATCH(I$1, '[413]t (Cherniak) Category'!$1:$1, 0), 0)</f>
        <v>Interior</v>
      </c>
      <c r="J330" s="1"/>
      <c r="K330" s="4">
        <f>VLOOKUP($B330, '[413]t (Cherniak)'!$1:$1048576, MATCH(LEFT(K$1,FIND(" (",K$1)-1), '[413]t (Cherniak)'!$1:$1, 0), 0)</f>
        <v>163.49697829562245</v>
      </c>
      <c r="L330" s="4">
        <f>'D(Ti_Audétat23) Times'!Z330</f>
        <v>11493.810762930532</v>
      </c>
      <c r="M330" s="4">
        <f>VLOOKUP($B330, '[413]t (J)'!$1:$1048576, MATCH(LEFT(M$1,FIND(" (",M$1)-1),'[413]t (J)'!$1:$1, 0), 0)</f>
        <v>196634.66743755946</v>
      </c>
      <c r="O330" s="1">
        <f t="shared" si="41"/>
        <v>4.3499701941642375</v>
      </c>
      <c r="P330" s="3">
        <f t="shared" si="42"/>
        <v>1.3784223750108492E-13</v>
      </c>
      <c r="Q330" s="3"/>
      <c r="R330" s="11">
        <f t="shared" si="46"/>
        <v>6.187738749933458E-2</v>
      </c>
      <c r="S330" s="3">
        <f t="shared" si="47"/>
        <v>1.9607760887816112E-15</v>
      </c>
      <c r="T330" s="3"/>
      <c r="U330" s="9">
        <f t="shared" si="43"/>
        <v>3.6168951878626176E-3</v>
      </c>
      <c r="V330" s="3">
        <f t="shared" si="44"/>
        <v>1.1461249232712936E-16</v>
      </c>
    </row>
    <row r="331" spans="1:22" x14ac:dyDescent="0.2">
      <c r="A331" t="s">
        <v>780</v>
      </c>
      <c r="B331" s="1" t="str">
        <f>VLOOKUP(REPLACE(A331,FIND("dist",A331),4,"fit")&amp;"*",'[413]t (Cherniak)'!$A:$A,1,0)</f>
        <v>CGI015-qtz09-CL-fit-4-offset</v>
      </c>
      <c r="C331">
        <v>2150</v>
      </c>
      <c r="D331">
        <v>1024</v>
      </c>
      <c r="E331" s="1">
        <f t="shared" si="40"/>
        <v>2.099609375</v>
      </c>
      <c r="F331">
        <f>'[744]CGI015-qtz09-CL-dist-4'!$B$4</f>
        <v>270.65800000000002</v>
      </c>
      <c r="G331" s="1">
        <f t="shared" si="45"/>
        <v>568.27607421875007</v>
      </c>
      <c r="H331" s="1"/>
      <c r="I331" s="1" t="str">
        <f>VLOOKUP($B331, '[413]t (Cherniak) Category'!$1:$1048576, MATCH(I$1, '[413]t (Cherniak) Category'!$1:$1, 0), 0)</f>
        <v>Interior</v>
      </c>
      <c r="J331" s="1"/>
      <c r="K331" s="4">
        <f>VLOOKUP($B331, '[413]t (Cherniak)'!$1:$1048576, MATCH(LEFT(K$1,FIND(" (",K$1)-1), '[413]t (Cherniak)'!$1:$1, 0), 0)</f>
        <v>319.86960615207977</v>
      </c>
      <c r="L331" s="4">
        <f>'D(Ti_Audétat23) Times'!Z331</f>
        <v>22486.780858283062</v>
      </c>
      <c r="M331" s="4">
        <f>VLOOKUP($B331, '[413]t (J)'!$1:$1048576, MATCH(LEFT(M$1,FIND(" (",M$1)-1),'[413]t (J)'!$1:$1, 0), 0)</f>
        <v>384701.01579107513</v>
      </c>
      <c r="O331" s="1">
        <f t="shared" si="41"/>
        <v>1.7765866568409352</v>
      </c>
      <c r="P331" s="3">
        <f t="shared" si="42"/>
        <v>5.6296633991207669E-14</v>
      </c>
      <c r="Q331" s="3"/>
      <c r="R331" s="11">
        <f t="shared" si="46"/>
        <v>2.5271561892302792E-2</v>
      </c>
      <c r="S331" s="3">
        <f t="shared" si="47"/>
        <v>8.0080747244095855E-16</v>
      </c>
      <c r="T331" s="3"/>
      <c r="U331" s="9">
        <f t="shared" si="43"/>
        <v>1.477188910068726E-3</v>
      </c>
      <c r="V331" s="3">
        <f t="shared" si="44"/>
        <v>4.6809291900167499E-17</v>
      </c>
    </row>
    <row r="332" spans="1:22" x14ac:dyDescent="0.2">
      <c r="A332" t="s">
        <v>781</v>
      </c>
      <c r="B332" s="1" t="str">
        <f>VLOOKUP(REPLACE(A332,FIND("dist",A332),4,"fit")&amp;"*",'[413]t (Cherniak)'!$A:$A,1,0)</f>
        <v>CGI015-qtz09-CL-fit-5-offset</v>
      </c>
      <c r="C332">
        <v>2150</v>
      </c>
      <c r="D332">
        <v>1024</v>
      </c>
      <c r="E332" s="1">
        <f t="shared" si="40"/>
        <v>2.099609375</v>
      </c>
      <c r="F332">
        <f>'[745]CGI015-qtz09-CL-dist-5'!$B$4</f>
        <v>166.43299999999999</v>
      </c>
      <c r="G332" s="1">
        <f t="shared" si="45"/>
        <v>349.44428710937501</v>
      </c>
      <c r="H332" s="1"/>
      <c r="I332" s="1" t="str">
        <f>VLOOKUP($B332, '[413]t (Cherniak) Category'!$1:$1048576, MATCH(I$1, '[413]t (Cherniak) Category'!$1:$1, 0), 0)</f>
        <v>Interior</v>
      </c>
      <c r="J332" s="1"/>
      <c r="K332" s="4">
        <f>VLOOKUP($B332, '[413]t (Cherniak)'!$1:$1048576, MATCH(LEFT(K$1,FIND(" (",K$1)-1), '[413]t (Cherniak)'!$1:$1, 0), 0)</f>
        <v>30.492764159182222</v>
      </c>
      <c r="L332" s="4">
        <f>'D(Ti_Audétat23) Times'!Z332</f>
        <v>2143.6363199973275</v>
      </c>
      <c r="M332" s="4">
        <f>VLOOKUP($B332, '[413]t (J)'!$1:$1048576, MATCH(LEFT(M$1,FIND(" (",M$1)-1),'[413]t (J)'!$1:$1, 0), 0)</f>
        <v>36673.060274247684</v>
      </c>
      <c r="O332" s="1">
        <f t="shared" si="41"/>
        <v>11.459908497804966</v>
      </c>
      <c r="P332" s="3">
        <f t="shared" si="42"/>
        <v>3.6314258681918036E-13</v>
      </c>
      <c r="Q332" s="3"/>
      <c r="R332" s="11">
        <f t="shared" si="46"/>
        <v>0.16301472588867624</v>
      </c>
      <c r="S332" s="3">
        <f t="shared" si="47"/>
        <v>5.1656249489402313E-15</v>
      </c>
      <c r="T332" s="3"/>
      <c r="U332" s="9">
        <f t="shared" si="43"/>
        <v>9.5286372202420064E-3</v>
      </c>
      <c r="V332" s="3">
        <f t="shared" si="44"/>
        <v>3.019442929830534E-16</v>
      </c>
    </row>
    <row r="333" spans="1:22" x14ac:dyDescent="0.2">
      <c r="A333" t="s">
        <v>782</v>
      </c>
      <c r="B333" s="1" t="str">
        <f>VLOOKUP(REPLACE(A333,FIND("dist",A333),4,"fit")&amp;"*",'[413]t (Cherniak)'!$A:$A,1,0)</f>
        <v>CGI015-qtz09-CL-fit-6-offset</v>
      </c>
      <c r="C333">
        <v>2150</v>
      </c>
      <c r="D333">
        <v>1024</v>
      </c>
      <c r="E333" s="1">
        <f t="shared" si="40"/>
        <v>2.099609375</v>
      </c>
      <c r="F333">
        <f>'[746]CGI015-qtz09-CL-dist-6'!$B$4</f>
        <v>95.603300000000004</v>
      </c>
      <c r="G333" s="1">
        <f t="shared" si="45"/>
        <v>200.7295849609375</v>
      </c>
      <c r="H333" s="1"/>
      <c r="I333" s="1" t="str">
        <f>VLOOKUP($B333, '[413]t (Cherniak) Category'!$1:$1048576, MATCH(I$1, '[413]t (Cherniak) Category'!$1:$1, 0), 0)</f>
        <v>Interior</v>
      </c>
      <c r="J333" s="1"/>
      <c r="K333" s="4">
        <f>VLOOKUP($B333, '[413]t (Cherniak)'!$1:$1048576, MATCH(LEFT(K$1,FIND(" (",K$1)-1), '[413]t (Cherniak)'!$1:$1, 0), 0)</f>
        <v>136.89612682094858</v>
      </c>
      <c r="L333" s="4">
        <f>'D(Ti_Audétat23) Times'!Z333</f>
        <v>9623.775266434086</v>
      </c>
      <c r="M333" s="4">
        <f>VLOOKUP($B333, '[413]t (J)'!$1:$1048576, MATCH(LEFT(M$1,FIND(" (",M$1)-1),'[413]t (J)'!$1:$1, 0), 0)</f>
        <v>164642.33560485268</v>
      </c>
      <c r="O333" s="1">
        <f t="shared" si="41"/>
        <v>1.4662911918865245</v>
      </c>
      <c r="P333" s="3">
        <f t="shared" si="42"/>
        <v>4.6463964049437362E-14</v>
      </c>
      <c r="Q333" s="3"/>
      <c r="R333" s="11">
        <f t="shared" si="46"/>
        <v>2.085767585004239E-2</v>
      </c>
      <c r="S333" s="3">
        <f t="shared" si="47"/>
        <v>6.6093986393269414E-16</v>
      </c>
      <c r="T333" s="3"/>
      <c r="U333" s="9">
        <f t="shared" si="43"/>
        <v>1.219185722940031E-3</v>
      </c>
      <c r="V333" s="3">
        <f t="shared" si="44"/>
        <v>3.8633664250134071E-17</v>
      </c>
    </row>
    <row r="334" spans="1:22" x14ac:dyDescent="0.2">
      <c r="A334" t="s">
        <v>783</v>
      </c>
      <c r="B334" s="1" t="str">
        <f>VLOOKUP(REPLACE(A334,FIND("dist",A334),4,"fit")&amp;"*",'[413]t (Cherniak)'!$A:$A,1,0)</f>
        <v>CGI015-qtz10-CL-fit-1-offset</v>
      </c>
      <c r="C334">
        <v>2050</v>
      </c>
      <c r="D334">
        <v>1024</v>
      </c>
      <c r="E334" s="1">
        <f t="shared" si="40"/>
        <v>2.001953125</v>
      </c>
      <c r="F334">
        <f>'[747]CGI015-qtz10-CL-dist-1'!$B$4</f>
        <v>442.65100000000001</v>
      </c>
      <c r="G334" s="1">
        <f t="shared" si="45"/>
        <v>886.16655273437505</v>
      </c>
      <c r="H334" s="1"/>
      <c r="I334" s="1" t="str">
        <f>VLOOKUP($B334, '[413]t (Cherniak) Category'!$1:$1048576, MATCH(I$1, '[413]t (Cherniak) Category'!$1:$1, 0), 0)</f>
        <v>Core</v>
      </c>
      <c r="J334" s="1"/>
      <c r="K334" s="4">
        <f>VLOOKUP($B334, '[413]t (Cherniak)'!$1:$1048576, MATCH(LEFT(K$1,FIND(" (",K$1)-1), '[413]t (Cherniak)'!$1:$1, 0), 0)</f>
        <v>1989.491633219237</v>
      </c>
      <c r="L334" s="4">
        <f>'D(Ti_Audétat23) Times'!Z334</f>
        <v>139860.93556609636</v>
      </c>
      <c r="M334" s="4">
        <f>VLOOKUP($B334, '[413]t (J)'!$1:$1048576, MATCH(LEFT(M$1,FIND(" (",M$1)-1),'[413]t (J)'!$1:$1, 0), 0)</f>
        <v>2392723.2768823956</v>
      </c>
      <c r="O334" s="1">
        <f t="shared" si="41"/>
        <v>0.44542361372007927</v>
      </c>
      <c r="P334" s="3">
        <f t="shared" si="42"/>
        <v>1.4114622586003983E-14</v>
      </c>
      <c r="Q334" s="3"/>
      <c r="R334" s="11">
        <f t="shared" si="46"/>
        <v>6.3360548043494593E-3</v>
      </c>
      <c r="S334" s="3">
        <f t="shared" si="47"/>
        <v>2.007774610347257E-16</v>
      </c>
      <c r="T334" s="3"/>
      <c r="U334" s="9">
        <f t="shared" si="43"/>
        <v>3.7035898020309636E-4</v>
      </c>
      <c r="V334" s="3">
        <f t="shared" si="44"/>
        <v>1.1735967887389927E-17</v>
      </c>
    </row>
    <row r="335" spans="1:22" x14ac:dyDescent="0.2">
      <c r="A335" t="s">
        <v>784</v>
      </c>
      <c r="B335" s="1" t="str">
        <f>VLOOKUP(REPLACE(A335,FIND("dist",A335),4,"fit")&amp;"*",'[413]t (Cherniak)'!$A:$A,1,0)</f>
        <v>CGI015-qtz10-CL-fit-2-offset</v>
      </c>
      <c r="C335">
        <v>2050</v>
      </c>
      <c r="D335">
        <v>1024</v>
      </c>
      <c r="E335" s="1">
        <f t="shared" si="40"/>
        <v>2.001953125</v>
      </c>
      <c r="F335">
        <f>'[748]CGI015-qtz10-CL-dist-2'!$B$4</f>
        <v>467.06900000000002</v>
      </c>
      <c r="G335" s="1">
        <f t="shared" si="45"/>
        <v>935.05024414062507</v>
      </c>
      <c r="H335" s="1"/>
      <c r="I335" s="1" t="str">
        <f>VLOOKUP($B335, '[413]t (Cherniak) Category'!$1:$1048576, MATCH(I$1, '[413]t (Cherniak) Category'!$1:$1, 0), 0)</f>
        <v>Core</v>
      </c>
      <c r="J335" s="1"/>
      <c r="K335" s="4">
        <f>VLOOKUP($B335, '[413]t (Cherniak)'!$1:$1048576, MATCH(LEFT(K$1,FIND(" (",K$1)-1), '[413]t (Cherniak)'!$1:$1, 0), 0)</f>
        <v>405.65935112707541</v>
      </c>
      <c r="L335" s="4">
        <f>'D(Ti_Audétat23) Times'!Z335</f>
        <v>28517.785861689121</v>
      </c>
      <c r="M335" s="4">
        <f>VLOOKUP($B335, '[413]t (J)'!$1:$1048576, MATCH(LEFT(M$1,FIND(" (",M$1)-1),'[413]t (J)'!$1:$1, 0), 0)</f>
        <v>487878.69007328519</v>
      </c>
      <c r="O335" s="1">
        <f t="shared" si="41"/>
        <v>2.3050134097555035</v>
      </c>
      <c r="P335" s="3">
        <f t="shared" si="42"/>
        <v>7.3041467340846683E-14</v>
      </c>
      <c r="Q335" s="3"/>
      <c r="R335" s="11">
        <f t="shared" si="46"/>
        <v>3.2788318443640968E-2</v>
      </c>
      <c r="S335" s="3">
        <f t="shared" si="47"/>
        <v>1.03899911411644E-15</v>
      </c>
      <c r="T335" s="3"/>
      <c r="U335" s="9">
        <f t="shared" si="43"/>
        <v>1.9165629964288241E-3</v>
      </c>
      <c r="V335" s="3">
        <f t="shared" si="44"/>
        <v>6.0732216531955033E-17</v>
      </c>
    </row>
    <row r="336" spans="1:22" x14ac:dyDescent="0.2">
      <c r="A336" t="s">
        <v>785</v>
      </c>
      <c r="B336" s="1" t="str">
        <f>VLOOKUP(REPLACE(A336,FIND("dist",A336),4,"fit")&amp;"*",'[413]t (Cherniak)'!$A:$A,1,0)</f>
        <v>CGI015-qtz10-CL-fit-3-offset</v>
      </c>
      <c r="C336">
        <v>2050</v>
      </c>
      <c r="D336">
        <v>1024</v>
      </c>
      <c r="E336" s="1">
        <f t="shared" si="40"/>
        <v>2.001953125</v>
      </c>
      <c r="F336">
        <f>'[749]CGI015-qtz10-CL-dist-3'!$B$4</f>
        <v>407.00099999999998</v>
      </c>
      <c r="G336" s="1">
        <f t="shared" si="45"/>
        <v>814.79692382812493</v>
      </c>
      <c r="H336" s="1"/>
      <c r="I336" s="1" t="str">
        <f>VLOOKUP($B336, '[413]t (Cherniak) Category'!$1:$1048576, MATCH(I$1, '[413]t (Cherniak) Category'!$1:$1, 0), 0)</f>
        <v>Core</v>
      </c>
      <c r="J336" s="1"/>
      <c r="K336" s="4">
        <f>VLOOKUP($B336, '[413]t (Cherniak)'!$1:$1048576, MATCH(LEFT(K$1,FIND(" (",K$1)-1), '[413]t (Cherniak)'!$1:$1, 0), 0)</f>
        <v>316.87732541442665</v>
      </c>
      <c r="L336" s="4">
        <f>'D(Ti_Audétat23) Times'!Z336</f>
        <v>22276.42401311886</v>
      </c>
      <c r="M336" s="4">
        <f>VLOOKUP($B336, '[413]t (J)'!$1:$1048576, MATCH(LEFT(M$1,FIND(" (",M$1)-1),'[413]t (J)'!$1:$1, 0), 0)</f>
        <v>381102.25736836978</v>
      </c>
      <c r="O336" s="1">
        <f t="shared" si="41"/>
        <v>2.5713323689616994</v>
      </c>
      <c r="P336" s="3">
        <f t="shared" si="42"/>
        <v>8.1480605906713413E-14</v>
      </c>
      <c r="Q336" s="3"/>
      <c r="R336" s="11">
        <f t="shared" si="46"/>
        <v>3.6576648179630675E-2</v>
      </c>
      <c r="S336" s="3">
        <f t="shared" si="47"/>
        <v>1.1590440394589789E-15</v>
      </c>
      <c r="T336" s="3"/>
      <c r="U336" s="9">
        <f t="shared" si="43"/>
        <v>2.1380007808259978E-3</v>
      </c>
      <c r="V336" s="3">
        <f t="shared" si="44"/>
        <v>6.7749156489276669E-17</v>
      </c>
    </row>
    <row r="337" spans="1:22" x14ac:dyDescent="0.2">
      <c r="A337" t="s">
        <v>786</v>
      </c>
      <c r="B337" s="1" t="str">
        <f>VLOOKUP(REPLACE(A337,FIND("dist",A337),4,"fit")&amp;"*",'[413]t (Cherniak)'!$A:$A,1,0)</f>
        <v>CGI015-qtz10-CL-fit-4-offset</v>
      </c>
      <c r="C337">
        <v>2050</v>
      </c>
      <c r="D337">
        <v>1024</v>
      </c>
      <c r="E337" s="1">
        <f t="shared" si="40"/>
        <v>2.001953125</v>
      </c>
      <c r="F337">
        <f>'[750]CGI015-qtz10-CL-dist-4'!$B$4</f>
        <v>261.12299999999999</v>
      </c>
      <c r="G337" s="1">
        <f t="shared" si="45"/>
        <v>522.75600585937502</v>
      </c>
      <c r="H337" s="1"/>
      <c r="I337" s="1" t="str">
        <f>VLOOKUP($B337, '[413]t (Cherniak) Category'!$1:$1048576, MATCH(I$1, '[413]t (Cherniak) Category'!$1:$1, 0), 0)</f>
        <v>Interior</v>
      </c>
      <c r="J337" s="1"/>
      <c r="K337" s="4">
        <f>VLOOKUP($B337, '[413]t (Cherniak)'!$1:$1048576, MATCH(LEFT(K$1,FIND(" (",K$1)-1), '[413]t (Cherniak)'!$1:$1, 0), 0)</f>
        <v>112.26256061778402</v>
      </c>
      <c r="L337" s="4">
        <f>'D(Ti_Audétat23) Times'!Z337</f>
        <v>7892.0396019170648</v>
      </c>
      <c r="M337" s="4">
        <f>VLOOKUP($B337, '[413]t (J)'!$1:$1048576, MATCH(LEFT(M$1,FIND(" (",M$1)-1),'[413]t (J)'!$1:$1, 0), 0)</f>
        <v>135016.01988541373</v>
      </c>
      <c r="O337" s="1">
        <f t="shared" si="41"/>
        <v>4.6565480333125668</v>
      </c>
      <c r="P337" s="3">
        <f t="shared" si="42"/>
        <v>1.4755710298985242E-13</v>
      </c>
      <c r="Q337" s="3"/>
      <c r="R337" s="11">
        <f t="shared" si="46"/>
        <v>6.6238391116586859E-2</v>
      </c>
      <c r="S337" s="3">
        <f t="shared" si="47"/>
        <v>2.0989679543623995E-15</v>
      </c>
      <c r="T337" s="3"/>
      <c r="U337" s="9">
        <f t="shared" si="43"/>
        <v>3.8718072588943965E-3</v>
      </c>
      <c r="V337" s="3">
        <f t="shared" si="44"/>
        <v>1.2269016841884036E-16</v>
      </c>
    </row>
    <row r="338" spans="1:22" x14ac:dyDescent="0.2">
      <c r="A338" t="s">
        <v>787</v>
      </c>
      <c r="B338" s="1" t="str">
        <f>VLOOKUP(REPLACE(A338,FIND("dist",A338),4,"fit")&amp;"*",'[413]t (Cherniak)'!$A:$A,1,0)</f>
        <v>CGI015-qtz10-CL-fit-5-offset</v>
      </c>
      <c r="C338">
        <v>2050</v>
      </c>
      <c r="D338">
        <v>1024</v>
      </c>
      <c r="E338" s="1">
        <f t="shared" si="40"/>
        <v>2.001953125</v>
      </c>
      <c r="F338">
        <f>'[751]CGI015-qtz10-CL-dist-5'!$B$4</f>
        <v>224</v>
      </c>
      <c r="G338" s="1">
        <f t="shared" si="45"/>
        <v>448.4375</v>
      </c>
      <c r="H338" s="1"/>
      <c r="I338" s="1" t="str">
        <f>VLOOKUP($B338, '[413]t (Cherniak) Category'!$1:$1048576, MATCH(I$1, '[413]t (Cherniak) Category'!$1:$1, 0), 0)</f>
        <v>Interior</v>
      </c>
      <c r="J338" s="1"/>
      <c r="K338" s="4">
        <f>VLOOKUP($B338, '[413]t (Cherniak)'!$1:$1048576, MATCH(LEFT(K$1,FIND(" (",K$1)-1), '[413]t (Cherniak)'!$1:$1, 0), 0)</f>
        <v>233.93031511172941</v>
      </c>
      <c r="L338" s="4">
        <f>'D(Ti_Audétat23) Times'!Z338</f>
        <v>16445.262791006066</v>
      </c>
      <c r="M338" s="4">
        <f>VLOOKUP($B338, '[413]t (J)'!$1:$1048576, MATCH(LEFT(M$1,FIND(" (",M$1)-1),'[413]t (J)'!$1:$1, 0), 0)</f>
        <v>281343.48533577757</v>
      </c>
      <c r="O338" s="1">
        <f t="shared" si="41"/>
        <v>1.9169704438940205</v>
      </c>
      <c r="P338" s="3">
        <f t="shared" si="42"/>
        <v>6.0745127763011782E-14</v>
      </c>
      <c r="Q338" s="3"/>
      <c r="R338" s="11">
        <f t="shared" si="46"/>
        <v>2.726849097511844E-2</v>
      </c>
      <c r="S338" s="3">
        <f t="shared" si="47"/>
        <v>8.6408633657560902E-16</v>
      </c>
      <c r="T338" s="3"/>
      <c r="U338" s="9">
        <f t="shared" si="43"/>
        <v>1.5939146394834741E-3</v>
      </c>
      <c r="V338" s="3">
        <f t="shared" si="44"/>
        <v>5.0508107064018618E-17</v>
      </c>
    </row>
    <row r="339" spans="1:22" x14ac:dyDescent="0.2">
      <c r="A339" t="s">
        <v>788</v>
      </c>
      <c r="B339" s="1" t="str">
        <f>VLOOKUP(REPLACE(A339,FIND("dist",A339),4,"fit")&amp;"*",'[413]t (Cherniak)'!$A:$A,1,0)</f>
        <v>CGI015-qtz10-CL-fit-6-offset</v>
      </c>
      <c r="C339">
        <v>2050</v>
      </c>
      <c r="D339">
        <v>1024</v>
      </c>
      <c r="E339" s="1">
        <f t="shared" si="40"/>
        <v>2.001953125</v>
      </c>
      <c r="F339">
        <f>'[752]CGI015-qtz10-CL-dist-6'!$B$4</f>
        <v>98.412400000000005</v>
      </c>
      <c r="G339" s="1">
        <f t="shared" si="45"/>
        <v>197.01701171875001</v>
      </c>
      <c r="H339" s="1"/>
      <c r="I339" s="1" t="str">
        <f>VLOOKUP($B339, '[413]t (Cherniak) Category'!$1:$1048576, MATCH(I$1, '[413]t (Cherniak) Category'!$1:$1, 0), 0)</f>
        <v>Interior</v>
      </c>
      <c r="J339" s="1"/>
      <c r="K339" s="4">
        <f>VLOOKUP($B339, '[413]t (Cherniak)'!$1:$1048576, MATCH(LEFT(K$1,FIND(" (",K$1)-1), '[413]t (Cherniak)'!$1:$1, 0), 0)</f>
        <v>51.702385663574923</v>
      </c>
      <c r="L339" s="4">
        <f>'D(Ti_Audétat23) Times'!Z339</f>
        <v>3634.6692336704409</v>
      </c>
      <c r="M339" s="4">
        <f>VLOOKUP($B339, '[413]t (J)'!$1:$1048576, MATCH(LEFT(M$1,FIND(" (",M$1)-1),'[413]t (J)'!$1:$1, 0), 0)</f>
        <v>62181.463637225512</v>
      </c>
      <c r="O339" s="1">
        <f t="shared" si="41"/>
        <v>3.8105980834372088</v>
      </c>
      <c r="P339" s="3">
        <f t="shared" si="42"/>
        <v>1.2075056669192871E-13</v>
      </c>
      <c r="Q339" s="3"/>
      <c r="R339" s="11">
        <f t="shared" si="46"/>
        <v>5.4204935594591643E-2</v>
      </c>
      <c r="S339" s="3">
        <f t="shared" si="47"/>
        <v>1.7176507590752033E-15</v>
      </c>
      <c r="T339" s="3"/>
      <c r="U339" s="9">
        <f t="shared" si="43"/>
        <v>3.1684203007534858E-3</v>
      </c>
      <c r="V339" s="3">
        <f t="shared" si="44"/>
        <v>1.0040118072202847E-16</v>
      </c>
    </row>
    <row r="340" spans="1:22" x14ac:dyDescent="0.2">
      <c r="A340" t="s">
        <v>789</v>
      </c>
      <c r="B340" s="1" t="str">
        <f>VLOOKUP(REPLACE(A340,FIND("dist",A340),4,"fit")&amp;"*",'[413]t (Cherniak)'!$A:$A,1,0)</f>
        <v>CGI015-qtz10-CL-fit-7-offset</v>
      </c>
      <c r="C340">
        <v>2050</v>
      </c>
      <c r="D340">
        <v>1024</v>
      </c>
      <c r="E340" s="1">
        <f t="shared" si="40"/>
        <v>2.001953125</v>
      </c>
      <c r="F340">
        <f>'[753]CGI015-qtz10-CL-dist-7'!$B$4</f>
        <v>44.102200000000003</v>
      </c>
      <c r="G340" s="1">
        <f t="shared" si="45"/>
        <v>88.290537109375009</v>
      </c>
      <c r="H340" s="1"/>
      <c r="I340" s="1" t="str">
        <f>VLOOKUP($B340, '[413]t (Cherniak) Category'!$1:$1048576, MATCH(I$1, '[413]t (Cherniak) Category'!$1:$1, 0), 0)</f>
        <v>Interior</v>
      </c>
      <c r="J340" s="1"/>
      <c r="K340" s="4">
        <f>VLOOKUP($B340, '[413]t (Cherniak)'!$1:$1048576, MATCH(LEFT(K$1,FIND(" (",K$1)-1), '[413]t (Cherniak)'!$1:$1, 0), 0)</f>
        <v>8.7177907108329276</v>
      </c>
      <c r="L340" s="4">
        <f>'D(Ti_Audétat23) Times'!Z340</f>
        <v>612.85925737399464</v>
      </c>
      <c r="M340" s="4">
        <f>VLOOKUP($B340, '[413]t (J)'!$1:$1048576, MATCH(LEFT(M$1,FIND(" (",M$1)-1),'[413]t (J)'!$1:$1, 0), 0)</f>
        <v>10484.719014900442</v>
      </c>
      <c r="O340" s="1">
        <f t="shared" si="41"/>
        <v>10.127627519167575</v>
      </c>
      <c r="P340" s="3">
        <f t="shared" si="42"/>
        <v>3.2092515017515828E-13</v>
      </c>
      <c r="Q340" s="3"/>
      <c r="R340" s="11">
        <f t="shared" si="46"/>
        <v>0.14406331640919653</v>
      </c>
      <c r="S340" s="3">
        <f t="shared" si="47"/>
        <v>4.5650910211548577E-15</v>
      </c>
      <c r="T340" s="3"/>
      <c r="U340" s="9">
        <f t="shared" si="43"/>
        <v>8.4208777539865592E-3</v>
      </c>
      <c r="V340" s="3">
        <f t="shared" si="44"/>
        <v>2.6684151373952894E-16</v>
      </c>
    </row>
    <row r="341" spans="1:22" x14ac:dyDescent="0.2">
      <c r="A341" t="s">
        <v>790</v>
      </c>
      <c r="B341" s="1" t="str">
        <f>VLOOKUP(REPLACE(A341,FIND("dist",A341),4,"fit")&amp;"*",'[413]t (Cherniak)'!$A:$A,1,0)</f>
        <v>CGI015-qtz11-CL-fit-1-offset</v>
      </c>
      <c r="C341">
        <v>1700</v>
      </c>
      <c r="D341">
        <v>1024</v>
      </c>
      <c r="E341" s="1">
        <f t="shared" si="40"/>
        <v>1.66015625</v>
      </c>
      <c r="F341">
        <f>'[754]CGI015-qtz11-CL-dist-1'!$B$4</f>
        <v>330</v>
      </c>
      <c r="G341" s="1">
        <f t="shared" si="45"/>
        <v>547.8515625</v>
      </c>
      <c r="H341" s="1"/>
      <c r="I341" s="1" t="str">
        <f>VLOOKUP($B341, '[413]t (Cherniak) Category'!$1:$1048576, MATCH(I$1, '[413]t (Cherniak) Category'!$1:$1, 0), 0)</f>
        <v>Core</v>
      </c>
      <c r="J341" s="1"/>
      <c r="K341" s="4">
        <f>VLOOKUP($B341, '[413]t (Cherniak)'!$1:$1048576, MATCH(LEFT(K$1,FIND(" (",K$1)-1), '[413]t (Cherniak)'!$1:$1, 0), 0)</f>
        <v>1109.8033303897603</v>
      </c>
      <c r="L341" s="4">
        <f>'D(Ti_Audétat23) Times'!Z341</f>
        <v>78018.992133945183</v>
      </c>
      <c r="M341" s="4">
        <f>VLOOKUP($B341, '[413]t (J)'!$1:$1048576, MATCH(LEFT(M$1,FIND(" (",M$1)-1),'[413]t (J)'!$1:$1, 0), 0)</f>
        <v>1334739.0946743221</v>
      </c>
      <c r="O341" s="1">
        <f t="shared" si="41"/>
        <v>0.49364743058357541</v>
      </c>
      <c r="P341" s="3">
        <f t="shared" si="42"/>
        <v>1.5642743129502096E-14</v>
      </c>
      <c r="Q341" s="3"/>
      <c r="R341" s="11">
        <f t="shared" si="46"/>
        <v>7.0220281948712325E-3</v>
      </c>
      <c r="S341" s="3">
        <f t="shared" si="47"/>
        <v>2.2251464607166679E-16</v>
      </c>
      <c r="T341" s="3"/>
      <c r="U341" s="9">
        <f t="shared" si="43"/>
        <v>4.1045591957705892E-4</v>
      </c>
      <c r="V341" s="3">
        <f t="shared" si="44"/>
        <v>1.3006563223345846E-17</v>
      </c>
    </row>
    <row r="342" spans="1:22" x14ac:dyDescent="0.2">
      <c r="A342" t="s">
        <v>791</v>
      </c>
      <c r="B342" s="1" t="str">
        <f>VLOOKUP(REPLACE(A342,FIND("dist",A342),4,"fit")&amp;"*",'[413]t (Cherniak)'!$A:$A,1,0)</f>
        <v>CGI015-qtz11-CL-fit-2-offset</v>
      </c>
      <c r="C342">
        <v>1700</v>
      </c>
      <c r="D342">
        <v>1024</v>
      </c>
      <c r="E342" s="1">
        <f t="shared" si="40"/>
        <v>1.66015625</v>
      </c>
      <c r="F342">
        <f>'[755]CGI015-qtz11-CL-dist-2'!$B$4</f>
        <v>373.25900000000001</v>
      </c>
      <c r="G342" s="1">
        <f t="shared" si="45"/>
        <v>619.66826171875005</v>
      </c>
      <c r="H342" s="1"/>
      <c r="I342" s="1" t="str">
        <f>VLOOKUP($B342, '[413]t (Cherniak) Category'!$1:$1048576, MATCH(I$1, '[413]t (Cherniak) Category'!$1:$1, 0), 0)</f>
        <v>Core</v>
      </c>
      <c r="J342" s="1"/>
      <c r="K342" s="4">
        <f>VLOOKUP($B342, '[413]t (Cherniak)'!$1:$1048576, MATCH(LEFT(K$1,FIND(" (",K$1)-1), '[413]t (Cherniak)'!$1:$1, 0), 0)</f>
        <v>957.46525227920449</v>
      </c>
      <c r="L342" s="4">
        <f>'D(Ti_Audétat23) Times'!Z342</f>
        <v>67309.650224118959</v>
      </c>
      <c r="M342" s="4">
        <f>VLOOKUP($B342, '[413]t (J)'!$1:$1048576, MATCH(LEFT(M$1,FIND(" (",M$1)-1),'[413]t (J)'!$1:$1, 0), 0)</f>
        <v>1151525.0216094125</v>
      </c>
      <c r="O342" s="1">
        <f t="shared" si="41"/>
        <v>0.64719660608430085</v>
      </c>
      <c r="P342" s="3">
        <f t="shared" si="42"/>
        <v>2.050842288654083E-14</v>
      </c>
      <c r="Q342" s="3"/>
      <c r="R342" s="11">
        <f t="shared" si="46"/>
        <v>9.2062320879020901E-3</v>
      </c>
      <c r="S342" s="3">
        <f t="shared" si="47"/>
        <v>2.9172789083777249E-16</v>
      </c>
      <c r="T342" s="3"/>
      <c r="U342" s="9">
        <f t="shared" si="43"/>
        <v>5.3812835161209049E-4</v>
      </c>
      <c r="V342" s="3">
        <f t="shared" si="44"/>
        <v>1.7052258461102571E-17</v>
      </c>
    </row>
    <row r="343" spans="1:22" x14ac:dyDescent="0.2">
      <c r="A343" t="s">
        <v>792</v>
      </c>
      <c r="B343" s="1" t="str">
        <f>VLOOKUP(REPLACE(A343,FIND("dist",A343),4,"fit")&amp;"*",'[413]t (Cherniak)'!$A:$A,1,0)</f>
        <v>CGI015-qtz11-CL-fit-3-offset</v>
      </c>
      <c r="C343">
        <v>1700</v>
      </c>
      <c r="D343">
        <v>1024</v>
      </c>
      <c r="E343" s="1">
        <f t="shared" si="40"/>
        <v>1.66015625</v>
      </c>
      <c r="F343">
        <f>'[756]CGI015-qtz11-CL-dist-3'!$B$4</f>
        <v>334.05500000000001</v>
      </c>
      <c r="G343" s="1">
        <f t="shared" si="45"/>
        <v>554.58349609375</v>
      </c>
      <c r="H343" s="1"/>
      <c r="I343" s="1" t="str">
        <f>VLOOKUP($B343, '[413]t (Cherniak) Category'!$1:$1048576, MATCH(I$1, '[413]t (Cherniak) Category'!$1:$1, 0), 0)</f>
        <v>Interior</v>
      </c>
      <c r="J343" s="1"/>
      <c r="K343" s="4">
        <f>VLOOKUP($B343, '[413]t (Cherniak)'!$1:$1048576, MATCH(LEFT(K$1,FIND(" (",K$1)-1), '[413]t (Cherniak)'!$1:$1, 0), 0)</f>
        <v>79.169880858517743</v>
      </c>
      <c r="L343" s="4">
        <f>'D(Ti_Audétat23) Times'!Z343</f>
        <v>5565.6296415841643</v>
      </c>
      <c r="M343" s="4">
        <f>VLOOKUP($B343, '[413]t (J)'!$1:$1048576, MATCH(LEFT(M$1,FIND(" (",M$1)-1),'[413]t (J)'!$1:$1, 0), 0)</f>
        <v>95216.091183886121</v>
      </c>
      <c r="O343" s="1">
        <f t="shared" si="41"/>
        <v>7.0049808093665122</v>
      </c>
      <c r="P343" s="3">
        <f t="shared" si="42"/>
        <v>2.2197444702279364E-13</v>
      </c>
      <c r="Q343" s="3"/>
      <c r="R343" s="11">
        <f t="shared" si="46"/>
        <v>9.96443406780292E-2</v>
      </c>
      <c r="S343" s="3">
        <f t="shared" si="47"/>
        <v>3.1575386175764062E-15</v>
      </c>
      <c r="T343" s="3"/>
      <c r="U343" s="9">
        <f t="shared" si="43"/>
        <v>5.8244724100542039E-3</v>
      </c>
      <c r="V343" s="3">
        <f t="shared" si="44"/>
        <v>1.8456639320018642E-16</v>
      </c>
    </row>
    <row r="344" spans="1:22" x14ac:dyDescent="0.2">
      <c r="A344" t="s">
        <v>793</v>
      </c>
      <c r="B344" s="1" t="str">
        <f>VLOOKUP(REPLACE(A344,FIND("dist",A344),4,"fit")&amp;"*",'[413]t (Cherniak)'!$A:$A,1,0)</f>
        <v>CGI015-qtz11-CL-fit-4-offset</v>
      </c>
      <c r="C344">
        <v>1700</v>
      </c>
      <c r="D344">
        <v>1024</v>
      </c>
      <c r="E344" s="1">
        <f t="shared" si="40"/>
        <v>1.66015625</v>
      </c>
      <c r="F344">
        <f>'[757]CGI015-qtz11-CL-dist-4'!$B$4</f>
        <v>194.505</v>
      </c>
      <c r="G344" s="1">
        <f t="shared" si="45"/>
        <v>322.90869140625</v>
      </c>
      <c r="H344" s="1"/>
      <c r="I344" s="1" t="str">
        <f>VLOOKUP($B344, '[413]t (Cherniak) Category'!$1:$1048576, MATCH(I$1, '[413]t (Cherniak) Category'!$1:$1, 0), 0)</f>
        <v>Interior</v>
      </c>
      <c r="J344" s="1"/>
      <c r="K344" s="4">
        <f>VLOOKUP($B344, '[413]t (Cherniak)'!$1:$1048576, MATCH(LEFT(K$1,FIND(" (",K$1)-1), '[413]t (Cherniak)'!$1:$1, 0), 0)</f>
        <v>72.133891108542826</v>
      </c>
      <c r="L344" s="4">
        <f>'D(Ti_Audétat23) Times'!Z344</f>
        <v>5071.0007159663028</v>
      </c>
      <c r="M344" s="4">
        <f>VLOOKUP($B344, '[413]t (J)'!$1:$1048576, MATCH(LEFT(M$1,FIND(" (",M$1)-1),'[413]t (J)'!$1:$1, 0), 0)</f>
        <v>86754.04179922519</v>
      </c>
      <c r="O344" s="1">
        <f t="shared" si="41"/>
        <v>4.4765184082521774</v>
      </c>
      <c r="P344" s="3">
        <f t="shared" si="42"/>
        <v>1.4185230842181209E-13</v>
      </c>
      <c r="Q344" s="3"/>
      <c r="R344" s="11">
        <f t="shared" si="46"/>
        <v>6.3677508541766834E-2</v>
      </c>
      <c r="S344" s="3">
        <f t="shared" si="47"/>
        <v>2.017818482450086E-15</v>
      </c>
      <c r="T344" s="3"/>
      <c r="U344" s="9">
        <f t="shared" si="43"/>
        <v>3.7221169724121596E-3</v>
      </c>
      <c r="V344" s="3">
        <f t="shared" si="44"/>
        <v>1.1794676947588408E-16</v>
      </c>
    </row>
    <row r="345" spans="1:22" x14ac:dyDescent="0.2">
      <c r="A345" t="s">
        <v>794</v>
      </c>
      <c r="B345" s="1" t="str">
        <f>VLOOKUP(REPLACE(A345,FIND("dist",A345),4,"fit")&amp;"*",'[413]t (Cherniak)'!$A:$A,1,0)</f>
        <v>CGI015-qtz11-CL-fit-5-offset</v>
      </c>
      <c r="C345">
        <v>1700</v>
      </c>
      <c r="D345">
        <v>1024</v>
      </c>
      <c r="E345" s="1">
        <f t="shared" si="40"/>
        <v>1.66015625</v>
      </c>
      <c r="F345">
        <f>'[758]CGI015-qtz11-CL-dist-5'!$B$4</f>
        <v>93.536100000000005</v>
      </c>
      <c r="G345" s="1">
        <f t="shared" si="45"/>
        <v>155.284541015625</v>
      </c>
      <c r="H345" s="1"/>
      <c r="I345" s="1" t="str">
        <f>VLOOKUP($B345, '[413]t (Cherniak) Category'!$1:$1048576, MATCH(I$1, '[413]t (Cherniak) Category'!$1:$1, 0), 0)</f>
        <v>Interior</v>
      </c>
      <c r="J345" s="1"/>
      <c r="K345" s="4">
        <f>VLOOKUP($B345, '[413]t (Cherniak)'!$1:$1048576, MATCH(LEFT(K$1,FIND(" (",K$1)-1), '[413]t (Cherniak)'!$1:$1, 0), 0)</f>
        <v>55.728689798252205</v>
      </c>
      <c r="L345" s="4">
        <f>'D(Ti_Audétat23) Times'!Z345</f>
        <v>3917.7177540798507</v>
      </c>
      <c r="M345" s="4">
        <f>VLOOKUP($B345, '[413]t (J)'!$1:$1048576, MATCH(LEFT(M$1,FIND(" (",M$1)-1),'[413]t (J)'!$1:$1, 0), 0)</f>
        <v>67023.822087992885</v>
      </c>
      <c r="O345" s="1">
        <f t="shared" si="41"/>
        <v>2.7864380371722848</v>
      </c>
      <c r="P345" s="3">
        <f t="shared" si="42"/>
        <v>8.8296893210265823E-14</v>
      </c>
      <c r="Q345" s="3"/>
      <c r="R345" s="11">
        <f t="shared" si="46"/>
        <v>3.9636479900552836E-2</v>
      </c>
      <c r="S345" s="3">
        <f t="shared" si="47"/>
        <v>1.2560042557277117E-15</v>
      </c>
      <c r="T345" s="3"/>
      <c r="U345" s="9">
        <f t="shared" si="43"/>
        <v>2.3168559502882149E-3</v>
      </c>
      <c r="V345" s="3">
        <f t="shared" si="44"/>
        <v>7.3416734805188447E-17</v>
      </c>
    </row>
    <row r="346" spans="1:22" x14ac:dyDescent="0.2">
      <c r="A346" t="s">
        <v>795</v>
      </c>
      <c r="B346" s="1" t="str">
        <f>VLOOKUP(REPLACE(A346,FIND("dist",A346),4,"fit")&amp;"*",'[413]t (Cherniak)'!$A:$A,1,0)</f>
        <v>CGI015-qtz11-CL-fit-6-offset</v>
      </c>
      <c r="C346">
        <v>1700</v>
      </c>
      <c r="D346">
        <v>1024</v>
      </c>
      <c r="E346" s="1">
        <f t="shared" si="40"/>
        <v>1.66015625</v>
      </c>
      <c r="F346">
        <f>'[759]CGI015-qtz11-CL-dist-6'!$B$4</f>
        <v>50.249400000000001</v>
      </c>
      <c r="G346" s="1">
        <f t="shared" si="45"/>
        <v>83.421855468749996</v>
      </c>
      <c r="H346" s="1"/>
      <c r="I346" s="1" t="str">
        <f>VLOOKUP($B346, '[413]t (Cherniak) Category'!$1:$1048576, MATCH(I$1, '[413]t (Cherniak) Category'!$1:$1, 0), 0)</f>
        <v>Interior</v>
      </c>
      <c r="J346" s="1"/>
      <c r="K346" s="4">
        <f>VLOOKUP($B346, '[413]t (Cherniak)'!$1:$1048576, MATCH(LEFT(K$1,FIND(" (",K$1)-1), '[413]t (Cherniak)'!$1:$1, 0), 0)</f>
        <v>135.66997327047625</v>
      </c>
      <c r="L346" s="4">
        <f>'D(Ti_Audétat23) Times'!Z346</f>
        <v>9537.5768729081701</v>
      </c>
      <c r="M346" s="4">
        <f>VLOOKUP($B346, '[413]t (J)'!$1:$1048576, MATCH(LEFT(M$1,FIND(" (",M$1)-1),'[413]t (J)'!$1:$1, 0), 0)</f>
        <v>163167.66434096813</v>
      </c>
      <c r="O346" s="1">
        <f t="shared" si="41"/>
        <v>0.61488812489435196</v>
      </c>
      <c r="P346" s="3">
        <f t="shared" si="42"/>
        <v>1.9484628897455825E-14</v>
      </c>
      <c r="Q346" s="3"/>
      <c r="R346" s="11">
        <f t="shared" si="46"/>
        <v>8.7466509135787698E-3</v>
      </c>
      <c r="S346" s="3">
        <f t="shared" si="47"/>
        <v>2.7716464222814059E-16</v>
      </c>
      <c r="T346" s="3"/>
      <c r="U346" s="9">
        <f t="shared" si="43"/>
        <v>5.1126462958019092E-4</v>
      </c>
      <c r="V346" s="3">
        <f t="shared" si="44"/>
        <v>1.6200998478344074E-17</v>
      </c>
    </row>
    <row r="347" spans="1:22" x14ac:dyDescent="0.2">
      <c r="A347" t="s">
        <v>796</v>
      </c>
      <c r="B347" s="1" t="str">
        <f>VLOOKUP(REPLACE(A347,FIND("dist",A347),4,"fit")&amp;"*",'[413]t (Cherniak)'!$A:$A,1,0)</f>
        <v>CGI015-qtz11-CL-fit-7-offset</v>
      </c>
      <c r="C347">
        <v>1700</v>
      </c>
      <c r="D347">
        <v>1024</v>
      </c>
      <c r="E347" s="1">
        <f t="shared" si="40"/>
        <v>1.66015625</v>
      </c>
      <c r="F347">
        <f>'[760]CGI015-qtz11-CL-dist-7'!$B$4</f>
        <v>22</v>
      </c>
      <c r="G347" s="1">
        <f t="shared" si="45"/>
        <v>36.5234375</v>
      </c>
      <c r="H347" s="1"/>
      <c r="I347" s="1" t="str">
        <f>VLOOKUP($B347, '[413]t (Cherniak) Category'!$1:$1048576, MATCH(I$1, '[413]t (Cherniak) Category'!$1:$1, 0), 0)</f>
        <v>Rim</v>
      </c>
      <c r="J347" s="1"/>
      <c r="K347" s="4">
        <f>VLOOKUP($B347, '[413]t (Cherniak)'!$1:$1048576, MATCH(LEFT(K$1,FIND(" (",K$1)-1), '[413]t (Cherniak)'!$1:$1, 0), 0)</f>
        <v>19.085497857626311</v>
      </c>
      <c r="L347" s="4">
        <f>'D(Ti_Audétat23) Times'!Z347</f>
        <v>1341.7073696324471</v>
      </c>
      <c r="M347" s="4">
        <f>VLOOKUP($B347, '[413]t (J)'!$1:$1048576, MATCH(LEFT(M$1,FIND(" (",M$1)-1),'[413]t (J)'!$1:$1, 0), 0)</f>
        <v>22953.76075592636</v>
      </c>
      <c r="O347" s="1">
        <f t="shared" si="41"/>
        <v>1.9136748631058487</v>
      </c>
      <c r="P347" s="3">
        <f t="shared" si="42"/>
        <v>6.0640697109597949E-14</v>
      </c>
      <c r="Q347" s="3"/>
      <c r="R347" s="11">
        <f t="shared" si="46"/>
        <v>2.7221612049433238E-2</v>
      </c>
      <c r="S347" s="3">
        <f t="shared" si="47"/>
        <v>8.6260083306186894E-16</v>
      </c>
      <c r="T347" s="3"/>
      <c r="U347" s="9">
        <f t="shared" si="43"/>
        <v>1.5911744436288126E-3</v>
      </c>
      <c r="V347" s="3">
        <f t="shared" si="44"/>
        <v>5.0421275497148468E-17</v>
      </c>
    </row>
    <row r="348" spans="1:22" x14ac:dyDescent="0.2">
      <c r="A348" t="s">
        <v>797</v>
      </c>
      <c r="B348" s="1" t="str">
        <f>VLOOKUP(REPLACE(A348,FIND("dist",A348),4,"fit")&amp;"*",'[413]t (Cherniak)'!$A:$A,1,0)</f>
        <v>CGI015-qtz12-CL-fit-1-offset</v>
      </c>
      <c r="C348">
        <v>2300</v>
      </c>
      <c r="D348">
        <v>1024</v>
      </c>
      <c r="E348" s="1">
        <f t="shared" si="40"/>
        <v>2.24609375</v>
      </c>
      <c r="F348">
        <f>'[761]CGI015-qtz12-CL-dist-1'!$B$4</f>
        <v>586.07600000000002</v>
      </c>
      <c r="G348" s="1">
        <f t="shared" si="45"/>
        <v>1316.381640625</v>
      </c>
      <c r="H348" s="1"/>
      <c r="I348" s="1" t="str">
        <f>VLOOKUP($B348, '[413]t (Cherniak) Category'!$1:$1048576, MATCH(I$1, '[413]t (Cherniak) Category'!$1:$1, 0), 0)</f>
        <v>Core</v>
      </c>
      <c r="J348" s="1"/>
      <c r="K348" s="4">
        <f>VLOOKUP($B348, '[413]t (Cherniak)'!$1:$1048576, MATCH(LEFT(K$1,FIND(" (",K$1)-1), '[413]t (Cherniak)'!$1:$1, 0), 0)</f>
        <v>1705.4504948488798</v>
      </c>
      <c r="L348" s="4">
        <f>'D(Ti_Audétat23) Times'!Z348</f>
        <v>119892.89011749334</v>
      </c>
      <c r="M348" s="4">
        <f>VLOOKUP($B348, '[413]t (J)'!$1:$1048576, MATCH(LEFT(M$1,FIND(" (",M$1)-1),'[413]t (J)'!$1:$1, 0), 0)</f>
        <v>2051112.469366105</v>
      </c>
      <c r="O348" s="1">
        <f t="shared" si="41"/>
        <v>0.7718674007841223</v>
      </c>
      <c r="P348" s="3">
        <f t="shared" si="42"/>
        <v>2.4459001976833544E-14</v>
      </c>
      <c r="Q348" s="3"/>
      <c r="R348" s="11">
        <f t="shared" si="46"/>
        <v>1.0979647244594442E-2</v>
      </c>
      <c r="S348" s="3">
        <f t="shared" si="47"/>
        <v>3.4792402605376967E-16</v>
      </c>
      <c r="T348" s="3"/>
      <c r="U348" s="9">
        <f t="shared" si="43"/>
        <v>6.4178910727007914E-4</v>
      </c>
      <c r="V348" s="3">
        <f t="shared" si="44"/>
        <v>2.0337069589261514E-17</v>
      </c>
    </row>
    <row r="349" spans="1:22" x14ac:dyDescent="0.2">
      <c r="A349" t="s">
        <v>798</v>
      </c>
      <c r="B349" s="1" t="str">
        <f>VLOOKUP(REPLACE(A349,FIND("dist",A349),4,"fit")&amp;"*",'[413]t (Cherniak)'!$A:$A,1,0)</f>
        <v>CGI015-qtz12-CL-fit-2-offset</v>
      </c>
      <c r="C349">
        <v>2300</v>
      </c>
      <c r="D349">
        <v>1024</v>
      </c>
      <c r="E349" s="1">
        <f t="shared" si="40"/>
        <v>2.24609375</v>
      </c>
      <c r="F349">
        <f>'[762]CGI015-qtz12-CL-dist-2'!$B$4</f>
        <v>421.1</v>
      </c>
      <c r="G349" s="1">
        <f t="shared" si="45"/>
        <v>945.830078125</v>
      </c>
      <c r="H349" s="1"/>
      <c r="I349" s="1" t="str">
        <f>VLOOKUP($B349, '[413]t (Cherniak) Category'!$1:$1048576, MATCH(I$1, '[413]t (Cherniak) Category'!$1:$1, 0), 0)</f>
        <v>Core</v>
      </c>
      <c r="J349" s="1"/>
      <c r="K349" s="4">
        <f>VLOOKUP($B349, '[413]t (Cherniak)'!$1:$1048576, MATCH(LEFT(K$1,FIND(" (",K$1)-1), '[413]t (Cherniak)'!$1:$1, 0), 0)</f>
        <v>372.3247546563673</v>
      </c>
      <c r="L349" s="4">
        <f>'D(Ti_Audétat23) Times'!Z349</f>
        <v>26174.369196212869</v>
      </c>
      <c r="M349" s="4">
        <f>VLOOKUP($B349, '[413]t (J)'!$1:$1048576, MATCH(LEFT(M$1,FIND(" (",M$1)-1),'[413]t (J)'!$1:$1, 0), 0)</f>
        <v>447787.81280134461</v>
      </c>
      <c r="O349" s="1">
        <f t="shared" si="41"/>
        <v>2.5403362690668865</v>
      </c>
      <c r="P349" s="3">
        <f t="shared" si="42"/>
        <v>8.0498398771354172E-14</v>
      </c>
      <c r="Q349" s="3"/>
      <c r="R349" s="11">
        <f t="shared" si="46"/>
        <v>3.6135735346082408E-2</v>
      </c>
      <c r="S349" s="3">
        <f t="shared" si="47"/>
        <v>1.1450723548711692E-15</v>
      </c>
      <c r="T349" s="3"/>
      <c r="U349" s="9">
        <f t="shared" si="43"/>
        <v>2.1122282721539936E-3</v>
      </c>
      <c r="V349" s="3">
        <f t="shared" si="44"/>
        <v>6.6932474971290389E-17</v>
      </c>
    </row>
    <row r="350" spans="1:22" x14ac:dyDescent="0.2">
      <c r="A350" t="s">
        <v>799</v>
      </c>
      <c r="B350" s="1" t="str">
        <f>VLOOKUP(REPLACE(A350,FIND("dist",A350),4,"fit")&amp;"*",'[413]t (Cherniak)'!$A:$A,1,0)</f>
        <v>CGI015-qtz12-CL-fit-3-offset</v>
      </c>
      <c r="C350">
        <v>2300</v>
      </c>
      <c r="D350">
        <v>1024</v>
      </c>
      <c r="E350" s="1">
        <f t="shared" si="40"/>
        <v>2.24609375</v>
      </c>
      <c r="F350">
        <f>'[763]CGI015-qtz12-CL-dist-3'!$B$4</f>
        <v>293.94600000000003</v>
      </c>
      <c r="G350" s="1">
        <f t="shared" si="45"/>
        <v>660.23027343750005</v>
      </c>
      <c r="H350" s="1"/>
      <c r="I350" s="1" t="str">
        <f>VLOOKUP($B350, '[413]t (Cherniak) Category'!$1:$1048576, MATCH(I$1, '[413]t (Cherniak) Category'!$1:$1, 0), 0)</f>
        <v>Interior</v>
      </c>
      <c r="J350" s="1"/>
      <c r="K350" s="4">
        <f>VLOOKUP($B350, '[413]t (Cherniak)'!$1:$1048576, MATCH(LEFT(K$1,FIND(" (",K$1)-1), '[413]t (Cherniak)'!$1:$1, 0), 0)</f>
        <v>447.38701102126066</v>
      </c>
      <c r="L350" s="4">
        <f>'D(Ti_Audétat23) Times'!Z350</f>
        <v>31451.233509489059</v>
      </c>
      <c r="M350" s="4">
        <f>VLOOKUP($B350, '[413]t (J)'!$1:$1048576, MATCH(LEFT(M$1,FIND(" (",M$1)-1),'[413]t (J)'!$1:$1, 0), 0)</f>
        <v>538063.74310469278</v>
      </c>
      <c r="O350" s="1">
        <f t="shared" si="41"/>
        <v>1.4757475232246398</v>
      </c>
      <c r="P350" s="3">
        <f t="shared" si="42"/>
        <v>4.6763617107278109E-14</v>
      </c>
      <c r="Q350" s="3"/>
      <c r="R350" s="11">
        <f t="shared" si="46"/>
        <v>2.0992190123109288E-2</v>
      </c>
      <c r="S350" s="3">
        <f t="shared" si="47"/>
        <v>6.652023640298782E-16</v>
      </c>
      <c r="T350" s="3"/>
      <c r="U350" s="9">
        <f t="shared" si="43"/>
        <v>1.2270484341276957E-3</v>
      </c>
      <c r="V350" s="3">
        <f t="shared" si="44"/>
        <v>3.888281853270514E-17</v>
      </c>
    </row>
    <row r="351" spans="1:22" x14ac:dyDescent="0.2">
      <c r="A351" t="s">
        <v>800</v>
      </c>
      <c r="B351" s="1" t="str">
        <f>VLOOKUP(REPLACE(A351,FIND("dist",A351),4,"fit")&amp;"*",'[413]t (Cherniak)'!$A:$A,1,0)</f>
        <v>CGI015-qtz12-CL-fit-4-offset</v>
      </c>
      <c r="C351">
        <v>2300</v>
      </c>
      <c r="D351">
        <v>1024</v>
      </c>
      <c r="E351" s="1">
        <f t="shared" si="40"/>
        <v>2.24609375</v>
      </c>
      <c r="F351">
        <f>'[764]CGI015-qtz12-CL-dist-4'!$B$4</f>
        <v>85.796300000000002</v>
      </c>
      <c r="G351" s="1">
        <f t="shared" si="45"/>
        <v>192.70653320312499</v>
      </c>
      <c r="H351" s="1"/>
      <c r="I351" s="1" t="str">
        <f>VLOOKUP($B351, '[413]t (Cherniak) Category'!$1:$1048576, MATCH(I$1, '[413]t (Cherniak) Category'!$1:$1, 0), 0)</f>
        <v>Rim</v>
      </c>
      <c r="J351" s="1"/>
      <c r="K351" s="4">
        <f>VLOOKUP($B351, '[413]t (Cherniak)'!$1:$1048576, MATCH(LEFT(K$1,FIND(" (",K$1)-1), '[413]t (Cherniak)'!$1:$1, 0), 0)</f>
        <v>56.520457705949738</v>
      </c>
      <c r="L351" s="4">
        <f>'D(Ti_Audétat23) Times'!Z351</f>
        <v>3973.3789081519599</v>
      </c>
      <c r="M351" s="4">
        <f>VLOOKUP($B351, '[413]t (J)'!$1:$1048576, MATCH(LEFT(M$1,FIND(" (",M$1)-1),'[413]t (J)'!$1:$1, 0), 0)</f>
        <v>67976.066104003577</v>
      </c>
      <c r="O351" s="1">
        <f t="shared" si="41"/>
        <v>3.4095005777499101</v>
      </c>
      <c r="P351" s="3">
        <f t="shared" si="42"/>
        <v>1.0804055370972158E-13</v>
      </c>
      <c r="Q351" s="3"/>
      <c r="R351" s="11">
        <f t="shared" si="46"/>
        <v>4.8499410113583614E-2</v>
      </c>
      <c r="S351" s="3">
        <f t="shared" si="47"/>
        <v>1.5368535666078414E-15</v>
      </c>
      <c r="T351" s="3"/>
      <c r="U351" s="9">
        <f t="shared" si="43"/>
        <v>2.8349174091404973E-3</v>
      </c>
      <c r="V351" s="3">
        <f t="shared" si="44"/>
        <v>8.9833111806363522E-17</v>
      </c>
    </row>
    <row r="352" spans="1:22" x14ac:dyDescent="0.2">
      <c r="A352" t="s">
        <v>801</v>
      </c>
      <c r="B352" s="1" t="str">
        <f>VLOOKUP(REPLACE(A352,FIND("dist",A352),4,"fit")&amp;"*",'[413]t (Cherniak)'!$A:$A,1,0)</f>
        <v>CGI015-qtz12-CL-fit-5-offset</v>
      </c>
      <c r="C352">
        <v>2300</v>
      </c>
      <c r="D352">
        <v>1024</v>
      </c>
      <c r="E352" s="1">
        <f t="shared" si="40"/>
        <v>2.24609375</v>
      </c>
      <c r="F352">
        <f>'[765]CGI015-qtz12-CL-dist-5'!$B$4</f>
        <v>54.451799999999999</v>
      </c>
      <c r="G352" s="1">
        <f t="shared" si="45"/>
        <v>122.30384765625</v>
      </c>
      <c r="H352" s="1"/>
      <c r="I352" s="1" t="str">
        <f>VLOOKUP($B352, '[413]t (Cherniak) Category'!$1:$1048576, MATCH(I$1, '[413]t (Cherniak) Category'!$1:$1, 0), 0)</f>
        <v>Rim</v>
      </c>
      <c r="J352" s="1"/>
      <c r="K352" s="4">
        <f>VLOOKUP($B352, '[413]t (Cherniak)'!$1:$1048576, MATCH(LEFT(K$1,FIND(" (",K$1)-1), '[413]t (Cherniak)'!$1:$1, 0), 0)</f>
        <v>135.78607797587108</v>
      </c>
      <c r="L352" s="4">
        <f>'D(Ti_Audétat23) Times'!Z352</f>
        <v>9545.7390146578527</v>
      </c>
      <c r="M352" s="4">
        <f>VLOOKUP($B352, '[413]t (J)'!$1:$1048576, MATCH(LEFT(M$1,FIND(" (",M$1)-1),'[413]t (J)'!$1:$1, 0), 0)</f>
        <v>163307.30123439111</v>
      </c>
      <c r="O352" s="1">
        <f t="shared" si="41"/>
        <v>0.90070977437011734</v>
      </c>
      <c r="P352" s="3">
        <f t="shared" si="42"/>
        <v>2.8541770425194476E-14</v>
      </c>
      <c r="Q352" s="3"/>
      <c r="R352" s="11">
        <f t="shared" si="46"/>
        <v>1.2812402210918158E-2</v>
      </c>
      <c r="S352" s="3">
        <f t="shared" si="47"/>
        <v>4.0600052636823323E-16</v>
      </c>
      <c r="T352" s="3"/>
      <c r="U352" s="9">
        <f t="shared" si="43"/>
        <v>7.4891843005053511E-4</v>
      </c>
      <c r="V352" s="3">
        <f t="shared" si="44"/>
        <v>2.3731792976986053E-17</v>
      </c>
    </row>
    <row r="353" spans="1:22" x14ac:dyDescent="0.2">
      <c r="A353" t="s">
        <v>802</v>
      </c>
      <c r="B353" s="1" t="str">
        <f>VLOOKUP(REPLACE(A353,FIND("dist",A353),4,"fit")&amp;"*",'[413]t (Cherniak)'!$A:$A,1,0)</f>
        <v>CGI018-qtz01-CL-fit-1-offset</v>
      </c>
      <c r="C353">
        <v>1700</v>
      </c>
      <c r="D353">
        <v>1024</v>
      </c>
      <c r="E353" s="1">
        <f t="shared" si="40"/>
        <v>1.66015625</v>
      </c>
      <c r="F353">
        <f>'[766]CGI018-qtz01-CL-dist-1'!$B$4</f>
        <v>738.94299999999998</v>
      </c>
      <c r="G353" s="1">
        <f t="shared" si="45"/>
        <v>1226.7608398437499</v>
      </c>
      <c r="H353" s="1"/>
      <c r="I353" s="1" t="str">
        <f>VLOOKUP($B353, '[413]t (Cherniak) Category'!$1:$1048576, MATCH(I$1, '[413]t (Cherniak) Category'!$1:$1, 0), 0)</f>
        <v>Interior</v>
      </c>
      <c r="J353" s="1"/>
      <c r="K353" s="4">
        <f>VLOOKUP($B353, '[413]t (Cherniak)'!$1:$1048576, MATCH(LEFT(K$1,FIND(" (",K$1)-1), '[413]t (Cherniak)'!$1:$1, 0), 0)</f>
        <v>2868.2283424839989</v>
      </c>
      <c r="L353" s="4">
        <f>'D(Ti_Audétat23) Times'!Z353</f>
        <v>201635.98212669633</v>
      </c>
      <c r="M353" s="4">
        <f>VLOOKUP($B353, '[413]t (J)'!$1:$1048576, MATCH(LEFT(M$1,FIND(" (",M$1)-1),'[413]t (J)'!$1:$1, 0), 0)</f>
        <v>3449562.995834426</v>
      </c>
      <c r="O353" s="1">
        <f t="shared" si="41"/>
        <v>0.42770682573386976</v>
      </c>
      <c r="P353" s="3">
        <f t="shared" si="42"/>
        <v>1.3553211452514441E-14</v>
      </c>
      <c r="Q353" s="3"/>
      <c r="R353" s="11">
        <f t="shared" si="46"/>
        <v>6.0840373176694459E-3</v>
      </c>
      <c r="S353" s="3">
        <f t="shared" si="47"/>
        <v>1.9279150878613855E-16</v>
      </c>
      <c r="T353" s="3"/>
      <c r="U353" s="9">
        <f t="shared" si="43"/>
        <v>3.5562789875852221E-4</v>
      </c>
      <c r="V353" s="3">
        <f t="shared" si="44"/>
        <v>1.1269168084978648E-17</v>
      </c>
    </row>
    <row r="354" spans="1:22" x14ac:dyDescent="0.2">
      <c r="A354" t="s">
        <v>803</v>
      </c>
      <c r="B354" s="1" t="str">
        <f>VLOOKUP(REPLACE(A354,FIND("dist",A354),4,"fit")&amp;"*",'[413]t (Cherniak)'!$A:$A,1,0)</f>
        <v>CGI018-qtz01-CL-fit-2-offset</v>
      </c>
      <c r="C354">
        <v>1700</v>
      </c>
      <c r="D354">
        <v>1024</v>
      </c>
      <c r="E354" s="1">
        <f t="shared" si="40"/>
        <v>1.66015625</v>
      </c>
      <c r="F354">
        <f>'[767]CGI018-qtz01-CL-dist-2'!$B$4</f>
        <v>554.46</v>
      </c>
      <c r="G354" s="1">
        <f t="shared" si="45"/>
        <v>920.49023437500011</v>
      </c>
      <c r="H354" s="1"/>
      <c r="I354" s="1" t="str">
        <f>VLOOKUP($B354, '[413]t (Cherniak) Category'!$1:$1048576, MATCH(I$1, '[413]t (Cherniak) Category'!$1:$1, 0), 0)</f>
        <v>Interior</v>
      </c>
      <c r="J354" s="1"/>
      <c r="K354" s="4">
        <f>VLOOKUP($B354, '[413]t (Cherniak)'!$1:$1048576, MATCH(LEFT(K$1,FIND(" (",K$1)-1), '[413]t (Cherniak)'!$1:$1, 0), 0)</f>
        <v>905.03398288675714</v>
      </c>
      <c r="L354" s="4">
        <f>'D(Ti_Audétat23) Times'!Z354</f>
        <v>63623.740583835679</v>
      </c>
      <c r="M354" s="4">
        <f>VLOOKUP($B354, '[413]t (J)'!$1:$1048576, MATCH(LEFT(M$1,FIND(" (",M$1)-1),'[413]t (J)'!$1:$1, 0), 0)</f>
        <v>1088466.9435471282</v>
      </c>
      <c r="O354" s="1">
        <f t="shared" si="41"/>
        <v>1.0170780896413887</v>
      </c>
      <c r="P354" s="3">
        <f t="shared" si="42"/>
        <v>3.2229259818281132E-14</v>
      </c>
      <c r="Q354" s="3"/>
      <c r="R354" s="11">
        <f t="shared" si="46"/>
        <v>1.4467716389011885E-2</v>
      </c>
      <c r="S354" s="3">
        <f t="shared" si="47"/>
        <v>4.5845426740347449E-16</v>
      </c>
      <c r="T354" s="3"/>
      <c r="U354" s="9">
        <f t="shared" si="43"/>
        <v>8.4567587452429136E-4</v>
      </c>
      <c r="V354" s="3">
        <f t="shared" si="44"/>
        <v>2.679785137413147E-17</v>
      </c>
    </row>
    <row r="355" spans="1:22" x14ac:dyDescent="0.2">
      <c r="A355" t="s">
        <v>804</v>
      </c>
      <c r="B355" s="1" t="str">
        <f>VLOOKUP(REPLACE(A355,FIND("dist",A355),4,"fit")&amp;"*",'[413]t (Cherniak)'!$A:$A,1,0)</f>
        <v>CGI018-qtz01-CL-fit-3-offset</v>
      </c>
      <c r="C355">
        <v>1700</v>
      </c>
      <c r="D355">
        <v>1024</v>
      </c>
      <c r="E355" s="1">
        <f t="shared" si="40"/>
        <v>1.66015625</v>
      </c>
      <c r="F355">
        <f>'[768]CGI018-qtz01-CL-dist-3'!$B$4</f>
        <v>395.13299999999998</v>
      </c>
      <c r="G355" s="1">
        <f t="shared" si="45"/>
        <v>655.98251953124998</v>
      </c>
      <c r="H355" s="1"/>
      <c r="I355" s="1" t="str">
        <f>VLOOKUP($B355, '[413]t (Cherniak) Category'!$1:$1048576, MATCH(I$1, '[413]t (Cherniak) Category'!$1:$1, 0), 0)</f>
        <v>Interior</v>
      </c>
      <c r="J355" s="1"/>
      <c r="K355" s="4">
        <f>VLOOKUP($B355, '[413]t (Cherniak)'!$1:$1048576, MATCH(LEFT(K$1,FIND(" (",K$1)-1), '[413]t (Cherniak)'!$1:$1, 0), 0)</f>
        <v>473.64947930365952</v>
      </c>
      <c r="L355" s="4">
        <f>'D(Ti_Audétat23) Times'!Z355</f>
        <v>33297.480723058747</v>
      </c>
      <c r="M355" s="4">
        <f>VLOOKUP($B355, '[413]t (J)'!$1:$1048576, MATCH(LEFT(M$1,FIND(" (",M$1)-1),'[413]t (J)'!$1:$1, 0), 0)</f>
        <v>569649.1079880828</v>
      </c>
      <c r="O355" s="1">
        <f t="shared" si="41"/>
        <v>1.3849535325060405</v>
      </c>
      <c r="P355" s="3">
        <f t="shared" si="42"/>
        <v>4.3886529156401005E-14</v>
      </c>
      <c r="Q355" s="3"/>
      <c r="R355" s="11">
        <f t="shared" si="46"/>
        <v>1.97006651940781E-2</v>
      </c>
      <c r="S355" s="3">
        <f t="shared" si="47"/>
        <v>6.2427640866473046E-16</v>
      </c>
      <c r="T355" s="3"/>
      <c r="U355" s="9">
        <f t="shared" si="43"/>
        <v>1.151555423035918E-3</v>
      </c>
      <c r="V355" s="3">
        <f t="shared" si="44"/>
        <v>3.6490589367883422E-17</v>
      </c>
    </row>
    <row r="356" spans="1:22" x14ac:dyDescent="0.2">
      <c r="A356" t="s">
        <v>805</v>
      </c>
      <c r="B356" s="1" t="str">
        <f>VLOOKUP(REPLACE(A356,FIND("dist",A356),4,"fit")&amp;"*",'[413]t (Cherniak)'!$A:$A,1,0)</f>
        <v>CGI018-qtz01-CL-fit-4-offset</v>
      </c>
      <c r="C356">
        <v>1700</v>
      </c>
      <c r="D356">
        <v>1024</v>
      </c>
      <c r="E356" s="1">
        <f t="shared" si="40"/>
        <v>1.66015625</v>
      </c>
      <c r="F356">
        <f>'[769]CGI018-qtz01-CL-dist-4'!$B$4</f>
        <v>247.976</v>
      </c>
      <c r="G356" s="1">
        <f t="shared" si="45"/>
        <v>411.67890625000001</v>
      </c>
      <c r="H356" s="1"/>
      <c r="I356" s="1" t="str">
        <f>VLOOKUP($B356, '[413]t (Cherniak) Category'!$1:$1048576, MATCH(I$1, '[413]t (Cherniak) Category'!$1:$1, 0), 0)</f>
        <v>Interior</v>
      </c>
      <c r="J356" s="1"/>
      <c r="K356" s="4">
        <f>VLOOKUP($B356, '[413]t (Cherniak)'!$1:$1048576, MATCH(LEFT(K$1,FIND(" (",K$1)-1), '[413]t (Cherniak)'!$1:$1, 0), 0)</f>
        <v>265.41581724040049</v>
      </c>
      <c r="L356" s="4">
        <f>'D(Ti_Audétat23) Times'!Z356</f>
        <v>18658.688427463105</v>
      </c>
      <c r="M356" s="4">
        <f>VLOOKUP($B356, '[413]t (J)'!$1:$1048576, MATCH(LEFT(M$1,FIND(" (",M$1)-1),'[413]t (J)'!$1:$1, 0), 0)</f>
        <v>319210.49244939809</v>
      </c>
      <c r="O356" s="1">
        <f t="shared" si="41"/>
        <v>1.5510714867348003</v>
      </c>
      <c r="P356" s="3">
        <f t="shared" si="42"/>
        <v>4.9150489477488788E-14</v>
      </c>
      <c r="Q356" s="3"/>
      <c r="R356" s="11">
        <f t="shared" si="46"/>
        <v>2.2063657252782219E-2</v>
      </c>
      <c r="S356" s="3">
        <f t="shared" si="47"/>
        <v>6.9915510852479964E-16</v>
      </c>
      <c r="T356" s="3"/>
      <c r="U356" s="9">
        <f t="shared" si="43"/>
        <v>1.289678491114324E-3</v>
      </c>
      <c r="V356" s="3">
        <f t="shared" si="44"/>
        <v>4.086744527829505E-17</v>
      </c>
    </row>
    <row r="357" spans="1:22" x14ac:dyDescent="0.2">
      <c r="A357" t="s">
        <v>806</v>
      </c>
      <c r="B357" s="1" t="str">
        <f>VLOOKUP(REPLACE(A357,FIND("dist",A357),4,"fit")&amp;"*",'[413]t (Cherniak)'!$A:$A,1,0)</f>
        <v>CGI018-qtz01-CL-fit-5-offset</v>
      </c>
      <c r="C357">
        <v>1700</v>
      </c>
      <c r="D357">
        <v>1024</v>
      </c>
      <c r="E357" s="1">
        <f t="shared" si="40"/>
        <v>1.66015625</v>
      </c>
      <c r="F357">
        <f>'[770]CGI018-qtz01-CL-dist-5'!$B$4</f>
        <v>105.54600000000001</v>
      </c>
      <c r="G357" s="1">
        <f t="shared" si="45"/>
        <v>175.22285156250001</v>
      </c>
      <c r="H357" s="1"/>
      <c r="I357" s="1" t="str">
        <f>VLOOKUP($B357, '[413]t (Cherniak) Category'!$1:$1048576, MATCH(I$1, '[413]t (Cherniak) Category'!$1:$1, 0), 0)</f>
        <v>Interior</v>
      </c>
      <c r="J357" s="1"/>
      <c r="K357" s="4">
        <f>VLOOKUP($B357, '[413]t (Cherniak)'!$1:$1048576, MATCH(LEFT(K$1,FIND(" (",K$1)-1), '[413]t (Cherniak)'!$1:$1, 0), 0)</f>
        <v>129.56402925504884</v>
      </c>
      <c r="L357" s="4">
        <f>'D(Ti_Audétat23) Times'!Z357</f>
        <v>9108.3300099143107</v>
      </c>
      <c r="M357" s="4">
        <f>VLOOKUP($B357, '[413]t (J)'!$1:$1048576, MATCH(LEFT(M$1,FIND(" (",M$1)-1),'[413]t (J)'!$1:$1, 0), 0)</f>
        <v>155824.16305194111</v>
      </c>
      <c r="O357" s="1">
        <f t="shared" si="41"/>
        <v>1.3524035380033688</v>
      </c>
      <c r="P357" s="3">
        <f t="shared" si="42"/>
        <v>4.2855082072254189E-14</v>
      </c>
      <c r="Q357" s="3"/>
      <c r="R357" s="11">
        <f t="shared" si="46"/>
        <v>1.9237648544988158E-2</v>
      </c>
      <c r="S357" s="3">
        <f t="shared" si="47"/>
        <v>6.0960429642901098E-16</v>
      </c>
      <c r="T357" s="3"/>
      <c r="U357" s="9">
        <f t="shared" si="43"/>
        <v>1.1244908885157476E-3</v>
      </c>
      <c r="V357" s="3">
        <f t="shared" si="44"/>
        <v>3.5632966021362448E-17</v>
      </c>
    </row>
    <row r="358" spans="1:22" x14ac:dyDescent="0.2">
      <c r="A358" t="s">
        <v>807</v>
      </c>
      <c r="B358" s="1" t="str">
        <f>VLOOKUP(REPLACE(A358,FIND("dist",A358),4,"fit")&amp;"*",'[413]t (Cherniak)'!$A:$A,1,0)</f>
        <v>CGI018-qtz02-CL-fit-1-offset</v>
      </c>
      <c r="C358">
        <v>1750</v>
      </c>
      <c r="D358">
        <v>1024</v>
      </c>
      <c r="E358" s="1">
        <f t="shared" si="40"/>
        <v>1.708984375</v>
      </c>
      <c r="F358">
        <f>'[771]CGI018-qtz02-CL-dist-1'!$B$4</f>
        <v>490.69400000000002</v>
      </c>
      <c r="G358" s="1">
        <f t="shared" si="45"/>
        <v>838.58837890625</v>
      </c>
      <c r="H358" s="1"/>
      <c r="I358" s="1" t="str">
        <f>VLOOKUP($B358, '[413]t (Cherniak) Category'!$1:$1048576, MATCH(I$1, '[413]t (Cherniak) Category'!$1:$1, 0), 0)</f>
        <v>Core</v>
      </c>
      <c r="J358" s="1"/>
      <c r="K358" s="4">
        <f>VLOOKUP($B358, '[413]t (Cherniak)'!$1:$1048576, MATCH(LEFT(K$1,FIND(" (",K$1)-1), '[413]t (Cherniak)'!$1:$1, 0), 0)</f>
        <v>1236.2093184561515</v>
      </c>
      <c r="L358" s="4">
        <f>'D(Ti_Audétat23) Times'!Z358</f>
        <v>86905.312366172118</v>
      </c>
      <c r="M358" s="4">
        <f>VLOOKUP($B358, '[413]t (J)'!$1:$1048576, MATCH(LEFT(M$1,FIND(" (",M$1)-1),'[413]t (J)'!$1:$1, 0), 0)</f>
        <v>1486765.1424010796</v>
      </c>
      <c r="O358" s="1">
        <f t="shared" si="41"/>
        <v>0.67835468183780301</v>
      </c>
      <c r="P358" s="3">
        <f t="shared" si="42"/>
        <v>2.1495762727133971E-14</v>
      </c>
      <c r="Q358" s="3"/>
      <c r="R358" s="11">
        <f t="shared" si="46"/>
        <v>9.649448993093666E-3</v>
      </c>
      <c r="S358" s="3">
        <f t="shared" si="47"/>
        <v>3.0577258705014533E-16</v>
      </c>
      <c r="T358" s="3"/>
      <c r="U358" s="9">
        <f t="shared" si="43"/>
        <v>5.6403553929974153E-4</v>
      </c>
      <c r="V358" s="3">
        <f t="shared" si="44"/>
        <v>1.7873207699563385E-17</v>
      </c>
    </row>
    <row r="359" spans="1:22" x14ac:dyDescent="0.2">
      <c r="A359" t="s">
        <v>808</v>
      </c>
      <c r="B359" s="1" t="str">
        <f>VLOOKUP(REPLACE(A359,FIND("dist",A359),4,"fit")&amp;"*",'[413]t (Cherniak)'!$A:$A,1,0)</f>
        <v>CGI018-qtz02-CL-fit-2-offset</v>
      </c>
      <c r="C359">
        <v>1750</v>
      </c>
      <c r="D359">
        <v>1024</v>
      </c>
      <c r="E359" s="1">
        <f t="shared" si="40"/>
        <v>1.708984375</v>
      </c>
      <c r="F359">
        <f>'[772]CGI018-qtz02-CL-dist-2'!$B$4</f>
        <v>457.55500000000001</v>
      </c>
      <c r="G359" s="1">
        <f t="shared" si="45"/>
        <v>781.954345703125</v>
      </c>
      <c r="H359" s="1"/>
      <c r="I359" s="1" t="str">
        <f>VLOOKUP($B359, '[413]t (Cherniak) Category'!$1:$1048576, MATCH(I$1, '[413]t (Cherniak) Category'!$1:$1, 0), 0)</f>
        <v>Core</v>
      </c>
      <c r="J359" s="1"/>
      <c r="K359" s="4">
        <f>VLOOKUP($B359, '[413]t (Cherniak)'!$1:$1048576, MATCH(LEFT(K$1,FIND(" (",K$1)-1), '[413]t (Cherniak)'!$1:$1, 0), 0)</f>
        <v>1113.1140734621447</v>
      </c>
      <c r="L359" s="4">
        <f>'D(Ti_Audétat23) Times'!Z359</f>
        <v>78251.736829017551</v>
      </c>
      <c r="M359" s="4">
        <f>VLOOKUP($B359, '[413]t (J)'!$1:$1048576, MATCH(LEFT(M$1,FIND(" (",M$1)-1),'[413]t (J)'!$1:$1, 0), 0)</f>
        <v>1338720.8616145796</v>
      </c>
      <c r="O359" s="1">
        <f t="shared" si="41"/>
        <v>0.7024925516133258</v>
      </c>
      <c r="P359" s="3">
        <f t="shared" si="42"/>
        <v>2.2260645664224333E-14</v>
      </c>
      <c r="Q359" s="3"/>
      <c r="R359" s="11">
        <f t="shared" si="46"/>
        <v>9.9928049828685497E-3</v>
      </c>
      <c r="S359" s="3">
        <f t="shared" si="47"/>
        <v>3.1665288180560465E-16</v>
      </c>
      <c r="T359" s="3"/>
      <c r="U359" s="9">
        <f t="shared" si="43"/>
        <v>5.8410559521724346E-4</v>
      </c>
      <c r="V359" s="3">
        <f t="shared" si="44"/>
        <v>1.8509189393909657E-17</v>
      </c>
    </row>
    <row r="360" spans="1:22" x14ac:dyDescent="0.2">
      <c r="A360" t="s">
        <v>809</v>
      </c>
      <c r="B360" s="1" t="str">
        <f>VLOOKUP(REPLACE(A360,FIND("dist",A360),4,"fit")&amp;"*",'[413]t (Cherniak)'!$A:$A,1,0)</f>
        <v>CGI018-qtz02-CL-fit-3-offset</v>
      </c>
      <c r="C360">
        <v>1750</v>
      </c>
      <c r="D360">
        <v>1024</v>
      </c>
      <c r="E360" s="1">
        <f t="shared" si="40"/>
        <v>1.708984375</v>
      </c>
      <c r="F360">
        <f>'[773]CGI018-qtz02-CL-dist-3'!$B$4</f>
        <v>334.767</v>
      </c>
      <c r="G360" s="1">
        <f t="shared" si="45"/>
        <v>572.111572265625</v>
      </c>
      <c r="H360" s="1"/>
      <c r="I360" s="1" t="str">
        <f>VLOOKUP($B360, '[413]t (Cherniak) Category'!$1:$1048576, MATCH(I$1, '[413]t (Cherniak) Category'!$1:$1, 0), 0)</f>
        <v>Interior</v>
      </c>
      <c r="J360" s="1"/>
      <c r="K360" s="4">
        <f>VLOOKUP($B360, '[413]t (Cherniak)'!$1:$1048576, MATCH(LEFT(K$1,FIND(" (",K$1)-1), '[413]t (Cherniak)'!$1:$1, 0), 0)</f>
        <v>387.95258458534505</v>
      </c>
      <c r="L360" s="4">
        <f>'D(Ti_Audétat23) Times'!Z360</f>
        <v>27273.003077471221</v>
      </c>
      <c r="M360" s="4">
        <f>VLOOKUP($B360, '[413]t (J)'!$1:$1048576, MATCH(LEFT(M$1,FIND(" (",M$1)-1),'[413]t (J)'!$1:$1, 0), 0)</f>
        <v>466583.1029216242</v>
      </c>
      <c r="O360" s="1">
        <f t="shared" si="41"/>
        <v>1.4746945760836068</v>
      </c>
      <c r="P360" s="3">
        <f t="shared" si="42"/>
        <v>4.6730251225809527E-14</v>
      </c>
      <c r="Q360" s="3"/>
      <c r="R360" s="11">
        <f t="shared" si="46"/>
        <v>2.0977212177203029E-2</v>
      </c>
      <c r="S360" s="3">
        <f t="shared" si="47"/>
        <v>6.6472774156472697E-16</v>
      </c>
      <c r="T360" s="3"/>
      <c r="U360" s="9">
        <f t="shared" si="43"/>
        <v>1.2261729340029856E-3</v>
      </c>
      <c r="V360" s="3">
        <f t="shared" si="44"/>
        <v>3.8855075607872132E-17</v>
      </c>
    </row>
    <row r="361" spans="1:22" x14ac:dyDescent="0.2">
      <c r="A361" t="s">
        <v>810</v>
      </c>
      <c r="B361" s="1" t="str">
        <f>VLOOKUP(REPLACE(A361,FIND("dist",A361),4,"fit")&amp;"*",'[413]t (Cherniak)'!$A:$A,1,0)</f>
        <v>CGI018-qtz02-CL-fit-4-offset</v>
      </c>
      <c r="C361">
        <v>1750</v>
      </c>
      <c r="D361">
        <v>1024</v>
      </c>
      <c r="E361" s="1">
        <f t="shared" si="40"/>
        <v>1.708984375</v>
      </c>
      <c r="F361">
        <f>'[774]CGI018-qtz02-CL-dist-4'!$B$4</f>
        <v>208.94300000000001</v>
      </c>
      <c r="G361" s="1">
        <f t="shared" si="45"/>
        <v>357.080322265625</v>
      </c>
      <c r="H361" s="1"/>
      <c r="I361" s="1" t="str">
        <f>VLOOKUP($B361, '[413]t (Cherniak) Category'!$1:$1048576, MATCH(I$1, '[413]t (Cherniak) Category'!$1:$1, 0), 0)</f>
        <v>Interior</v>
      </c>
      <c r="J361" s="1"/>
      <c r="K361" s="4">
        <f>VLOOKUP($B361, '[413]t (Cherniak)'!$1:$1048576, MATCH(LEFT(K$1,FIND(" (",K$1)-1), '[413]t (Cherniak)'!$1:$1, 0), 0)</f>
        <v>214.78530446998528</v>
      </c>
      <c r="L361" s="4">
        <f>'D(Ti_Audétat23) Times'!Z361</f>
        <v>15099.371682409412</v>
      </c>
      <c r="M361" s="4">
        <f>VLOOKUP($B361, '[413]t (J)'!$1:$1048576, MATCH(LEFT(M$1,FIND(" (",M$1)-1),'[413]t (J)'!$1:$1, 0), 0)</f>
        <v>258318.149700393</v>
      </c>
      <c r="O361" s="1">
        <f t="shared" si="41"/>
        <v>1.6624988527347058</v>
      </c>
      <c r="P361" s="3">
        <f t="shared" si="42"/>
        <v>5.2681409636179737E-14</v>
      </c>
      <c r="Q361" s="3"/>
      <c r="R361" s="11">
        <f t="shared" si="46"/>
        <v>2.3648687493508045E-2</v>
      </c>
      <c r="S361" s="3">
        <f t="shared" si="47"/>
        <v>7.4938168598081113E-16</v>
      </c>
      <c r="T361" s="3"/>
      <c r="U361" s="9">
        <f t="shared" si="43"/>
        <v>1.3823276555665176E-3</v>
      </c>
      <c r="V361" s="3">
        <f t="shared" si="44"/>
        <v>4.3803320137352576E-17</v>
      </c>
    </row>
    <row r="362" spans="1:22" x14ac:dyDescent="0.2">
      <c r="A362" t="s">
        <v>811</v>
      </c>
      <c r="B362" s="1" t="str">
        <f>VLOOKUP(REPLACE(A362,FIND("dist",A362),4,"fit")&amp;"*",'[413]t (Cherniak)'!$A:$A,1,0)</f>
        <v>CGI018-qtz02-CL-fit-5-offset</v>
      </c>
      <c r="C362">
        <v>1750</v>
      </c>
      <c r="D362">
        <v>1024</v>
      </c>
      <c r="E362" s="1">
        <f t="shared" si="40"/>
        <v>1.708984375</v>
      </c>
      <c r="F362">
        <f>'[775]CGI018-qtz02-CL-dist-5'!$B$4</f>
        <v>82.975899999999996</v>
      </c>
      <c r="G362" s="1">
        <f t="shared" si="45"/>
        <v>141.80451660156248</v>
      </c>
      <c r="H362" s="1"/>
      <c r="I362" s="1" t="str">
        <f>VLOOKUP($B362, '[413]t (Cherniak) Category'!$1:$1048576, MATCH(I$1, '[413]t (Cherniak) Category'!$1:$1, 0), 0)</f>
        <v>Rim</v>
      </c>
      <c r="J362" s="1"/>
      <c r="K362" s="4">
        <f>VLOOKUP($B362, '[413]t (Cherniak)'!$1:$1048576, MATCH(LEFT(K$1,FIND(" (",K$1)-1), '[413]t (Cherniak)'!$1:$1, 0), 0)</f>
        <v>41.35252724542044</v>
      </c>
      <c r="L362" s="4">
        <f>'D(Ti_Audétat23) Times'!Z362</f>
        <v>2907.0758841083571</v>
      </c>
      <c r="M362" s="4">
        <f>VLOOKUP($B362, '[413]t (J)'!$1:$1048576, MATCH(LEFT(M$1,FIND(" (",M$1)-1),'[413]t (J)'!$1:$1, 0), 0)</f>
        <v>49733.888218431843</v>
      </c>
      <c r="O362" s="1">
        <f t="shared" si="41"/>
        <v>3.4291620379082524</v>
      </c>
      <c r="P362" s="3">
        <f t="shared" si="42"/>
        <v>1.0866358778577116E-13</v>
      </c>
      <c r="Q362" s="3"/>
      <c r="R362" s="11">
        <f t="shared" si="46"/>
        <v>4.8779090142346257E-2</v>
      </c>
      <c r="S362" s="3">
        <f t="shared" si="47"/>
        <v>1.5457160919191021E-15</v>
      </c>
      <c r="T362" s="3"/>
      <c r="U362" s="9">
        <f t="shared" si="43"/>
        <v>2.8512654385427359E-3</v>
      </c>
      <c r="V362" s="3">
        <f t="shared" si="44"/>
        <v>9.0351149597647985E-17</v>
      </c>
    </row>
    <row r="363" spans="1:22" x14ac:dyDescent="0.2">
      <c r="A363" t="s">
        <v>812</v>
      </c>
      <c r="B363" s="1" t="str">
        <f>VLOOKUP(REPLACE(A363,FIND("dist",A363),4,"fit")&amp;"*",'[413]t (Cherniak)'!$A:$A,1,0)</f>
        <v>CGI018-qtz03-CL-fit-1-offset</v>
      </c>
      <c r="C363">
        <v>2100</v>
      </c>
      <c r="D363">
        <v>1024</v>
      </c>
      <c r="E363" s="1">
        <f t="shared" si="40"/>
        <v>2.05078125</v>
      </c>
      <c r="F363">
        <f>'[776]CGI018-qtz03-CL-dist-1'!$B$4</f>
        <v>323.73599999999999</v>
      </c>
      <c r="G363" s="1">
        <f t="shared" si="45"/>
        <v>663.91171874999998</v>
      </c>
      <c r="H363" s="1"/>
      <c r="I363" s="1" t="str">
        <f>VLOOKUP($B363, '[413]t (Cherniak) Category'!$1:$1048576, MATCH(I$1, '[413]t (Cherniak) Category'!$1:$1, 0), 0)</f>
        <v>Core</v>
      </c>
      <c r="J363" s="1"/>
      <c r="K363" s="4">
        <f>VLOOKUP($B363, '[413]t (Cherniak)'!$1:$1048576, MATCH(LEFT(K$1,FIND(" (",K$1)-1), '[413]t (Cherniak)'!$1:$1, 0), 0)</f>
        <v>352.24403428528302</v>
      </c>
      <c r="L363" s="4">
        <f>'D(Ti_Audétat23) Times'!Z363</f>
        <v>24762.697847087104</v>
      </c>
      <c r="M363" s="4">
        <f>VLOOKUP($B363, '[413]t (J)'!$1:$1048576, MATCH(LEFT(M$1,FIND(" (",M$1)-1),'[413]t (J)'!$1:$1, 0), 0)</f>
        <v>423637.11709285702</v>
      </c>
      <c r="O363" s="1">
        <f t="shared" si="41"/>
        <v>1.884806140427908</v>
      </c>
      <c r="P363" s="3">
        <f t="shared" si="42"/>
        <v>5.9725902490300524E-14</v>
      </c>
      <c r="Q363" s="3"/>
      <c r="R363" s="11">
        <f t="shared" si="46"/>
        <v>2.6810960697810134E-2</v>
      </c>
      <c r="S363" s="3">
        <f t="shared" si="47"/>
        <v>8.4958807697068638E-16</v>
      </c>
      <c r="T363" s="3"/>
      <c r="U363" s="9">
        <f t="shared" si="43"/>
        <v>1.5671707977478215E-3</v>
      </c>
      <c r="V363" s="3">
        <f t="shared" si="44"/>
        <v>4.9660645858614769E-17</v>
      </c>
    </row>
    <row r="364" spans="1:22" x14ac:dyDescent="0.2">
      <c r="A364" t="s">
        <v>813</v>
      </c>
      <c r="B364" s="1" t="str">
        <f>VLOOKUP(REPLACE(A364,FIND("dist",A364),4,"fit")&amp;"*",'[413]t (Cherniak)'!$A:$A,1,0)</f>
        <v>CGI018-qtz03-CL-fit-2-offset</v>
      </c>
      <c r="C364">
        <v>2100</v>
      </c>
      <c r="D364">
        <v>1024</v>
      </c>
      <c r="E364" s="1">
        <f t="shared" si="40"/>
        <v>2.05078125</v>
      </c>
      <c r="F364">
        <f>'[777]CGI018-qtz03-CL-dist-2'!$B$4</f>
        <v>230.09800000000001</v>
      </c>
      <c r="G364" s="1">
        <f t="shared" si="45"/>
        <v>471.88066406250005</v>
      </c>
      <c r="H364" s="1"/>
      <c r="I364" s="1" t="str">
        <f>VLOOKUP($B364, '[413]t (Cherniak) Category'!$1:$1048576, MATCH(I$1, '[413]t (Cherniak) Category'!$1:$1, 0), 0)</f>
        <v>Core</v>
      </c>
      <c r="J364" s="1"/>
      <c r="K364" s="4">
        <f>VLOOKUP($B364, '[413]t (Cherniak)'!$1:$1048576, MATCH(LEFT(K$1,FIND(" (",K$1)-1), '[413]t (Cherniak)'!$1:$1, 0), 0)</f>
        <v>2005.4961257122313</v>
      </c>
      <c r="L364" s="4">
        <f>'D(Ti_Audétat23) Times'!Z364</f>
        <v>140986.04876383761</v>
      </c>
      <c r="M364" s="4">
        <f>VLOOKUP($B364, '[413]t (J)'!$1:$1048576, MATCH(LEFT(M$1,FIND(" (",M$1)-1),'[413]t (J)'!$1:$1, 0), 0)</f>
        <v>2411971.571815263</v>
      </c>
      <c r="O364" s="1">
        <f t="shared" si="41"/>
        <v>0.235293730071364</v>
      </c>
      <c r="P364" s="3">
        <f t="shared" si="42"/>
        <v>7.4560083805918063E-15</v>
      </c>
      <c r="Q364" s="3"/>
      <c r="R364" s="11">
        <f t="shared" si="46"/>
        <v>3.3470025452868473E-3</v>
      </c>
      <c r="S364" s="3">
        <f t="shared" si="47"/>
        <v>1.0606011056882802E-16</v>
      </c>
      <c r="T364" s="3"/>
      <c r="U364" s="9">
        <f t="shared" si="43"/>
        <v>1.9564105546540918E-4</v>
      </c>
      <c r="V364" s="3">
        <f t="shared" si="44"/>
        <v>6.1994909456171939E-18</v>
      </c>
    </row>
    <row r="365" spans="1:22" x14ac:dyDescent="0.2">
      <c r="A365" t="s">
        <v>814</v>
      </c>
      <c r="B365" s="1" t="str">
        <f>VLOOKUP(REPLACE(A365,FIND("dist",A365),4,"fit")&amp;"*",'[413]t (Cherniak)'!$A:$A,1,0)</f>
        <v>CGI018-qtz03-CL-fit-3-offset</v>
      </c>
      <c r="C365">
        <v>2100</v>
      </c>
      <c r="D365">
        <v>1024</v>
      </c>
      <c r="E365" s="1">
        <f t="shared" si="40"/>
        <v>2.05078125</v>
      </c>
      <c r="F365">
        <f>'[778]CGI018-qtz03-CL-dist-3'!$B$4</f>
        <v>116.559</v>
      </c>
      <c r="G365" s="1">
        <f t="shared" si="45"/>
        <v>239.03701171874999</v>
      </c>
      <c r="H365" s="1"/>
      <c r="I365" s="1" t="str">
        <f>VLOOKUP($B365, '[413]t (Cherniak) Category'!$1:$1048576, MATCH(I$1, '[413]t (Cherniak) Category'!$1:$1, 0), 0)</f>
        <v>Interior</v>
      </c>
      <c r="J365" s="1"/>
      <c r="K365" s="4">
        <f>VLOOKUP($B365, '[413]t (Cherniak)'!$1:$1048576, MATCH(LEFT(K$1,FIND(" (",K$1)-1), '[413]t (Cherniak)'!$1:$1, 0), 0)</f>
        <v>331.11546757391943</v>
      </c>
      <c r="L365" s="4">
        <f>'D(Ti_Audétat23) Times'!Z365</f>
        <v>23277.363072072068</v>
      </c>
      <c r="M365" s="4">
        <f>VLOOKUP($B365, '[413]t (J)'!$1:$1048576, MATCH(LEFT(M$1,FIND(" (",M$1)-1),'[413]t (J)'!$1:$1, 0), 0)</f>
        <v>398226.19676863408</v>
      </c>
      <c r="O365" s="1">
        <f t="shared" si="41"/>
        <v>0.72191436259433117</v>
      </c>
      <c r="P365" s="3">
        <f t="shared" si="42"/>
        <v>2.28760857160979E-14</v>
      </c>
      <c r="Q365" s="3"/>
      <c r="R365" s="11">
        <f t="shared" si="46"/>
        <v>1.0269076053788241E-2</v>
      </c>
      <c r="S365" s="3">
        <f t="shared" si="47"/>
        <v>3.2540738376138368E-16</v>
      </c>
      <c r="T365" s="3"/>
      <c r="U365" s="9">
        <f t="shared" si="43"/>
        <v>6.0025436211477668E-4</v>
      </c>
      <c r="V365" s="3">
        <f t="shared" si="44"/>
        <v>1.9020912937446974E-17</v>
      </c>
    </row>
    <row r="366" spans="1:22" x14ac:dyDescent="0.2">
      <c r="A366" t="s">
        <v>815</v>
      </c>
      <c r="B366" s="1" t="str">
        <f>VLOOKUP(REPLACE(A366,FIND("dist",A366),4,"fit")&amp;"*",'[413]t (Cherniak)'!$A:$A,1,0)</f>
        <v>CGI018-qtz03-CL-fit-4-offset</v>
      </c>
      <c r="C366">
        <v>2100</v>
      </c>
      <c r="D366">
        <v>1024</v>
      </c>
      <c r="E366" s="1">
        <f t="shared" si="40"/>
        <v>2.05078125</v>
      </c>
      <c r="F366">
        <f>'[779]CGI018-qtz03-CL-dist-4'!$B$4</f>
        <v>88.639700000000005</v>
      </c>
      <c r="G366" s="1">
        <f t="shared" si="45"/>
        <v>181.78063476562502</v>
      </c>
      <c r="H366" s="1"/>
      <c r="I366" s="1" t="str">
        <f>VLOOKUP($B366, '[413]t (Cherniak) Category'!$1:$1048576, MATCH(I$1, '[413]t (Cherniak) Category'!$1:$1, 0), 0)</f>
        <v>Interior</v>
      </c>
      <c r="J366" s="1"/>
      <c r="K366" s="4">
        <f>VLOOKUP($B366, '[413]t (Cherniak)'!$1:$1048576, MATCH(LEFT(K$1,FIND(" (",K$1)-1), '[413]t (Cherniak)'!$1:$1, 0), 0)</f>
        <v>277.06541987785084</v>
      </c>
      <c r="L366" s="4">
        <f>'D(Ti_Audétat23) Times'!Z366</f>
        <v>19477.653582501553</v>
      </c>
      <c r="M366" s="4">
        <f>VLOOKUP($B366, '[413]t (J)'!$1:$1048576, MATCH(LEFT(M$1,FIND(" (",M$1)-1),'[413]t (J)'!$1:$1, 0), 0)</f>
        <v>333221.24521238118</v>
      </c>
      <c r="O366" s="1">
        <f t="shared" si="41"/>
        <v>0.65609282762809673</v>
      </c>
      <c r="P366" s="3">
        <f t="shared" si="42"/>
        <v>2.0790327136033686E-14</v>
      </c>
      <c r="Q366" s="3"/>
      <c r="R366" s="11">
        <f t="shared" si="46"/>
        <v>9.3327789199893242E-3</v>
      </c>
      <c r="S366" s="3">
        <f t="shared" si="47"/>
        <v>2.9573791796553998E-16</v>
      </c>
      <c r="T366" s="3"/>
      <c r="U366" s="9">
        <f t="shared" si="43"/>
        <v>5.4552534502944343E-4</v>
      </c>
      <c r="V366" s="3">
        <f t="shared" si="44"/>
        <v>1.7286655038071442E-17</v>
      </c>
    </row>
    <row r="367" spans="1:22" x14ac:dyDescent="0.2">
      <c r="A367" t="s">
        <v>816</v>
      </c>
      <c r="B367" s="1" t="str">
        <f>VLOOKUP(REPLACE(A367,FIND("dist",A367),4,"fit")&amp;"*",'[413]t (Cherniak)'!$A:$A,1,0)</f>
        <v>CGI018-qtz04-CL-fit-1-offset</v>
      </c>
      <c r="C367">
        <v>1900</v>
      </c>
      <c r="D367">
        <v>1024</v>
      </c>
      <c r="E367" s="1">
        <f t="shared" si="40"/>
        <v>1.85546875</v>
      </c>
      <c r="F367">
        <f>'[780]CGI018-qtz04-CL-dist-1'!$B$4</f>
        <v>568.33299999999997</v>
      </c>
      <c r="G367" s="1">
        <f t="shared" si="45"/>
        <v>1054.52412109375</v>
      </c>
      <c r="H367" s="1"/>
      <c r="I367" s="1" t="str">
        <f>VLOOKUP($B367, '[413]t (Cherniak) Category'!$1:$1048576, MATCH(I$1, '[413]t (Cherniak) Category'!$1:$1, 0), 0)</f>
        <v>Core</v>
      </c>
      <c r="J367" s="1"/>
      <c r="K367" s="4">
        <f>VLOOKUP($B367, '[413]t (Cherniak)'!$1:$1048576, MATCH(LEFT(K$1,FIND(" (",K$1)-1), '[413]t (Cherniak)'!$1:$1, 0), 0)</f>
        <v>403.05504540635479</v>
      </c>
      <c r="L367" s="4">
        <f>'D(Ti_Audétat23) Times'!Z367</f>
        <v>28334.703596592713</v>
      </c>
      <c r="M367" s="4">
        <f>VLOOKUP($B367, '[413]t (J)'!$1:$1048576, MATCH(LEFT(M$1,FIND(" (",M$1)-1),'[413]t (J)'!$1:$1, 0), 0)</f>
        <v>484746.54173245351</v>
      </c>
      <c r="O367" s="1">
        <f t="shared" si="41"/>
        <v>2.616327802150678</v>
      </c>
      <c r="P367" s="3">
        <f t="shared" si="42"/>
        <v>8.2906425144836052E-14</v>
      </c>
      <c r="Q367" s="3"/>
      <c r="R367" s="11">
        <f t="shared" si="46"/>
        <v>3.72166985089111E-2</v>
      </c>
      <c r="S367" s="3">
        <f t="shared" si="47"/>
        <v>1.1793260104986152E-15</v>
      </c>
      <c r="T367" s="3"/>
      <c r="U367" s="9">
        <f t="shared" si="43"/>
        <v>2.17541339712285E-3</v>
      </c>
      <c r="V367" s="3">
        <f t="shared" si="44"/>
        <v>6.8934690759843901E-17</v>
      </c>
    </row>
    <row r="368" spans="1:22" x14ac:dyDescent="0.2">
      <c r="A368" t="s">
        <v>817</v>
      </c>
      <c r="B368" s="1" t="str">
        <f>VLOOKUP(REPLACE(A368,FIND("dist",A368),4,"fit")&amp;"*",'[413]t (Cherniak)'!$A:$A,1,0)</f>
        <v>CGI018-qtz04-CL-fit-2-offset</v>
      </c>
      <c r="C368">
        <v>1900</v>
      </c>
      <c r="D368">
        <v>1024</v>
      </c>
      <c r="E368" s="1">
        <f t="shared" si="40"/>
        <v>1.85546875</v>
      </c>
      <c r="F368">
        <f>'[781]CGI018-qtz04-CL-dist-2'!$B$4</f>
        <v>383.72</v>
      </c>
      <c r="G368" s="1">
        <f t="shared" si="45"/>
        <v>711.98046875</v>
      </c>
      <c r="H368" s="1"/>
      <c r="I368" s="1" t="str">
        <f>VLOOKUP($B368, '[413]t (Cherniak) Category'!$1:$1048576, MATCH(I$1, '[413]t (Cherniak) Category'!$1:$1, 0), 0)</f>
        <v>Core</v>
      </c>
      <c r="J368" s="1"/>
      <c r="K368" s="4">
        <f>VLOOKUP($B368, '[413]t (Cherniak)'!$1:$1048576, MATCH(LEFT(K$1,FIND(" (",K$1)-1), '[413]t (Cherniak)'!$1:$1, 0), 0)</f>
        <v>473.65353297934951</v>
      </c>
      <c r="L368" s="4">
        <f>'D(Ti_Audétat23) Times'!Z368</f>
        <v>33297.765695795017</v>
      </c>
      <c r="M368" s="4">
        <f>VLOOKUP($B368, '[413]t (J)'!$1:$1048576, MATCH(LEFT(M$1,FIND(" (",M$1)-1),'[413]t (J)'!$1:$1, 0), 0)</f>
        <v>569653.98326577619</v>
      </c>
      <c r="O368" s="1">
        <f t="shared" si="41"/>
        <v>1.5031672291591271</v>
      </c>
      <c r="P368" s="3">
        <f t="shared" si="42"/>
        <v>4.7632495156765001E-14</v>
      </c>
      <c r="Q368" s="3"/>
      <c r="R368" s="11">
        <f t="shared" si="46"/>
        <v>2.138222952418432E-2</v>
      </c>
      <c r="S368" s="3">
        <f t="shared" si="47"/>
        <v>6.7756196682207508E-16</v>
      </c>
      <c r="T368" s="3"/>
      <c r="U368" s="9">
        <f t="shared" si="43"/>
        <v>1.2498472575725331E-3</v>
      </c>
      <c r="V368" s="3">
        <f t="shared" si="44"/>
        <v>3.9605269652081685E-17</v>
      </c>
    </row>
    <row r="369" spans="1:22" x14ac:dyDescent="0.2">
      <c r="A369" t="s">
        <v>818</v>
      </c>
      <c r="B369" s="1" t="str">
        <f>VLOOKUP(REPLACE(A369,FIND("dist",A369),4,"fit")&amp;"*",'[413]t (Cherniak)'!$A:$A,1,0)</f>
        <v>CGI018-qtz04-CL-fit-3-offset</v>
      </c>
      <c r="C369">
        <v>1900</v>
      </c>
      <c r="D369">
        <v>1024</v>
      </c>
      <c r="E369" s="1">
        <f t="shared" si="40"/>
        <v>1.85546875</v>
      </c>
      <c r="F369">
        <f>'[782]CGI018-qtz04-CL-dist-3'!$B$4</f>
        <v>253.779</v>
      </c>
      <c r="G369" s="1">
        <f t="shared" si="45"/>
        <v>470.87900390624998</v>
      </c>
      <c r="H369" s="1"/>
      <c r="I369" s="1" t="str">
        <f>VLOOKUP($B369, '[413]t (Cherniak) Category'!$1:$1048576, MATCH(I$1, '[413]t (Cherniak) Category'!$1:$1, 0), 0)</f>
        <v>Interior</v>
      </c>
      <c r="J369" s="1"/>
      <c r="K369" s="4">
        <f>VLOOKUP($B369, '[413]t (Cherniak)'!$1:$1048576, MATCH(LEFT(K$1,FIND(" (",K$1)-1), '[413]t (Cherniak)'!$1:$1, 0), 0)</f>
        <v>115.18383210165655</v>
      </c>
      <c r="L369" s="4">
        <f>'D(Ti_Audétat23) Times'!Z369</f>
        <v>8097.40450818503</v>
      </c>
      <c r="M369" s="4">
        <f>VLOOKUP($B369, '[413]t (J)'!$1:$1048576, MATCH(LEFT(M$1,FIND(" (",M$1)-1),'[413]t (J)'!$1:$1, 0), 0)</f>
        <v>138529.37684597768</v>
      </c>
      <c r="O369" s="1">
        <f t="shared" si="41"/>
        <v>4.0880650983262248</v>
      </c>
      <c r="P369" s="3">
        <f t="shared" si="42"/>
        <v>1.2954296582522829E-13</v>
      </c>
      <c r="Q369" s="3"/>
      <c r="R369" s="11">
        <f t="shared" si="46"/>
        <v>5.815184401745959E-2</v>
      </c>
      <c r="S369" s="3">
        <f t="shared" si="47"/>
        <v>1.8427207397729733E-15</v>
      </c>
      <c r="T369" s="3"/>
      <c r="U369" s="9">
        <f t="shared" si="43"/>
        <v>3.3991274242848252E-3</v>
      </c>
      <c r="V369" s="3">
        <f t="shared" si="44"/>
        <v>1.0771184831181157E-16</v>
      </c>
    </row>
    <row r="370" spans="1:22" x14ac:dyDescent="0.2">
      <c r="A370" t="s">
        <v>819</v>
      </c>
      <c r="B370" s="1" t="str">
        <f>VLOOKUP(REPLACE(A370,FIND("dist",A370),4,"fit")&amp;"*",'[413]t (Cherniak)'!$A:$A,1,0)</f>
        <v>CGI018-qtz04-CL-fit-4-offset</v>
      </c>
      <c r="C370">
        <v>1900</v>
      </c>
      <c r="D370">
        <v>1024</v>
      </c>
      <c r="E370" s="1">
        <f t="shared" si="40"/>
        <v>1.85546875</v>
      </c>
      <c r="F370">
        <f>'[783]CGI018-qtz04-CL-dist-4'!$B$4</f>
        <v>187.417</v>
      </c>
      <c r="G370" s="1">
        <f t="shared" si="45"/>
        <v>347.74638671874999</v>
      </c>
      <c r="H370" s="1"/>
      <c r="I370" s="1" t="str">
        <f>VLOOKUP($B370, '[413]t (Cherniak) Category'!$1:$1048576, MATCH(I$1, '[413]t (Cherniak) Category'!$1:$1, 0), 0)</f>
        <v>Interior</v>
      </c>
      <c r="J370" s="1"/>
      <c r="K370" s="4">
        <f>VLOOKUP($B370, '[413]t (Cherniak)'!$1:$1048576, MATCH(LEFT(K$1,FIND(" (",K$1)-1), '[413]t (Cherniak)'!$1:$1, 0), 0)</f>
        <v>166.10413200513409</v>
      </c>
      <c r="L370" s="4">
        <f>'D(Ti_Audétat23) Times'!Z370</f>
        <v>11677.093241171915</v>
      </c>
      <c r="M370" s="4">
        <f>VLOOKUP($B370, '[413]t (J)'!$1:$1048576, MATCH(LEFT(M$1,FIND(" (",M$1)-1),'[413]t (J)'!$1:$1, 0), 0)</f>
        <v>199770.24099966817</v>
      </c>
      <c r="O370" s="1">
        <f t="shared" si="41"/>
        <v>2.0935444682857232</v>
      </c>
      <c r="P370" s="3">
        <f t="shared" si="42"/>
        <v>6.6340420953612547E-14</v>
      </c>
      <c r="Q370" s="3"/>
      <c r="R370" s="11">
        <f t="shared" si="46"/>
        <v>2.9780218375977455E-2</v>
      </c>
      <c r="S370" s="3">
        <f t="shared" si="47"/>
        <v>9.4367817501893199E-16</v>
      </c>
      <c r="T370" s="3"/>
      <c r="U370" s="9">
        <f t="shared" si="43"/>
        <v>1.7407316774440274E-3</v>
      </c>
      <c r="V370" s="3">
        <f t="shared" si="44"/>
        <v>5.5160458255508258E-17</v>
      </c>
    </row>
    <row r="371" spans="1:22" x14ac:dyDescent="0.2">
      <c r="A371" t="s">
        <v>820</v>
      </c>
      <c r="B371" s="1" t="str">
        <f>VLOOKUP(REPLACE(A371,FIND("dist",A371),4,"fit")&amp;"*",'[413]t (Cherniak)'!$A:$A,1,0)</f>
        <v>CGI018-qtz05-CL-fit-1-offset</v>
      </c>
      <c r="C371">
        <v>1600</v>
      </c>
      <c r="D371">
        <v>1024</v>
      </c>
      <c r="E371" s="1">
        <f t="shared" si="40"/>
        <v>1.5625</v>
      </c>
      <c r="F371">
        <f>'[784]CGI018-qtz05-CL-dist-1'!$B$4</f>
        <v>580.58199999999999</v>
      </c>
      <c r="G371" s="1">
        <f t="shared" si="45"/>
        <v>907.15937499999995</v>
      </c>
      <c r="H371" s="1"/>
      <c r="I371" s="1" t="str">
        <f>VLOOKUP($B371, '[413]t (Cherniak) Category'!$1:$1048576, MATCH(I$1, '[413]t (Cherniak) Category'!$1:$1, 0), 0)</f>
        <v>Core</v>
      </c>
      <c r="J371" s="1"/>
      <c r="K371" s="4">
        <f>VLOOKUP($B371, '[413]t (Cherniak)'!$1:$1048576, MATCH(LEFT(K$1,FIND(" (",K$1)-1), '[413]t (Cherniak)'!$1:$1, 0), 0)</f>
        <v>237.53147434716533</v>
      </c>
      <c r="L371" s="4">
        <f>'D(Ti_Audétat23) Times'!Z371</f>
        <v>16698.423694716712</v>
      </c>
      <c r="M371" s="4">
        <f>VLOOKUP($B371, '[413]t (J)'!$1:$1048576, MATCH(LEFT(M$1,FIND(" (",M$1)-1),'[413]t (J)'!$1:$1, 0), 0)</f>
        <v>285674.5302029755</v>
      </c>
      <c r="O371" s="1">
        <f t="shared" si="41"/>
        <v>3.8191122986679931</v>
      </c>
      <c r="P371" s="3">
        <f t="shared" si="42"/>
        <v>1.2102036589182932E-13</v>
      </c>
      <c r="Q371" s="3"/>
      <c r="R371" s="11">
        <f t="shared" si="46"/>
        <v>5.4326048469294744E-2</v>
      </c>
      <c r="S371" s="3">
        <f t="shared" si="47"/>
        <v>1.7214885944842046E-15</v>
      </c>
      <c r="T371" s="3"/>
      <c r="U371" s="9">
        <f t="shared" si="43"/>
        <v>3.1754996651449864E-3</v>
      </c>
      <c r="V371" s="3">
        <f t="shared" si="44"/>
        <v>1.0062551224253385E-16</v>
      </c>
    </row>
    <row r="372" spans="1:22" x14ac:dyDescent="0.2">
      <c r="A372" t="s">
        <v>821</v>
      </c>
      <c r="B372" s="1" t="str">
        <f>VLOOKUP(REPLACE(A372,FIND("dist",A372),4,"fit")&amp;"*",'[413]t (Cherniak)'!$A:$A,1,0)</f>
        <v>CGI018-qtz05-CL-fit-2-offset</v>
      </c>
      <c r="C372">
        <v>1600</v>
      </c>
      <c r="D372">
        <v>1024</v>
      </c>
      <c r="E372" s="1">
        <f t="shared" si="40"/>
        <v>1.5625</v>
      </c>
      <c r="F372">
        <f>'[785]CGI018-qtz05-CL-dist-2'!$B$4</f>
        <v>492.392</v>
      </c>
      <c r="G372" s="1">
        <f t="shared" si="45"/>
        <v>769.36249999999995</v>
      </c>
      <c r="H372" s="1"/>
      <c r="I372" s="1" t="str">
        <f>VLOOKUP($B372, '[413]t (Cherniak) Category'!$1:$1048576, MATCH(I$1, '[413]t (Cherniak) Category'!$1:$1, 0), 0)</f>
        <v>Core</v>
      </c>
      <c r="J372" s="1"/>
      <c r="K372" s="4">
        <f>VLOOKUP($B372, '[413]t (Cherniak)'!$1:$1048576, MATCH(LEFT(K$1,FIND(" (",K$1)-1), '[413]t (Cherniak)'!$1:$1, 0), 0)</f>
        <v>296.99746156234585</v>
      </c>
      <c r="L372" s="4">
        <f>'D(Ti_Audétat23) Times'!Z372</f>
        <v>20878.872844341342</v>
      </c>
      <c r="M372" s="4">
        <f>VLOOKUP($B372, '[413]t (J)'!$1:$1048576, MATCH(LEFT(M$1,FIND(" (",M$1)-1),'[413]t (J)'!$1:$1, 0), 0)</f>
        <v>357193.1279275199</v>
      </c>
      <c r="O372" s="1">
        <f t="shared" si="41"/>
        <v>2.5904682684922378</v>
      </c>
      <c r="P372" s="3">
        <f t="shared" si="42"/>
        <v>8.2086985971437562E-14</v>
      </c>
      <c r="Q372" s="3"/>
      <c r="R372" s="11">
        <f t="shared" si="46"/>
        <v>3.6848852221853301E-2</v>
      </c>
      <c r="S372" s="3">
        <f t="shared" si="47"/>
        <v>1.1676696650522632E-15</v>
      </c>
      <c r="T372" s="3"/>
      <c r="U372" s="9">
        <f t="shared" si="43"/>
        <v>2.1539118192557046E-3</v>
      </c>
      <c r="V372" s="3">
        <f t="shared" si="44"/>
        <v>6.8253346872249613E-17</v>
      </c>
    </row>
    <row r="373" spans="1:22" x14ac:dyDescent="0.2">
      <c r="A373" t="s">
        <v>822</v>
      </c>
      <c r="B373" s="1" t="str">
        <f>VLOOKUP(REPLACE(A373,FIND("dist",A373),4,"fit")&amp;"*",'[413]t (Cherniak)'!$A:$A,1,0)</f>
        <v>CGI018-qtz05-CL-fit-3-offset</v>
      </c>
      <c r="C373">
        <v>1600</v>
      </c>
      <c r="D373">
        <v>1024</v>
      </c>
      <c r="E373" s="1">
        <f t="shared" si="40"/>
        <v>1.5625</v>
      </c>
      <c r="F373">
        <f>'[786]CGI018-qtz05-CL-dist-3'!$B$4</f>
        <v>421.78300000000002</v>
      </c>
      <c r="G373" s="1">
        <f t="shared" si="45"/>
        <v>659.03593750000005</v>
      </c>
      <c r="H373" s="1"/>
      <c r="I373" s="1" t="str">
        <f>VLOOKUP($B373, '[413]t (Cherniak) Category'!$1:$1048576, MATCH(I$1, '[413]t (Cherniak) Category'!$1:$1, 0), 0)</f>
        <v>Interior</v>
      </c>
      <c r="J373" s="1"/>
      <c r="K373" s="4">
        <f>VLOOKUP($B373, '[413]t (Cherniak)'!$1:$1048576, MATCH(LEFT(K$1,FIND(" (",K$1)-1), '[413]t (Cherniak)'!$1:$1, 0), 0)</f>
        <v>243.67982676204986</v>
      </c>
      <c r="L373" s="4">
        <f>'D(Ti_Audétat23) Times'!Z373</f>
        <v>17130.651861238017</v>
      </c>
      <c r="M373" s="4">
        <f>VLOOKUP($B373, '[413]t (J)'!$1:$1048576, MATCH(LEFT(M$1,FIND(" (",M$1)-1),'[413]t (J)'!$1:$1, 0), 0)</f>
        <v>293069.03525739774</v>
      </c>
      <c r="O373" s="1">
        <f t="shared" si="41"/>
        <v>2.7045157830957423</v>
      </c>
      <c r="P373" s="3">
        <f t="shared" si="42"/>
        <v>8.5700933629165159E-14</v>
      </c>
      <c r="Q373" s="3"/>
      <c r="R373" s="11">
        <f t="shared" si="46"/>
        <v>3.8471153511164292E-2</v>
      </c>
      <c r="S373" s="3">
        <f t="shared" si="47"/>
        <v>1.2190772907687623E-15</v>
      </c>
      <c r="T373" s="3"/>
      <c r="U373" s="9">
        <f t="shared" si="43"/>
        <v>2.2487395740091736E-3</v>
      </c>
      <c r="V373" s="3">
        <f t="shared" si="44"/>
        <v>7.1258257092084738E-17</v>
      </c>
    </row>
    <row r="374" spans="1:22" x14ac:dyDescent="0.2">
      <c r="A374" t="s">
        <v>823</v>
      </c>
      <c r="B374" s="1" t="str">
        <f>VLOOKUP(REPLACE(A374,FIND("dist",A374),4,"fit")&amp;"*",'[413]t (Cherniak)'!$A:$A,1,0)</f>
        <v>CGI018-qtz05-CL-fit-4-offset</v>
      </c>
      <c r="C374">
        <v>1600</v>
      </c>
      <c r="D374">
        <v>1024</v>
      </c>
      <c r="E374" s="1">
        <f t="shared" si="40"/>
        <v>1.5625</v>
      </c>
      <c r="F374">
        <f>'[787]CGI018-qtz05-CL-dist-4'!$B$4</f>
        <v>334.642</v>
      </c>
      <c r="G374" s="1">
        <f t="shared" si="45"/>
        <v>522.87812499999995</v>
      </c>
      <c r="H374" s="1"/>
      <c r="I374" s="1" t="str">
        <f>VLOOKUP($B374, '[413]t (Cherniak) Category'!$1:$1048576, MATCH(I$1, '[413]t (Cherniak) Category'!$1:$1, 0), 0)</f>
        <v>Interior</v>
      </c>
      <c r="J374" s="1"/>
      <c r="K374" s="4">
        <f>VLOOKUP($B374, '[413]t (Cherniak)'!$1:$1048576, MATCH(LEFT(K$1,FIND(" (",K$1)-1), '[413]t (Cherniak)'!$1:$1, 0), 0)</f>
        <v>313.30408572888734</v>
      </c>
      <c r="L374" s="4">
        <f>'D(Ti_Audétat23) Times'!Z374</f>
        <v>22025.225849187525</v>
      </c>
      <c r="M374" s="4">
        <f>VLOOKUP($B374, '[413]t (J)'!$1:$1048576, MATCH(LEFT(M$1,FIND(" (",M$1)-1),'[413]t (J)'!$1:$1, 0), 0)</f>
        <v>376804.79080620332</v>
      </c>
      <c r="O374" s="1">
        <f t="shared" si="41"/>
        <v>1.6689157557059888</v>
      </c>
      <c r="P374" s="3">
        <f t="shared" si="42"/>
        <v>5.2884749021027858E-14</v>
      </c>
      <c r="Q374" s="3"/>
      <c r="R374" s="11">
        <f t="shared" si="46"/>
        <v>2.373996655381802E-2</v>
      </c>
      <c r="S374" s="3">
        <f t="shared" si="47"/>
        <v>7.5227414485949563E-16</v>
      </c>
      <c r="T374" s="3"/>
      <c r="U374" s="9">
        <f t="shared" si="43"/>
        <v>1.3876631554531494E-3</v>
      </c>
      <c r="V374" s="3">
        <f t="shared" si="44"/>
        <v>4.39723919262919E-17</v>
      </c>
    </row>
    <row r="375" spans="1:22" x14ac:dyDescent="0.2">
      <c r="A375" t="s">
        <v>824</v>
      </c>
      <c r="B375" s="1" t="str">
        <f>VLOOKUP(REPLACE(A375,FIND("dist",A375),4,"fit")&amp;"*",'[413]t (Cherniak)'!$A:$A,1,0)</f>
        <v>CGI018-qtz05-CL-fit-5-offset</v>
      </c>
      <c r="C375">
        <v>1600</v>
      </c>
      <c r="D375">
        <v>1024</v>
      </c>
      <c r="E375" s="1">
        <f t="shared" si="40"/>
        <v>1.5625</v>
      </c>
      <c r="F375">
        <f>'[788]CGI018-qtz05-CL-dist-5'!$B$4</f>
        <v>255.441</v>
      </c>
      <c r="G375" s="1">
        <f t="shared" si="45"/>
        <v>399.12656249999998</v>
      </c>
      <c r="H375" s="1"/>
      <c r="I375" s="1" t="str">
        <f>VLOOKUP($B375, '[413]t (Cherniak) Category'!$1:$1048576, MATCH(I$1, '[413]t (Cherniak) Category'!$1:$1, 0), 0)</f>
        <v>Interior</v>
      </c>
      <c r="J375" s="1"/>
      <c r="K375" s="4">
        <f>VLOOKUP($B375, '[413]t (Cherniak)'!$1:$1048576, MATCH(LEFT(K$1,FIND(" (",K$1)-1), '[413]t (Cherniak)'!$1:$1, 0), 0)</f>
        <v>190.34370165371448</v>
      </c>
      <c r="L375" s="4">
        <f>'D(Ti_Audétat23) Times'!Z375</f>
        <v>13381.131012511671</v>
      </c>
      <c r="M375" s="4">
        <f>VLOOKUP($B375, '[413]t (J)'!$1:$1048576, MATCH(LEFT(M$1,FIND(" (",M$1)-1),'[413]t (J)'!$1:$1, 0), 0)</f>
        <v>228922.70464985282</v>
      </c>
      <c r="O375" s="1">
        <f t="shared" si="41"/>
        <v>2.0968729673342001</v>
      </c>
      <c r="P375" s="3">
        <f t="shared" si="42"/>
        <v>6.644589472374958E-14</v>
      </c>
      <c r="Q375" s="3"/>
      <c r="R375" s="11">
        <f t="shared" si="46"/>
        <v>2.9827565556813346E-2</v>
      </c>
      <c r="S375" s="3">
        <f t="shared" si="47"/>
        <v>9.4517851664300654E-16</v>
      </c>
      <c r="T375" s="3"/>
      <c r="U375" s="9">
        <f t="shared" si="43"/>
        <v>1.7434992440373326E-3</v>
      </c>
      <c r="V375" s="3">
        <f t="shared" si="44"/>
        <v>5.524815714874808E-17</v>
      </c>
    </row>
    <row r="376" spans="1:22" x14ac:dyDescent="0.2">
      <c r="A376" t="s">
        <v>825</v>
      </c>
      <c r="B376" s="1" t="str">
        <f>VLOOKUP(REPLACE(A376,FIND("dist",A376),4,"fit")&amp;"*",'[413]t (Cherniak)'!$A:$A,1,0)</f>
        <v>CGI018-qtz05-CL-fit-6-offset</v>
      </c>
      <c r="C376">
        <v>1600</v>
      </c>
      <c r="D376">
        <v>1024</v>
      </c>
      <c r="E376" s="1">
        <f t="shared" si="40"/>
        <v>1.5625</v>
      </c>
      <c r="F376">
        <f>'[789]CGI018-qtz05-CL-dist-6'!$B$4</f>
        <v>211.42599999999999</v>
      </c>
      <c r="G376" s="1">
        <f t="shared" si="45"/>
        <v>330.35312499999998</v>
      </c>
      <c r="H376" s="1"/>
      <c r="I376" s="1" t="str">
        <f>VLOOKUP($B376, '[413]t (Cherniak) Category'!$1:$1048576, MATCH(I$1, '[413]t (Cherniak) Category'!$1:$1, 0), 0)</f>
        <v>Interior</v>
      </c>
      <c r="J376" s="1"/>
      <c r="K376" s="4">
        <f>VLOOKUP($B376, '[413]t (Cherniak)'!$1:$1048576, MATCH(LEFT(K$1,FIND(" (",K$1)-1), '[413]t (Cherniak)'!$1:$1, 0), 0)</f>
        <v>41.546599090881728</v>
      </c>
      <c r="L376" s="4">
        <f>'D(Ti_Audétat23) Times'!Z376</f>
        <v>2920.7191030191766</v>
      </c>
      <c r="M376" s="4">
        <f>VLOOKUP($B376, '[413]t (J)'!$1:$1048576, MATCH(LEFT(M$1,FIND(" (",M$1)-1),'[413]t (J)'!$1:$1, 0), 0)</f>
        <v>49967.294689848539</v>
      </c>
      <c r="O376" s="1">
        <f t="shared" si="41"/>
        <v>7.951387892842062</v>
      </c>
      <c r="P376" s="3">
        <f t="shared" si="42"/>
        <v>2.5196427779178588E-13</v>
      </c>
      <c r="Q376" s="3"/>
      <c r="R376" s="11">
        <f t="shared" si="46"/>
        <v>0.11310677725170853</v>
      </c>
      <c r="S376" s="3">
        <f t="shared" si="47"/>
        <v>3.5841374899139514E-15</v>
      </c>
      <c r="T376" s="3"/>
      <c r="U376" s="9">
        <f t="shared" si="43"/>
        <v>6.6113870492795603E-3</v>
      </c>
      <c r="V376" s="3">
        <f t="shared" si="44"/>
        <v>2.0950221339010445E-16</v>
      </c>
    </row>
    <row r="377" spans="1:22" x14ac:dyDescent="0.2">
      <c r="A377" t="s">
        <v>826</v>
      </c>
      <c r="B377" s="1" t="str">
        <f>VLOOKUP(REPLACE(A377,FIND("dist",A377),4,"fit")&amp;"*",'[413]t (Cherniak)'!$A:$A,1,0)</f>
        <v>CGI018-qtz05-CL-fit-7-offset</v>
      </c>
      <c r="C377">
        <v>1600</v>
      </c>
      <c r="D377">
        <v>1024</v>
      </c>
      <c r="E377" s="1">
        <f t="shared" si="40"/>
        <v>1.5625</v>
      </c>
      <c r="F377">
        <f>'[790]CGI018-qtz05-CL-dist-7'!$B$4</f>
        <v>53.009399999999999</v>
      </c>
      <c r="G377" s="1">
        <f t="shared" si="45"/>
        <v>82.827187499999994</v>
      </c>
      <c r="H377" s="1"/>
      <c r="I377" s="1" t="str">
        <f>VLOOKUP($B377, '[413]t (Cherniak) Category'!$1:$1048576, MATCH(I$1, '[413]t (Cherniak) Category'!$1:$1, 0), 0)</f>
        <v>Interior</v>
      </c>
      <c r="J377" s="1"/>
      <c r="K377" s="4">
        <f>VLOOKUP($B377, '[413]t (Cherniak)'!$1:$1048576, MATCH(LEFT(K$1,FIND(" (",K$1)-1), '[413]t (Cherniak)'!$1:$1, 0), 0)</f>
        <v>13.013798813383355</v>
      </c>
      <c r="L377" s="4">
        <f>'D(Ti_Audétat23) Times'!Z377</f>
        <v>914.86792249715268</v>
      </c>
      <c r="M377" s="4">
        <f>VLOOKUP($B377, '[413]t (J)'!$1:$1048576, MATCH(LEFT(M$1,FIND(" (",M$1)-1),'[413]t (J)'!$1:$1, 0), 0)</f>
        <v>15651.445234308994</v>
      </c>
      <c r="O377" s="1">
        <f t="shared" si="41"/>
        <v>6.3645664642380009</v>
      </c>
      <c r="P377" s="3">
        <f t="shared" si="42"/>
        <v>2.016809410169975E-13</v>
      </c>
      <c r="Q377" s="3"/>
      <c r="R377" s="11">
        <f t="shared" si="46"/>
        <v>9.0534584788940151E-2</v>
      </c>
      <c r="S377" s="3">
        <f t="shared" si="47"/>
        <v>2.8688678729985849E-15</v>
      </c>
      <c r="T377" s="3"/>
      <c r="U377" s="9">
        <f t="shared" si="43"/>
        <v>5.2919833446714156E-3</v>
      </c>
      <c r="V377" s="3">
        <f t="shared" si="44"/>
        <v>1.6769283293632644E-16</v>
      </c>
    </row>
    <row r="378" spans="1:22" x14ac:dyDescent="0.2">
      <c r="A378" t="s">
        <v>827</v>
      </c>
      <c r="B378" s="1" t="str">
        <f>VLOOKUP(REPLACE(A378,FIND("dist",A378),4,"fit")&amp;"*",'[413]t (Cherniak)'!$A:$A,1,0)</f>
        <v>CGI018-qtz06-CL-fit-2-offset</v>
      </c>
      <c r="C378">
        <v>1750</v>
      </c>
      <c r="D378">
        <v>1024</v>
      </c>
      <c r="E378" s="1">
        <f t="shared" si="40"/>
        <v>1.708984375</v>
      </c>
      <c r="F378">
        <f>'[791]CGI018-qtz06-CL-dist-2'!$B$4</f>
        <v>240.67400000000001</v>
      </c>
      <c r="G378" s="1">
        <f t="shared" si="45"/>
        <v>411.30810546875</v>
      </c>
      <c r="H378" s="1"/>
      <c r="I378" s="1" t="str">
        <f>VLOOKUP($B378, '[413]t (Cherniak) Category'!$1:$1048576, MATCH(I$1, '[413]t (Cherniak) Category'!$1:$1, 0), 0)</f>
        <v>Core</v>
      </c>
      <c r="J378" s="1"/>
      <c r="K378" s="4">
        <f>VLOOKUP($B378, '[413]t (Cherniak)'!$1:$1048576, MATCH(LEFT(K$1,FIND(" (",K$1)-1), '[413]t (Cherniak)'!$1:$1, 0), 0)</f>
        <v>260.85851120227051</v>
      </c>
      <c r="L378" s="4">
        <f>'D(Ti_Audétat23) Times'!Z378</f>
        <v>18338.310560317972</v>
      </c>
      <c r="M378" s="4">
        <f>VLOOKUP($B378, '[413]t (J)'!$1:$1048576, MATCH(LEFT(M$1,FIND(" (",M$1)-1),'[413]t (J)'!$1:$1, 0), 0)</f>
        <v>313729.50823451823</v>
      </c>
      <c r="O378" s="1">
        <f t="shared" si="41"/>
        <v>1.5767478836441737</v>
      </c>
      <c r="P378" s="3">
        <f t="shared" si="42"/>
        <v>4.9964125397500874E-14</v>
      </c>
      <c r="Q378" s="3"/>
      <c r="R378" s="11">
        <f t="shared" si="46"/>
        <v>2.2428898459096562E-2</v>
      </c>
      <c r="S378" s="3">
        <f t="shared" si="47"/>
        <v>7.107289039437905E-16</v>
      </c>
      <c r="T378" s="3"/>
      <c r="U378" s="9">
        <f t="shared" si="43"/>
        <v>1.3110277951963959E-3</v>
      </c>
      <c r="V378" s="3">
        <f t="shared" si="44"/>
        <v>4.1543963900816148E-17</v>
      </c>
    </row>
    <row r="379" spans="1:22" x14ac:dyDescent="0.2">
      <c r="A379" t="s">
        <v>828</v>
      </c>
      <c r="B379" s="1" t="str">
        <f>VLOOKUP(REPLACE(A379,FIND("dist",A379),4,"fit")&amp;"*",'[413]t (Cherniak)'!$A:$A,1,0)</f>
        <v>CGI018-qtz06-CL-fit-3-offset</v>
      </c>
      <c r="C379">
        <v>1750</v>
      </c>
      <c r="D379">
        <v>1024</v>
      </c>
      <c r="E379" s="1">
        <f t="shared" si="40"/>
        <v>1.708984375</v>
      </c>
      <c r="F379">
        <f>'[792]CGI018-qtz06-CL-dist-3'!$B$4</f>
        <v>248.131</v>
      </c>
      <c r="G379" s="1">
        <f t="shared" si="45"/>
        <v>424.052001953125</v>
      </c>
      <c r="H379" s="1"/>
      <c r="I379" s="1" t="str">
        <f>VLOOKUP($B379, '[413]t (Cherniak) Category'!$1:$1048576, MATCH(I$1, '[413]t (Cherniak) Category'!$1:$1, 0), 0)</f>
        <v>Core</v>
      </c>
      <c r="J379" s="1"/>
      <c r="K379" s="4">
        <f>VLOOKUP($B379, '[413]t (Cherniak)'!$1:$1048576, MATCH(LEFT(K$1,FIND(" (",K$1)-1), '[413]t (Cherniak)'!$1:$1, 0), 0)</f>
        <v>102.60833053623224</v>
      </c>
      <c r="L379" s="4">
        <f>'D(Ti_Audétat23) Times'!Z379</f>
        <v>7213.3488103446889</v>
      </c>
      <c r="M379" s="4">
        <f>VLOOKUP($B379, '[413]t (J)'!$1:$1048576, MATCH(LEFT(M$1,FIND(" (",M$1)-1),'[413]t (J)'!$1:$1, 0), 0)</f>
        <v>123405.06327177431</v>
      </c>
      <c r="O379" s="1">
        <f t="shared" si="41"/>
        <v>4.1327248941389518</v>
      </c>
      <c r="P379" s="3">
        <f t="shared" si="42"/>
        <v>1.3095814935669859E-13</v>
      </c>
      <c r="Q379" s="3"/>
      <c r="R379" s="11">
        <f t="shared" si="46"/>
        <v>5.8787119977477112E-2</v>
      </c>
      <c r="S379" s="3">
        <f t="shared" si="47"/>
        <v>1.8628514201801502E-15</v>
      </c>
      <c r="T379" s="3"/>
      <c r="U379" s="9">
        <f t="shared" si="43"/>
        <v>3.4362609662071768E-3</v>
      </c>
      <c r="V379" s="3">
        <f t="shared" si="44"/>
        <v>1.0888853924909298E-16</v>
      </c>
    </row>
    <row r="380" spans="1:22" x14ac:dyDescent="0.2">
      <c r="A380" t="s">
        <v>829</v>
      </c>
      <c r="B380" s="1" t="str">
        <f>VLOOKUP(REPLACE(A380,FIND("dist",A380),4,"fit")&amp;"*",'[413]t (Cherniak)'!$A:$A,1,0)</f>
        <v>CGI018-qtz06-CL-fit-4-offset</v>
      </c>
      <c r="C380">
        <v>1750</v>
      </c>
      <c r="D380">
        <v>1024</v>
      </c>
      <c r="E380" s="1">
        <f t="shared" si="40"/>
        <v>1.708984375</v>
      </c>
      <c r="F380">
        <f>'[793]CGI018-qtz06-CL-dist-4'!$B$4</f>
        <v>55.362400000000001</v>
      </c>
      <c r="G380" s="1">
        <f t="shared" si="45"/>
        <v>94.613476562499997</v>
      </c>
      <c r="H380" s="1"/>
      <c r="I380" s="1" t="str">
        <f>VLOOKUP($B380, '[413]t (Cherniak) Category'!$1:$1048576, MATCH(I$1, '[413]t (Cherniak) Category'!$1:$1, 0), 0)</f>
        <v>Interior</v>
      </c>
      <c r="J380" s="1"/>
      <c r="K380" s="4">
        <f>VLOOKUP($B380, '[413]t (Cherniak)'!$1:$1048576, MATCH(LEFT(K$1,FIND(" (",K$1)-1), '[413]t (Cherniak)'!$1:$1, 0), 0)</f>
        <v>26.029852225532625</v>
      </c>
      <c r="L380" s="4">
        <f>'D(Ti_Audétat23) Times'!Z380</f>
        <v>1829.8943429178264</v>
      </c>
      <c r="M380" s="4">
        <f>VLOOKUP($B380, '[413]t (J)'!$1:$1048576, MATCH(LEFT(M$1,FIND(" (",M$1)-1),'[413]t (J)'!$1:$1, 0), 0)</f>
        <v>31305.602031138369</v>
      </c>
      <c r="O380" s="1">
        <f t="shared" si="41"/>
        <v>3.6348065191739294</v>
      </c>
      <c r="P380" s="3">
        <f t="shared" si="42"/>
        <v>1.1518006816658837E-13</v>
      </c>
      <c r="Q380" s="3"/>
      <c r="R380" s="11">
        <f t="shared" si="46"/>
        <v>5.170433852024249E-2</v>
      </c>
      <c r="S380" s="3">
        <f t="shared" si="47"/>
        <v>1.6384116193957237E-15</v>
      </c>
      <c r="T380" s="3"/>
      <c r="U380" s="9">
        <f t="shared" si="43"/>
        <v>3.022253859497477E-3</v>
      </c>
      <c r="V380" s="3">
        <f t="shared" si="44"/>
        <v>9.5769445696043965E-17</v>
      </c>
    </row>
    <row r="381" spans="1:22" x14ac:dyDescent="0.2">
      <c r="A381" t="s">
        <v>830</v>
      </c>
      <c r="B381" s="1" t="str">
        <f>VLOOKUP(REPLACE(A381,FIND("dist",A381),4,"fit")&amp;"*",'[413]t (Cherniak)'!$A:$A,1,0)</f>
        <v>CGI018-qtz07-CL-fit-1-offset</v>
      </c>
      <c r="C381">
        <v>1700</v>
      </c>
      <c r="D381">
        <v>1024</v>
      </c>
      <c r="E381" s="1">
        <f t="shared" si="40"/>
        <v>1.66015625</v>
      </c>
      <c r="F381">
        <f>'[794]CGI018-qtz07-CL-dist-1'!$B$4</f>
        <v>357.76100000000002</v>
      </c>
      <c r="G381" s="1">
        <f t="shared" si="45"/>
        <v>593.93916015625007</v>
      </c>
      <c r="H381" s="1"/>
      <c r="I381" s="1" t="str">
        <f>VLOOKUP($B381, '[413]t (Cherniak) Category'!$1:$1048576, MATCH(I$1, '[413]t (Cherniak) Category'!$1:$1, 0), 0)</f>
        <v>Core</v>
      </c>
      <c r="J381" s="1"/>
      <c r="K381" s="4">
        <f>VLOOKUP($B381, '[413]t (Cherniak)'!$1:$1048576, MATCH(LEFT(K$1,FIND(" (",K$1)-1), '[413]t (Cherniak)'!$1:$1, 0), 0)</f>
        <v>285.19357823071414</v>
      </c>
      <c r="L381" s="4">
        <f>'D(Ti_Audétat23) Times'!Z381</f>
        <v>20049.061781801862</v>
      </c>
      <c r="M381" s="4">
        <f>VLOOKUP($B381, '[413]t (J)'!$1:$1048576, MATCH(LEFT(M$1,FIND(" (",M$1)-1),'[413]t (J)'!$1:$1, 0), 0)</f>
        <v>342996.82474453142</v>
      </c>
      <c r="O381" s="1">
        <f t="shared" si="41"/>
        <v>2.0825825176041266</v>
      </c>
      <c r="P381" s="3">
        <f t="shared" si="42"/>
        <v>6.5993057697801053E-14</v>
      </c>
      <c r="Q381" s="3"/>
      <c r="R381" s="11">
        <f t="shared" si="46"/>
        <v>2.9624286992589195E-2</v>
      </c>
      <c r="S381" s="3">
        <f t="shared" si="47"/>
        <v>9.3873700764916185E-16</v>
      </c>
      <c r="T381" s="3"/>
      <c r="U381" s="9">
        <f t="shared" si="43"/>
        <v>1.7316170801249366E-3</v>
      </c>
      <c r="V381" s="3">
        <f t="shared" si="44"/>
        <v>5.487163409527139E-17</v>
      </c>
    </row>
    <row r="382" spans="1:22" x14ac:dyDescent="0.2">
      <c r="A382" t="s">
        <v>831</v>
      </c>
      <c r="B382" s="1" t="str">
        <f>VLOOKUP(REPLACE(A382,FIND("dist",A382),4,"fit")&amp;"*",'[413]t (Cherniak)'!$A:$A,1,0)</f>
        <v>CGI018-qtz07-CL-fit-2-offset</v>
      </c>
      <c r="C382">
        <v>1700</v>
      </c>
      <c r="D382">
        <v>1024</v>
      </c>
      <c r="E382" s="1">
        <f t="shared" si="40"/>
        <v>1.66015625</v>
      </c>
      <c r="F382">
        <f>'[795]CGI018-qtz07-CL-dist-2'!$B$4</f>
        <v>217.66499999999999</v>
      </c>
      <c r="G382" s="1">
        <f t="shared" si="45"/>
        <v>361.35791015625</v>
      </c>
      <c r="H382" s="1"/>
      <c r="I382" s="1" t="str">
        <f>VLOOKUP($B382, '[413]t (Cherniak) Category'!$1:$1048576, MATCH(I$1, '[413]t (Cherniak) Category'!$1:$1, 0), 0)</f>
        <v>Core</v>
      </c>
      <c r="J382" s="1"/>
      <c r="K382" s="4">
        <f>VLOOKUP($B382, '[413]t (Cherniak)'!$1:$1048576, MATCH(LEFT(K$1,FIND(" (",K$1)-1), '[413]t (Cherniak)'!$1:$1, 0), 0)</f>
        <v>319.96129120267636</v>
      </c>
      <c r="L382" s="4">
        <f>'D(Ti_Audétat23) Times'!Z382</f>
        <v>22493.22630230492</v>
      </c>
      <c r="M382" s="4">
        <f>VLOOKUP($B382, '[413]t (J)'!$1:$1048576, MATCH(LEFT(M$1,FIND(" (",M$1)-1),'[413]t (J)'!$1:$1, 0), 0)</f>
        <v>384811.28363590629</v>
      </c>
      <c r="O382" s="1">
        <f t="shared" si="41"/>
        <v>1.1293800846907802</v>
      </c>
      <c r="P382" s="3">
        <f t="shared" si="42"/>
        <v>3.5787895299096895E-14</v>
      </c>
      <c r="Q382" s="3"/>
      <c r="R382" s="11">
        <f t="shared" si="46"/>
        <v>1.6065188039264114E-2</v>
      </c>
      <c r="S382" s="3">
        <f t="shared" si="47"/>
        <v>5.090750893370888E-16</v>
      </c>
      <c r="T382" s="3"/>
      <c r="U382" s="9">
        <f t="shared" si="43"/>
        <v>9.3905227191350507E-4</v>
      </c>
      <c r="V382" s="3">
        <f t="shared" si="44"/>
        <v>2.9756770854358539E-17</v>
      </c>
    </row>
    <row r="383" spans="1:22" x14ac:dyDescent="0.2">
      <c r="A383" t="s">
        <v>832</v>
      </c>
      <c r="B383" s="1" t="str">
        <f>VLOOKUP(REPLACE(A383,FIND("dist",A383),4,"fit")&amp;"*",'[413]t (Cherniak)'!$A:$A,1,0)</f>
        <v>CGI018-qtz07-CL-fit-3-offset</v>
      </c>
      <c r="C383">
        <v>1700</v>
      </c>
      <c r="D383">
        <v>1024</v>
      </c>
      <c r="E383" s="1">
        <f t="shared" si="40"/>
        <v>1.66015625</v>
      </c>
      <c r="F383">
        <f>'[796]CGI018-qtz07-CL-dist-3'!$B$4</f>
        <v>147.34</v>
      </c>
      <c r="G383" s="1">
        <f t="shared" si="45"/>
        <v>244.607421875</v>
      </c>
      <c r="H383" s="1"/>
      <c r="I383" s="1" t="str">
        <f>VLOOKUP($B383, '[413]t (Cherniak) Category'!$1:$1048576, MATCH(I$1, '[413]t (Cherniak) Category'!$1:$1, 0), 0)</f>
        <v>Interior</v>
      </c>
      <c r="J383" s="1"/>
      <c r="K383" s="4">
        <f>VLOOKUP($B383, '[413]t (Cherniak)'!$1:$1048576, MATCH(LEFT(K$1,FIND(" (",K$1)-1), '[413]t (Cherniak)'!$1:$1, 0), 0)</f>
        <v>31.070039720086367</v>
      </c>
      <c r="L383" s="4">
        <f>'D(Ti_Audétat23) Times'!Z383</f>
        <v>2184.2186972636505</v>
      </c>
      <c r="M383" s="4">
        <f>VLOOKUP($B383, '[413]t (J)'!$1:$1048576, MATCH(LEFT(M$1,FIND(" (",M$1)-1),'[413]t (J)'!$1:$1, 0), 0)</f>
        <v>37367.338475114324</v>
      </c>
      <c r="O383" s="1">
        <f t="shared" si="41"/>
        <v>7.8727746754975838</v>
      </c>
      <c r="P383" s="3">
        <f t="shared" si="42"/>
        <v>2.4947317525723072E-13</v>
      </c>
      <c r="Q383" s="3"/>
      <c r="R383" s="11">
        <f t="shared" si="46"/>
        <v>0.11198852119590394</v>
      </c>
      <c r="S383" s="3">
        <f t="shared" si="47"/>
        <v>3.5487020938190463E-15</v>
      </c>
      <c r="T383" s="3"/>
      <c r="U383" s="9">
        <f t="shared" si="43"/>
        <v>6.5460220571476394E-3</v>
      </c>
      <c r="V383" s="3">
        <f t="shared" si="44"/>
        <v>2.0743092177946483E-16</v>
      </c>
    </row>
    <row r="384" spans="1:22" x14ac:dyDescent="0.2">
      <c r="A384" t="s">
        <v>833</v>
      </c>
      <c r="B384" s="1" t="str">
        <f>VLOOKUP(REPLACE(A384,FIND("dist",A384),4,"fit")&amp;"*",'[413]t (Cherniak)'!$A:$A,1,0)</f>
        <v>CGI018-qtz08-CL-fit-1-offset</v>
      </c>
      <c r="C384">
        <v>2300</v>
      </c>
      <c r="D384">
        <v>1024</v>
      </c>
      <c r="E384" s="1">
        <f t="shared" si="40"/>
        <v>2.24609375</v>
      </c>
      <c r="F384">
        <f>'[797]CGI018-qtz08-CL-dist-1'!$B$4</f>
        <v>599.62099999999998</v>
      </c>
      <c r="G384" s="1">
        <f t="shared" si="45"/>
        <v>1346.80498046875</v>
      </c>
      <c r="H384" s="1"/>
      <c r="I384" s="1" t="str">
        <f>VLOOKUP($B384, '[413]t (Cherniak) Category'!$1:$1048576, MATCH(I$1, '[413]t (Cherniak) Category'!$1:$1, 0), 0)</f>
        <v>Interior</v>
      </c>
      <c r="J384" s="1"/>
      <c r="K384" s="4">
        <f>VLOOKUP($B384, '[413]t (Cherniak)'!$1:$1048576, MATCH(LEFT(K$1,FIND(" (",K$1)-1), '[413]t (Cherniak)'!$1:$1, 0), 0)</f>
        <v>4980.605176381122</v>
      </c>
      <c r="L384" s="4">
        <f>'D(Ti_Audétat23) Times'!Z384</f>
        <v>350135.72714896832</v>
      </c>
      <c r="M384" s="4">
        <f>VLOOKUP($B384, '[413]t (J)'!$1:$1048576, MATCH(LEFT(M$1,FIND(" (",M$1)-1),'[413]t (J)'!$1:$1, 0), 0)</f>
        <v>5990077.9372490142</v>
      </c>
      <c r="O384" s="1">
        <f t="shared" si="41"/>
        <v>0.27040990658234237</v>
      </c>
      <c r="P384" s="3">
        <f t="shared" si="42"/>
        <v>8.5687728655646312E-15</v>
      </c>
      <c r="Q384" s="3"/>
      <c r="R384" s="11">
        <f t="shared" si="46"/>
        <v>3.8465225797872952E-3</v>
      </c>
      <c r="S384" s="3">
        <f t="shared" si="47"/>
        <v>1.2188894528694499E-16</v>
      </c>
      <c r="T384" s="3"/>
      <c r="U384" s="9">
        <f t="shared" si="43"/>
        <v>2.2483930836587407E-4</v>
      </c>
      <c r="V384" s="3">
        <f t="shared" si="44"/>
        <v>7.1247277475433518E-18</v>
      </c>
    </row>
    <row r="385" spans="1:22" x14ac:dyDescent="0.2">
      <c r="A385" t="s">
        <v>834</v>
      </c>
      <c r="B385" s="1" t="str">
        <f>VLOOKUP(REPLACE(A385,FIND("dist",A385),4,"fit")&amp;"*",'[413]t (Cherniak)'!$A:$A,1,0)</f>
        <v>CGI018-qtz08-CL-fit-2-offset</v>
      </c>
      <c r="C385">
        <v>2300</v>
      </c>
      <c r="D385">
        <v>1024</v>
      </c>
      <c r="E385" s="1">
        <f t="shared" si="40"/>
        <v>2.24609375</v>
      </c>
      <c r="F385">
        <f>'[798]CGI018-qtz08-CL-dist-2'!$B$4</f>
        <v>472.44499999999999</v>
      </c>
      <c r="G385" s="1">
        <f t="shared" si="45"/>
        <v>1061.15576171875</v>
      </c>
      <c r="H385" s="1"/>
      <c r="I385" s="1" t="str">
        <f>VLOOKUP($B385, '[413]t (Cherniak) Category'!$1:$1048576, MATCH(I$1, '[413]t (Cherniak) Category'!$1:$1, 0), 0)</f>
        <v>Interior</v>
      </c>
      <c r="J385" s="1"/>
      <c r="K385" s="4">
        <f>VLOOKUP($B385, '[413]t (Cherniak)'!$1:$1048576, MATCH(LEFT(K$1,FIND(" (",K$1)-1), '[413]t (Cherniak)'!$1:$1, 0), 0)</f>
        <v>855.3546389347656</v>
      </c>
      <c r="L385" s="4">
        <f>'D(Ti_Audétat23) Times'!Z385</f>
        <v>60131.29085073858</v>
      </c>
      <c r="M385" s="4">
        <f>VLOOKUP($B385, '[413]t (J)'!$1:$1048576, MATCH(LEFT(M$1,FIND(" (",M$1)-1),'[413]t (J)'!$1:$1, 0), 0)</f>
        <v>1028718.5532199809</v>
      </c>
      <c r="O385" s="1">
        <f t="shared" si="41"/>
        <v>1.2406032695868503</v>
      </c>
      <c r="P385" s="3">
        <f t="shared" si="42"/>
        <v>3.9312345349039541E-14</v>
      </c>
      <c r="Q385" s="3"/>
      <c r="R385" s="11">
        <f t="shared" si="46"/>
        <v>1.7647313847840271E-2</v>
      </c>
      <c r="S385" s="3">
        <f t="shared" si="47"/>
        <v>5.5920963089209158E-16</v>
      </c>
      <c r="T385" s="3"/>
      <c r="U385" s="9">
        <f t="shared" si="43"/>
        <v>1.031531664707745E-3</v>
      </c>
      <c r="V385" s="3">
        <f t="shared" si="44"/>
        <v>3.2687265974210487E-17</v>
      </c>
    </row>
    <row r="386" spans="1:22" x14ac:dyDescent="0.2">
      <c r="A386" t="s">
        <v>835</v>
      </c>
      <c r="B386" s="1" t="str">
        <f>VLOOKUP(REPLACE(A386,FIND("dist",A386),4,"fit")&amp;"*",'[413]t (Cherniak)'!$A:$A,1,0)</f>
        <v>CGI018-qtz08-CL-fit-3-offset</v>
      </c>
      <c r="C386">
        <v>2300</v>
      </c>
      <c r="D386">
        <v>1024</v>
      </c>
      <c r="E386" s="1">
        <f t="shared" ref="E386:E412" si="48">C386/D386</f>
        <v>2.24609375</v>
      </c>
      <c r="F386">
        <f>'[799]CGI018-qtz08-CL-dist-3'!$B$4</f>
        <v>371.4</v>
      </c>
      <c r="G386" s="1">
        <f t="shared" si="45"/>
        <v>834.19921875</v>
      </c>
      <c r="H386" s="1"/>
      <c r="I386" s="1" t="str">
        <f>VLOOKUP($B386, '[413]t (Cherniak) Category'!$1:$1048576, MATCH(I$1, '[413]t (Cherniak) Category'!$1:$1, 0), 0)</f>
        <v>Interior</v>
      </c>
      <c r="J386" s="1"/>
      <c r="K386" s="4">
        <f>VLOOKUP($B386, '[413]t (Cherniak)'!$1:$1048576, MATCH(LEFT(K$1,FIND(" (",K$1)-1), '[413]t (Cherniak)'!$1:$1, 0), 0)</f>
        <v>977.69695108329381</v>
      </c>
      <c r="L386" s="4">
        <f>'D(Ti_Audétat23) Times'!Z386</f>
        <v>68731.935332326611</v>
      </c>
      <c r="M386" s="4">
        <f>VLOOKUP($B386, '[413]t (J)'!$1:$1048576, MATCH(LEFT(M$1,FIND(" (",M$1)-1),'[413]t (J)'!$1:$1, 0), 0)</f>
        <v>1175857.2961719788</v>
      </c>
      <c r="O386" s="1">
        <f t="shared" ref="O386:O412" si="49">$G386/$K386</f>
        <v>0.85322882292483626</v>
      </c>
      <c r="P386" s="3">
        <f t="shared" ref="P386:P412" si="50">O386/(365.25*60*60*24)*(10^-6)</f>
        <v>2.7037189866302767E-14</v>
      </c>
      <c r="Q386" s="3"/>
      <c r="R386" s="11">
        <f t="shared" si="46"/>
        <v>1.2136995920696154E-2</v>
      </c>
      <c r="S386" s="3">
        <f t="shared" si="47"/>
        <v>3.8459819253353084E-16</v>
      </c>
      <c r="T386" s="3"/>
      <c r="U386" s="9">
        <f t="shared" ref="U386:U412" si="51">G386/M386</f>
        <v>7.0943916533557951E-4</v>
      </c>
      <c r="V386" s="3">
        <f t="shared" ref="V386:V412" si="52">U386/(365.25*60*60*24)*(10^-6)</f>
        <v>2.2480770569865245E-17</v>
      </c>
    </row>
    <row r="387" spans="1:22" x14ac:dyDescent="0.2">
      <c r="A387" t="s">
        <v>836</v>
      </c>
      <c r="B387" s="1" t="str">
        <f>VLOOKUP(REPLACE(A387,FIND("dist",A387),4,"fit")&amp;"*",'[413]t (Cherniak)'!$A:$A,1,0)</f>
        <v>CGI018-qtz08-CL-fit-4-offset</v>
      </c>
      <c r="C387">
        <v>2300</v>
      </c>
      <c r="D387">
        <v>1024</v>
      </c>
      <c r="E387" s="1">
        <f t="shared" si="48"/>
        <v>2.24609375</v>
      </c>
      <c r="F387">
        <f>'[800]CGI018-qtz08-CL-dist-4'!$B$4</f>
        <v>278.98700000000002</v>
      </c>
      <c r="G387" s="1">
        <f t="shared" ref="G387:G412" si="53">F387*E387</f>
        <v>626.63095703125009</v>
      </c>
      <c r="H387" s="1"/>
      <c r="I387" s="1" t="str">
        <f>VLOOKUP($B387, '[413]t (Cherniak) Category'!$1:$1048576, MATCH(I$1, '[413]t (Cherniak) Category'!$1:$1, 0), 0)</f>
        <v>Interior</v>
      </c>
      <c r="J387" s="1"/>
      <c r="K387" s="4">
        <f>VLOOKUP($B387, '[413]t (Cherniak)'!$1:$1048576, MATCH(LEFT(K$1,FIND(" (",K$1)-1), '[413]t (Cherniak)'!$1:$1, 0), 0)</f>
        <v>663.18232271378884</v>
      </c>
      <c r="L387" s="4">
        <f>'D(Ti_Audétat23) Times'!Z387</f>
        <v>46621.60853401597</v>
      </c>
      <c r="M387" s="4">
        <f>VLOOKUP($B387, '[413]t (J)'!$1:$1048576, MATCH(LEFT(M$1,FIND(" (",M$1)-1),'[413]t (J)'!$1:$1, 0), 0)</f>
        <v>797596.60904256359</v>
      </c>
      <c r="O387" s="1">
        <f t="shared" si="49"/>
        <v>0.94488489148358479</v>
      </c>
      <c r="P387" s="3">
        <f t="shared" si="50"/>
        <v>2.9941595415481048E-14</v>
      </c>
      <c r="Q387" s="3"/>
      <c r="R387" s="11">
        <f t="shared" ref="R387:R412" si="54">G387/L387</f>
        <v>1.344078372100887E-2</v>
      </c>
      <c r="S387" s="3">
        <f t="shared" ref="S387:S412" si="55">R387/(365.25*60*60*24)*(10^-6)</f>
        <v>4.2591273484069985E-16</v>
      </c>
      <c r="T387" s="3"/>
      <c r="U387" s="9">
        <f t="shared" si="51"/>
        <v>7.8564897333685882E-4</v>
      </c>
      <c r="V387" s="3">
        <f t="shared" si="52"/>
        <v>2.4895713658100071E-17</v>
      </c>
    </row>
    <row r="388" spans="1:22" x14ac:dyDescent="0.2">
      <c r="A388" t="s">
        <v>837</v>
      </c>
      <c r="B388" s="1" t="str">
        <f>VLOOKUP(REPLACE(A388,FIND("dist",A388),4,"fit")&amp;"*",'[413]t (Cherniak)'!$A:$A,1,0)</f>
        <v>CGI018-qtz08-CL-fit-5-offset</v>
      </c>
      <c r="C388">
        <v>2300</v>
      </c>
      <c r="D388">
        <v>1024</v>
      </c>
      <c r="E388" s="1">
        <f t="shared" si="48"/>
        <v>2.24609375</v>
      </c>
      <c r="F388">
        <f>'[801]CGI018-qtz08-CL-dist-5'!$B$4</f>
        <v>157.50899999999999</v>
      </c>
      <c r="G388" s="1">
        <f t="shared" si="53"/>
        <v>353.77998046874995</v>
      </c>
      <c r="H388" s="1"/>
      <c r="I388" s="1" t="str">
        <f>VLOOKUP($B388, '[413]t (Cherniak) Category'!$1:$1048576, MATCH(I$1, '[413]t (Cherniak) Category'!$1:$1, 0), 0)</f>
        <v>Interior</v>
      </c>
      <c r="J388" s="1"/>
      <c r="K388" s="4">
        <f>VLOOKUP($B388, '[413]t (Cherniak)'!$1:$1048576, MATCH(LEFT(K$1,FIND(" (",K$1)-1), '[413]t (Cherniak)'!$1:$1, 0), 0)</f>
        <v>1218.9936031234563</v>
      </c>
      <c r="L388" s="4">
        <f>'D(Ti_Audétat23) Times'!Z388</f>
        <v>85695.050401423738</v>
      </c>
      <c r="M388" s="4">
        <f>VLOOKUP($B388, '[413]t (J)'!$1:$1048576, MATCH(LEFT(M$1,FIND(" (",M$1)-1),'[413]t (J)'!$1:$1, 0), 0)</f>
        <v>1466060.1330826606</v>
      </c>
      <c r="O388" s="1">
        <f t="shared" si="49"/>
        <v>0.29022299999134621</v>
      </c>
      <c r="P388" s="3">
        <f t="shared" si="50"/>
        <v>9.1966119093767027E-15</v>
      </c>
      <c r="Q388" s="3"/>
      <c r="R388" s="11">
        <f t="shared" si="54"/>
        <v>4.1283595588254918E-3</v>
      </c>
      <c r="S388" s="3">
        <f t="shared" si="55"/>
        <v>1.30819820227948E-16</v>
      </c>
      <c r="T388" s="3"/>
      <c r="U388" s="9">
        <f t="shared" si="51"/>
        <v>2.4131341715490385E-4</v>
      </c>
      <c r="V388" s="3">
        <f t="shared" si="52"/>
        <v>7.6467607535079939E-18</v>
      </c>
    </row>
    <row r="389" spans="1:22" x14ac:dyDescent="0.2">
      <c r="A389" t="s">
        <v>838</v>
      </c>
      <c r="B389" s="1" t="str">
        <f>VLOOKUP(REPLACE(A389,FIND("dist",A389),4,"fit")&amp;"*",'[413]t (Cherniak)'!$A:$A,1,0)</f>
        <v>CGI018-qtz08-CL-fit-6-offset</v>
      </c>
      <c r="C389">
        <v>2300</v>
      </c>
      <c r="D389">
        <v>1024</v>
      </c>
      <c r="E389" s="1">
        <f t="shared" si="48"/>
        <v>2.24609375</v>
      </c>
      <c r="F389">
        <f>'[802]CGI018-qtz08-CL-dist-6'!$B$4</f>
        <v>152.83000000000001</v>
      </c>
      <c r="G389" s="1">
        <f t="shared" si="53"/>
        <v>343.2705078125</v>
      </c>
      <c r="H389" s="1"/>
      <c r="I389" s="1" t="str">
        <f>VLOOKUP($B389, '[413]t (Cherniak) Category'!$1:$1048576, MATCH(I$1, '[413]t (Cherniak) Category'!$1:$1, 0), 0)</f>
        <v>Interior</v>
      </c>
      <c r="J389" s="1"/>
      <c r="K389" s="4">
        <f>VLOOKUP($B389, '[413]t (Cherniak)'!$1:$1048576, MATCH(LEFT(K$1,FIND(" (",K$1)-1), '[413]t (Cherniak)'!$1:$1, 0), 0)</f>
        <v>219.70091765456931</v>
      </c>
      <c r="L389" s="4">
        <f>'D(Ti_Audétat23) Times'!Z389</f>
        <v>15444.938483192836</v>
      </c>
      <c r="M389" s="4">
        <f>VLOOKUP($B389, '[413]t (J)'!$1:$1048576, MATCH(LEFT(M$1,FIND(" (",M$1)-1),'[413]t (J)'!$1:$1, 0), 0)</f>
        <v>264230.06302061758</v>
      </c>
      <c r="O389" s="1">
        <f t="shared" si="49"/>
        <v>1.562444579099193</v>
      </c>
      <c r="P389" s="3">
        <f t="shared" si="50"/>
        <v>4.9510881027048729E-14</v>
      </c>
      <c r="Q389" s="3"/>
      <c r="R389" s="11">
        <f t="shared" si="54"/>
        <v>2.2225437037903813E-2</v>
      </c>
      <c r="S389" s="3">
        <f t="shared" si="55"/>
        <v>7.042816005622675E-16</v>
      </c>
      <c r="T389" s="3"/>
      <c r="U389" s="9">
        <f t="shared" si="51"/>
        <v>1.2991349428157801E-3</v>
      </c>
      <c r="V389" s="3">
        <f t="shared" si="52"/>
        <v>4.1167102150219916E-17</v>
      </c>
    </row>
    <row r="390" spans="1:22" x14ac:dyDescent="0.2">
      <c r="A390" t="s">
        <v>839</v>
      </c>
      <c r="B390" s="1" t="str">
        <f>VLOOKUP(REPLACE(A390,FIND("dist",A390),4,"fit")&amp;"*",'[413]t (Cherniak)'!$A:$A,1,0)</f>
        <v>CGI018-qtz08-CL-fit-7-offset</v>
      </c>
      <c r="C390">
        <v>2300</v>
      </c>
      <c r="D390">
        <v>1024</v>
      </c>
      <c r="E390" s="1">
        <f t="shared" si="48"/>
        <v>2.24609375</v>
      </c>
      <c r="F390">
        <f>'[803]CGI018-qtz08-CL-dist-7'!$B$4</f>
        <v>109.65900000000001</v>
      </c>
      <c r="G390" s="1">
        <f t="shared" si="53"/>
        <v>246.30439453125001</v>
      </c>
      <c r="H390" s="1"/>
      <c r="I390" s="1" t="str">
        <f>VLOOKUP($B390, '[413]t (Cherniak) Category'!$1:$1048576, MATCH(I$1, '[413]t (Cherniak) Category'!$1:$1, 0), 0)</f>
        <v>Interior</v>
      </c>
      <c r="J390" s="1"/>
      <c r="K390" s="4">
        <f>VLOOKUP($B390, '[413]t (Cherniak)'!$1:$1048576, MATCH(LEFT(K$1,FIND(" (",K$1)-1), '[413]t (Cherniak)'!$1:$1, 0), 0)</f>
        <v>41.805626205283353</v>
      </c>
      <c r="L390" s="4">
        <f>'D(Ti_Audétat23) Times'!Z390</f>
        <v>2938.9286666847338</v>
      </c>
      <c r="M390" s="4">
        <f>VLOOKUP($B390, '[413]t (J)'!$1:$1048576, MATCH(LEFT(M$1,FIND(" (",M$1)-1),'[413]t (J)'!$1:$1, 0), 0)</f>
        <v>50278.821612416985</v>
      </c>
      <c r="O390" s="1">
        <f t="shared" si="49"/>
        <v>5.8916566234839056</v>
      </c>
      <c r="P390" s="3">
        <f t="shared" si="50"/>
        <v>1.866953324550633E-13</v>
      </c>
      <c r="Q390" s="3"/>
      <c r="R390" s="11">
        <f t="shared" si="54"/>
        <v>8.3807544335226872E-2</v>
      </c>
      <c r="S390" s="3">
        <f t="shared" si="55"/>
        <v>2.6557008243727936E-15</v>
      </c>
      <c r="T390" s="3"/>
      <c r="U390" s="9">
        <f t="shared" si="51"/>
        <v>4.8987702303353517E-3</v>
      </c>
      <c r="V390" s="3">
        <f t="shared" si="52"/>
        <v>1.5523266123961743E-16</v>
      </c>
    </row>
    <row r="391" spans="1:22" x14ac:dyDescent="0.2">
      <c r="A391" t="s">
        <v>840</v>
      </c>
      <c r="B391" s="1" t="str">
        <f>VLOOKUP(REPLACE(A391,FIND("dist",A391),4,"fit")&amp;"*",'[413]t (Cherniak)'!$A:$A,1,0)</f>
        <v>CGI018-qtz09-CL-fit-2-offset</v>
      </c>
      <c r="C391">
        <v>2250</v>
      </c>
      <c r="D391">
        <v>1024</v>
      </c>
      <c r="E391" s="1">
        <f t="shared" si="48"/>
        <v>2.197265625</v>
      </c>
      <c r="F391">
        <f>'[804]CGI018-qtz09-CL-dist-2'!$B$4</f>
        <v>193.34200000000001</v>
      </c>
      <c r="G391" s="1">
        <f t="shared" si="53"/>
        <v>424.82373046875006</v>
      </c>
      <c r="H391" s="1"/>
      <c r="I391" s="1" t="str">
        <f>VLOOKUP($B391, '[413]t (Cherniak) Category'!$1:$1048576, MATCH(I$1, '[413]t (Cherniak) Category'!$1:$1, 0), 0)</f>
        <v>Interior</v>
      </c>
      <c r="J391" s="1"/>
      <c r="K391" s="4">
        <f>VLOOKUP($B391, '[413]t (Cherniak)'!$1:$1048576, MATCH(LEFT(K$1,FIND(" (",K$1)-1), '[413]t (Cherniak)'!$1:$1, 0), 0)</f>
        <v>1483.6561501457488</v>
      </c>
      <c r="L391" s="4">
        <f>'D(Ti_Audétat23) Times'!Z391</f>
        <v>104300.78405607979</v>
      </c>
      <c r="M391" s="4">
        <f>VLOOKUP($B391, '[413]t (J)'!$1:$1048576, MATCH(LEFT(M$1,FIND(" (",M$1)-1),'[413]t (J)'!$1:$1, 0), 0)</f>
        <v>1784364.6819459915</v>
      </c>
      <c r="O391" s="1">
        <f t="shared" si="49"/>
        <v>0.28633570549821596</v>
      </c>
      <c r="P391" s="3">
        <f t="shared" si="50"/>
        <v>9.0734309801193991E-15</v>
      </c>
      <c r="Q391" s="3"/>
      <c r="R391" s="11">
        <f t="shared" si="54"/>
        <v>4.0730636333503826E-3</v>
      </c>
      <c r="S391" s="3">
        <f t="shared" si="55"/>
        <v>1.2906759808573473E-16</v>
      </c>
      <c r="T391" s="3"/>
      <c r="U391" s="9">
        <f t="shared" si="51"/>
        <v>2.3808122564129998E-4</v>
      </c>
      <c r="V391" s="3">
        <f t="shared" si="52"/>
        <v>7.5443387849931548E-18</v>
      </c>
    </row>
    <row r="392" spans="1:22" x14ac:dyDescent="0.2">
      <c r="A392" t="s">
        <v>841</v>
      </c>
      <c r="B392" s="1" t="str">
        <f>VLOOKUP(REPLACE(A392,FIND("dist",A392),4,"fit")&amp;"*",'[413]t (Cherniak)'!$A:$A,1,0)</f>
        <v>CGI018-qtz09-CL-fit-3-offset</v>
      </c>
      <c r="C392">
        <v>2250</v>
      </c>
      <c r="D392">
        <v>1024</v>
      </c>
      <c r="E392" s="1">
        <f t="shared" si="48"/>
        <v>2.197265625</v>
      </c>
      <c r="F392">
        <f>'[805]CGI018-qtz09-CL-dist-3'!$B$4</f>
        <v>95.6922</v>
      </c>
      <c r="G392" s="1">
        <f t="shared" si="53"/>
        <v>210.26118164062501</v>
      </c>
      <c r="H392" s="1"/>
      <c r="I392" s="1" t="str">
        <f>VLOOKUP($B392, '[413]t (Cherniak) Category'!$1:$1048576, MATCH(I$1, '[413]t (Cherniak) Category'!$1:$1, 0), 0)</f>
        <v>Interior</v>
      </c>
      <c r="J392" s="1"/>
      <c r="K392" s="4">
        <f>VLOOKUP($B392, '[413]t (Cherniak)'!$1:$1048576, MATCH(LEFT(K$1,FIND(" (",K$1)-1), '[413]t (Cherniak)'!$1:$1, 0), 0)</f>
        <v>813.71148345971756</v>
      </c>
      <c r="L392" s="4">
        <f>'D(Ti_Audétat23) Times'!Z392</f>
        <v>57203.783849746433</v>
      </c>
      <c r="M392" s="4">
        <f>VLOOKUP($B392, '[413]t (J)'!$1:$1048576, MATCH(LEFT(M$1,FIND(" (",M$1)-1),'[413]t (J)'!$1:$1, 0), 0)</f>
        <v>978635.13202622114</v>
      </c>
      <c r="O392" s="1">
        <f t="shared" si="49"/>
        <v>0.25839770719056576</v>
      </c>
      <c r="P392" s="3">
        <f t="shared" si="50"/>
        <v>8.1881292363983862E-15</v>
      </c>
      <c r="Q392" s="3"/>
      <c r="R392" s="11">
        <f t="shared" si="54"/>
        <v>3.6756516350894687E-3</v>
      </c>
      <c r="S392" s="3">
        <f t="shared" si="55"/>
        <v>1.1647437178649417E-16</v>
      </c>
      <c r="T392" s="3"/>
      <c r="U392" s="9">
        <f t="shared" si="51"/>
        <v>2.1485145460217481E-4</v>
      </c>
      <c r="V392" s="3">
        <f t="shared" si="52"/>
        <v>6.8082317604055699E-18</v>
      </c>
    </row>
    <row r="393" spans="1:22" x14ac:dyDescent="0.2">
      <c r="A393" t="s">
        <v>842</v>
      </c>
      <c r="B393" s="1" t="str">
        <f>VLOOKUP(REPLACE(A393,FIND("dist",A393),4,"fit")&amp;"*",'[413]t (Cherniak)'!$A:$A,1,0)</f>
        <v>CGI018-qtz09-CL-fit-4-offset</v>
      </c>
      <c r="C393">
        <v>2250</v>
      </c>
      <c r="D393">
        <v>1024</v>
      </c>
      <c r="E393" s="1">
        <f t="shared" si="48"/>
        <v>2.197265625</v>
      </c>
      <c r="F393">
        <f>'[806]CGI018-qtz09-CL-dist-4'!$B$4</f>
        <v>47.434199999999997</v>
      </c>
      <c r="G393" s="1">
        <f t="shared" si="53"/>
        <v>104.225537109375</v>
      </c>
      <c r="H393" s="1"/>
      <c r="I393" s="1" t="str">
        <f>VLOOKUP($B393, '[413]t (Cherniak) Category'!$1:$1048576, MATCH(I$1, '[413]t (Cherniak) Category'!$1:$1, 0), 0)</f>
        <v>Interior</v>
      </c>
      <c r="J393" s="1"/>
      <c r="K393" s="4">
        <f>VLOOKUP($B393, '[413]t (Cherniak)'!$1:$1048576, MATCH(LEFT(K$1,FIND(" (",K$1)-1), '[413]t (Cherniak)'!$1:$1, 0), 0)</f>
        <v>69.821252471727348</v>
      </c>
      <c r="L393" s="4">
        <f>'D(Ti_Audétat23) Times'!Z393</f>
        <v>4908.4225990390469</v>
      </c>
      <c r="M393" s="4">
        <f>VLOOKUP($B393, '[413]t (J)'!$1:$1048576, MATCH(LEFT(M$1,FIND(" (",M$1)-1),'[413]t (J)'!$1:$1, 0), 0)</f>
        <v>83972.675843756399</v>
      </c>
      <c r="O393" s="1">
        <f t="shared" si="49"/>
        <v>1.4927480304306908</v>
      </c>
      <c r="P393" s="3">
        <f t="shared" si="50"/>
        <v>4.7302330672506485E-14</v>
      </c>
      <c r="Q393" s="3"/>
      <c r="R393" s="11">
        <f t="shared" si="54"/>
        <v>2.1234018670230205E-2</v>
      </c>
      <c r="S393" s="3">
        <f t="shared" si="55"/>
        <v>6.7286544826698486E-16</v>
      </c>
      <c r="T393" s="3"/>
      <c r="U393" s="9">
        <f t="shared" si="51"/>
        <v>1.2411839453979297E-3</v>
      </c>
      <c r="V393" s="3">
        <f t="shared" si="52"/>
        <v>3.933074585513251E-17</v>
      </c>
    </row>
    <row r="394" spans="1:22" x14ac:dyDescent="0.2">
      <c r="A394" t="s">
        <v>843</v>
      </c>
      <c r="B394" s="1" t="str">
        <f>VLOOKUP(REPLACE(A394,FIND("dist",A394),4,"fit")&amp;"*",'[413]t (Cherniak)'!$A:$A,1,0)</f>
        <v>CGI018-qtz10-CL-fit-1-offset</v>
      </c>
      <c r="C394">
        <v>2600</v>
      </c>
      <c r="D394">
        <v>1024</v>
      </c>
      <c r="E394" s="1">
        <f t="shared" si="48"/>
        <v>2.5390625</v>
      </c>
      <c r="F394">
        <f>'[807]CGI018-qtz10-CL-dist-1'!$B$4</f>
        <v>335.00099999999998</v>
      </c>
      <c r="G394" s="1">
        <f t="shared" si="53"/>
        <v>850.58847656249998</v>
      </c>
      <c r="H394" s="1"/>
      <c r="I394" s="1" t="str">
        <f>VLOOKUP($B394, '[413]t (Cherniak) Category'!$1:$1048576, MATCH(I$1, '[413]t (Cherniak) Category'!$1:$1, 0), 0)</f>
        <v>Core</v>
      </c>
      <c r="J394" s="1"/>
      <c r="K394" s="4">
        <f>VLOOKUP($B394, '[413]t (Cherniak)'!$1:$1048576, MATCH(LEFT(K$1,FIND(" (",K$1)-1), '[413]t (Cherniak)'!$1:$1, 0), 0)</f>
        <v>634.77940777801666</v>
      </c>
      <c r="L394" s="4">
        <f>'D(Ti_Audétat23) Times'!Z394</f>
        <v>44624.888271717886</v>
      </c>
      <c r="M394" s="4">
        <f>VLOOKUP($B394, '[413]t (J)'!$1:$1048576, MATCH(LEFT(M$1,FIND(" (",M$1)-1),'[413]t (J)'!$1:$1, 0), 0)</f>
        <v>763436.97018639767</v>
      </c>
      <c r="O394" s="1">
        <f t="shared" si="49"/>
        <v>1.3399749048884586</v>
      </c>
      <c r="P394" s="3">
        <f t="shared" si="50"/>
        <v>4.2461242454700562E-14</v>
      </c>
      <c r="Q394" s="3"/>
      <c r="R394" s="11">
        <f t="shared" si="54"/>
        <v>1.9060853920424968E-2</v>
      </c>
      <c r="S394" s="3">
        <f t="shared" si="55"/>
        <v>6.0400201284080436E-16</v>
      </c>
      <c r="T394" s="3"/>
      <c r="U394" s="9">
        <f t="shared" si="51"/>
        <v>1.1141567801659169E-3</v>
      </c>
      <c r="V394" s="3">
        <f t="shared" si="52"/>
        <v>3.5305497888493323E-17</v>
      </c>
    </row>
    <row r="395" spans="1:22" x14ac:dyDescent="0.2">
      <c r="A395" t="s">
        <v>844</v>
      </c>
      <c r="B395" s="1" t="str">
        <f>VLOOKUP(REPLACE(A395,FIND("dist",A395),4,"fit")&amp;"*",'[413]t (Cherniak)'!$A:$A,1,0)</f>
        <v>CGI018-qtz10-CL-fit-2-offset</v>
      </c>
      <c r="C395">
        <v>2600</v>
      </c>
      <c r="D395">
        <v>1024</v>
      </c>
      <c r="E395" s="1">
        <f t="shared" si="48"/>
        <v>2.5390625</v>
      </c>
      <c r="F395">
        <f>'[808]CGI018-qtz10-CL-dist-2'!$B$4</f>
        <v>300.00200000000001</v>
      </c>
      <c r="G395" s="1">
        <f t="shared" si="53"/>
        <v>761.72382812500007</v>
      </c>
      <c r="H395" s="1"/>
      <c r="I395" s="1" t="str">
        <f>VLOOKUP($B395, '[413]t (Cherniak) Category'!$1:$1048576, MATCH(I$1, '[413]t (Cherniak) Category'!$1:$1, 0), 0)</f>
        <v>COre</v>
      </c>
      <c r="J395" s="1"/>
      <c r="K395" s="4">
        <f>VLOOKUP($B395, '[413]t (Cherniak)'!$1:$1048576, MATCH(LEFT(K$1,FIND(" (",K$1)-1), '[413]t (Cherniak)'!$1:$1, 0), 0)</f>
        <v>287.23160343724999</v>
      </c>
      <c r="L395" s="4">
        <f>'D(Ti_Audétat23) Times'!Z395</f>
        <v>20192.334619613281</v>
      </c>
      <c r="M395" s="4">
        <f>VLOOKUP($B395, '[413]t (J)'!$1:$1048576, MATCH(LEFT(M$1,FIND(" (",M$1)-1),'[413]t (J)'!$1:$1, 0), 0)</f>
        <v>345447.91841546114</v>
      </c>
      <c r="O395" s="1">
        <f t="shared" si="49"/>
        <v>2.6519499212815902</v>
      </c>
      <c r="P395" s="3">
        <f t="shared" si="50"/>
        <v>8.4035221983978187E-14</v>
      </c>
      <c r="Q395" s="3"/>
      <c r="R395" s="11">
        <f t="shared" si="54"/>
        <v>3.7723415468022214E-2</v>
      </c>
      <c r="S395" s="3">
        <f t="shared" si="55"/>
        <v>1.1953829019957859E-15</v>
      </c>
      <c r="T395" s="3"/>
      <c r="U395" s="9">
        <f t="shared" si="51"/>
        <v>2.2050323290959736E-3</v>
      </c>
      <c r="V395" s="3">
        <f t="shared" si="52"/>
        <v>6.9873258077165984E-17</v>
      </c>
    </row>
    <row r="396" spans="1:22" x14ac:dyDescent="0.2">
      <c r="A396" t="s">
        <v>845</v>
      </c>
      <c r="B396" s="1" t="str">
        <f>VLOOKUP(REPLACE(A396,FIND("dist",A396),4,"fit")&amp;"*",'[413]t (Cherniak)'!$A:$A,1,0)</f>
        <v>CGI018-qtz10-CL-fit-3-offset</v>
      </c>
      <c r="C396">
        <v>2600</v>
      </c>
      <c r="D396">
        <v>1024</v>
      </c>
      <c r="E396" s="1">
        <f t="shared" si="48"/>
        <v>2.5390625</v>
      </c>
      <c r="F396">
        <f>'[809]CGI018-qtz10-CL-dist-3'!$B$4</f>
        <v>230.93100000000001</v>
      </c>
      <c r="G396" s="1">
        <f t="shared" si="53"/>
        <v>586.34824218749998</v>
      </c>
      <c r="H396" s="1"/>
      <c r="I396" s="1" t="str">
        <f>VLOOKUP($B396, '[413]t (Cherniak) Category'!$1:$1048576, MATCH(I$1, '[413]t (Cherniak) Category'!$1:$1, 0), 0)</f>
        <v>Interior</v>
      </c>
      <c r="J396" s="1"/>
      <c r="K396" s="4">
        <f>VLOOKUP($B396, '[413]t (Cherniak)'!$1:$1048576, MATCH(LEFT(K$1,FIND(" (",K$1)-1), '[413]t (Cherniak)'!$1:$1, 0), 0)</f>
        <v>164.47310246516571</v>
      </c>
      <c r="L396" s="4">
        <f>'D(Ti_Audétat23) Times'!Z396</f>
        <v>11562.43213197851</v>
      </c>
      <c r="M396" s="4">
        <f>VLOOKUP($B396, '[413]t (J)'!$1:$1048576, MATCH(LEFT(M$1,FIND(" (",M$1)-1),'[413]t (J)'!$1:$1, 0), 0)</f>
        <v>197808.63317965929</v>
      </c>
      <c r="O396" s="1">
        <f t="shared" si="49"/>
        <v>3.5650099219821341</v>
      </c>
      <c r="P396" s="3">
        <f t="shared" si="50"/>
        <v>1.1296834746565435E-13</v>
      </c>
      <c r="Q396" s="3"/>
      <c r="R396" s="11">
        <f t="shared" si="54"/>
        <v>5.0711496983910663E-2</v>
      </c>
      <c r="S396" s="3">
        <f t="shared" si="55"/>
        <v>1.6069503696070253E-15</v>
      </c>
      <c r="T396" s="3"/>
      <c r="U396" s="9">
        <f t="shared" si="51"/>
        <v>2.9642196741481467E-3</v>
      </c>
      <c r="V396" s="3">
        <f t="shared" si="52"/>
        <v>9.3930453334478744E-17</v>
      </c>
    </row>
    <row r="397" spans="1:22" x14ac:dyDescent="0.2">
      <c r="A397" t="s">
        <v>846</v>
      </c>
      <c r="B397" s="1" t="str">
        <f>VLOOKUP(REPLACE(A397,FIND("dist",A397),4,"fit")&amp;"*",'[413]t (Cherniak)'!$A:$A,1,0)</f>
        <v>CGI018-qtz10-CL-fit-4-offset</v>
      </c>
      <c r="C397">
        <v>2600</v>
      </c>
      <c r="D397">
        <v>1024</v>
      </c>
      <c r="E397" s="1">
        <f t="shared" si="48"/>
        <v>2.5390625</v>
      </c>
      <c r="F397">
        <f>'[810]CGI018-qtz10-CL-dist-4'!$B$4</f>
        <v>154.26</v>
      </c>
      <c r="G397" s="1">
        <f t="shared" si="53"/>
        <v>391.67578125</v>
      </c>
      <c r="H397" s="1"/>
      <c r="I397" s="1" t="str">
        <f>VLOOKUP($B397, '[413]t (Cherniak) Category'!$1:$1048576, MATCH(I$1, '[413]t (Cherniak) Category'!$1:$1, 0), 0)</f>
        <v>Interior</v>
      </c>
      <c r="J397" s="1"/>
      <c r="K397" s="4">
        <f>VLOOKUP($B397, '[413]t (Cherniak)'!$1:$1048576, MATCH(LEFT(K$1,FIND(" (",K$1)-1), '[413]t (Cherniak)'!$1:$1, 0), 0)</f>
        <v>125.40223239793517</v>
      </c>
      <c r="L397" s="4">
        <f>'D(Ti_Audétat23) Times'!Z397</f>
        <v>8815.7563733365623</v>
      </c>
      <c r="M397" s="4">
        <f>VLOOKUP($B397, '[413]t (J)'!$1:$1048576, MATCH(LEFT(M$1,FIND(" (",M$1)-1),'[413]t (J)'!$1:$1, 0), 0)</f>
        <v>150818.85011299769</v>
      </c>
      <c r="O397" s="1">
        <f t="shared" si="49"/>
        <v>3.1233557310774733</v>
      </c>
      <c r="P397" s="3">
        <f t="shared" si="50"/>
        <v>9.8973170680833564E-14</v>
      </c>
      <c r="Q397" s="3"/>
      <c r="R397" s="11">
        <f t="shared" si="54"/>
        <v>4.4429061405851858E-2</v>
      </c>
      <c r="S397" s="3">
        <f t="shared" si="55"/>
        <v>1.4078719993235182E-15</v>
      </c>
      <c r="T397" s="3"/>
      <c r="U397" s="9">
        <f t="shared" si="51"/>
        <v>2.59699487800461E-3</v>
      </c>
      <c r="V397" s="3">
        <f t="shared" si="52"/>
        <v>8.2293801746793471E-17</v>
      </c>
    </row>
    <row r="398" spans="1:22" x14ac:dyDescent="0.2">
      <c r="A398" t="s">
        <v>847</v>
      </c>
      <c r="B398" s="1" t="str">
        <f>VLOOKUP(REPLACE(A398,FIND("dist",A398),4,"fit")&amp;"*",'[413]t (Cherniak)'!$A:$A,1,0)</f>
        <v>CGI018-qtz10-CL-fit-5-offset</v>
      </c>
      <c r="C398">
        <v>2600</v>
      </c>
      <c r="D398">
        <v>1024</v>
      </c>
      <c r="E398" s="1">
        <f t="shared" si="48"/>
        <v>2.5390625</v>
      </c>
      <c r="F398">
        <f>'[811]CGI018-qtz10-CL-dist-5'!$B$4</f>
        <v>64.536799999999999</v>
      </c>
      <c r="G398" s="1">
        <f t="shared" si="53"/>
        <v>163.86296874999999</v>
      </c>
      <c r="H398" s="1"/>
      <c r="I398" s="1" t="str">
        <f>VLOOKUP($B398, '[413]t (Cherniak) Category'!$1:$1048576, MATCH(I$1, '[413]t (Cherniak) Category'!$1:$1, 0), 0)</f>
        <v>Interior</v>
      </c>
      <c r="J398" s="1"/>
      <c r="K398" s="4">
        <f>VLOOKUP($B398, '[413]t (Cherniak)'!$1:$1048576, MATCH(LEFT(K$1,FIND(" (",K$1)-1), '[413]t (Cherniak)'!$1:$1, 0), 0)</f>
        <v>49.638423807021312</v>
      </c>
      <c r="L398" s="4">
        <f>'D(Ti_Audétat23) Times'!Z398</f>
        <v>3489.5730536160281</v>
      </c>
      <c r="M398" s="4">
        <f>VLOOKUP($B398, '[413]t (J)'!$1:$1048576, MATCH(LEFT(M$1,FIND(" (",M$1)-1),'[413]t (J)'!$1:$1, 0), 0)</f>
        <v>59699.17645676517</v>
      </c>
      <c r="O398" s="1">
        <f t="shared" si="49"/>
        <v>3.3011315868337809</v>
      </c>
      <c r="P398" s="3">
        <f t="shared" si="50"/>
        <v>1.0460654760925358E-13</v>
      </c>
      <c r="Q398" s="3"/>
      <c r="R398" s="11">
        <f t="shared" si="54"/>
        <v>4.6957884598575451E-2</v>
      </c>
      <c r="S398" s="3">
        <f t="shared" si="55"/>
        <v>1.4880055707206963E-15</v>
      </c>
      <c r="T398" s="3"/>
      <c r="U398" s="9">
        <f t="shared" si="51"/>
        <v>2.7448112097270124E-3</v>
      </c>
      <c r="V398" s="3">
        <f t="shared" si="52"/>
        <v>8.6977818646760599E-17</v>
      </c>
    </row>
    <row r="399" spans="1:22" x14ac:dyDescent="0.2">
      <c r="A399" t="s">
        <v>848</v>
      </c>
      <c r="B399" s="1" t="str">
        <f>VLOOKUP(REPLACE(A399,FIND("dist",A399),4,"fit")&amp;"*",'[413]t (Cherniak)'!$A:$A,1,0)</f>
        <v>CGI018-qtz10-CL-fit-6-offset</v>
      </c>
      <c r="C399">
        <v>2600</v>
      </c>
      <c r="D399">
        <v>1024</v>
      </c>
      <c r="E399" s="1">
        <f t="shared" si="48"/>
        <v>2.5390625</v>
      </c>
      <c r="F399">
        <f>'[812]CGI018-qtz10-CL-dist-6'!$B$4</f>
        <v>20.223700000000001</v>
      </c>
      <c r="G399" s="1">
        <f t="shared" si="53"/>
        <v>51.349238281250003</v>
      </c>
      <c r="H399" s="1"/>
      <c r="I399" s="1" t="str">
        <f>VLOOKUP($B399, '[413]t (Cherniak) Category'!$1:$1048576, MATCH(I$1, '[413]t (Cherniak) Category'!$1:$1, 0), 0)</f>
        <v>Interior</v>
      </c>
      <c r="J399" s="1"/>
      <c r="K399" s="4">
        <f>VLOOKUP($B399, '[413]t (Cherniak)'!$1:$1048576, MATCH(LEFT(K$1,FIND(" (",K$1)-1), '[413]t (Cherniak)'!$1:$1, 0), 0)</f>
        <v>105.15936689892082</v>
      </c>
      <c r="L399" s="4">
        <f>'D(Ti_Audétat23) Times'!Z399</f>
        <v>7392.6862483068817</v>
      </c>
      <c r="M399" s="4">
        <f>VLOOKUP($B399, '[413]t (J)'!$1:$1048576, MATCH(LEFT(M$1,FIND(" (",M$1)-1),'[413]t (J)'!$1:$1, 0), 0)</f>
        <v>126473.14558147544</v>
      </c>
      <c r="O399" s="1">
        <f t="shared" si="49"/>
        <v>0.48829923377730949</v>
      </c>
      <c r="P399" s="3">
        <f t="shared" si="50"/>
        <v>1.5473268999458432E-14</v>
      </c>
      <c r="Q399" s="3"/>
      <c r="R399" s="11">
        <f t="shared" si="54"/>
        <v>6.9459512491836534E-3</v>
      </c>
      <c r="S399" s="3">
        <f t="shared" si="55"/>
        <v>2.2010391313609568E-16</v>
      </c>
      <c r="T399" s="3"/>
      <c r="U399" s="9">
        <f t="shared" si="51"/>
        <v>4.0600902306308365E-4</v>
      </c>
      <c r="V399" s="3">
        <f t="shared" si="52"/>
        <v>1.28656495761111E-17</v>
      </c>
    </row>
    <row r="400" spans="1:22" x14ac:dyDescent="0.2">
      <c r="A400" t="s">
        <v>849</v>
      </c>
      <c r="B400" s="1" t="str">
        <f>VLOOKUP(REPLACE(A400,FIND("dist",A400),4,"fit")&amp;"*",'[413]t (Cherniak)'!$A:$A,1,0)</f>
        <v>CGI018-qtz11-CL-fit-1-offset</v>
      </c>
      <c r="C400">
        <v>1250</v>
      </c>
      <c r="D400">
        <v>1024</v>
      </c>
      <c r="E400" s="1">
        <f t="shared" si="48"/>
        <v>1.220703125</v>
      </c>
      <c r="F400">
        <f>'[813]CGI018-qtz11-CL-dist-1'!$B$4</f>
        <v>314.87900000000002</v>
      </c>
      <c r="G400" s="1">
        <f t="shared" si="53"/>
        <v>384.373779296875</v>
      </c>
      <c r="H400" s="1"/>
      <c r="I400" s="1" t="str">
        <f>VLOOKUP($B400, '[413]t (Cherniak) Category'!$1:$1048576, MATCH(I$1, '[413]t (Cherniak) Category'!$1:$1, 0), 0)</f>
        <v>Core</v>
      </c>
      <c r="J400" s="1"/>
      <c r="K400" s="4">
        <f>VLOOKUP($B400, '[413]t (Cherniak)'!$1:$1048576, MATCH(LEFT(K$1,FIND(" (",K$1)-1), '[413]t (Cherniak)'!$1:$1, 0), 0)</f>
        <v>287.50250966068234</v>
      </c>
      <c r="L400" s="4">
        <f>'D(Ti_Audétat23) Times'!Z400</f>
        <v>20211.379282695681</v>
      </c>
      <c r="M400" s="4">
        <f>VLOOKUP($B400, '[413]t (J)'!$1:$1048576, MATCH(LEFT(M$1,FIND(" (",M$1)-1),'[413]t (J)'!$1:$1, 0), 0)</f>
        <v>345773.73211371223</v>
      </c>
      <c r="O400" s="1">
        <f t="shared" si="49"/>
        <v>1.336940605320359</v>
      </c>
      <c r="P400" s="3">
        <f t="shared" si="50"/>
        <v>4.2365091303532554E-14</v>
      </c>
      <c r="Q400" s="3"/>
      <c r="R400" s="11">
        <f t="shared" si="54"/>
        <v>1.9017691663723475E-2</v>
      </c>
      <c r="S400" s="3">
        <f t="shared" si="55"/>
        <v>6.0263428346019579E-16</v>
      </c>
      <c r="T400" s="3"/>
      <c r="U400" s="9">
        <f t="shared" si="51"/>
        <v>1.1116338333371971E-3</v>
      </c>
      <c r="V400" s="3">
        <f t="shared" si="52"/>
        <v>3.5225550527834722E-17</v>
      </c>
    </row>
    <row r="401" spans="1:22" x14ac:dyDescent="0.2">
      <c r="A401" t="s">
        <v>850</v>
      </c>
      <c r="B401" s="1" t="str">
        <f>VLOOKUP(REPLACE(A401,FIND("dist",A401),4,"fit")&amp;"*",'[413]t (Cherniak)'!$A:$A,1,0)</f>
        <v>CGI018-qtz11-CL-fit-2-offset</v>
      </c>
      <c r="C401">
        <v>1250</v>
      </c>
      <c r="D401">
        <v>1024</v>
      </c>
      <c r="E401" s="1">
        <f t="shared" si="48"/>
        <v>1.220703125</v>
      </c>
      <c r="F401">
        <f>'[814]CGI018-qtz11-CL-dist-2'!$B$4</f>
        <v>306.75099999999998</v>
      </c>
      <c r="G401" s="1">
        <f t="shared" si="53"/>
        <v>374.45190429687494</v>
      </c>
      <c r="H401" s="1"/>
      <c r="I401" s="1" t="str">
        <f>VLOOKUP($B401, '[413]t (Cherniak) Category'!$1:$1048576, MATCH(I$1, '[413]t (Cherniak) Category'!$1:$1, 0), 0)</f>
        <v>COre</v>
      </c>
      <c r="J401" s="1"/>
      <c r="K401" s="4">
        <f>VLOOKUP($B401, '[413]t (Cherniak)'!$1:$1048576, MATCH(LEFT(K$1,FIND(" (",K$1)-1), '[413]t (Cherniak)'!$1:$1, 0), 0)</f>
        <v>185.85831198904162</v>
      </c>
      <c r="L401" s="4">
        <f>'D(Ti_Audétat23) Times'!Z401</f>
        <v>13065.808854627276</v>
      </c>
      <c r="M401" s="4">
        <f>VLOOKUP($B401, '[413]t (J)'!$1:$1048576, MATCH(LEFT(M$1,FIND(" (",M$1)-1),'[413]t (J)'!$1:$1, 0), 0)</f>
        <v>223528.21287248138</v>
      </c>
      <c r="O401" s="1">
        <f t="shared" si="49"/>
        <v>2.0147170190534873</v>
      </c>
      <c r="P401" s="3">
        <f t="shared" si="50"/>
        <v>6.3842529820185538E-14</v>
      </c>
      <c r="Q401" s="3"/>
      <c r="R401" s="11">
        <f t="shared" si="54"/>
        <v>2.8658914917790355E-2</v>
      </c>
      <c r="S401" s="3">
        <f t="shared" si="55"/>
        <v>9.0814621256972511E-16</v>
      </c>
      <c r="T401" s="3"/>
      <c r="U401" s="9">
        <f t="shared" si="51"/>
        <v>1.6751885566699926E-3</v>
      </c>
      <c r="V401" s="3">
        <f t="shared" si="52"/>
        <v>5.3083522088815139E-17</v>
      </c>
    </row>
    <row r="402" spans="1:22" x14ac:dyDescent="0.2">
      <c r="A402" t="s">
        <v>851</v>
      </c>
      <c r="B402" s="1" t="str">
        <f>VLOOKUP(REPLACE(A402,FIND("dist",A402),4,"fit")&amp;"*",'[413]t (Cherniak)'!$A:$A,1,0)</f>
        <v>CGI018-qtz11-CL-fit-3-offset</v>
      </c>
      <c r="C402">
        <v>1250</v>
      </c>
      <c r="D402">
        <v>1024</v>
      </c>
      <c r="E402" s="1">
        <f t="shared" si="48"/>
        <v>1.220703125</v>
      </c>
      <c r="F402">
        <f>'[815]CGI018-qtz11-CL-dist-3'!$B$4</f>
        <v>185.952</v>
      </c>
      <c r="G402" s="1">
        <f t="shared" si="53"/>
        <v>226.9921875</v>
      </c>
      <c r="H402" s="1"/>
      <c r="I402" s="1" t="str">
        <f>VLOOKUP($B402, '[413]t (Cherniak) Category'!$1:$1048576, MATCH(I$1, '[413]t (Cherniak) Category'!$1:$1, 0), 0)</f>
        <v>Interior</v>
      </c>
      <c r="J402" s="1"/>
      <c r="K402" s="4">
        <f>VLOOKUP($B402, '[413]t (Cherniak)'!$1:$1048576, MATCH(LEFT(K$1,FIND(" (",K$1)-1), '[413]t (Cherniak)'!$1:$1, 0), 0)</f>
        <v>81.408127185930852</v>
      </c>
      <c r="L402" s="4">
        <f>'D(Ti_Audétat23) Times'!Z402</f>
        <v>5722.9779913597476</v>
      </c>
      <c r="M402" s="4">
        <f>VLOOKUP($B402, '[413]t (J)'!$1:$1048576, MATCH(LEFT(M$1,FIND(" (",M$1)-1),'[413]t (J)'!$1:$1, 0), 0)</f>
        <v>97907.986941362629</v>
      </c>
      <c r="O402" s="1">
        <f t="shared" si="49"/>
        <v>2.7883234186381003</v>
      </c>
      <c r="P402" s="3">
        <f t="shared" si="50"/>
        <v>8.8356637343717533E-14</v>
      </c>
      <c r="Q402" s="3"/>
      <c r="R402" s="11">
        <f t="shared" si="54"/>
        <v>3.9663299045130163E-2</v>
      </c>
      <c r="S402" s="3">
        <f t="shared" si="55"/>
        <v>1.2568541031361751E-15</v>
      </c>
      <c r="T402" s="3"/>
      <c r="U402" s="9">
        <f t="shared" si="51"/>
        <v>2.3184235994551318E-3</v>
      </c>
      <c r="V402" s="3">
        <f t="shared" si="52"/>
        <v>7.3466410609651288E-17</v>
      </c>
    </row>
    <row r="403" spans="1:22" x14ac:dyDescent="0.2">
      <c r="A403" t="s">
        <v>852</v>
      </c>
      <c r="B403" s="1" t="str">
        <f>VLOOKUP(REPLACE(A403,FIND("dist",A403),4,"fit")&amp;"*",'[413]t (Cherniak)'!$A:$A,1,0)</f>
        <v>CGI018-qtz11-CL-fit-4-offset</v>
      </c>
      <c r="C403">
        <v>1250</v>
      </c>
      <c r="D403">
        <v>1024</v>
      </c>
      <c r="E403" s="1">
        <f t="shared" si="48"/>
        <v>1.220703125</v>
      </c>
      <c r="F403">
        <f>'[816]CGI018-qtz11-CL-dist-4'!$B$4</f>
        <v>148.852</v>
      </c>
      <c r="G403" s="1">
        <f t="shared" si="53"/>
        <v>181.7041015625</v>
      </c>
      <c r="H403" s="1"/>
      <c r="I403" s="1" t="str">
        <f>VLOOKUP($B403, '[413]t (Cherniak) Category'!$1:$1048576, MATCH(I$1, '[413]t (Cherniak) Category'!$1:$1, 0), 0)</f>
        <v>Interior</v>
      </c>
      <c r="J403" s="1"/>
      <c r="K403" s="4">
        <f>VLOOKUP($B403, '[413]t (Cherniak)'!$1:$1048576, MATCH(LEFT(K$1,FIND(" (",K$1)-1), '[413]t (Cherniak)'!$1:$1, 0), 0)</f>
        <v>240.50291270791087</v>
      </c>
      <c r="L403" s="4">
        <f>'D(Ti_Audétat23) Times'!Z403</f>
        <v>16907.315324202176</v>
      </c>
      <c r="M403" s="4">
        <f>VLOOKUP($B403, '[413]t (J)'!$1:$1048576, MATCH(LEFT(M$1,FIND(" (",M$1)-1),'[413]t (J)'!$1:$1, 0), 0)</f>
        <v>289248.22190032265</v>
      </c>
      <c r="O403" s="1">
        <f t="shared" si="49"/>
        <v>0.75551725971476436</v>
      </c>
      <c r="P403" s="3">
        <f t="shared" si="50"/>
        <v>2.3940897270855969E-14</v>
      </c>
      <c r="Q403" s="3"/>
      <c r="R403" s="11">
        <f t="shared" si="54"/>
        <v>1.0747070015450503E-2</v>
      </c>
      <c r="S403" s="3">
        <f t="shared" si="55"/>
        <v>3.4055409839311295E-16</v>
      </c>
      <c r="T403" s="3"/>
      <c r="U403" s="9">
        <f t="shared" si="51"/>
        <v>6.2819435973963131E-4</v>
      </c>
      <c r="V403" s="3">
        <f t="shared" si="52"/>
        <v>1.9906278035707131E-17</v>
      </c>
    </row>
    <row r="404" spans="1:22" x14ac:dyDescent="0.2">
      <c r="A404" t="s">
        <v>853</v>
      </c>
      <c r="B404" s="1" t="str">
        <f>VLOOKUP(REPLACE(A404,FIND("dist",A404),4,"fit")&amp;"*",'[413]t (Cherniak)'!$A:$A,1,0)</f>
        <v>CGI018-qtz11-CL-fit-5-offset</v>
      </c>
      <c r="C404">
        <v>1250</v>
      </c>
      <c r="D404">
        <v>1024</v>
      </c>
      <c r="E404" s="1">
        <f t="shared" si="48"/>
        <v>1.220703125</v>
      </c>
      <c r="F404">
        <f>'[817]CGI018-qtz11-CL-dist-5'!$B$4</f>
        <v>90.255200000000002</v>
      </c>
      <c r="G404" s="1">
        <f t="shared" si="53"/>
        <v>110.1748046875</v>
      </c>
      <c r="H404" s="1"/>
      <c r="I404" s="1" t="str">
        <f>VLOOKUP($B404, '[413]t (Cherniak) Category'!$1:$1048576, MATCH(I$1, '[413]t (Cherniak) Category'!$1:$1, 0), 0)</f>
        <v>Interior</v>
      </c>
      <c r="J404" s="1"/>
      <c r="K404" s="4">
        <f>VLOOKUP($B404, '[413]t (Cherniak)'!$1:$1048576, MATCH(LEFT(K$1,FIND(" (",K$1)-1), '[413]t (Cherniak)'!$1:$1, 0), 0)</f>
        <v>103.68190534978335</v>
      </c>
      <c r="L404" s="4">
        <f>'D(Ti_Audétat23) Times'!Z404</f>
        <v>7288.8209436858542</v>
      </c>
      <c r="M404" s="4">
        <f>VLOOKUP($B404, '[413]t (J)'!$1:$1048576, MATCH(LEFT(M$1,FIND(" (",M$1)-1),'[413]t (J)'!$1:$1, 0), 0)</f>
        <v>124696.23102687657</v>
      </c>
      <c r="O404" s="1">
        <f t="shared" si="49"/>
        <v>1.0626232640672648</v>
      </c>
      <c r="P404" s="3">
        <f t="shared" si="50"/>
        <v>3.3672499304993563E-14</v>
      </c>
      <c r="Q404" s="3"/>
      <c r="R404" s="11">
        <f t="shared" si="54"/>
        <v>1.5115586668779676E-2</v>
      </c>
      <c r="S404" s="3">
        <f t="shared" si="55"/>
        <v>4.7898403772085572E-16</v>
      </c>
      <c r="T404" s="3"/>
      <c r="U404" s="9">
        <f t="shared" si="51"/>
        <v>8.8354558738630454E-4</v>
      </c>
      <c r="V404" s="3">
        <f t="shared" si="52"/>
        <v>2.7997870160795004E-17</v>
      </c>
    </row>
    <row r="405" spans="1:22" x14ac:dyDescent="0.2">
      <c r="A405" t="s">
        <v>854</v>
      </c>
      <c r="B405" s="1" t="str">
        <f>VLOOKUP(REPLACE(A405,FIND("dist",A405),4,"fit")&amp;"*",'[413]t (Cherniak)'!$A:$A,1,0)</f>
        <v>CGI018-qtz11-CL-fit-6-offset</v>
      </c>
      <c r="C405">
        <v>1250</v>
      </c>
      <c r="D405">
        <v>1024</v>
      </c>
      <c r="E405" s="1">
        <f t="shared" si="48"/>
        <v>1.220703125</v>
      </c>
      <c r="F405">
        <f>'[818]CGI018-qtz11-CL-dist-6'!$B$4</f>
        <v>23.345199999999998</v>
      </c>
      <c r="G405" s="1">
        <f t="shared" si="53"/>
        <v>28.497558593749996</v>
      </c>
      <c r="H405" s="1"/>
      <c r="I405" s="1" t="str">
        <f>VLOOKUP($B405, '[413]t (Cherniak) Category'!$1:$1048576, MATCH(I$1, '[413]t (Cherniak) Category'!$1:$1, 0), 0)</f>
        <v>Rim</v>
      </c>
      <c r="J405" s="1"/>
      <c r="K405" s="4">
        <f>VLOOKUP($B405, '[413]t (Cherniak)'!$1:$1048576, MATCH(LEFT(K$1,FIND(" (",K$1)-1), '[413]t (Cherniak)'!$1:$1, 0), 0)</f>
        <v>79.196642810668649</v>
      </c>
      <c r="L405" s="4">
        <f>'D(Ti_Audétat23) Times'!Z405</f>
        <v>5567.5110024317819</v>
      </c>
      <c r="M405" s="4">
        <f>VLOOKUP($B405, '[413]t (J)'!$1:$1048576, MATCH(LEFT(M$1,FIND(" (",M$1)-1),'[413]t (J)'!$1:$1, 0), 0)</f>
        <v>95248.277268399936</v>
      </c>
      <c r="O405" s="1">
        <f t="shared" si="49"/>
        <v>0.35983291188084382</v>
      </c>
      <c r="P405" s="3">
        <f t="shared" si="50"/>
        <v>1.1402416910057919E-14</v>
      </c>
      <c r="Q405" s="3"/>
      <c r="R405" s="11">
        <f t="shared" si="54"/>
        <v>5.1185455370097712E-3</v>
      </c>
      <c r="S405" s="3">
        <f t="shared" si="55"/>
        <v>1.6219692045687159E-16</v>
      </c>
      <c r="T405" s="3"/>
      <c r="U405" s="9">
        <f t="shared" si="51"/>
        <v>2.9919237818282825E-4</v>
      </c>
      <c r="V405" s="3">
        <f t="shared" si="52"/>
        <v>9.4808343531456221E-18</v>
      </c>
    </row>
    <row r="406" spans="1:22" x14ac:dyDescent="0.2">
      <c r="A406" t="s">
        <v>855</v>
      </c>
      <c r="B406" s="1" t="str">
        <f>VLOOKUP(REPLACE(A406,FIND("dist",A406),4,"fit")&amp;"*",'[413]t (Cherniak)'!$A:$A,1,0)</f>
        <v>CGI018-qtz12-CL-fit-1-offset</v>
      </c>
      <c r="C406">
        <v>1800</v>
      </c>
      <c r="D406">
        <v>1024</v>
      </c>
      <c r="E406" s="1">
        <f t="shared" si="48"/>
        <v>1.7578125</v>
      </c>
      <c r="F406">
        <f>'[819]CGI018-qtz12-CL-dist-1'!$B$4</f>
        <v>599.48099999999999</v>
      </c>
      <c r="G406" s="1">
        <f t="shared" si="53"/>
        <v>1053.7751953125</v>
      </c>
      <c r="H406" s="1"/>
      <c r="I406" s="1" t="str">
        <f>VLOOKUP($B406, '[413]t (Cherniak) Category'!$1:$1048576, MATCH(I$1, '[413]t (Cherniak) Category'!$1:$1, 0), 0)</f>
        <v>Core</v>
      </c>
      <c r="J406" s="1"/>
      <c r="K406" s="4">
        <f>VLOOKUP($B406, '[413]t (Cherniak)'!$1:$1048576, MATCH(LEFT(K$1,FIND(" (",K$1)-1), '[413]t (Cherniak)'!$1:$1, 0), 0)</f>
        <v>995.58836975125314</v>
      </c>
      <c r="L406" s="4">
        <f>'D(Ti_Audétat23) Times'!Z406</f>
        <v>69989.699130738009</v>
      </c>
      <c r="M406" s="4">
        <f>VLOOKUP($B406, '[413]t (J)'!$1:$1048576, MATCH(LEFT(M$1,FIND(" (",M$1)-1),'[413]t (J)'!$1:$1, 0), 0)</f>
        <v>1197374.9608801252</v>
      </c>
      <c r="O406" s="1">
        <f t="shared" si="49"/>
        <v>1.0584446617991177</v>
      </c>
      <c r="P406" s="3">
        <f t="shared" si="50"/>
        <v>3.3540087389380612E-14</v>
      </c>
      <c r="Q406" s="3"/>
      <c r="R406" s="11">
        <f t="shared" si="54"/>
        <v>1.5056146953055041E-2</v>
      </c>
      <c r="S406" s="3">
        <f t="shared" si="55"/>
        <v>4.7710050678933248E-16</v>
      </c>
      <c r="T406" s="3"/>
      <c r="U406" s="9">
        <f t="shared" si="51"/>
        <v>8.800711804913035E-4</v>
      </c>
      <c r="V406" s="3">
        <f t="shared" si="52"/>
        <v>2.7887772850004545E-17</v>
      </c>
    </row>
    <row r="407" spans="1:22" x14ac:dyDescent="0.2">
      <c r="A407" t="s">
        <v>856</v>
      </c>
      <c r="B407" s="1" t="str">
        <f>VLOOKUP(REPLACE(A407,FIND("dist",A407),4,"fit")&amp;"*",'[413]t (Cherniak)'!$A:$A,1,0)</f>
        <v>CGI018-qtz12-CL-fit-2-offset</v>
      </c>
      <c r="C407">
        <v>1800</v>
      </c>
      <c r="D407">
        <v>1024</v>
      </c>
      <c r="E407" s="1">
        <f t="shared" si="48"/>
        <v>1.7578125</v>
      </c>
      <c r="F407">
        <f>'[820]CGI018-qtz12-CL-dist-2'!$B$4</f>
        <v>494.14600000000002</v>
      </c>
      <c r="G407" s="1">
        <f t="shared" si="53"/>
        <v>868.61601562500005</v>
      </c>
      <c r="H407" s="1"/>
      <c r="I407" s="1" t="str">
        <f>VLOOKUP($B407, '[413]t (Cherniak) Category'!$1:$1048576, MATCH(I$1, '[413]t (Cherniak) Category'!$1:$1, 0), 0)</f>
        <v>Core</v>
      </c>
      <c r="J407" s="1"/>
      <c r="K407" s="4">
        <f>VLOOKUP($B407, '[413]t (Cherniak)'!$1:$1048576, MATCH(LEFT(K$1,FIND(" (",K$1)-1), '[413]t (Cherniak)'!$1:$1, 0), 0)</f>
        <v>591.34699480645793</v>
      </c>
      <c r="L407" s="4">
        <f>'D(Ti_Audétat23) Times'!Z407</f>
        <v>41571.596762134606</v>
      </c>
      <c r="M407" s="4">
        <f>VLOOKUP($B407, '[413]t (J)'!$1:$1048576, MATCH(LEFT(M$1,FIND(" (",M$1)-1),'[413]t (J)'!$1:$1, 0), 0)</f>
        <v>711201.64345619187</v>
      </c>
      <c r="O407" s="1">
        <f t="shared" si="49"/>
        <v>1.4688770269464031</v>
      </c>
      <c r="P407" s="3">
        <f t="shared" si="50"/>
        <v>4.6545904217887383E-14</v>
      </c>
      <c r="Q407" s="3"/>
      <c r="R407" s="11">
        <f t="shared" si="54"/>
        <v>2.0894458795871342E-2</v>
      </c>
      <c r="S407" s="3">
        <f t="shared" si="55"/>
        <v>6.6210544515018073E-16</v>
      </c>
      <c r="T407" s="3"/>
      <c r="U407" s="9">
        <f t="shared" si="51"/>
        <v>1.2213357823581919E-3</v>
      </c>
      <c r="V407" s="3">
        <f t="shared" si="52"/>
        <v>3.8701795521782138E-17</v>
      </c>
    </row>
    <row r="408" spans="1:22" x14ac:dyDescent="0.2">
      <c r="A408" t="s">
        <v>857</v>
      </c>
      <c r="B408" s="1" t="str">
        <f>VLOOKUP(REPLACE(A408,FIND("dist",A408),4,"fit")&amp;"*",'[413]t (Cherniak)'!$A:$A,1,0)</f>
        <v>CGI018-qtz12-CL-fit-3-offset</v>
      </c>
      <c r="C408">
        <v>1800</v>
      </c>
      <c r="D408">
        <v>1024</v>
      </c>
      <c r="E408" s="1">
        <f t="shared" si="48"/>
        <v>1.7578125</v>
      </c>
      <c r="F408">
        <f>'[821]CGI018-qtz12-CL-dist-3'!$B$4</f>
        <v>435.01799999999997</v>
      </c>
      <c r="G408" s="1">
        <f t="shared" si="53"/>
        <v>764.68007812499991</v>
      </c>
      <c r="H408" s="1"/>
      <c r="I408" s="1" t="str">
        <f>VLOOKUP($B408, '[413]t (Cherniak) Category'!$1:$1048576, MATCH(I$1, '[413]t (Cherniak) Category'!$1:$1, 0), 0)</f>
        <v>Core</v>
      </c>
      <c r="J408" s="1"/>
      <c r="K408" s="4">
        <f>VLOOKUP($B408, '[413]t (Cherniak)'!$1:$1048576, MATCH(LEFT(K$1,FIND(" (",K$1)-1), '[413]t (Cherniak)'!$1:$1, 0), 0)</f>
        <v>158.71494602082427</v>
      </c>
      <c r="L408" s="4">
        <f>'D(Ti_Audétat23) Times'!Z408</f>
        <v>11157.634678199624</v>
      </c>
      <c r="M408" s="4">
        <f>VLOOKUP($B408, '[413]t (J)'!$1:$1048576, MATCH(LEFT(M$1,FIND(" (",M$1)-1),'[413]t (J)'!$1:$1, 0), 0)</f>
        <v>190883.40930525062</v>
      </c>
      <c r="O408" s="1">
        <f t="shared" si="49"/>
        <v>4.8179462444870795</v>
      </c>
      <c r="P408" s="3">
        <f t="shared" si="50"/>
        <v>1.5267150367857758E-13</v>
      </c>
      <c r="Q408" s="3"/>
      <c r="R408" s="11">
        <f t="shared" si="54"/>
        <v>6.853424584863603E-2</v>
      </c>
      <c r="S408" s="3">
        <f t="shared" si="55"/>
        <v>2.1717192007198276E-15</v>
      </c>
      <c r="T408" s="3"/>
      <c r="U408" s="9">
        <f t="shared" si="51"/>
        <v>4.0060059745798239E-3</v>
      </c>
      <c r="V408" s="3">
        <f t="shared" si="52"/>
        <v>1.2694266910601008E-16</v>
      </c>
    </row>
    <row r="409" spans="1:22" x14ac:dyDescent="0.2">
      <c r="A409" t="s">
        <v>858</v>
      </c>
      <c r="B409" s="1" t="str">
        <f>VLOOKUP(REPLACE(A409,FIND("dist",A409),4,"fit")&amp;"*",'[413]t (Cherniak)'!$A:$A,1,0)</f>
        <v>CGI018-qtz12-CL-fit-4-offset</v>
      </c>
      <c r="C409">
        <v>1800</v>
      </c>
      <c r="D409">
        <v>1024</v>
      </c>
      <c r="E409" s="1">
        <f t="shared" si="48"/>
        <v>1.7578125</v>
      </c>
      <c r="F409">
        <f>'[822]CGI018-qtz12-CL-dist-4'!$B$4</f>
        <v>311.27199999999999</v>
      </c>
      <c r="G409" s="1">
        <f t="shared" si="53"/>
        <v>547.15781249999998</v>
      </c>
      <c r="H409" s="1"/>
      <c r="I409" s="1" t="str">
        <f>VLOOKUP($B409, '[413]t (Cherniak) Category'!$1:$1048576, MATCH(I$1, '[413]t (Cherniak) Category'!$1:$1, 0), 0)</f>
        <v>Interior</v>
      </c>
      <c r="J409" s="1"/>
      <c r="K409" s="4">
        <f>VLOOKUP($B409, '[413]t (Cherniak)'!$1:$1048576, MATCH(LEFT(K$1,FIND(" (",K$1)-1), '[413]t (Cherniak)'!$1:$1, 0), 0)</f>
        <v>190.62924650633263</v>
      </c>
      <c r="L409" s="4">
        <f>'D(Ti_Audétat23) Times'!Z409</f>
        <v>13401.204768825308</v>
      </c>
      <c r="M409" s="4">
        <f>VLOOKUP($B409, '[413]t (J)'!$1:$1048576, MATCH(LEFT(M$1,FIND(" (",M$1)-1),'[413]t (J)'!$1:$1, 0), 0)</f>
        <v>229266.12394553889</v>
      </c>
      <c r="O409" s="1">
        <f t="shared" si="49"/>
        <v>2.8702721252261969</v>
      </c>
      <c r="P409" s="3">
        <f t="shared" si="50"/>
        <v>9.0953435154327219E-14</v>
      </c>
      <c r="Q409" s="3"/>
      <c r="R409" s="11">
        <f t="shared" si="54"/>
        <v>4.0829001715788384E-2</v>
      </c>
      <c r="S409" s="3">
        <f t="shared" si="55"/>
        <v>1.2937929917290408E-15</v>
      </c>
      <c r="T409" s="3"/>
      <c r="U409" s="9">
        <f t="shared" si="51"/>
        <v>2.3865619703588429E-3</v>
      </c>
      <c r="V409" s="3">
        <f t="shared" si="52"/>
        <v>7.5625585290352978E-17</v>
      </c>
    </row>
    <row r="410" spans="1:22" x14ac:dyDescent="0.2">
      <c r="A410" t="s">
        <v>859</v>
      </c>
      <c r="B410" s="1" t="str">
        <f>VLOOKUP(REPLACE(A410,FIND("dist",A410),4,"fit")&amp;"*",'[413]t (Cherniak)'!$A:$A,1,0)</f>
        <v>CGI018-qtz12-CL-fit-5-offset</v>
      </c>
      <c r="C410">
        <v>1800</v>
      </c>
      <c r="D410">
        <v>1024</v>
      </c>
      <c r="E410" s="1">
        <f t="shared" si="48"/>
        <v>1.7578125</v>
      </c>
      <c r="F410">
        <f>'[823]CGI018-qtz12-CL-dist-5'!$B$4</f>
        <v>157.88900000000001</v>
      </c>
      <c r="G410" s="1">
        <f t="shared" si="53"/>
        <v>277.53925781250001</v>
      </c>
      <c r="H410" s="1"/>
      <c r="I410" s="1" t="str">
        <f>VLOOKUP($B410, '[413]t (Cherniak) Category'!$1:$1048576, MATCH(I$1, '[413]t (Cherniak) Category'!$1:$1, 0), 0)</f>
        <v>Interior</v>
      </c>
      <c r="J410" s="1"/>
      <c r="K410" s="4">
        <f>VLOOKUP($B410, '[413]t (Cherniak)'!$1:$1048576, MATCH(LEFT(K$1,FIND(" (",K$1)-1), '[413]t (Cherniak)'!$1:$1, 0), 0)</f>
        <v>372.32106642885441</v>
      </c>
      <c r="L410" s="4">
        <f>'D(Ti_Audétat23) Times'!Z410</f>
        <v>26174.10991442353</v>
      </c>
      <c r="M410" s="4">
        <f>VLOOKUP($B410, '[413]t (J)'!$1:$1048576, MATCH(LEFT(M$1,FIND(" (",M$1)-1),'[413]t (J)'!$1:$1, 0), 0)</f>
        <v>447783.37704113679</v>
      </c>
      <c r="O410" s="1">
        <f t="shared" si="49"/>
        <v>0.74542990670535714</v>
      </c>
      <c r="P410" s="3">
        <f t="shared" si="50"/>
        <v>2.3621248342882763E-14</v>
      </c>
      <c r="Q410" s="3"/>
      <c r="R410" s="11">
        <f t="shared" si="54"/>
        <v>1.0603579595253361E-2</v>
      </c>
      <c r="S410" s="3">
        <f t="shared" si="55"/>
        <v>3.3600716135743406E-16</v>
      </c>
      <c r="T410" s="3"/>
      <c r="U410" s="9">
        <f t="shared" si="51"/>
        <v>6.1980696926809578E-4</v>
      </c>
      <c r="V410" s="3">
        <f t="shared" si="52"/>
        <v>1.9640497669914559E-17</v>
      </c>
    </row>
    <row r="411" spans="1:22" x14ac:dyDescent="0.2">
      <c r="A411" t="s">
        <v>860</v>
      </c>
      <c r="B411" s="1" t="str">
        <f>VLOOKUP(REPLACE(A411,FIND("dist",A411),4,"fit")&amp;"*",'[413]t (Cherniak)'!$A:$A,1,0)</f>
        <v>CGI018-qtz12-CL-fit-6-offset</v>
      </c>
      <c r="C411">
        <v>1800</v>
      </c>
      <c r="D411">
        <v>1024</v>
      </c>
      <c r="E411" s="1">
        <f t="shared" si="48"/>
        <v>1.7578125</v>
      </c>
      <c r="F411">
        <f>'[824]CGI018-qtz12-CL-dist-6'!$B$4</f>
        <v>102.083</v>
      </c>
      <c r="G411" s="1">
        <f t="shared" si="53"/>
        <v>179.44277343749999</v>
      </c>
      <c r="H411" s="1"/>
      <c r="I411" s="1" t="str">
        <f>VLOOKUP($B411, '[413]t (Cherniak) Category'!$1:$1048576, MATCH(I$1, '[413]t (Cherniak) Category'!$1:$1, 0), 0)</f>
        <v>Interior</v>
      </c>
      <c r="J411" s="1"/>
      <c r="K411" s="4">
        <f>VLOOKUP($B411, '[413]t (Cherniak)'!$1:$1048576, MATCH(LEFT(K$1,FIND(" (",K$1)-1), '[413]t (Cherniak)'!$1:$1, 0), 0)</f>
        <v>73.70748755100378</v>
      </c>
      <c r="L411" s="4">
        <f>'D(Ti_Audétat23) Times'!Z411</f>
        <v>5181.6242878231733</v>
      </c>
      <c r="M411" s="4">
        <f>VLOOKUP($B411, '[413]t (J)'!$1:$1048576, MATCH(LEFT(M$1,FIND(" (",M$1)-1),'[413]t (J)'!$1:$1, 0), 0)</f>
        <v>88646.575938814989</v>
      </c>
      <c r="O411" s="1">
        <f t="shared" si="49"/>
        <v>2.4345257096618576</v>
      </c>
      <c r="P411" s="3">
        <f t="shared" si="50"/>
        <v>7.7145464473276091E-14</v>
      </c>
      <c r="Q411" s="3"/>
      <c r="R411" s="11">
        <f t="shared" si="54"/>
        <v>3.4630602967334168E-2</v>
      </c>
      <c r="S411" s="3">
        <f t="shared" si="55"/>
        <v>1.0973775878816566E-15</v>
      </c>
      <c r="T411" s="3"/>
      <c r="U411" s="9">
        <f t="shared" si="51"/>
        <v>2.0242493467695099E-3</v>
      </c>
      <c r="V411" s="3">
        <f t="shared" si="52"/>
        <v>6.4144591057922962E-17</v>
      </c>
    </row>
    <row r="412" spans="1:22" x14ac:dyDescent="0.2">
      <c r="A412" t="s">
        <v>861</v>
      </c>
      <c r="B412" s="1" t="str">
        <f>VLOOKUP(REPLACE(A412,FIND("dist",A412),4,"fit")&amp;"*",'[413]t (Cherniak)'!$A:$A,1,0)</f>
        <v>CGI018-qtz12-CL-fit-7-offset</v>
      </c>
      <c r="C412">
        <v>1800</v>
      </c>
      <c r="D412">
        <v>1024</v>
      </c>
      <c r="E412" s="1">
        <f t="shared" si="48"/>
        <v>1.7578125</v>
      </c>
      <c r="F412">
        <f>'[825]CGI018-qtz12-CL-dist-7'!$B$4</f>
        <v>20</v>
      </c>
      <c r="G412" s="1">
        <f t="shared" si="53"/>
        <v>35.15625</v>
      </c>
      <c r="H412" s="1"/>
      <c r="I412" s="1" t="str">
        <f>VLOOKUP($B412, '[413]t (Cherniak) Category'!$1:$1048576, MATCH(I$1, '[413]t (Cherniak) Category'!$1:$1, 0), 0)</f>
        <v>RIm</v>
      </c>
      <c r="J412" s="1"/>
      <c r="K412" s="4">
        <f>VLOOKUP($B412, '[413]t (Cherniak)'!$1:$1048576, MATCH(LEFT(K$1,FIND(" (",K$1)-1), '[413]t (Cherniak)'!$1:$1, 0), 0)</f>
        <v>0.37440823997873945</v>
      </c>
      <c r="L412" s="4">
        <f>'D(Ti_Audétat23) Times'!Z412</f>
        <v>26.32083787271274</v>
      </c>
      <c r="M412" s="4">
        <f>VLOOKUP($B412, '[413]t (J)'!$1:$1048576, MATCH(LEFT(M$1,FIND(" (",M$1)-1),'[413]t (J)'!$1:$1, 0), 0)</f>
        <v>450.29358047819375</v>
      </c>
      <c r="O412" s="1">
        <f t="shared" si="49"/>
        <v>93.898173827574752</v>
      </c>
      <c r="P412" s="3">
        <f t="shared" si="50"/>
        <v>2.9754535778251435E-12</v>
      </c>
      <c r="Q412" s="3"/>
      <c r="R412" s="11">
        <f t="shared" si="54"/>
        <v>1.3356812640241624</v>
      </c>
      <c r="S412" s="3">
        <f t="shared" si="55"/>
        <v>4.2325185185950839E-14</v>
      </c>
      <c r="T412" s="3"/>
      <c r="U412" s="9">
        <f t="shared" si="51"/>
        <v>7.8074064397421497E-2</v>
      </c>
      <c r="V412" s="3">
        <f t="shared" si="52"/>
        <v>2.4740178086236435E-15</v>
      </c>
    </row>
    <row r="413" spans="1:22" x14ac:dyDescent="0.2">
      <c r="B413" s="1"/>
      <c r="E413" s="1"/>
      <c r="G413" s="1"/>
      <c r="H413" s="1"/>
      <c r="I413" s="1"/>
      <c r="J413" s="1"/>
      <c r="K413" s="4"/>
      <c r="L413" s="4"/>
      <c r="M413" s="4"/>
      <c r="P413" s="3"/>
      <c r="Q413" s="3"/>
      <c r="R413" s="3"/>
      <c r="S413" s="3"/>
      <c r="T413" s="3"/>
      <c r="U413" s="9"/>
      <c r="V413"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ReadMe</vt:lpstr>
      <vt:lpstr>L-Values</vt:lpstr>
      <vt:lpstr>D(Ti_Cherniak) Times</vt:lpstr>
      <vt:lpstr>D(Ti_Audétat23) Times</vt:lpstr>
      <vt:lpstr>D(Ti_Jollands) Times</vt:lpstr>
      <vt:lpstr>Growth Rates</vt:lpstr>
    </vt:vector>
  </TitlesOfParts>
  <Company>Vanderbilt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Tuff</dc:creator>
  <cp:lastModifiedBy>Anonymous</cp:lastModifiedBy>
  <dcterms:created xsi:type="dcterms:W3CDTF">2022-01-20T21:00:47Z</dcterms:created>
  <dcterms:modified xsi:type="dcterms:W3CDTF">2025-04-04T05:53:10Z</dcterms:modified>
</cp:coreProperties>
</file>